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leach\Documents\data_projects\royalties\"/>
    </mc:Choice>
  </mc:AlternateContent>
  <xr:revisionPtr revIDLastSave="0" documentId="8_{8281BA3B-FBEC-4A3B-9E79-97FFBF620958}" xr6:coauthVersionLast="47" xr6:coauthVersionMax="47" xr10:uidLastSave="{00000000-0000-0000-0000-000000000000}"/>
  <bookViews>
    <workbookView xWindow="-103" yWindow="-103" windowWidth="33120" windowHeight="18000" tabRatio="500" activeTab="3" xr2:uid="{00000000-000D-0000-FFFF-FFFF00000000}"/>
  </bookViews>
  <sheets>
    <sheet name="Initial Data" sheetId="1" r:id="rId1"/>
    <sheet name="Decline and Model" sheetId="10" r:id="rId2"/>
    <sheet name="Royalty" sheetId="11" r:id="rId3"/>
    <sheet name="C" sheetId="8" r:id="rId4"/>
    <sheet name="PriceDeck" sheetId="9" r:id="rId5"/>
    <sheet name="Stats" sheetId="12" r:id="rId6"/>
    <sheet name="figure" sheetId="13" r:id="rId7"/>
  </sheets>
  <definedNames>
    <definedName name="_xlnm.Print_Area" localSheetId="4">PriceDeck!$A$1:$P$97</definedName>
  </definedNames>
  <calcPr calcId="191029" iterate="1" iterateDelta="9.9999961093999445E-6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9" i="10" l="1" a="1"/>
  <c r="AF39" i="10"/>
  <c r="AC39" i="10" a="1"/>
  <c r="AC39" i="10"/>
  <c r="AG39" i="10" a="1"/>
  <c r="AG39" i="10"/>
  <c r="AE39" i="10" a="1"/>
  <c r="AE39" i="10"/>
  <c r="AI39" i="10"/>
  <c r="AJ39" i="10"/>
  <c r="AF40" i="10" a="1"/>
  <c r="AF40" i="10"/>
  <c r="AC40" i="10" a="1"/>
  <c r="AC40" i="10"/>
  <c r="AG40" i="10" a="1"/>
  <c r="AG40" i="10"/>
  <c r="AE40" i="10" a="1"/>
  <c r="AE40" i="10"/>
  <c r="AI40" i="10"/>
  <c r="AJ40" i="10"/>
  <c r="AF41" i="10" a="1"/>
  <c r="AF41" i="10"/>
  <c r="AC41" i="10" a="1"/>
  <c r="AC41" i="10"/>
  <c r="AG41" i="10" a="1"/>
  <c r="AG41" i="10"/>
  <c r="AE41" i="10" a="1"/>
  <c r="AE41" i="10"/>
  <c r="AI41" i="10"/>
  <c r="AJ41" i="10"/>
  <c r="AF42" i="10" a="1"/>
  <c r="AF42" i="10"/>
  <c r="AC42" i="10" a="1"/>
  <c r="AC42" i="10"/>
  <c r="AG42" i="10" a="1"/>
  <c r="AG42" i="10"/>
  <c r="AE42" i="10" a="1"/>
  <c r="AE42" i="10"/>
  <c r="AI42" i="10"/>
  <c r="AJ42" i="10"/>
  <c r="AF43" i="10" a="1"/>
  <c r="AF43" i="10"/>
  <c r="AC43" i="10" a="1"/>
  <c r="AC43" i="10"/>
  <c r="AG43" i="10" a="1"/>
  <c r="AG43" i="10"/>
  <c r="AE43" i="10" a="1"/>
  <c r="AE43" i="10"/>
  <c r="AI43" i="10"/>
  <c r="AJ43" i="10"/>
  <c r="AF44" i="10" a="1"/>
  <c r="AF44" i="10"/>
  <c r="AC44" i="10" a="1"/>
  <c r="AC44" i="10"/>
  <c r="AG44" i="10" a="1"/>
  <c r="AG44" i="10"/>
  <c r="AE44" i="10" a="1"/>
  <c r="AE44" i="10"/>
  <c r="AI44" i="10"/>
  <c r="AJ44" i="10"/>
  <c r="AF45" i="10" a="1"/>
  <c r="AF45" i="10"/>
  <c r="AC45" i="10" a="1"/>
  <c r="AC45" i="10"/>
  <c r="AG45" i="10" a="1"/>
  <c r="AG45" i="10"/>
  <c r="AE45" i="10" a="1"/>
  <c r="AE45" i="10"/>
  <c r="AI45" i="10"/>
  <c r="AJ45" i="10"/>
  <c r="AF46" i="10" a="1"/>
  <c r="AF46" i="10"/>
  <c r="AC46" i="10" a="1"/>
  <c r="AC46" i="10"/>
  <c r="AG46" i="10" a="1"/>
  <c r="AG46" i="10"/>
  <c r="AE46" i="10" a="1"/>
  <c r="AE46" i="10"/>
  <c r="AI46" i="10"/>
  <c r="AJ46" i="10"/>
  <c r="AF47" i="10" a="1"/>
  <c r="AF47" i="10"/>
  <c r="AC47" i="10" a="1"/>
  <c r="AC47" i="10"/>
  <c r="AG47" i="10" a="1"/>
  <c r="AG47" i="10"/>
  <c r="AE47" i="10" a="1"/>
  <c r="AE47" i="10"/>
  <c r="AI47" i="10"/>
  <c r="AJ47" i="10"/>
  <c r="AF48" i="10" a="1"/>
  <c r="AF48" i="10"/>
  <c r="AC48" i="10" a="1"/>
  <c r="AC48" i="10"/>
  <c r="AG48" i="10" a="1"/>
  <c r="AG48" i="10"/>
  <c r="AE48" i="10" a="1"/>
  <c r="AE48" i="10"/>
  <c r="AI48" i="10"/>
  <c r="AJ48" i="10"/>
  <c r="AF49" i="10" a="1"/>
  <c r="AF49" i="10"/>
  <c r="AC49" i="10" a="1"/>
  <c r="AC49" i="10"/>
  <c r="AG49" i="10" a="1"/>
  <c r="AG49" i="10"/>
  <c r="AE49" i="10" a="1"/>
  <c r="AE49" i="10"/>
  <c r="AI49" i="10"/>
  <c r="AJ49" i="10"/>
  <c r="AF50" i="10" a="1"/>
  <c r="AF50" i="10"/>
  <c r="AC50" i="10" a="1"/>
  <c r="AC50" i="10"/>
  <c r="AG50" i="10" a="1"/>
  <c r="AG50" i="10"/>
  <c r="AE50" i="10" a="1"/>
  <c r="AE50" i="10"/>
  <c r="AI50" i="10"/>
  <c r="AJ50" i="10"/>
  <c r="AF51" i="10" a="1"/>
  <c r="AF51" i="10"/>
  <c r="AC51" i="10" a="1"/>
  <c r="AC51" i="10"/>
  <c r="AG51" i="10" a="1"/>
  <c r="AG51" i="10"/>
  <c r="AE51" i="10" a="1"/>
  <c r="AE51" i="10"/>
  <c r="AI51" i="10"/>
  <c r="AJ51" i="10"/>
  <c r="AF52" i="10" a="1"/>
  <c r="AF52" i="10"/>
  <c r="AC52" i="10" a="1"/>
  <c r="AC52" i="10"/>
  <c r="AG52" i="10" a="1"/>
  <c r="AG52" i="10"/>
  <c r="AE52" i="10" a="1"/>
  <c r="AE52" i="10"/>
  <c r="AI52" i="10"/>
  <c r="AJ52" i="10"/>
  <c r="AF53" i="10" a="1"/>
  <c r="AF53" i="10"/>
  <c r="AC53" i="10" a="1"/>
  <c r="AC53" i="10"/>
  <c r="AG53" i="10" a="1"/>
  <c r="AG53" i="10"/>
  <c r="AE53" i="10" a="1"/>
  <c r="AE53" i="10"/>
  <c r="AI53" i="10"/>
  <c r="AJ53" i="10"/>
  <c r="AF54" i="10" a="1"/>
  <c r="AF54" i="10"/>
  <c r="AC54" i="10" a="1"/>
  <c r="AC54" i="10"/>
  <c r="AG54" i="10" a="1"/>
  <c r="AG54" i="10"/>
  <c r="AE54" i="10" a="1"/>
  <c r="AE54" i="10"/>
  <c r="AI54" i="10"/>
  <c r="AJ54" i="10"/>
  <c r="AF55" i="10" a="1"/>
  <c r="AF55" i="10"/>
  <c r="AC55" i="10" a="1"/>
  <c r="AC55" i="10"/>
  <c r="AG55" i="10" a="1"/>
  <c r="AG55" i="10"/>
  <c r="AE55" i="10" a="1"/>
  <c r="AE55" i="10"/>
  <c r="AI55" i="10"/>
  <c r="AJ55" i="10"/>
  <c r="AF56" i="10" a="1"/>
  <c r="AF56" i="10"/>
  <c r="AC56" i="10" a="1"/>
  <c r="AC56" i="10"/>
  <c r="AG56" i="10" a="1"/>
  <c r="AG56" i="10"/>
  <c r="AE56" i="10" a="1"/>
  <c r="AE56" i="10"/>
  <c r="AI56" i="10"/>
  <c r="AJ56" i="10"/>
  <c r="AF57" i="10" a="1"/>
  <c r="AF57" i="10"/>
  <c r="AC57" i="10" a="1"/>
  <c r="AC57" i="10"/>
  <c r="AG57" i="10" a="1"/>
  <c r="AG57" i="10"/>
  <c r="AE57" i="10" a="1"/>
  <c r="AE57" i="10"/>
  <c r="AI57" i="10"/>
  <c r="AJ57" i="10"/>
  <c r="AF58" i="10" a="1"/>
  <c r="AF58" i="10"/>
  <c r="AC58" i="10" a="1"/>
  <c r="AC58" i="10"/>
  <c r="AG58" i="10" a="1"/>
  <c r="AG58" i="10"/>
  <c r="AE58" i="10" a="1"/>
  <c r="AE58" i="10"/>
  <c r="AI58" i="10"/>
  <c r="AJ58" i="10"/>
  <c r="AF59" i="10" a="1"/>
  <c r="AF59" i="10"/>
  <c r="AC59" i="10" a="1"/>
  <c r="AC59" i="10"/>
  <c r="AG59" i="10" a="1"/>
  <c r="AG59" i="10"/>
  <c r="AE59" i="10" a="1"/>
  <c r="AE59" i="10"/>
  <c r="AI59" i="10"/>
  <c r="AJ59" i="10"/>
  <c r="AF60" i="10" a="1"/>
  <c r="AF60" i="10"/>
  <c r="AC60" i="10" a="1"/>
  <c r="AC60" i="10"/>
  <c r="AG60" i="10" a="1"/>
  <c r="AG60" i="10"/>
  <c r="AE60" i="10" a="1"/>
  <c r="AE60" i="10"/>
  <c r="AI60" i="10"/>
  <c r="AJ60" i="10"/>
  <c r="AF61" i="10" a="1"/>
  <c r="AF61" i="10"/>
  <c r="AC61" i="10" a="1"/>
  <c r="AC61" i="10"/>
  <c r="AG61" i="10" a="1"/>
  <c r="AG61" i="10"/>
  <c r="AE61" i="10" a="1"/>
  <c r="AE61" i="10"/>
  <c r="AI61" i="10"/>
  <c r="AJ61" i="10"/>
  <c r="AF62" i="10" a="1"/>
  <c r="AF62" i="10"/>
  <c r="AC62" i="10" a="1"/>
  <c r="AC62" i="10"/>
  <c r="AG62" i="10" a="1"/>
  <c r="AG62" i="10"/>
  <c r="AE62" i="10" a="1"/>
  <c r="AE62" i="10"/>
  <c r="AI62" i="10"/>
  <c r="AJ62" i="10"/>
  <c r="AF63" i="10" a="1"/>
  <c r="AF63" i="10"/>
  <c r="AC63" i="10" a="1"/>
  <c r="AC63" i="10"/>
  <c r="AG63" i="10" a="1"/>
  <c r="AG63" i="10"/>
  <c r="AE63" i="10" a="1"/>
  <c r="AE63" i="10"/>
  <c r="AI63" i="10"/>
  <c r="AJ63" i="10"/>
  <c r="AF64" i="10" a="1"/>
  <c r="AF64" i="10"/>
  <c r="AC64" i="10" a="1"/>
  <c r="AC64" i="10"/>
  <c r="AG64" i="10" a="1"/>
  <c r="AG64" i="10"/>
  <c r="AE64" i="10" a="1"/>
  <c r="AE64" i="10"/>
  <c r="AI64" i="10"/>
  <c r="AJ64" i="10"/>
  <c r="AF65" i="10" a="1"/>
  <c r="AF65" i="10"/>
  <c r="AC65" i="10" a="1"/>
  <c r="AC65" i="10"/>
  <c r="AG65" i="10" a="1"/>
  <c r="AG65" i="10"/>
  <c r="AE65" i="10" a="1"/>
  <c r="AE65" i="10"/>
  <c r="AI65" i="10"/>
  <c r="AJ65" i="10"/>
  <c r="AF66" i="10" a="1"/>
  <c r="AF66" i="10"/>
  <c r="AC66" i="10" a="1"/>
  <c r="AC66" i="10"/>
  <c r="AG66" i="10" a="1"/>
  <c r="AG66" i="10"/>
  <c r="AE66" i="10" a="1"/>
  <c r="AE66" i="10"/>
  <c r="AI66" i="10"/>
  <c r="AJ66" i="10"/>
  <c r="AF67" i="10" a="1"/>
  <c r="AF67" i="10"/>
  <c r="AC67" i="10" a="1"/>
  <c r="AC67" i="10"/>
  <c r="AG67" i="10" a="1"/>
  <c r="AG67" i="10"/>
  <c r="AE67" i="10" a="1"/>
  <c r="AE67" i="10"/>
  <c r="AI67" i="10"/>
  <c r="AJ67" i="10"/>
  <c r="AF68" i="10" a="1"/>
  <c r="AF68" i="10"/>
  <c r="AC68" i="10" a="1"/>
  <c r="AC68" i="10"/>
  <c r="AG68" i="10" a="1"/>
  <c r="AG68" i="10"/>
  <c r="AE68" i="10" a="1"/>
  <c r="AE68" i="10"/>
  <c r="AI68" i="10"/>
  <c r="AJ68" i="10"/>
  <c r="AF69" i="10" a="1"/>
  <c r="AF69" i="10"/>
  <c r="AC69" i="10" a="1"/>
  <c r="AC69" i="10"/>
  <c r="AG69" i="10" a="1"/>
  <c r="AG69" i="10"/>
  <c r="AE69" i="10" a="1"/>
  <c r="AE69" i="10"/>
  <c r="AI69" i="10"/>
  <c r="AJ69" i="10"/>
  <c r="AF70" i="10" a="1"/>
  <c r="AF70" i="10"/>
  <c r="AC70" i="10" a="1"/>
  <c r="AC70" i="10"/>
  <c r="AG70" i="10" a="1"/>
  <c r="AG70" i="10"/>
  <c r="AE70" i="10" a="1"/>
  <c r="AE70" i="10"/>
  <c r="AI70" i="10"/>
  <c r="AJ70" i="10"/>
  <c r="AF71" i="10" a="1"/>
  <c r="AF71" i="10"/>
  <c r="AC71" i="10" a="1"/>
  <c r="AC71" i="10"/>
  <c r="AG71" i="10" a="1"/>
  <c r="AG71" i="10"/>
  <c r="AE71" i="10" a="1"/>
  <c r="AE71" i="10"/>
  <c r="AI71" i="10"/>
  <c r="AJ71" i="10"/>
  <c r="AF72" i="10" a="1"/>
  <c r="AF72" i="10"/>
  <c r="AC72" i="10" a="1"/>
  <c r="AC72" i="10"/>
  <c r="AG72" i="10" a="1"/>
  <c r="AG72" i="10"/>
  <c r="AE72" i="10" a="1"/>
  <c r="AE72" i="10"/>
  <c r="AI72" i="10"/>
  <c r="AJ72" i="10"/>
  <c r="AF73" i="10" a="1"/>
  <c r="AF73" i="10"/>
  <c r="AC73" i="10" a="1"/>
  <c r="AC73" i="10"/>
  <c r="AG73" i="10" a="1"/>
  <c r="AG73" i="10"/>
  <c r="AE73" i="10" a="1"/>
  <c r="AE73" i="10"/>
  <c r="AI73" i="10"/>
  <c r="AJ73" i="10"/>
  <c r="AF74" i="10" a="1"/>
  <c r="AF74" i="10"/>
  <c r="AC74" i="10" a="1"/>
  <c r="AC74" i="10"/>
  <c r="AG74" i="10" a="1"/>
  <c r="AG74" i="10"/>
  <c r="AE74" i="10" a="1"/>
  <c r="AE74" i="10"/>
  <c r="AI74" i="10"/>
  <c r="AJ74" i="10"/>
  <c r="AF75" i="10" a="1"/>
  <c r="AF75" i="10"/>
  <c r="AC75" i="10" a="1"/>
  <c r="AC75" i="10"/>
  <c r="AG75" i="10" a="1"/>
  <c r="AG75" i="10"/>
  <c r="AE75" i="10" a="1"/>
  <c r="AE75" i="10"/>
  <c r="AI75" i="10"/>
  <c r="AJ75" i="10"/>
  <c r="AF76" i="10" a="1"/>
  <c r="AF76" i="10"/>
  <c r="AC76" i="10" a="1"/>
  <c r="AC76" i="10"/>
  <c r="AG76" i="10" a="1"/>
  <c r="AG76" i="10"/>
  <c r="AE76" i="10" a="1"/>
  <c r="AE76" i="10"/>
  <c r="AI76" i="10"/>
  <c r="AJ76" i="10"/>
  <c r="AF77" i="10" a="1"/>
  <c r="AF77" i="10"/>
  <c r="AC77" i="10" a="1"/>
  <c r="AC77" i="10"/>
  <c r="AG77" i="10" a="1"/>
  <c r="AG77" i="10"/>
  <c r="AE77" i="10" a="1"/>
  <c r="AE77" i="10"/>
  <c r="AI77" i="10"/>
  <c r="AJ77" i="10"/>
  <c r="AF78" i="10" a="1"/>
  <c r="AF78" i="10"/>
  <c r="AC78" i="10" a="1"/>
  <c r="AC78" i="10"/>
  <c r="AG78" i="10" a="1"/>
  <c r="AG78" i="10"/>
  <c r="AE78" i="10" a="1"/>
  <c r="AE78" i="10"/>
  <c r="AI78" i="10"/>
  <c r="AJ78" i="10"/>
  <c r="AF79" i="10" a="1"/>
  <c r="AF79" i="10"/>
  <c r="AC79" i="10" a="1"/>
  <c r="AC79" i="10"/>
  <c r="AG79" i="10" a="1"/>
  <c r="AG79" i="10"/>
  <c r="AE79" i="10" a="1"/>
  <c r="AE79" i="10"/>
  <c r="AI79" i="10"/>
  <c r="AJ79" i="10"/>
  <c r="AF80" i="10" a="1"/>
  <c r="AF80" i="10"/>
  <c r="AC80" i="10" a="1"/>
  <c r="AC80" i="10"/>
  <c r="AG80" i="10" a="1"/>
  <c r="AG80" i="10"/>
  <c r="AE80" i="10" a="1"/>
  <c r="AE80" i="10"/>
  <c r="AI80" i="10"/>
  <c r="AJ80" i="10"/>
  <c r="AF81" i="10" a="1"/>
  <c r="AF81" i="10"/>
  <c r="AC81" i="10" a="1"/>
  <c r="AC81" i="10"/>
  <c r="AG81" i="10" a="1"/>
  <c r="AG81" i="10"/>
  <c r="AE81" i="10" a="1"/>
  <c r="AE81" i="10"/>
  <c r="AI81" i="10"/>
  <c r="AJ81" i="10"/>
  <c r="AF82" i="10" a="1"/>
  <c r="AF82" i="10"/>
  <c r="AC82" i="10" a="1"/>
  <c r="AC82" i="10"/>
  <c r="AG82" i="10" a="1"/>
  <c r="AG82" i="10"/>
  <c r="AE82" i="10" a="1"/>
  <c r="AE82" i="10"/>
  <c r="AI82" i="10"/>
  <c r="AJ82" i="10"/>
  <c r="AF83" i="10" a="1"/>
  <c r="AF83" i="10"/>
  <c r="AC83" i="10" a="1"/>
  <c r="AC83" i="10"/>
  <c r="AG83" i="10" a="1"/>
  <c r="AG83" i="10"/>
  <c r="AE83" i="10" a="1"/>
  <c r="AE83" i="10"/>
  <c r="AI83" i="10"/>
  <c r="AJ83" i="10"/>
  <c r="AF84" i="10" a="1"/>
  <c r="AF84" i="10"/>
  <c r="AC84" i="10" a="1"/>
  <c r="AC84" i="10"/>
  <c r="AG84" i="10" a="1"/>
  <c r="AG84" i="10"/>
  <c r="AE84" i="10" a="1"/>
  <c r="AE84" i="10"/>
  <c r="AI84" i="10"/>
  <c r="AJ84" i="10"/>
  <c r="AF85" i="10" a="1"/>
  <c r="AF85" i="10"/>
  <c r="AC85" i="10" a="1"/>
  <c r="AC85" i="10"/>
  <c r="AG85" i="10" a="1"/>
  <c r="AG85" i="10"/>
  <c r="AE85" i="10" a="1"/>
  <c r="AE85" i="10"/>
  <c r="AI85" i="10"/>
  <c r="AJ85" i="10"/>
  <c r="AF86" i="10" a="1"/>
  <c r="AF86" i="10"/>
  <c r="AC86" i="10" a="1"/>
  <c r="AC86" i="10"/>
  <c r="AG86" i="10" a="1"/>
  <c r="AG86" i="10"/>
  <c r="AE86" i="10" a="1"/>
  <c r="AE86" i="10"/>
  <c r="AI86" i="10"/>
  <c r="AJ86" i="10"/>
  <c r="AF87" i="10" a="1"/>
  <c r="AF87" i="10"/>
  <c r="AC87" i="10" a="1"/>
  <c r="AC87" i="10"/>
  <c r="AG87" i="10" a="1"/>
  <c r="AG87" i="10"/>
  <c r="AE87" i="10" a="1"/>
  <c r="AE87" i="10"/>
  <c r="AI87" i="10"/>
  <c r="AJ87" i="10"/>
  <c r="AF88" i="10" a="1"/>
  <c r="AF88" i="10"/>
  <c r="AC88" i="10" a="1"/>
  <c r="AC88" i="10"/>
  <c r="AG88" i="10" a="1"/>
  <c r="AG88" i="10"/>
  <c r="AE88" i="10" a="1"/>
  <c r="AE88" i="10"/>
  <c r="AI88" i="10"/>
  <c r="AJ88" i="10"/>
  <c r="AF89" i="10" a="1"/>
  <c r="AF89" i="10"/>
  <c r="AC89" i="10" a="1"/>
  <c r="AC89" i="10"/>
  <c r="AG89" i="10" a="1"/>
  <c r="AG89" i="10"/>
  <c r="AE89" i="10" a="1"/>
  <c r="AE89" i="10"/>
  <c r="AI89" i="10"/>
  <c r="AJ89" i="10"/>
  <c r="AF90" i="10" a="1"/>
  <c r="AF90" i="10"/>
  <c r="AC90" i="10" a="1"/>
  <c r="AC90" i="10"/>
  <c r="AG90" i="10" a="1"/>
  <c r="AG90" i="10"/>
  <c r="AE90" i="10" a="1"/>
  <c r="AE90" i="10"/>
  <c r="AI90" i="10"/>
  <c r="AJ90" i="10"/>
  <c r="AF91" i="10" a="1"/>
  <c r="AF91" i="10"/>
  <c r="AC91" i="10" a="1"/>
  <c r="AC91" i="10"/>
  <c r="AG91" i="10" a="1"/>
  <c r="AG91" i="10"/>
  <c r="AE91" i="10" a="1"/>
  <c r="AE91" i="10"/>
  <c r="AI91" i="10"/>
  <c r="AJ91" i="10"/>
  <c r="AF92" i="10" a="1"/>
  <c r="AF92" i="10"/>
  <c r="AC92" i="10" a="1"/>
  <c r="AC92" i="10"/>
  <c r="AG92" i="10" a="1"/>
  <c r="AG92" i="10"/>
  <c r="AE92" i="10" a="1"/>
  <c r="AE92" i="10"/>
  <c r="AI92" i="10"/>
  <c r="AJ92" i="10"/>
  <c r="AF93" i="10" a="1"/>
  <c r="AF93" i="10"/>
  <c r="AC93" i="10" a="1"/>
  <c r="AC93" i="10"/>
  <c r="AG93" i="10" a="1"/>
  <c r="AG93" i="10"/>
  <c r="AE93" i="10" a="1"/>
  <c r="AE93" i="10"/>
  <c r="AI93" i="10"/>
  <c r="AJ93" i="10"/>
  <c r="AF94" i="10" a="1"/>
  <c r="AF94" i="10"/>
  <c r="AC94" i="10" a="1"/>
  <c r="AC94" i="10"/>
  <c r="AG94" i="10" a="1"/>
  <c r="AG94" i="10"/>
  <c r="AE94" i="10" a="1"/>
  <c r="AE94" i="10"/>
  <c r="AI94" i="10"/>
  <c r="AJ94" i="10"/>
  <c r="AF95" i="10" a="1"/>
  <c r="AF95" i="10"/>
  <c r="AC95" i="10" a="1"/>
  <c r="AC95" i="10"/>
  <c r="AG95" i="10" a="1"/>
  <c r="AG95" i="10"/>
  <c r="AE95" i="10" a="1"/>
  <c r="AE95" i="10"/>
  <c r="AI95" i="10"/>
  <c r="AJ95" i="10"/>
  <c r="AF96" i="10" a="1"/>
  <c r="AF96" i="10"/>
  <c r="AC96" i="10" a="1"/>
  <c r="AC96" i="10"/>
  <c r="AG96" i="10" a="1"/>
  <c r="AG96" i="10"/>
  <c r="AE96" i="10" a="1"/>
  <c r="AE96" i="10"/>
  <c r="AI96" i="10"/>
  <c r="AJ96" i="10"/>
  <c r="AF97" i="10" a="1"/>
  <c r="AF97" i="10"/>
  <c r="AC97" i="10" a="1"/>
  <c r="AC97" i="10"/>
  <c r="AG97" i="10" a="1"/>
  <c r="AG97" i="10"/>
  <c r="AE97" i="10" a="1"/>
  <c r="AE97" i="10"/>
  <c r="AI97" i="10"/>
  <c r="AJ97" i="10"/>
  <c r="AF98" i="10" a="1"/>
  <c r="AF98" i="10"/>
  <c r="AC98" i="10" a="1"/>
  <c r="AC98" i="10"/>
  <c r="AG98" i="10" a="1"/>
  <c r="AG98" i="10"/>
  <c r="AE98" i="10" a="1"/>
  <c r="AE98" i="10"/>
  <c r="AI98" i="10"/>
  <c r="AJ98" i="10"/>
  <c r="AF99" i="10" a="1"/>
  <c r="AF99" i="10"/>
  <c r="AC99" i="10" a="1"/>
  <c r="AC99" i="10"/>
  <c r="AG99" i="10" a="1"/>
  <c r="AG99" i="10"/>
  <c r="AE99" i="10" a="1"/>
  <c r="AE99" i="10"/>
  <c r="AI99" i="10"/>
  <c r="AJ99" i="10"/>
  <c r="AF100" i="10" a="1"/>
  <c r="AF100" i="10"/>
  <c r="AC100" i="10" a="1"/>
  <c r="AC100" i="10"/>
  <c r="AG100" i="10" a="1"/>
  <c r="AG100" i="10"/>
  <c r="AE100" i="10" a="1"/>
  <c r="AE100" i="10"/>
  <c r="AI100" i="10"/>
  <c r="AJ100" i="10"/>
  <c r="AF101" i="10" a="1"/>
  <c r="AF101" i="10"/>
  <c r="AC101" i="10" a="1"/>
  <c r="AC101" i="10"/>
  <c r="AG101" i="10" a="1"/>
  <c r="AG101" i="10"/>
  <c r="AE101" i="10" a="1"/>
  <c r="AE101" i="10"/>
  <c r="AI101" i="10"/>
  <c r="AJ101" i="10"/>
  <c r="AF102" i="10" a="1"/>
  <c r="AF102" i="10"/>
  <c r="AC102" i="10" a="1"/>
  <c r="AC102" i="10"/>
  <c r="AG102" i="10" a="1"/>
  <c r="AG102" i="10"/>
  <c r="AE102" i="10" a="1"/>
  <c r="AE102" i="10"/>
  <c r="AI102" i="10"/>
  <c r="AJ102" i="10"/>
  <c r="AF103" i="10" a="1"/>
  <c r="AF103" i="10"/>
  <c r="AC103" i="10" a="1"/>
  <c r="AC103" i="10"/>
  <c r="AG103" i="10" a="1"/>
  <c r="AG103" i="10"/>
  <c r="AE103" i="10" a="1"/>
  <c r="AE103" i="10"/>
  <c r="AI103" i="10"/>
  <c r="AJ103" i="10"/>
  <c r="AF104" i="10" a="1"/>
  <c r="AF104" i="10"/>
  <c r="AC104" i="10" a="1"/>
  <c r="AC104" i="10"/>
  <c r="AG104" i="10" a="1"/>
  <c r="AG104" i="10"/>
  <c r="AE104" i="10" a="1"/>
  <c r="AE104" i="10"/>
  <c r="AI104" i="10"/>
  <c r="AJ104" i="10"/>
  <c r="AF105" i="10" a="1"/>
  <c r="AF105" i="10"/>
  <c r="AC105" i="10" a="1"/>
  <c r="AC105" i="10"/>
  <c r="AG105" i="10" a="1"/>
  <c r="AG105" i="10"/>
  <c r="AE105" i="10" a="1"/>
  <c r="AE105" i="10"/>
  <c r="AI105" i="10"/>
  <c r="AJ105" i="10"/>
  <c r="AF106" i="10" a="1"/>
  <c r="AF106" i="10"/>
  <c r="AC106" i="10" a="1"/>
  <c r="AC106" i="10"/>
  <c r="AG106" i="10" a="1"/>
  <c r="AG106" i="10"/>
  <c r="AE106" i="10" a="1"/>
  <c r="AE106" i="10"/>
  <c r="AI106" i="10"/>
  <c r="AJ106" i="10"/>
  <c r="AF107" i="10" a="1"/>
  <c r="AF107" i="10"/>
  <c r="AC107" i="10" a="1"/>
  <c r="AC107" i="10"/>
  <c r="AG107" i="10" a="1"/>
  <c r="AG107" i="10"/>
  <c r="AE107" i="10" a="1"/>
  <c r="AE107" i="10"/>
  <c r="AI107" i="10"/>
  <c r="AJ107" i="10"/>
  <c r="AF108" i="10" a="1"/>
  <c r="AF108" i="10"/>
  <c r="AC108" i="10" a="1"/>
  <c r="AC108" i="10"/>
  <c r="AG108" i="10" a="1"/>
  <c r="AG108" i="10"/>
  <c r="AE108" i="10" a="1"/>
  <c r="AE108" i="10"/>
  <c r="AI108" i="10"/>
  <c r="AJ108" i="10"/>
  <c r="AF109" i="10" a="1"/>
  <c r="AF109" i="10"/>
  <c r="AC109" i="10" a="1"/>
  <c r="AC109" i="10"/>
  <c r="AG109" i="10" a="1"/>
  <c r="AG109" i="10"/>
  <c r="AE109" i="10" a="1"/>
  <c r="AE109" i="10"/>
  <c r="AI109" i="10"/>
  <c r="AJ109" i="10"/>
  <c r="AF110" i="10" a="1"/>
  <c r="AF110" i="10"/>
  <c r="AC110" i="10" a="1"/>
  <c r="AC110" i="10"/>
  <c r="AG110" i="10" a="1"/>
  <c r="AG110" i="10"/>
  <c r="AE110" i="10" a="1"/>
  <c r="AE110" i="10"/>
  <c r="AI110" i="10"/>
  <c r="AJ110" i="10"/>
  <c r="AF111" i="10" a="1"/>
  <c r="AF111" i="10"/>
  <c r="AC111" i="10" a="1"/>
  <c r="AC111" i="10"/>
  <c r="AG111" i="10" a="1"/>
  <c r="AG111" i="10"/>
  <c r="AE111" i="10" a="1"/>
  <c r="AE111" i="10"/>
  <c r="AI111" i="10"/>
  <c r="AJ111" i="10"/>
  <c r="AF112" i="10" a="1"/>
  <c r="AF112" i="10"/>
  <c r="AC112" i="10" a="1"/>
  <c r="AC112" i="10"/>
  <c r="AG112" i="10" a="1"/>
  <c r="AG112" i="10"/>
  <c r="AE112" i="10" a="1"/>
  <c r="AE112" i="10"/>
  <c r="AI112" i="10"/>
  <c r="AJ112" i="10"/>
  <c r="AF113" i="10" a="1"/>
  <c r="AF113" i="10"/>
  <c r="AC113" i="10" a="1"/>
  <c r="AC113" i="10"/>
  <c r="AG113" i="10" a="1"/>
  <c r="AG113" i="10"/>
  <c r="AE113" i="10" a="1"/>
  <c r="AE113" i="10"/>
  <c r="AI113" i="10"/>
  <c r="AJ113" i="10"/>
  <c r="AF114" i="10" a="1"/>
  <c r="AF114" i="10"/>
  <c r="AC114" i="10" a="1"/>
  <c r="AC114" i="10"/>
  <c r="AG114" i="10" a="1"/>
  <c r="AG114" i="10"/>
  <c r="AE114" i="10" a="1"/>
  <c r="AE114" i="10"/>
  <c r="AI114" i="10"/>
  <c r="AJ114" i="10"/>
  <c r="AF115" i="10" a="1"/>
  <c r="AF115" i="10"/>
  <c r="AC115" i="10" a="1"/>
  <c r="AC115" i="10"/>
  <c r="AG115" i="10" a="1"/>
  <c r="AG115" i="10"/>
  <c r="AE115" i="10" a="1"/>
  <c r="AE115" i="10"/>
  <c r="AI115" i="10"/>
  <c r="AJ115" i="10"/>
  <c r="AF116" i="10" a="1"/>
  <c r="AF116" i="10"/>
  <c r="AC116" i="10" a="1"/>
  <c r="AC116" i="10"/>
  <c r="AG116" i="10" a="1"/>
  <c r="AG116" i="10"/>
  <c r="AE116" i="10" a="1"/>
  <c r="AE116" i="10"/>
  <c r="AI116" i="10"/>
  <c r="AJ116" i="10"/>
  <c r="AF117" i="10" a="1"/>
  <c r="AF117" i="10"/>
  <c r="AC117" i="10" a="1"/>
  <c r="AC117" i="10"/>
  <c r="AG117" i="10" a="1"/>
  <c r="AG117" i="10"/>
  <c r="AE117" i="10" a="1"/>
  <c r="AE117" i="10"/>
  <c r="AI117" i="10"/>
  <c r="AJ117" i="10"/>
  <c r="AF118" i="10" a="1"/>
  <c r="AF118" i="10"/>
  <c r="AC118" i="10" a="1"/>
  <c r="AC118" i="10"/>
  <c r="AG118" i="10" a="1"/>
  <c r="AG118" i="10"/>
  <c r="AE118" i="10" a="1"/>
  <c r="AE118" i="10"/>
  <c r="AI118" i="10"/>
  <c r="AJ118" i="10"/>
  <c r="AF119" i="10" a="1"/>
  <c r="AF119" i="10"/>
  <c r="AC119" i="10" a="1"/>
  <c r="AC119" i="10"/>
  <c r="AG119" i="10" a="1"/>
  <c r="AG119" i="10"/>
  <c r="AE119" i="10" a="1"/>
  <c r="AE119" i="10"/>
  <c r="AI119" i="10"/>
  <c r="AJ119" i="10"/>
  <c r="AF120" i="10" a="1"/>
  <c r="AF120" i="10"/>
  <c r="AC120" i="10" a="1"/>
  <c r="AC120" i="10"/>
  <c r="AG120" i="10" a="1"/>
  <c r="AG120" i="10"/>
  <c r="AE120" i="10" a="1"/>
  <c r="AE120" i="10"/>
  <c r="AI120" i="10"/>
  <c r="AJ120" i="10"/>
  <c r="AF121" i="10" a="1"/>
  <c r="AF121" i="10"/>
  <c r="AC121" i="10" a="1"/>
  <c r="AC121" i="10"/>
  <c r="AG121" i="10" a="1"/>
  <c r="AG121" i="10"/>
  <c r="AE121" i="10" a="1"/>
  <c r="AE121" i="10"/>
  <c r="AI121" i="10"/>
  <c r="AJ121" i="10"/>
  <c r="AF122" i="10" a="1"/>
  <c r="AF122" i="10"/>
  <c r="AC122" i="10" a="1"/>
  <c r="AC122" i="10"/>
  <c r="AG122" i="10" a="1"/>
  <c r="AG122" i="10"/>
  <c r="AE122" i="10" a="1"/>
  <c r="AE122" i="10"/>
  <c r="AI122" i="10"/>
  <c r="AJ122" i="10"/>
  <c r="AF123" i="10" a="1"/>
  <c r="AF123" i="10"/>
  <c r="AC123" i="10" a="1"/>
  <c r="AC123" i="10"/>
  <c r="AG123" i="10" a="1"/>
  <c r="AG123" i="10"/>
  <c r="AE123" i="10" a="1"/>
  <c r="AE123" i="10"/>
  <c r="AI123" i="10"/>
  <c r="AJ123" i="10"/>
  <c r="AF124" i="10" a="1"/>
  <c r="AF124" i="10"/>
  <c r="AC124" i="10" a="1"/>
  <c r="AC124" i="10"/>
  <c r="AG124" i="10" a="1"/>
  <c r="AG124" i="10"/>
  <c r="AE124" i="10" a="1"/>
  <c r="AE124" i="10"/>
  <c r="AI124" i="10"/>
  <c r="AJ124" i="10"/>
  <c r="AF125" i="10" a="1"/>
  <c r="AF125" i="10"/>
  <c r="AC125" i="10" a="1"/>
  <c r="AC125" i="10"/>
  <c r="AG125" i="10" a="1"/>
  <c r="AG125" i="10"/>
  <c r="AE125" i="10" a="1"/>
  <c r="AE125" i="10"/>
  <c r="AI125" i="10"/>
  <c r="AJ125" i="10"/>
  <c r="AF126" i="10" a="1"/>
  <c r="AF126" i="10"/>
  <c r="AC126" i="10" a="1"/>
  <c r="AC126" i="10"/>
  <c r="AG126" i="10" a="1"/>
  <c r="AG126" i="10"/>
  <c r="AE126" i="10" a="1"/>
  <c r="AE126" i="10"/>
  <c r="AI126" i="10"/>
  <c r="AJ126" i="10"/>
  <c r="AF127" i="10" a="1"/>
  <c r="AF127" i="10"/>
  <c r="AC127" i="10" a="1"/>
  <c r="AC127" i="10"/>
  <c r="AG127" i="10" a="1"/>
  <c r="AG127" i="10"/>
  <c r="AE127" i="10" a="1"/>
  <c r="AE127" i="10"/>
  <c r="AI127" i="10"/>
  <c r="AJ127" i="10"/>
  <c r="AF128" i="10" a="1"/>
  <c r="AF128" i="10"/>
  <c r="AC128" i="10" a="1"/>
  <c r="AC128" i="10"/>
  <c r="AG128" i="10" a="1"/>
  <c r="AG128" i="10"/>
  <c r="AE128" i="10" a="1"/>
  <c r="AE128" i="10"/>
  <c r="AI128" i="10"/>
  <c r="AJ128" i="10"/>
  <c r="AF129" i="10" a="1"/>
  <c r="AF129" i="10"/>
  <c r="AC129" i="10" a="1"/>
  <c r="AC129" i="10"/>
  <c r="AG129" i="10" a="1"/>
  <c r="AG129" i="10"/>
  <c r="AE129" i="10" a="1"/>
  <c r="AE129" i="10"/>
  <c r="AI129" i="10"/>
  <c r="AJ129" i="10"/>
  <c r="AF130" i="10" a="1"/>
  <c r="AF130" i="10"/>
  <c r="AC130" i="10" a="1"/>
  <c r="AC130" i="10"/>
  <c r="AG130" i="10" a="1"/>
  <c r="AG130" i="10"/>
  <c r="AE130" i="10" a="1"/>
  <c r="AE130" i="10"/>
  <c r="AI130" i="10"/>
  <c r="AJ130" i="10"/>
  <c r="AF131" i="10" a="1"/>
  <c r="AF131" i="10"/>
  <c r="AC131" i="10" a="1"/>
  <c r="AC131" i="10"/>
  <c r="AG131" i="10" a="1"/>
  <c r="AG131" i="10"/>
  <c r="AE131" i="10" a="1"/>
  <c r="AE131" i="10"/>
  <c r="AI131" i="10"/>
  <c r="AJ131" i="10"/>
  <c r="AF132" i="10" a="1"/>
  <c r="AF132" i="10"/>
  <c r="AC132" i="10" a="1"/>
  <c r="AC132" i="10"/>
  <c r="AG132" i="10" a="1"/>
  <c r="AG132" i="10"/>
  <c r="AE132" i="10" a="1"/>
  <c r="AE132" i="10"/>
  <c r="AI132" i="10"/>
  <c r="AJ132" i="10"/>
  <c r="AF133" i="10" a="1"/>
  <c r="AF133" i="10"/>
  <c r="AC133" i="10" a="1"/>
  <c r="AC133" i="10"/>
  <c r="AG133" i="10" a="1"/>
  <c r="AG133" i="10"/>
  <c r="AE133" i="10" a="1"/>
  <c r="AE133" i="10"/>
  <c r="AI133" i="10"/>
  <c r="AJ133" i="10"/>
  <c r="AF134" i="10" a="1"/>
  <c r="AF134" i="10"/>
  <c r="AC134" i="10" a="1"/>
  <c r="AC134" i="10"/>
  <c r="AG134" i="10" a="1"/>
  <c r="AG134" i="10"/>
  <c r="AE134" i="10" a="1"/>
  <c r="AE134" i="10"/>
  <c r="AI134" i="10"/>
  <c r="AJ134" i="10"/>
  <c r="AF135" i="10" a="1"/>
  <c r="AF135" i="10"/>
  <c r="AC135" i="10" a="1"/>
  <c r="AC135" i="10"/>
  <c r="AG135" i="10" a="1"/>
  <c r="AG135" i="10"/>
  <c r="AE135" i="10" a="1"/>
  <c r="AE135" i="10"/>
  <c r="AI135" i="10"/>
  <c r="AJ135" i="10"/>
  <c r="AF136" i="10" a="1"/>
  <c r="AF136" i="10"/>
  <c r="AC136" i="10" a="1"/>
  <c r="AC136" i="10"/>
  <c r="AG136" i="10" a="1"/>
  <c r="AG136" i="10"/>
  <c r="AE136" i="10" a="1"/>
  <c r="AE136" i="10"/>
  <c r="AI136" i="10"/>
  <c r="AJ136" i="10"/>
  <c r="AF137" i="10" a="1"/>
  <c r="AF137" i="10"/>
  <c r="AC137" i="10" a="1"/>
  <c r="AC137" i="10"/>
  <c r="AG137" i="10" a="1"/>
  <c r="AG137" i="10"/>
  <c r="AE137" i="10" a="1"/>
  <c r="AE137" i="10"/>
  <c r="AI137" i="10"/>
  <c r="AJ137" i="10"/>
  <c r="AF138" i="10" a="1"/>
  <c r="AF138" i="10"/>
  <c r="AC138" i="10" a="1"/>
  <c r="AC138" i="10"/>
  <c r="AG138" i="10" a="1"/>
  <c r="AG138" i="10"/>
  <c r="AE138" i="10" a="1"/>
  <c r="AE138" i="10"/>
  <c r="AI138" i="10"/>
  <c r="AJ138" i="10"/>
  <c r="AF139" i="10" a="1"/>
  <c r="AF139" i="10"/>
  <c r="AC139" i="10" a="1"/>
  <c r="AC139" i="10"/>
  <c r="AG139" i="10" a="1"/>
  <c r="AG139" i="10"/>
  <c r="AE139" i="10" a="1"/>
  <c r="AE139" i="10"/>
  <c r="AI139" i="10"/>
  <c r="AJ139" i="10"/>
  <c r="AF140" i="10" a="1"/>
  <c r="AF140" i="10"/>
  <c r="AC140" i="10" a="1"/>
  <c r="AC140" i="10"/>
  <c r="AG140" i="10" a="1"/>
  <c r="AG140" i="10"/>
  <c r="AE140" i="10" a="1"/>
  <c r="AE140" i="10"/>
  <c r="AI140" i="10"/>
  <c r="AJ140" i="10"/>
  <c r="AF141" i="10" a="1"/>
  <c r="AF141" i="10"/>
  <c r="AC141" i="10" a="1"/>
  <c r="AC141" i="10"/>
  <c r="AG141" i="10" a="1"/>
  <c r="AG141" i="10"/>
  <c r="AE141" i="10" a="1"/>
  <c r="AE141" i="10"/>
  <c r="AI141" i="10"/>
  <c r="AJ141" i="10"/>
  <c r="AF142" i="10" a="1"/>
  <c r="AF142" i="10"/>
  <c r="AC142" i="10" a="1"/>
  <c r="AC142" i="10"/>
  <c r="AG142" i="10" a="1"/>
  <c r="AG142" i="10"/>
  <c r="AE142" i="10" a="1"/>
  <c r="AE142" i="10"/>
  <c r="AI142" i="10"/>
  <c r="AJ142" i="10"/>
  <c r="AF143" i="10" a="1"/>
  <c r="AF143" i="10"/>
  <c r="AC143" i="10" a="1"/>
  <c r="AC143" i="10"/>
  <c r="AG143" i="10" a="1"/>
  <c r="AG143" i="10"/>
  <c r="AE143" i="10" a="1"/>
  <c r="AE143" i="10"/>
  <c r="AI143" i="10"/>
  <c r="AJ143" i="10"/>
  <c r="AF144" i="10" a="1"/>
  <c r="AF144" i="10"/>
  <c r="AC144" i="10" a="1"/>
  <c r="AC144" i="10"/>
  <c r="AG144" i="10" a="1"/>
  <c r="AG144" i="10"/>
  <c r="AE144" i="10" a="1"/>
  <c r="AE144" i="10"/>
  <c r="AI144" i="10"/>
  <c r="AJ144" i="10"/>
  <c r="AF145" i="10" a="1"/>
  <c r="AF145" i="10"/>
  <c r="AC145" i="10" a="1"/>
  <c r="AC145" i="10"/>
  <c r="AG145" i="10" a="1"/>
  <c r="AG145" i="10"/>
  <c r="AE145" i="10" a="1"/>
  <c r="AE145" i="10"/>
  <c r="AI145" i="10"/>
  <c r="AJ145" i="10"/>
  <c r="AF146" i="10" a="1"/>
  <c r="AF146" i="10"/>
  <c r="AC146" i="10" a="1"/>
  <c r="AC146" i="10"/>
  <c r="AG146" i="10" a="1"/>
  <c r="AG146" i="10"/>
  <c r="AE146" i="10" a="1"/>
  <c r="AE146" i="10"/>
  <c r="AI146" i="10"/>
  <c r="AJ146" i="10"/>
  <c r="AF147" i="10" a="1"/>
  <c r="AF147" i="10"/>
  <c r="AC147" i="10" a="1"/>
  <c r="AC147" i="10"/>
  <c r="AG147" i="10" a="1"/>
  <c r="AG147" i="10"/>
  <c r="AE147" i="10" a="1"/>
  <c r="AE147" i="10"/>
  <c r="AI147" i="10"/>
  <c r="AJ147" i="10"/>
  <c r="AF148" i="10" a="1"/>
  <c r="AF148" i="10"/>
  <c r="AC148" i="10" a="1"/>
  <c r="AC148" i="10"/>
  <c r="AG148" i="10" a="1"/>
  <c r="AG148" i="10"/>
  <c r="AE148" i="10" a="1"/>
  <c r="AE148" i="10"/>
  <c r="AI148" i="10"/>
  <c r="AJ148" i="10"/>
  <c r="AF149" i="10" a="1"/>
  <c r="AF149" i="10"/>
  <c r="AC149" i="10" a="1"/>
  <c r="AC149" i="10"/>
  <c r="AG149" i="10" a="1"/>
  <c r="AG149" i="10"/>
  <c r="AE149" i="10" a="1"/>
  <c r="AE149" i="10"/>
  <c r="AI149" i="10"/>
  <c r="AJ149" i="10"/>
  <c r="AF150" i="10" a="1"/>
  <c r="AF150" i="10"/>
  <c r="AC150" i="10" a="1"/>
  <c r="AC150" i="10"/>
  <c r="AG150" i="10" a="1"/>
  <c r="AG150" i="10"/>
  <c r="AE150" i="10" a="1"/>
  <c r="AE150" i="10"/>
  <c r="AI150" i="10"/>
  <c r="AJ150" i="10"/>
  <c r="AF151" i="10" a="1"/>
  <c r="AF151" i="10"/>
  <c r="AC151" i="10" a="1"/>
  <c r="AC151" i="10"/>
  <c r="AG151" i="10" a="1"/>
  <c r="AG151" i="10"/>
  <c r="AE151" i="10" a="1"/>
  <c r="AE151" i="10"/>
  <c r="AI151" i="10"/>
  <c r="AJ151" i="10"/>
  <c r="AF152" i="10" a="1"/>
  <c r="AF152" i="10"/>
  <c r="AC152" i="10" a="1"/>
  <c r="AC152" i="10"/>
  <c r="AG152" i="10" a="1"/>
  <c r="AG152" i="10"/>
  <c r="AE152" i="10" a="1"/>
  <c r="AE152" i="10"/>
  <c r="AI152" i="10"/>
  <c r="AJ152" i="10"/>
  <c r="AF153" i="10" a="1"/>
  <c r="AF153" i="10"/>
  <c r="AC153" i="10" a="1"/>
  <c r="AC153" i="10"/>
  <c r="AG153" i="10" a="1"/>
  <c r="AG153" i="10"/>
  <c r="AE153" i="10" a="1"/>
  <c r="AE153" i="10"/>
  <c r="AI153" i="10"/>
  <c r="AJ153" i="10"/>
  <c r="AF154" i="10" a="1"/>
  <c r="AF154" i="10"/>
  <c r="AC154" i="10" a="1"/>
  <c r="AC154" i="10"/>
  <c r="AG154" i="10" a="1"/>
  <c r="AG154" i="10"/>
  <c r="AE154" i="10" a="1"/>
  <c r="AE154" i="10"/>
  <c r="AI154" i="10"/>
  <c r="AJ154" i="10"/>
  <c r="AF155" i="10" a="1"/>
  <c r="AF155" i="10"/>
  <c r="AC155" i="10" a="1"/>
  <c r="AC155" i="10"/>
  <c r="AG155" i="10" a="1"/>
  <c r="AG155" i="10"/>
  <c r="AE155" i="10" a="1"/>
  <c r="AE155" i="10"/>
  <c r="AI155" i="10"/>
  <c r="AJ155" i="10"/>
  <c r="AF156" i="10" a="1"/>
  <c r="AF156" i="10"/>
  <c r="AC156" i="10" a="1"/>
  <c r="AC156" i="10"/>
  <c r="AG156" i="10" a="1"/>
  <c r="AG156" i="10"/>
  <c r="AE156" i="10" a="1"/>
  <c r="AE156" i="10"/>
  <c r="AI156" i="10"/>
  <c r="AJ156" i="10"/>
  <c r="AF157" i="10" a="1"/>
  <c r="AF157" i="10"/>
  <c r="AC157" i="10" a="1"/>
  <c r="AC157" i="10"/>
  <c r="AG157" i="10" a="1"/>
  <c r="AG157" i="10"/>
  <c r="AE157" i="10" a="1"/>
  <c r="AE157" i="10"/>
  <c r="AI157" i="10"/>
  <c r="AJ157" i="10"/>
  <c r="AF158" i="10" a="1"/>
  <c r="AF158" i="10"/>
  <c r="AC158" i="10" a="1"/>
  <c r="AC158" i="10"/>
  <c r="AG158" i="10" a="1"/>
  <c r="AG158" i="10"/>
  <c r="AE158" i="10" a="1"/>
  <c r="AE158" i="10"/>
  <c r="AI158" i="10"/>
  <c r="AJ158" i="10"/>
  <c r="AC248" i="10" a="1"/>
  <c r="AC248" i="10"/>
  <c r="AF248" i="10" a="1"/>
  <c r="AF248" i="10"/>
  <c r="AG248" i="10" a="1"/>
  <c r="AG248" i="10"/>
  <c r="AE248" i="10" a="1"/>
  <c r="AE248" i="10"/>
  <c r="AI248" i="10"/>
  <c r="AJ248" i="10"/>
  <c r="AD248" i="10" a="1"/>
  <c r="AD248" i="10"/>
  <c r="AC247" i="10" a="1"/>
  <c r="AC247" i="10"/>
  <c r="AF247" i="10" a="1"/>
  <c r="AF247" i="10"/>
  <c r="AG247" i="10" a="1"/>
  <c r="AG247" i="10"/>
  <c r="AE247" i="10" a="1"/>
  <c r="AE247" i="10"/>
  <c r="AI247" i="10"/>
  <c r="AJ247" i="10"/>
  <c r="AD247" i="10" a="1"/>
  <c r="AD247" i="10"/>
  <c r="AC246" i="10" a="1"/>
  <c r="AC246" i="10"/>
  <c r="AF246" i="10" a="1"/>
  <c r="AF246" i="10"/>
  <c r="AG246" i="10" a="1"/>
  <c r="AG246" i="10"/>
  <c r="AE246" i="10" a="1"/>
  <c r="AE246" i="10"/>
  <c r="AI246" i="10"/>
  <c r="AJ246" i="10"/>
  <c r="AD246" i="10" a="1"/>
  <c r="AD246" i="10"/>
  <c r="AC245" i="10" a="1"/>
  <c r="AC245" i="10"/>
  <c r="AF245" i="10" a="1"/>
  <c r="AF245" i="10"/>
  <c r="AG245" i="10" a="1"/>
  <c r="AG245" i="10"/>
  <c r="AE245" i="10" a="1"/>
  <c r="AE245" i="10"/>
  <c r="AI245" i="10"/>
  <c r="AJ245" i="10"/>
  <c r="AD245" i="10" a="1"/>
  <c r="AD245" i="10"/>
  <c r="AC244" i="10" a="1"/>
  <c r="AC244" i="10"/>
  <c r="AF244" i="10" a="1"/>
  <c r="AF244" i="10"/>
  <c r="AG244" i="10" a="1"/>
  <c r="AG244" i="10"/>
  <c r="AE244" i="10" a="1"/>
  <c r="AE244" i="10"/>
  <c r="AI244" i="10"/>
  <c r="AJ244" i="10"/>
  <c r="AD244" i="10" a="1"/>
  <c r="AD244" i="10"/>
  <c r="AC243" i="10" a="1"/>
  <c r="AC243" i="10"/>
  <c r="AF243" i="10" a="1"/>
  <c r="AF243" i="10"/>
  <c r="AG243" i="10" a="1"/>
  <c r="AG243" i="10"/>
  <c r="AE243" i="10" a="1"/>
  <c r="AE243" i="10"/>
  <c r="AI243" i="10"/>
  <c r="AJ243" i="10"/>
  <c r="AD243" i="10" a="1"/>
  <c r="AD243" i="10"/>
  <c r="AC242" i="10" a="1"/>
  <c r="AC242" i="10"/>
  <c r="AF242" i="10" a="1"/>
  <c r="AF242" i="10"/>
  <c r="AG242" i="10" a="1"/>
  <c r="AG242" i="10"/>
  <c r="AE242" i="10" a="1"/>
  <c r="AE242" i="10"/>
  <c r="AI242" i="10"/>
  <c r="AJ242" i="10"/>
  <c r="AD242" i="10" a="1"/>
  <c r="AD242" i="10"/>
  <c r="AC241" i="10" a="1"/>
  <c r="AC241" i="10"/>
  <c r="AF241" i="10" a="1"/>
  <c r="AF241" i="10"/>
  <c r="AG241" i="10" a="1"/>
  <c r="AG241" i="10"/>
  <c r="AE241" i="10" a="1"/>
  <c r="AE241" i="10"/>
  <c r="AI241" i="10"/>
  <c r="AJ241" i="10"/>
  <c r="AD241" i="10" a="1"/>
  <c r="AD241" i="10"/>
  <c r="AC240" i="10" a="1"/>
  <c r="AC240" i="10"/>
  <c r="AF240" i="10" a="1"/>
  <c r="AF240" i="10"/>
  <c r="AG240" i="10" a="1"/>
  <c r="AG240" i="10"/>
  <c r="AE240" i="10" a="1"/>
  <c r="AE240" i="10"/>
  <c r="AI240" i="10"/>
  <c r="AJ240" i="10"/>
  <c r="AD240" i="10" a="1"/>
  <c r="AD240" i="10"/>
  <c r="AC239" i="10" a="1"/>
  <c r="AC239" i="10"/>
  <c r="AF239" i="10" a="1"/>
  <c r="AF239" i="10"/>
  <c r="AG239" i="10" a="1"/>
  <c r="AG239" i="10"/>
  <c r="AE239" i="10" a="1"/>
  <c r="AE239" i="10"/>
  <c r="AI239" i="10"/>
  <c r="AJ239" i="10"/>
  <c r="AD239" i="10" a="1"/>
  <c r="AD239" i="10"/>
  <c r="AC238" i="10" a="1"/>
  <c r="AC238" i="10"/>
  <c r="AF238" i="10" a="1"/>
  <c r="AF238" i="10"/>
  <c r="AG238" i="10" a="1"/>
  <c r="AG238" i="10"/>
  <c r="AE238" i="10" a="1"/>
  <c r="AE238" i="10"/>
  <c r="AI238" i="10"/>
  <c r="AJ238" i="10"/>
  <c r="AD238" i="10" a="1"/>
  <c r="AD238" i="10"/>
  <c r="AC237" i="10" a="1"/>
  <c r="AC237" i="10"/>
  <c r="AF237" i="10" a="1"/>
  <c r="AF237" i="10"/>
  <c r="AG237" i="10" a="1"/>
  <c r="AG237" i="10"/>
  <c r="AE237" i="10" a="1"/>
  <c r="AE237" i="10"/>
  <c r="AI237" i="10"/>
  <c r="AJ237" i="10"/>
  <c r="AD237" i="10" a="1"/>
  <c r="AD237" i="10"/>
  <c r="AC236" i="10" a="1"/>
  <c r="AC236" i="10"/>
  <c r="AF236" i="10" a="1"/>
  <c r="AF236" i="10"/>
  <c r="AG236" i="10" a="1"/>
  <c r="AG236" i="10"/>
  <c r="AE236" i="10" a="1"/>
  <c r="AE236" i="10"/>
  <c r="AI236" i="10"/>
  <c r="AJ236" i="10"/>
  <c r="AD236" i="10" a="1"/>
  <c r="AD236" i="10"/>
  <c r="AC235" i="10" a="1"/>
  <c r="AC235" i="10"/>
  <c r="AF235" i="10" a="1"/>
  <c r="AF235" i="10"/>
  <c r="AG235" i="10" a="1"/>
  <c r="AG235" i="10"/>
  <c r="AE235" i="10" a="1"/>
  <c r="AE235" i="10"/>
  <c r="AI235" i="10"/>
  <c r="AJ235" i="10"/>
  <c r="AD235" i="10" a="1"/>
  <c r="AD235" i="10"/>
  <c r="AC234" i="10" a="1"/>
  <c r="AC234" i="10"/>
  <c r="AF234" i="10" a="1"/>
  <c r="AF234" i="10"/>
  <c r="AG234" i="10" a="1"/>
  <c r="AG234" i="10"/>
  <c r="AE234" i="10" a="1"/>
  <c r="AE234" i="10"/>
  <c r="AI234" i="10"/>
  <c r="AJ234" i="10"/>
  <c r="AD234" i="10" a="1"/>
  <c r="AD234" i="10"/>
  <c r="AC233" i="10" a="1"/>
  <c r="AC233" i="10"/>
  <c r="AF233" i="10" a="1"/>
  <c r="AF233" i="10"/>
  <c r="AG233" i="10" a="1"/>
  <c r="AG233" i="10"/>
  <c r="AE233" i="10" a="1"/>
  <c r="AE233" i="10"/>
  <c r="AI233" i="10"/>
  <c r="AJ233" i="10"/>
  <c r="AD233" i="10" a="1"/>
  <c r="AD233" i="10"/>
  <c r="AC232" i="10" a="1"/>
  <c r="AC232" i="10"/>
  <c r="AF232" i="10" a="1"/>
  <c r="AF232" i="10"/>
  <c r="AG232" i="10" a="1"/>
  <c r="AG232" i="10"/>
  <c r="AE232" i="10" a="1"/>
  <c r="AE232" i="10"/>
  <c r="AI232" i="10"/>
  <c r="AJ232" i="10"/>
  <c r="AD232" i="10" a="1"/>
  <c r="AD232" i="10"/>
  <c r="AC231" i="10" a="1"/>
  <c r="AC231" i="10"/>
  <c r="AF231" i="10" a="1"/>
  <c r="AF231" i="10"/>
  <c r="AG231" i="10" a="1"/>
  <c r="AG231" i="10"/>
  <c r="AE231" i="10" a="1"/>
  <c r="AE231" i="10"/>
  <c r="AI231" i="10"/>
  <c r="AJ231" i="10"/>
  <c r="AD231" i="10" a="1"/>
  <c r="AD231" i="10"/>
  <c r="AC230" i="10" a="1"/>
  <c r="AC230" i="10"/>
  <c r="AF230" i="10" a="1"/>
  <c r="AF230" i="10"/>
  <c r="AG230" i="10" a="1"/>
  <c r="AG230" i="10"/>
  <c r="AE230" i="10" a="1"/>
  <c r="AE230" i="10"/>
  <c r="AI230" i="10"/>
  <c r="AJ230" i="10"/>
  <c r="AD230" i="10" a="1"/>
  <c r="AD230" i="10"/>
  <c r="AC229" i="10" a="1"/>
  <c r="AC229" i="10"/>
  <c r="AF229" i="10" a="1"/>
  <c r="AF229" i="10"/>
  <c r="AG229" i="10" a="1"/>
  <c r="AG229" i="10"/>
  <c r="AE229" i="10" a="1"/>
  <c r="AE229" i="10"/>
  <c r="AI229" i="10"/>
  <c r="AJ229" i="10"/>
  <c r="AD229" i="10" a="1"/>
  <c r="AD229" i="10"/>
  <c r="AC228" i="10" a="1"/>
  <c r="AC228" i="10"/>
  <c r="AF228" i="10" a="1"/>
  <c r="AF228" i="10"/>
  <c r="AG228" i="10" a="1"/>
  <c r="AG228" i="10"/>
  <c r="AE228" i="10" a="1"/>
  <c r="AE228" i="10"/>
  <c r="AI228" i="10"/>
  <c r="AJ228" i="10"/>
  <c r="AD228" i="10" a="1"/>
  <c r="AD228" i="10"/>
  <c r="AC227" i="10" a="1"/>
  <c r="AC227" i="10"/>
  <c r="AF227" i="10" a="1"/>
  <c r="AF227" i="10"/>
  <c r="AG227" i="10" a="1"/>
  <c r="AG227" i="10"/>
  <c r="AE227" i="10" a="1"/>
  <c r="AE227" i="10"/>
  <c r="AI227" i="10"/>
  <c r="AJ227" i="10"/>
  <c r="AD227" i="10" a="1"/>
  <c r="AD227" i="10"/>
  <c r="AC226" i="10" a="1"/>
  <c r="AC226" i="10"/>
  <c r="AF226" i="10" a="1"/>
  <c r="AF226" i="10"/>
  <c r="AG226" i="10" a="1"/>
  <c r="AG226" i="10"/>
  <c r="AE226" i="10" a="1"/>
  <c r="AE226" i="10"/>
  <c r="AI226" i="10"/>
  <c r="AJ226" i="10"/>
  <c r="AD226" i="10" a="1"/>
  <c r="AD226" i="10"/>
  <c r="AC225" i="10" a="1"/>
  <c r="AC225" i="10"/>
  <c r="AF225" i="10" a="1"/>
  <c r="AF225" i="10"/>
  <c r="AG225" i="10" a="1"/>
  <c r="AG225" i="10"/>
  <c r="AE225" i="10" a="1"/>
  <c r="AE225" i="10"/>
  <c r="AI225" i="10"/>
  <c r="AJ225" i="10"/>
  <c r="AD225" i="10" a="1"/>
  <c r="AD225" i="10"/>
  <c r="AC224" i="10" a="1"/>
  <c r="AC224" i="10"/>
  <c r="AF224" i="10" a="1"/>
  <c r="AF224" i="10"/>
  <c r="AG224" i="10" a="1"/>
  <c r="AG224" i="10"/>
  <c r="AE224" i="10" a="1"/>
  <c r="AE224" i="10"/>
  <c r="AI224" i="10"/>
  <c r="AJ224" i="10"/>
  <c r="AD224" i="10" a="1"/>
  <c r="AD224" i="10"/>
  <c r="AC223" i="10" a="1"/>
  <c r="AC223" i="10"/>
  <c r="AF223" i="10" a="1"/>
  <c r="AF223" i="10"/>
  <c r="AG223" i="10" a="1"/>
  <c r="AG223" i="10"/>
  <c r="AE223" i="10" a="1"/>
  <c r="AE223" i="10"/>
  <c r="AI223" i="10"/>
  <c r="AJ223" i="10"/>
  <c r="AD223" i="10" a="1"/>
  <c r="AD223" i="10"/>
  <c r="AC222" i="10" a="1"/>
  <c r="AC222" i="10"/>
  <c r="AF222" i="10" a="1"/>
  <c r="AF222" i="10"/>
  <c r="AG222" i="10" a="1"/>
  <c r="AG222" i="10"/>
  <c r="AE222" i="10" a="1"/>
  <c r="AE222" i="10"/>
  <c r="AI222" i="10"/>
  <c r="AJ222" i="10"/>
  <c r="AD222" i="10" a="1"/>
  <c r="AD222" i="10"/>
  <c r="AC221" i="10" a="1"/>
  <c r="AC221" i="10"/>
  <c r="AF221" i="10" a="1"/>
  <c r="AF221" i="10"/>
  <c r="AG221" i="10" a="1"/>
  <c r="AG221" i="10"/>
  <c r="AE221" i="10" a="1"/>
  <c r="AE221" i="10"/>
  <c r="AI221" i="10"/>
  <c r="AJ221" i="10"/>
  <c r="AD221" i="10" a="1"/>
  <c r="AD221" i="10"/>
  <c r="AC220" i="10" a="1"/>
  <c r="AC220" i="10"/>
  <c r="AF220" i="10" a="1"/>
  <c r="AF220" i="10"/>
  <c r="AG220" i="10" a="1"/>
  <c r="AG220" i="10"/>
  <c r="AE220" i="10" a="1"/>
  <c r="AE220" i="10"/>
  <c r="AI220" i="10"/>
  <c r="AJ220" i="10"/>
  <c r="AD220" i="10" a="1"/>
  <c r="AD220" i="10"/>
  <c r="AC219" i="10" a="1"/>
  <c r="AC219" i="10"/>
  <c r="AF219" i="10" a="1"/>
  <c r="AF219" i="10"/>
  <c r="AG219" i="10" a="1"/>
  <c r="AG219" i="10"/>
  <c r="AE219" i="10" a="1"/>
  <c r="AE219" i="10"/>
  <c r="AI219" i="10"/>
  <c r="AJ219" i="10"/>
  <c r="AD219" i="10" a="1"/>
  <c r="AD219" i="10"/>
  <c r="AC218" i="10" a="1"/>
  <c r="AC218" i="10"/>
  <c r="AF218" i="10" a="1"/>
  <c r="AF218" i="10"/>
  <c r="AG218" i="10" a="1"/>
  <c r="AG218" i="10"/>
  <c r="AE218" i="10" a="1"/>
  <c r="AE218" i="10"/>
  <c r="AI218" i="10"/>
  <c r="AJ218" i="10"/>
  <c r="AD218" i="10" a="1"/>
  <c r="AD218" i="10"/>
  <c r="AC217" i="10" a="1"/>
  <c r="AC217" i="10"/>
  <c r="AF217" i="10" a="1"/>
  <c r="AF217" i="10"/>
  <c r="AG217" i="10" a="1"/>
  <c r="AG217" i="10"/>
  <c r="AE217" i="10" a="1"/>
  <c r="AE217" i="10"/>
  <c r="AI217" i="10"/>
  <c r="AJ217" i="10"/>
  <c r="AD217" i="10" a="1"/>
  <c r="AD217" i="10"/>
  <c r="AC216" i="10" a="1"/>
  <c r="AC216" i="10"/>
  <c r="AF216" i="10" a="1"/>
  <c r="AF216" i="10"/>
  <c r="AG216" i="10" a="1"/>
  <c r="AG216" i="10"/>
  <c r="AE216" i="10" a="1"/>
  <c r="AE216" i="10"/>
  <c r="AI216" i="10"/>
  <c r="AJ216" i="10"/>
  <c r="AD216" i="10" a="1"/>
  <c r="AD216" i="10"/>
  <c r="AC215" i="10" a="1"/>
  <c r="AC215" i="10"/>
  <c r="AF215" i="10" a="1"/>
  <c r="AF215" i="10"/>
  <c r="AG215" i="10" a="1"/>
  <c r="AG215" i="10"/>
  <c r="AE215" i="10" a="1"/>
  <c r="AE215" i="10"/>
  <c r="AI215" i="10"/>
  <c r="AJ215" i="10"/>
  <c r="AD215" i="10" a="1"/>
  <c r="AD215" i="10"/>
  <c r="AC214" i="10" a="1"/>
  <c r="AC214" i="10"/>
  <c r="AF214" i="10" a="1"/>
  <c r="AF214" i="10"/>
  <c r="AG214" i="10" a="1"/>
  <c r="AG214" i="10"/>
  <c r="AE214" i="10" a="1"/>
  <c r="AE214" i="10"/>
  <c r="AI214" i="10"/>
  <c r="AJ214" i="10"/>
  <c r="AD214" i="10" a="1"/>
  <c r="AD214" i="10"/>
  <c r="AC213" i="10" a="1"/>
  <c r="AC213" i="10"/>
  <c r="AF213" i="10" a="1"/>
  <c r="AF213" i="10"/>
  <c r="AG213" i="10" a="1"/>
  <c r="AG213" i="10"/>
  <c r="AE213" i="10" a="1"/>
  <c r="AE213" i="10"/>
  <c r="AI213" i="10"/>
  <c r="AJ213" i="10"/>
  <c r="AD213" i="10" a="1"/>
  <c r="AD213" i="10"/>
  <c r="AC212" i="10" a="1"/>
  <c r="AC212" i="10"/>
  <c r="AF212" i="10" a="1"/>
  <c r="AF212" i="10"/>
  <c r="AG212" i="10" a="1"/>
  <c r="AG212" i="10"/>
  <c r="AE212" i="10" a="1"/>
  <c r="AE212" i="10"/>
  <c r="AI212" i="10"/>
  <c r="AJ212" i="10"/>
  <c r="AD212" i="10" a="1"/>
  <c r="AD212" i="10"/>
  <c r="AC211" i="10" a="1"/>
  <c r="AC211" i="10"/>
  <c r="AF211" i="10" a="1"/>
  <c r="AF211" i="10"/>
  <c r="AG211" i="10" a="1"/>
  <c r="AG211" i="10"/>
  <c r="AE211" i="10" a="1"/>
  <c r="AE211" i="10"/>
  <c r="AI211" i="10"/>
  <c r="AJ211" i="10"/>
  <c r="AD211" i="10" a="1"/>
  <c r="AD211" i="10"/>
  <c r="AC210" i="10" a="1"/>
  <c r="AC210" i="10"/>
  <c r="AF210" i="10" a="1"/>
  <c r="AF210" i="10"/>
  <c r="AG210" i="10" a="1"/>
  <c r="AG210" i="10"/>
  <c r="AE210" i="10" a="1"/>
  <c r="AE210" i="10"/>
  <c r="AI210" i="10"/>
  <c r="AJ210" i="10"/>
  <c r="AD210" i="10" a="1"/>
  <c r="AD210" i="10"/>
  <c r="AC209" i="10" a="1"/>
  <c r="AC209" i="10"/>
  <c r="AF209" i="10" a="1"/>
  <c r="AF209" i="10"/>
  <c r="AG209" i="10" a="1"/>
  <c r="AG209" i="10"/>
  <c r="AE209" i="10" a="1"/>
  <c r="AE209" i="10"/>
  <c r="AI209" i="10"/>
  <c r="AJ209" i="10"/>
  <c r="AD209" i="10" a="1"/>
  <c r="AD209" i="10"/>
  <c r="AC208" i="10" a="1"/>
  <c r="AC208" i="10"/>
  <c r="AF208" i="10" a="1"/>
  <c r="AF208" i="10"/>
  <c r="AG208" i="10" a="1"/>
  <c r="AG208" i="10"/>
  <c r="AE208" i="10" a="1"/>
  <c r="AE208" i="10"/>
  <c r="AI208" i="10"/>
  <c r="AJ208" i="10"/>
  <c r="AD208" i="10" a="1"/>
  <c r="AD208" i="10"/>
  <c r="AC207" i="10" a="1"/>
  <c r="AC207" i="10"/>
  <c r="AF207" i="10" a="1"/>
  <c r="AF207" i="10"/>
  <c r="AG207" i="10" a="1"/>
  <c r="AG207" i="10"/>
  <c r="AE207" i="10" a="1"/>
  <c r="AE207" i="10"/>
  <c r="AI207" i="10"/>
  <c r="AJ207" i="10"/>
  <c r="AD207" i="10" a="1"/>
  <c r="AD207" i="10"/>
  <c r="AC206" i="10" a="1"/>
  <c r="AC206" i="10"/>
  <c r="AF206" i="10" a="1"/>
  <c r="AF206" i="10"/>
  <c r="AG206" i="10" a="1"/>
  <c r="AG206" i="10"/>
  <c r="AE206" i="10" a="1"/>
  <c r="AE206" i="10"/>
  <c r="AI206" i="10"/>
  <c r="AJ206" i="10"/>
  <c r="AD206" i="10" a="1"/>
  <c r="AD206" i="10"/>
  <c r="AC205" i="10" a="1"/>
  <c r="AC205" i="10"/>
  <c r="AF205" i="10" a="1"/>
  <c r="AF205" i="10"/>
  <c r="AG205" i="10" a="1"/>
  <c r="AG205" i="10"/>
  <c r="AE205" i="10" a="1"/>
  <c r="AE205" i="10"/>
  <c r="AI205" i="10"/>
  <c r="AJ205" i="10"/>
  <c r="AD205" i="10" a="1"/>
  <c r="AD205" i="10"/>
  <c r="AC204" i="10" a="1"/>
  <c r="AC204" i="10"/>
  <c r="AF204" i="10" a="1"/>
  <c r="AF204" i="10"/>
  <c r="AG204" i="10" a="1"/>
  <c r="AG204" i="10"/>
  <c r="AE204" i="10" a="1"/>
  <c r="AE204" i="10"/>
  <c r="AI204" i="10"/>
  <c r="AJ204" i="10"/>
  <c r="AD204" i="10" a="1"/>
  <c r="AD204" i="10"/>
  <c r="AC203" i="10" a="1"/>
  <c r="AC203" i="10"/>
  <c r="AF203" i="10" a="1"/>
  <c r="AF203" i="10"/>
  <c r="AG203" i="10" a="1"/>
  <c r="AG203" i="10"/>
  <c r="AE203" i="10" a="1"/>
  <c r="AE203" i="10"/>
  <c r="AI203" i="10"/>
  <c r="AJ203" i="10"/>
  <c r="AD203" i="10" a="1"/>
  <c r="AD203" i="10"/>
  <c r="AC202" i="10" a="1"/>
  <c r="AC202" i="10"/>
  <c r="AF202" i="10" a="1"/>
  <c r="AF202" i="10"/>
  <c r="AG202" i="10" a="1"/>
  <c r="AG202" i="10"/>
  <c r="AE202" i="10" a="1"/>
  <c r="AE202" i="10"/>
  <c r="AI202" i="10"/>
  <c r="AJ202" i="10"/>
  <c r="AD202" i="10" a="1"/>
  <c r="AD202" i="10"/>
  <c r="AC201" i="10" a="1"/>
  <c r="AC201" i="10"/>
  <c r="AF201" i="10" a="1"/>
  <c r="AF201" i="10"/>
  <c r="AG201" i="10" a="1"/>
  <c r="AG201" i="10"/>
  <c r="AE201" i="10" a="1"/>
  <c r="AE201" i="10"/>
  <c r="AI201" i="10"/>
  <c r="AJ201" i="10"/>
  <c r="AD201" i="10" a="1"/>
  <c r="AD201" i="10"/>
  <c r="AC200" i="10" a="1"/>
  <c r="AC200" i="10"/>
  <c r="AF200" i="10" a="1"/>
  <c r="AF200" i="10"/>
  <c r="AG200" i="10" a="1"/>
  <c r="AG200" i="10"/>
  <c r="AE200" i="10" a="1"/>
  <c r="AE200" i="10"/>
  <c r="AI200" i="10"/>
  <c r="AJ200" i="10"/>
  <c r="AD200" i="10" a="1"/>
  <c r="AD200" i="10"/>
  <c r="AC199" i="10" a="1"/>
  <c r="AC199" i="10"/>
  <c r="AF199" i="10" a="1"/>
  <c r="AF199" i="10"/>
  <c r="AG199" i="10" a="1"/>
  <c r="AG199" i="10"/>
  <c r="AE199" i="10" a="1"/>
  <c r="AE199" i="10"/>
  <c r="AI199" i="10"/>
  <c r="AJ199" i="10"/>
  <c r="AD199" i="10" a="1"/>
  <c r="AD199" i="10"/>
  <c r="AC198" i="10" a="1"/>
  <c r="AC198" i="10"/>
  <c r="AF198" i="10" a="1"/>
  <c r="AF198" i="10"/>
  <c r="AG198" i="10" a="1"/>
  <c r="AG198" i="10"/>
  <c r="AE198" i="10" a="1"/>
  <c r="AE198" i="10"/>
  <c r="AI198" i="10"/>
  <c r="AJ198" i="10"/>
  <c r="AD198" i="10" a="1"/>
  <c r="AD198" i="10"/>
  <c r="AC197" i="10" a="1"/>
  <c r="AC197" i="10"/>
  <c r="AF197" i="10" a="1"/>
  <c r="AF197" i="10"/>
  <c r="AG197" i="10" a="1"/>
  <c r="AG197" i="10"/>
  <c r="AE197" i="10" a="1"/>
  <c r="AE197" i="10"/>
  <c r="AI197" i="10"/>
  <c r="AJ197" i="10"/>
  <c r="AD197" i="10" a="1"/>
  <c r="AD197" i="10"/>
  <c r="AC196" i="10" a="1"/>
  <c r="AC196" i="10"/>
  <c r="AF196" i="10" a="1"/>
  <c r="AF196" i="10"/>
  <c r="AG196" i="10" a="1"/>
  <c r="AG196" i="10"/>
  <c r="AE196" i="10" a="1"/>
  <c r="AE196" i="10"/>
  <c r="AI196" i="10"/>
  <c r="AJ196" i="10"/>
  <c r="AD196" i="10" a="1"/>
  <c r="AD196" i="10"/>
  <c r="AC195" i="10" a="1"/>
  <c r="AC195" i="10"/>
  <c r="AF195" i="10" a="1"/>
  <c r="AF195" i="10"/>
  <c r="AG195" i="10" a="1"/>
  <c r="AG195" i="10"/>
  <c r="AE195" i="10" a="1"/>
  <c r="AE195" i="10"/>
  <c r="AI195" i="10"/>
  <c r="AJ195" i="10"/>
  <c r="AD195" i="10" a="1"/>
  <c r="AD195" i="10"/>
  <c r="AC194" i="10" a="1"/>
  <c r="AC194" i="10"/>
  <c r="AF194" i="10" a="1"/>
  <c r="AF194" i="10"/>
  <c r="AG194" i="10" a="1"/>
  <c r="AG194" i="10"/>
  <c r="AE194" i="10" a="1"/>
  <c r="AE194" i="10"/>
  <c r="AI194" i="10"/>
  <c r="AJ194" i="10"/>
  <c r="AD194" i="10" a="1"/>
  <c r="AD194" i="10"/>
  <c r="AC193" i="10" a="1"/>
  <c r="AC193" i="10"/>
  <c r="AF193" i="10" a="1"/>
  <c r="AF193" i="10"/>
  <c r="AG193" i="10" a="1"/>
  <c r="AG193" i="10"/>
  <c r="AE193" i="10" a="1"/>
  <c r="AE193" i="10"/>
  <c r="AI193" i="10"/>
  <c r="AJ193" i="10"/>
  <c r="AD193" i="10" a="1"/>
  <c r="AD193" i="10"/>
  <c r="AC192" i="10" a="1"/>
  <c r="AC192" i="10"/>
  <c r="AF192" i="10" a="1"/>
  <c r="AF192" i="10"/>
  <c r="AG192" i="10" a="1"/>
  <c r="AG192" i="10"/>
  <c r="AE192" i="10" a="1"/>
  <c r="AE192" i="10"/>
  <c r="AI192" i="10"/>
  <c r="AJ192" i="10"/>
  <c r="AD192" i="10" a="1"/>
  <c r="AD192" i="10"/>
  <c r="AC191" i="10" a="1"/>
  <c r="AC191" i="10"/>
  <c r="AF191" i="10" a="1"/>
  <c r="AF191" i="10"/>
  <c r="AG191" i="10" a="1"/>
  <c r="AG191" i="10"/>
  <c r="AE191" i="10" a="1"/>
  <c r="AE191" i="10"/>
  <c r="AI191" i="10"/>
  <c r="AJ191" i="10"/>
  <c r="AD191" i="10" a="1"/>
  <c r="AD191" i="10"/>
  <c r="AC190" i="10" a="1"/>
  <c r="AC190" i="10"/>
  <c r="AF190" i="10" a="1"/>
  <c r="AF190" i="10"/>
  <c r="AG190" i="10" a="1"/>
  <c r="AG190" i="10"/>
  <c r="AE190" i="10" a="1"/>
  <c r="AE190" i="10"/>
  <c r="AI190" i="10"/>
  <c r="AJ190" i="10"/>
  <c r="AD190" i="10" a="1"/>
  <c r="AD190" i="10"/>
  <c r="AC189" i="10" a="1"/>
  <c r="AC189" i="10"/>
  <c r="AF189" i="10" a="1"/>
  <c r="AF189" i="10"/>
  <c r="AG189" i="10" a="1"/>
  <c r="AG189" i="10"/>
  <c r="AE189" i="10" a="1"/>
  <c r="AE189" i="10"/>
  <c r="AI189" i="10"/>
  <c r="AJ189" i="10"/>
  <c r="AD189" i="10" a="1"/>
  <c r="AD189" i="10"/>
  <c r="AC188" i="10" a="1"/>
  <c r="AC188" i="10"/>
  <c r="AF188" i="10" a="1"/>
  <c r="AF188" i="10"/>
  <c r="AG188" i="10" a="1"/>
  <c r="AG188" i="10"/>
  <c r="AE188" i="10" a="1"/>
  <c r="AE188" i="10"/>
  <c r="AI188" i="10"/>
  <c r="AJ188" i="10"/>
  <c r="AD188" i="10" a="1"/>
  <c r="AD188" i="10"/>
  <c r="AC187" i="10" a="1"/>
  <c r="AC187" i="10"/>
  <c r="AF187" i="10" a="1"/>
  <c r="AF187" i="10"/>
  <c r="AG187" i="10" a="1"/>
  <c r="AG187" i="10"/>
  <c r="AE187" i="10" a="1"/>
  <c r="AE187" i="10"/>
  <c r="AI187" i="10"/>
  <c r="AJ187" i="10"/>
  <c r="AD187" i="10" a="1"/>
  <c r="AD187" i="10"/>
  <c r="AC186" i="10" a="1"/>
  <c r="AC186" i="10"/>
  <c r="AF186" i="10" a="1"/>
  <c r="AF186" i="10"/>
  <c r="AG186" i="10" a="1"/>
  <c r="AG186" i="10"/>
  <c r="AE186" i="10" a="1"/>
  <c r="AE186" i="10"/>
  <c r="AI186" i="10"/>
  <c r="AJ186" i="10"/>
  <c r="AD186" i="10" a="1"/>
  <c r="AD186" i="10"/>
  <c r="AC185" i="10" a="1"/>
  <c r="AC185" i="10"/>
  <c r="AF185" i="10" a="1"/>
  <c r="AF185" i="10"/>
  <c r="AG185" i="10" a="1"/>
  <c r="AG185" i="10"/>
  <c r="AE185" i="10" a="1"/>
  <c r="AE185" i="10"/>
  <c r="AI185" i="10"/>
  <c r="AJ185" i="10"/>
  <c r="AD185" i="10" a="1"/>
  <c r="AD185" i="10"/>
  <c r="AC184" i="10" a="1"/>
  <c r="AC184" i="10"/>
  <c r="AF184" i="10" a="1"/>
  <c r="AF184" i="10"/>
  <c r="AG184" i="10" a="1"/>
  <c r="AG184" i="10"/>
  <c r="AE184" i="10" a="1"/>
  <c r="AE184" i="10"/>
  <c r="AI184" i="10"/>
  <c r="AJ184" i="10"/>
  <c r="AD184" i="10" a="1"/>
  <c r="AD184" i="10"/>
  <c r="AC183" i="10" a="1"/>
  <c r="AC183" i="10"/>
  <c r="AF183" i="10" a="1"/>
  <c r="AF183" i="10"/>
  <c r="AG183" i="10" a="1"/>
  <c r="AG183" i="10"/>
  <c r="AE183" i="10" a="1"/>
  <c r="AE183" i="10"/>
  <c r="AI183" i="10"/>
  <c r="AJ183" i="10"/>
  <c r="AD183" i="10" a="1"/>
  <c r="AD183" i="10"/>
  <c r="AC182" i="10" a="1"/>
  <c r="AC182" i="10"/>
  <c r="AF182" i="10" a="1"/>
  <c r="AF182" i="10"/>
  <c r="AG182" i="10" a="1"/>
  <c r="AG182" i="10"/>
  <c r="AE182" i="10" a="1"/>
  <c r="AE182" i="10"/>
  <c r="AI182" i="10"/>
  <c r="AJ182" i="10"/>
  <c r="AD182" i="10" a="1"/>
  <c r="AD182" i="10"/>
  <c r="AC181" i="10" a="1"/>
  <c r="AC181" i="10"/>
  <c r="AF181" i="10" a="1"/>
  <c r="AF181" i="10"/>
  <c r="AG181" i="10" a="1"/>
  <c r="AG181" i="10"/>
  <c r="AE181" i="10" a="1"/>
  <c r="AE181" i="10"/>
  <c r="AI181" i="10"/>
  <c r="AJ181" i="10"/>
  <c r="AD181" i="10" a="1"/>
  <c r="AD181" i="10"/>
  <c r="AC180" i="10" a="1"/>
  <c r="AC180" i="10"/>
  <c r="AF180" i="10" a="1"/>
  <c r="AF180" i="10"/>
  <c r="AG180" i="10" a="1"/>
  <c r="AG180" i="10"/>
  <c r="AE180" i="10" a="1"/>
  <c r="AE180" i="10"/>
  <c r="AI180" i="10"/>
  <c r="AJ180" i="10"/>
  <c r="AD180" i="10" a="1"/>
  <c r="AD180" i="10"/>
  <c r="AC179" i="10" a="1"/>
  <c r="AC179" i="10"/>
  <c r="AF179" i="10" a="1"/>
  <c r="AF179" i="10"/>
  <c r="AG179" i="10" a="1"/>
  <c r="AG179" i="10"/>
  <c r="AE179" i="10" a="1"/>
  <c r="AE179" i="10"/>
  <c r="AI179" i="10"/>
  <c r="AJ179" i="10"/>
  <c r="AD179" i="10" a="1"/>
  <c r="AD179" i="10"/>
  <c r="AC178" i="10" a="1"/>
  <c r="AC178" i="10"/>
  <c r="AF178" i="10" a="1"/>
  <c r="AF178" i="10"/>
  <c r="AG178" i="10" a="1"/>
  <c r="AG178" i="10"/>
  <c r="AE178" i="10" a="1"/>
  <c r="AE178" i="10"/>
  <c r="AI178" i="10"/>
  <c r="AJ178" i="10"/>
  <c r="AD178" i="10" a="1"/>
  <c r="AD178" i="10"/>
  <c r="AC177" i="10" a="1"/>
  <c r="AC177" i="10"/>
  <c r="AF177" i="10" a="1"/>
  <c r="AF177" i="10"/>
  <c r="AG177" i="10" a="1"/>
  <c r="AG177" i="10"/>
  <c r="AE177" i="10" a="1"/>
  <c r="AE177" i="10"/>
  <c r="AI177" i="10"/>
  <c r="AJ177" i="10"/>
  <c r="AD177" i="10" a="1"/>
  <c r="AD177" i="10"/>
  <c r="AC176" i="10" a="1"/>
  <c r="AC176" i="10"/>
  <c r="AF176" i="10" a="1"/>
  <c r="AF176" i="10"/>
  <c r="AG176" i="10" a="1"/>
  <c r="AG176" i="10"/>
  <c r="AE176" i="10" a="1"/>
  <c r="AE176" i="10"/>
  <c r="AI176" i="10"/>
  <c r="AJ176" i="10"/>
  <c r="AD176" i="10" a="1"/>
  <c r="AD176" i="10"/>
  <c r="AC175" i="10" a="1"/>
  <c r="AC175" i="10"/>
  <c r="AF175" i="10" a="1"/>
  <c r="AF175" i="10"/>
  <c r="AG175" i="10" a="1"/>
  <c r="AG175" i="10"/>
  <c r="AE175" i="10" a="1"/>
  <c r="AE175" i="10"/>
  <c r="AI175" i="10"/>
  <c r="AJ175" i="10"/>
  <c r="AD175" i="10" a="1"/>
  <c r="AD175" i="10"/>
  <c r="AC174" i="10" a="1"/>
  <c r="AC174" i="10"/>
  <c r="AF174" i="10" a="1"/>
  <c r="AF174" i="10"/>
  <c r="AG174" i="10" a="1"/>
  <c r="AG174" i="10"/>
  <c r="AE174" i="10" a="1"/>
  <c r="AE174" i="10"/>
  <c r="AI174" i="10"/>
  <c r="AJ174" i="10"/>
  <c r="AD174" i="10" a="1"/>
  <c r="AD174" i="10"/>
  <c r="AC173" i="10" a="1"/>
  <c r="AC173" i="10"/>
  <c r="AF173" i="10" a="1"/>
  <c r="AF173" i="10"/>
  <c r="AG173" i="10" a="1"/>
  <c r="AG173" i="10"/>
  <c r="AE173" i="10" a="1"/>
  <c r="AE173" i="10"/>
  <c r="AI173" i="10"/>
  <c r="AJ173" i="10"/>
  <c r="AD173" i="10" a="1"/>
  <c r="AD173" i="10"/>
  <c r="AC172" i="10" a="1"/>
  <c r="AC172" i="10"/>
  <c r="AF172" i="10" a="1"/>
  <c r="AF172" i="10"/>
  <c r="AG172" i="10" a="1"/>
  <c r="AG172" i="10"/>
  <c r="AE172" i="10" a="1"/>
  <c r="AE172" i="10"/>
  <c r="AI172" i="10"/>
  <c r="AJ172" i="10"/>
  <c r="AD172" i="10" a="1"/>
  <c r="AD172" i="10"/>
  <c r="AC171" i="10" a="1"/>
  <c r="AC171" i="10"/>
  <c r="AF171" i="10" a="1"/>
  <c r="AF171" i="10"/>
  <c r="AG171" i="10" a="1"/>
  <c r="AG171" i="10"/>
  <c r="AE171" i="10" a="1"/>
  <c r="AE171" i="10"/>
  <c r="AI171" i="10"/>
  <c r="AJ171" i="10"/>
  <c r="AD171" i="10" a="1"/>
  <c r="AD171" i="10"/>
  <c r="AC170" i="10" a="1"/>
  <c r="AC170" i="10"/>
  <c r="AF170" i="10" a="1"/>
  <c r="AF170" i="10"/>
  <c r="AG170" i="10" a="1"/>
  <c r="AG170" i="10"/>
  <c r="AE170" i="10" a="1"/>
  <c r="AE170" i="10"/>
  <c r="AI170" i="10"/>
  <c r="AJ170" i="10"/>
  <c r="AD170" i="10" a="1"/>
  <c r="AD170" i="10"/>
  <c r="AC169" i="10" a="1"/>
  <c r="AC169" i="10"/>
  <c r="AF169" i="10" a="1"/>
  <c r="AF169" i="10"/>
  <c r="AG169" i="10" a="1"/>
  <c r="AG169" i="10"/>
  <c r="AE169" i="10" a="1"/>
  <c r="AE169" i="10"/>
  <c r="AI169" i="10"/>
  <c r="AJ169" i="10"/>
  <c r="AD169" i="10" a="1"/>
  <c r="AD169" i="10"/>
  <c r="AC168" i="10" a="1"/>
  <c r="AC168" i="10"/>
  <c r="AF168" i="10" a="1"/>
  <c r="AF168" i="10"/>
  <c r="AG168" i="10" a="1"/>
  <c r="AG168" i="10"/>
  <c r="AE168" i="10" a="1"/>
  <c r="AE168" i="10"/>
  <c r="AI168" i="10"/>
  <c r="AJ168" i="10"/>
  <c r="AD168" i="10" a="1"/>
  <c r="AD168" i="10"/>
  <c r="AC167" i="10" a="1"/>
  <c r="AC167" i="10"/>
  <c r="AF167" i="10" a="1"/>
  <c r="AF167" i="10"/>
  <c r="AG167" i="10" a="1"/>
  <c r="AG167" i="10"/>
  <c r="AE167" i="10" a="1"/>
  <c r="AE167" i="10"/>
  <c r="AI167" i="10"/>
  <c r="AJ167" i="10"/>
  <c r="AD167" i="10" a="1"/>
  <c r="AD167" i="10"/>
  <c r="AC166" i="10" a="1"/>
  <c r="AC166" i="10"/>
  <c r="AF166" i="10" a="1"/>
  <c r="AF166" i="10"/>
  <c r="AG166" i="10" a="1"/>
  <c r="AG166" i="10"/>
  <c r="AE166" i="10" a="1"/>
  <c r="AE166" i="10"/>
  <c r="AI166" i="10"/>
  <c r="AJ166" i="10"/>
  <c r="AD166" i="10" a="1"/>
  <c r="AD166" i="10"/>
  <c r="AC165" i="10" a="1"/>
  <c r="AC165" i="10"/>
  <c r="AF165" i="10" a="1"/>
  <c r="AF165" i="10"/>
  <c r="AG165" i="10" a="1"/>
  <c r="AG165" i="10"/>
  <c r="AE165" i="10" a="1"/>
  <c r="AE165" i="10"/>
  <c r="AI165" i="10"/>
  <c r="AJ165" i="10"/>
  <c r="AD165" i="10" a="1"/>
  <c r="AD165" i="10"/>
  <c r="AC164" i="10" a="1"/>
  <c r="AC164" i="10"/>
  <c r="AF164" i="10" a="1"/>
  <c r="AF164" i="10"/>
  <c r="AG164" i="10" a="1"/>
  <c r="AG164" i="10"/>
  <c r="AE164" i="10" a="1"/>
  <c r="AE164" i="10"/>
  <c r="AI164" i="10"/>
  <c r="AJ164" i="10"/>
  <c r="AD164" i="10" a="1"/>
  <c r="AD164" i="10"/>
  <c r="AC163" i="10" a="1"/>
  <c r="AC163" i="10"/>
  <c r="AF163" i="10" a="1"/>
  <c r="AF163" i="10"/>
  <c r="AG163" i="10" a="1"/>
  <c r="AG163" i="10"/>
  <c r="AE163" i="10" a="1"/>
  <c r="AE163" i="10"/>
  <c r="AI163" i="10"/>
  <c r="AJ163" i="10"/>
  <c r="AD163" i="10" a="1"/>
  <c r="AD163" i="10"/>
  <c r="AC162" i="10" a="1"/>
  <c r="AC162" i="10"/>
  <c r="AF162" i="10" a="1"/>
  <c r="AF162" i="10"/>
  <c r="AG162" i="10" a="1"/>
  <c r="AG162" i="10"/>
  <c r="AE162" i="10" a="1"/>
  <c r="AE162" i="10"/>
  <c r="AI162" i="10"/>
  <c r="AJ162" i="10"/>
  <c r="AD162" i="10" a="1"/>
  <c r="AD162" i="10"/>
  <c r="AC161" i="10" a="1"/>
  <c r="AC161" i="10"/>
  <c r="AF161" i="10" a="1"/>
  <c r="AF161" i="10"/>
  <c r="AG161" i="10" a="1"/>
  <c r="AG161" i="10"/>
  <c r="AE161" i="10" a="1"/>
  <c r="AE161" i="10"/>
  <c r="AI161" i="10"/>
  <c r="AJ161" i="10"/>
  <c r="AD161" i="10" a="1"/>
  <c r="AD161" i="10"/>
  <c r="AC160" i="10" a="1"/>
  <c r="AC160" i="10"/>
  <c r="AF160" i="10" a="1"/>
  <c r="AF160" i="10"/>
  <c r="AG160" i="10" a="1"/>
  <c r="AG160" i="10"/>
  <c r="AE160" i="10" a="1"/>
  <c r="AE160" i="10"/>
  <c r="AI160" i="10"/>
  <c r="AJ160" i="10"/>
  <c r="AD160" i="10" a="1"/>
  <c r="AD160" i="10"/>
  <c r="AC159" i="10" a="1"/>
  <c r="AC159" i="10"/>
  <c r="AF159" i="10" a="1"/>
  <c r="AF159" i="10"/>
  <c r="AG159" i="10" a="1"/>
  <c r="AG159" i="10"/>
  <c r="AE159" i="10" a="1"/>
  <c r="AE159" i="10"/>
  <c r="AI159" i="10"/>
  <c r="AJ159" i="10"/>
  <c r="AD159" i="10" a="1"/>
  <c r="AD159" i="10"/>
  <c r="AD158" i="10" a="1"/>
  <c r="AD158" i="10"/>
  <c r="AD157" i="10" a="1"/>
  <c r="AD157" i="10"/>
  <c r="AD156" i="10" a="1"/>
  <c r="AD156" i="10"/>
  <c r="AD155" i="10" a="1"/>
  <c r="AD155" i="10"/>
  <c r="AD154" i="10" a="1"/>
  <c r="AD154" i="10"/>
  <c r="AD153" i="10" a="1"/>
  <c r="AD153" i="10"/>
  <c r="AD152" i="10" a="1"/>
  <c r="AD152" i="10"/>
  <c r="AD151" i="10" a="1"/>
  <c r="AD151" i="10"/>
  <c r="AD150" i="10" a="1"/>
  <c r="AD150" i="10"/>
  <c r="AD149" i="10" a="1"/>
  <c r="AD149" i="10"/>
  <c r="AD148" i="10" a="1"/>
  <c r="AD148" i="10"/>
  <c r="AD147" i="10" a="1"/>
  <c r="AD147" i="10"/>
  <c r="AD146" i="10" a="1"/>
  <c r="AD146" i="10"/>
  <c r="AD145" i="10" a="1"/>
  <c r="AD145" i="10"/>
  <c r="AD144" i="10" a="1"/>
  <c r="AD144" i="10"/>
  <c r="AD143" i="10" a="1"/>
  <c r="AD143" i="10"/>
  <c r="AD142" i="10" a="1"/>
  <c r="AD142" i="10"/>
  <c r="AD141" i="10" a="1"/>
  <c r="AD141" i="10"/>
  <c r="AD140" i="10" a="1"/>
  <c r="AD140" i="10"/>
  <c r="AD139" i="10" a="1"/>
  <c r="AD139" i="10"/>
  <c r="AD138" i="10" a="1"/>
  <c r="AD138" i="10"/>
  <c r="AD137" i="10" a="1"/>
  <c r="AD137" i="10"/>
  <c r="AD136" i="10" a="1"/>
  <c r="AD136" i="10"/>
  <c r="AD135" i="10" a="1"/>
  <c r="AD135" i="10"/>
  <c r="AD134" i="10" a="1"/>
  <c r="AD134" i="10"/>
  <c r="AD133" i="10" a="1"/>
  <c r="AD133" i="10"/>
  <c r="AD132" i="10" a="1"/>
  <c r="AD132" i="10"/>
  <c r="AD131" i="10" a="1"/>
  <c r="AD131" i="10"/>
  <c r="AD130" i="10" a="1"/>
  <c r="AD130" i="10"/>
  <c r="AD129" i="10" a="1"/>
  <c r="AD129" i="10"/>
  <c r="AD128" i="10" a="1"/>
  <c r="AD128" i="10"/>
  <c r="AD127" i="10" a="1"/>
  <c r="AD127" i="10"/>
  <c r="AD126" i="10" a="1"/>
  <c r="AD126" i="10"/>
  <c r="AD125" i="10" a="1"/>
  <c r="AD125" i="10"/>
  <c r="AD124" i="10" a="1"/>
  <c r="AD124" i="10"/>
  <c r="AD123" i="10" a="1"/>
  <c r="AD123" i="10"/>
  <c r="AD122" i="10" a="1"/>
  <c r="AD122" i="10"/>
  <c r="AD121" i="10" a="1"/>
  <c r="AD121" i="10"/>
  <c r="AD120" i="10" a="1"/>
  <c r="AD120" i="10"/>
  <c r="AD119" i="10" a="1"/>
  <c r="AD119" i="10"/>
  <c r="AD118" i="10" a="1"/>
  <c r="AD118" i="10"/>
  <c r="AD117" i="10" a="1"/>
  <c r="AD117" i="10"/>
  <c r="AD116" i="10" a="1"/>
  <c r="AD116" i="10"/>
  <c r="AD115" i="10" a="1"/>
  <c r="AD115" i="10"/>
  <c r="AD114" i="10" a="1"/>
  <c r="AD114" i="10"/>
  <c r="AD113" i="10" a="1"/>
  <c r="AD113" i="10"/>
  <c r="AD112" i="10" a="1"/>
  <c r="AD112" i="10"/>
  <c r="AD111" i="10" a="1"/>
  <c r="AD111" i="10"/>
  <c r="AD110" i="10" a="1"/>
  <c r="AD110" i="10"/>
  <c r="AD109" i="10" a="1"/>
  <c r="AD109" i="10"/>
  <c r="AD108" i="10" a="1"/>
  <c r="AD108" i="10"/>
  <c r="AD107" i="10" a="1"/>
  <c r="AD107" i="10"/>
  <c r="AD106" i="10" a="1"/>
  <c r="AD106" i="10"/>
  <c r="AD105" i="10" a="1"/>
  <c r="AD105" i="10"/>
  <c r="AD104" i="10" a="1"/>
  <c r="AD104" i="10"/>
  <c r="AD103" i="10" a="1"/>
  <c r="AD103" i="10"/>
  <c r="AD102" i="10" a="1"/>
  <c r="AD102" i="10"/>
  <c r="AD101" i="10" a="1"/>
  <c r="AD101" i="10"/>
  <c r="AD100" i="10" a="1"/>
  <c r="AD100" i="10"/>
  <c r="AD99" i="10" a="1"/>
  <c r="AD99" i="10"/>
  <c r="AD98" i="10" a="1"/>
  <c r="AD98" i="10"/>
  <c r="AD97" i="10" a="1"/>
  <c r="AD97" i="10"/>
  <c r="AD96" i="10" a="1"/>
  <c r="AD96" i="10"/>
  <c r="AD95" i="10" a="1"/>
  <c r="AD95" i="10"/>
  <c r="AD94" i="10" a="1"/>
  <c r="AD94" i="10"/>
  <c r="AD93" i="10" a="1"/>
  <c r="AD93" i="10"/>
  <c r="AD92" i="10" a="1"/>
  <c r="AD92" i="10"/>
  <c r="AD91" i="10" a="1"/>
  <c r="AD91" i="10"/>
  <c r="AD90" i="10" a="1"/>
  <c r="AD90" i="10"/>
  <c r="AD89" i="10" a="1"/>
  <c r="AD89" i="10"/>
  <c r="AD88" i="10" a="1"/>
  <c r="AD88" i="10"/>
  <c r="AD87" i="10" a="1"/>
  <c r="AD87" i="10"/>
  <c r="AD86" i="10" a="1"/>
  <c r="AD86" i="10"/>
  <c r="AD85" i="10" a="1"/>
  <c r="AD85" i="10"/>
  <c r="AD84" i="10" a="1"/>
  <c r="AD84" i="10"/>
  <c r="AD83" i="10" a="1"/>
  <c r="AD83" i="10"/>
  <c r="AD82" i="10" a="1"/>
  <c r="AD82" i="10"/>
  <c r="AD81" i="10" a="1"/>
  <c r="AD81" i="10"/>
  <c r="AD80" i="10" a="1"/>
  <c r="AD80" i="10"/>
  <c r="AD79" i="10" a="1"/>
  <c r="AD79" i="10"/>
  <c r="AD78" i="10" a="1"/>
  <c r="AD78" i="10"/>
  <c r="AD77" i="10" a="1"/>
  <c r="AD77" i="10"/>
  <c r="AD76" i="10" a="1"/>
  <c r="AD76" i="10"/>
  <c r="AD75" i="10" a="1"/>
  <c r="AD75" i="10"/>
  <c r="AD74" i="10" a="1"/>
  <c r="AD74" i="10"/>
  <c r="AD73" i="10" a="1"/>
  <c r="AD73" i="10"/>
  <c r="AD72" i="10" a="1"/>
  <c r="AD72" i="10"/>
  <c r="AD71" i="10" a="1"/>
  <c r="AD71" i="10"/>
  <c r="AD70" i="10" a="1"/>
  <c r="AD70" i="10"/>
  <c r="AD69" i="10" a="1"/>
  <c r="AD69" i="10"/>
  <c r="AD68" i="10" a="1"/>
  <c r="AD68" i="10"/>
  <c r="AD67" i="10" a="1"/>
  <c r="AD67" i="10"/>
  <c r="AD66" i="10" a="1"/>
  <c r="AD66" i="10"/>
  <c r="AD65" i="10" a="1"/>
  <c r="AD65" i="10"/>
  <c r="AD64" i="10" a="1"/>
  <c r="AD64" i="10"/>
  <c r="AD63" i="10" a="1"/>
  <c r="AD63" i="10"/>
  <c r="AD62" i="10" a="1"/>
  <c r="AD62" i="10"/>
  <c r="AD61" i="10" a="1"/>
  <c r="AD61" i="10"/>
  <c r="AD60" i="10" a="1"/>
  <c r="AD60" i="10"/>
  <c r="AD59" i="10" a="1"/>
  <c r="AD59" i="10"/>
  <c r="AD58" i="10" a="1"/>
  <c r="AD58" i="10"/>
  <c r="AD57" i="10" a="1"/>
  <c r="AD57" i="10"/>
  <c r="AD56" i="10" a="1"/>
  <c r="AD56" i="10"/>
  <c r="AD55" i="10" a="1"/>
  <c r="AD55" i="10"/>
  <c r="AD54" i="10" a="1"/>
  <c r="AD54" i="10"/>
  <c r="AD53" i="10" a="1"/>
  <c r="AD53" i="10"/>
  <c r="AD52" i="10" a="1"/>
  <c r="AD52" i="10"/>
  <c r="AD51" i="10" a="1"/>
  <c r="AD51" i="10"/>
  <c r="AD50" i="10" a="1"/>
  <c r="AD50" i="10"/>
  <c r="AD49" i="10" a="1"/>
  <c r="AD49" i="10"/>
  <c r="AD48" i="10" a="1"/>
  <c r="AD48" i="10"/>
  <c r="AD47" i="10" a="1"/>
  <c r="AD47" i="10"/>
  <c r="AD46" i="10" a="1"/>
  <c r="AD46" i="10"/>
  <c r="AD45" i="10" a="1"/>
  <c r="AD45" i="10"/>
  <c r="AD44" i="10" a="1"/>
  <c r="AD44" i="10"/>
  <c r="AD43" i="10" a="1"/>
  <c r="AD43" i="10"/>
  <c r="AD42" i="10" a="1"/>
  <c r="AD42" i="10"/>
  <c r="AD41" i="10" a="1"/>
  <c r="AD41" i="10"/>
  <c r="AD40" i="10" a="1"/>
  <c r="AD40" i="10"/>
  <c r="AD39" i="10" a="1"/>
  <c r="AD39" i="10"/>
  <c r="AC38" i="10" a="1"/>
  <c r="AC38" i="10"/>
  <c r="AF38" i="10" a="1"/>
  <c r="AF38" i="10"/>
  <c r="AG38" i="10" a="1"/>
  <c r="AG38" i="10"/>
  <c r="AE38" i="10" a="1"/>
  <c r="AE38" i="10"/>
  <c r="AI38" i="10"/>
  <c r="AJ38" i="10"/>
  <c r="AD38" i="10" a="1"/>
  <c r="AD38" i="10"/>
  <c r="AC37" i="10" a="1"/>
  <c r="AC37" i="10"/>
  <c r="AF37" i="10" a="1"/>
  <c r="AF37" i="10"/>
  <c r="AG37" i="10" a="1"/>
  <c r="AG37" i="10"/>
  <c r="AE37" i="10" a="1"/>
  <c r="AE37" i="10"/>
  <c r="AI37" i="10"/>
  <c r="AJ37" i="10"/>
  <c r="AD37" i="10" a="1"/>
  <c r="AD37" i="10"/>
  <c r="AC36" i="10" a="1"/>
  <c r="AC36" i="10"/>
  <c r="AF36" i="10" a="1"/>
  <c r="AF36" i="10"/>
  <c r="AG36" i="10" a="1"/>
  <c r="AG36" i="10"/>
  <c r="AE36" i="10" a="1"/>
  <c r="AE36" i="10"/>
  <c r="AI36" i="10"/>
  <c r="AJ36" i="10"/>
  <c r="AD36" i="10" a="1"/>
  <c r="AD36" i="10"/>
  <c r="AC35" i="10" a="1"/>
  <c r="AC35" i="10"/>
  <c r="AF35" i="10" a="1"/>
  <c r="AF35" i="10"/>
  <c r="AG35" i="10" a="1"/>
  <c r="AG35" i="10"/>
  <c r="AE35" i="10" a="1"/>
  <c r="AE35" i="10"/>
  <c r="AI35" i="10"/>
  <c r="AJ35" i="10"/>
  <c r="AD35" i="10" a="1"/>
  <c r="AD35" i="10"/>
  <c r="AC34" i="10" a="1"/>
  <c r="AC34" i="10"/>
  <c r="AF34" i="10" a="1"/>
  <c r="AF34" i="10"/>
  <c r="AG34" i="10" a="1"/>
  <c r="AG34" i="10"/>
  <c r="AE34" i="10" a="1"/>
  <c r="AE34" i="10"/>
  <c r="AI34" i="10"/>
  <c r="AJ34" i="10"/>
  <c r="AD34" i="10" a="1"/>
  <c r="AD34" i="10"/>
  <c r="AC33" i="10" a="1"/>
  <c r="AC33" i="10"/>
  <c r="AF33" i="10" a="1"/>
  <c r="AF33" i="10"/>
  <c r="AG33" i="10" a="1"/>
  <c r="AG33" i="10"/>
  <c r="AE33" i="10" a="1"/>
  <c r="AE33" i="10"/>
  <c r="AI33" i="10"/>
  <c r="AJ33" i="10"/>
  <c r="AD33" i="10" a="1"/>
  <c r="AD33" i="10"/>
  <c r="AC32" i="10" a="1"/>
  <c r="AC32" i="10"/>
  <c r="AF32" i="10" a="1"/>
  <c r="AF32" i="10"/>
  <c r="AG32" i="10" a="1"/>
  <c r="AG32" i="10"/>
  <c r="AE32" i="10" a="1"/>
  <c r="AE32" i="10"/>
  <c r="AI32" i="10"/>
  <c r="AJ32" i="10"/>
  <c r="AD32" i="10" a="1"/>
  <c r="AD32" i="10"/>
  <c r="AC31" i="10" a="1"/>
  <c r="AC31" i="10"/>
  <c r="AF31" i="10" a="1"/>
  <c r="AF31" i="10"/>
  <c r="AG31" i="10" a="1"/>
  <c r="AG31" i="10"/>
  <c r="AE31" i="10" a="1"/>
  <c r="AE31" i="10"/>
  <c r="AI31" i="10"/>
  <c r="AJ31" i="10"/>
  <c r="AD31" i="10" a="1"/>
  <c r="AD31" i="10"/>
  <c r="AC30" i="10" a="1"/>
  <c r="AC30" i="10"/>
  <c r="AF30" i="10" a="1"/>
  <c r="AF30" i="10"/>
  <c r="AG30" i="10" a="1"/>
  <c r="AG30" i="10"/>
  <c r="AE30" i="10" a="1"/>
  <c r="AE30" i="10"/>
  <c r="AI30" i="10"/>
  <c r="AJ30" i="10"/>
  <c r="AD30" i="10" a="1"/>
  <c r="AD30" i="10"/>
  <c r="AC29" i="10" a="1"/>
  <c r="AC29" i="10"/>
  <c r="AF29" i="10" a="1"/>
  <c r="AF29" i="10"/>
  <c r="AG29" i="10" a="1"/>
  <c r="AG29" i="10"/>
  <c r="AE29" i="10" a="1"/>
  <c r="AE29" i="10"/>
  <c r="AI29" i="10"/>
  <c r="AJ29" i="10"/>
  <c r="AD29" i="10" a="1"/>
  <c r="AD29" i="10"/>
  <c r="AC28" i="10" a="1"/>
  <c r="AC28" i="10"/>
  <c r="AF28" i="10" a="1"/>
  <c r="AF28" i="10"/>
  <c r="AG28" i="10" a="1"/>
  <c r="AG28" i="10"/>
  <c r="AE28" i="10" a="1"/>
  <c r="AE28" i="10"/>
  <c r="AI28" i="10"/>
  <c r="AJ28" i="10"/>
  <c r="AD28" i="10" a="1"/>
  <c r="AD28" i="10"/>
  <c r="AC27" i="10" a="1"/>
  <c r="AC27" i="10"/>
  <c r="AF27" i="10" a="1"/>
  <c r="AF27" i="10"/>
  <c r="AG27" i="10" a="1"/>
  <c r="AG27" i="10"/>
  <c r="AE27" i="10" a="1"/>
  <c r="AE27" i="10"/>
  <c r="AI27" i="10"/>
  <c r="AJ27" i="10"/>
  <c r="AD27" i="10" a="1"/>
  <c r="AD27" i="10"/>
  <c r="AC26" i="10" a="1"/>
  <c r="AC26" i="10"/>
  <c r="AF26" i="10" a="1"/>
  <c r="AF26" i="10"/>
  <c r="AG26" i="10" a="1"/>
  <c r="AG26" i="10"/>
  <c r="AE26" i="10" a="1"/>
  <c r="AE26" i="10"/>
  <c r="AI26" i="10"/>
  <c r="AJ26" i="10"/>
  <c r="AD26" i="10" a="1"/>
  <c r="AD26" i="10"/>
  <c r="AC25" i="10" a="1"/>
  <c r="AC25" i="10"/>
  <c r="AF25" i="10" a="1"/>
  <c r="AF25" i="10"/>
  <c r="AG25" i="10" a="1"/>
  <c r="AG25" i="10"/>
  <c r="AE25" i="10" a="1"/>
  <c r="AE25" i="10"/>
  <c r="AI25" i="10"/>
  <c r="AJ25" i="10"/>
  <c r="AD25" i="10" a="1"/>
  <c r="AD25" i="10"/>
  <c r="AC24" i="10" a="1"/>
  <c r="AC24" i="10"/>
  <c r="AF24" i="10" a="1"/>
  <c r="AF24" i="10"/>
  <c r="AG24" i="10" a="1"/>
  <c r="AG24" i="10"/>
  <c r="AE24" i="10" a="1"/>
  <c r="AE24" i="10"/>
  <c r="AI24" i="10"/>
  <c r="AJ24" i="10"/>
  <c r="AD24" i="10" a="1"/>
  <c r="AD24" i="10"/>
  <c r="AC23" i="10" a="1"/>
  <c r="AC23" i="10"/>
  <c r="AF23" i="10" a="1"/>
  <c r="AF23" i="10"/>
  <c r="AG23" i="10" a="1"/>
  <c r="AG23" i="10"/>
  <c r="AE23" i="10" a="1"/>
  <c r="AE23" i="10"/>
  <c r="AI23" i="10"/>
  <c r="AJ23" i="10"/>
  <c r="AD23" i="10" a="1"/>
  <c r="AD23" i="10"/>
  <c r="AC22" i="10" a="1"/>
  <c r="AC22" i="10"/>
  <c r="AF22" i="10" a="1"/>
  <c r="AF22" i="10"/>
  <c r="AG22" i="10" a="1"/>
  <c r="AG22" i="10"/>
  <c r="AE22" i="10" a="1"/>
  <c r="AE22" i="10"/>
  <c r="AI22" i="10"/>
  <c r="AJ22" i="10"/>
  <c r="AD22" i="10" a="1"/>
  <c r="AD22" i="10"/>
  <c r="AC21" i="10" a="1"/>
  <c r="AC21" i="10"/>
  <c r="AF21" i="10" a="1"/>
  <c r="AF21" i="10"/>
  <c r="AG21" i="10" a="1"/>
  <c r="AG21" i="10"/>
  <c r="AE21" i="10" a="1"/>
  <c r="AE21" i="10"/>
  <c r="AI21" i="10"/>
  <c r="AJ21" i="10"/>
  <c r="AD21" i="10" a="1"/>
  <c r="AD21" i="10"/>
  <c r="AC20" i="10" a="1"/>
  <c r="AC20" i="10"/>
  <c r="AF20" i="10" a="1"/>
  <c r="AF20" i="10"/>
  <c r="AG20" i="10" a="1"/>
  <c r="AG20" i="10"/>
  <c r="AE20" i="10" a="1"/>
  <c r="AE20" i="10"/>
  <c r="AI20" i="10"/>
  <c r="AJ20" i="10"/>
  <c r="AD20" i="10" a="1"/>
  <c r="AD20" i="10"/>
  <c r="AC19" i="10" a="1"/>
  <c r="AC19" i="10"/>
  <c r="AF19" i="10" a="1"/>
  <c r="AF19" i="10"/>
  <c r="AG19" i="10" a="1"/>
  <c r="AG19" i="10"/>
  <c r="AE19" i="10" a="1"/>
  <c r="AE19" i="10"/>
  <c r="AI19" i="10"/>
  <c r="AJ19" i="10"/>
  <c r="AD19" i="10" a="1"/>
  <c r="AD19" i="10"/>
  <c r="AC18" i="10" a="1"/>
  <c r="AC18" i="10"/>
  <c r="AF18" i="10" a="1"/>
  <c r="AF18" i="10"/>
  <c r="AG18" i="10" a="1"/>
  <c r="AG18" i="10"/>
  <c r="AE18" i="10" a="1"/>
  <c r="AE18" i="10"/>
  <c r="AI18" i="10"/>
  <c r="AJ18" i="10"/>
  <c r="AD18" i="10" a="1"/>
  <c r="AD18" i="10"/>
  <c r="AC17" i="10" a="1"/>
  <c r="AC17" i="10"/>
  <c r="AF17" i="10" a="1"/>
  <c r="AF17" i="10"/>
  <c r="AG17" i="10" a="1"/>
  <c r="AG17" i="10"/>
  <c r="AE17" i="10" a="1"/>
  <c r="AE17" i="10"/>
  <c r="AI17" i="10"/>
  <c r="AJ17" i="10"/>
  <c r="AD17" i="10" a="1"/>
  <c r="AD17" i="10"/>
  <c r="AC16" i="10" a="1"/>
  <c r="AC16" i="10"/>
  <c r="AF16" i="10" a="1"/>
  <c r="AF16" i="10"/>
  <c r="AG16" i="10" a="1"/>
  <c r="AG16" i="10"/>
  <c r="AE16" i="10" a="1"/>
  <c r="AE16" i="10"/>
  <c r="AI16" i="10"/>
  <c r="AJ16" i="10"/>
  <c r="AD16" i="10" a="1"/>
  <c r="AD16" i="10"/>
  <c r="AC15" i="10" a="1"/>
  <c r="AC15" i="10"/>
  <c r="AF15" i="10" a="1"/>
  <c r="AF15" i="10"/>
  <c r="AG15" i="10" a="1"/>
  <c r="AG15" i="10"/>
  <c r="AE15" i="10" a="1"/>
  <c r="AE15" i="10"/>
  <c r="AI15" i="10"/>
  <c r="AJ15" i="10"/>
  <c r="AD15" i="10" a="1"/>
  <c r="AD15" i="10"/>
  <c r="AC14" i="10" a="1"/>
  <c r="AC14" i="10"/>
  <c r="AF14" i="10" a="1"/>
  <c r="AF14" i="10"/>
  <c r="AG14" i="10" a="1"/>
  <c r="AG14" i="10"/>
  <c r="AE14" i="10" a="1"/>
  <c r="AE14" i="10"/>
  <c r="AI14" i="10"/>
  <c r="AJ14" i="10"/>
  <c r="AD14" i="10" a="1"/>
  <c r="AD14" i="10"/>
  <c r="AC13" i="10" a="1"/>
  <c r="AC13" i="10"/>
  <c r="AF13" i="10" a="1"/>
  <c r="AF13" i="10"/>
  <c r="AG13" i="10" a="1"/>
  <c r="AG13" i="10"/>
  <c r="AE13" i="10" a="1"/>
  <c r="AE13" i="10"/>
  <c r="AI13" i="10"/>
  <c r="AJ13" i="10"/>
  <c r="AD13" i="10" a="1"/>
  <c r="AD13" i="10"/>
  <c r="AC12" i="10" a="1"/>
  <c r="AC12" i="10"/>
  <c r="AF12" i="10" a="1"/>
  <c r="AF12" i="10"/>
  <c r="AG12" i="10" a="1"/>
  <c r="AG12" i="10"/>
  <c r="AE12" i="10" a="1"/>
  <c r="AE12" i="10"/>
  <c r="AI12" i="10"/>
  <c r="AJ12" i="10"/>
  <c r="AD12" i="10" a="1"/>
  <c r="AD12" i="10"/>
  <c r="AC11" i="10" a="1"/>
  <c r="AC11" i="10"/>
  <c r="AF11" i="10" a="1"/>
  <c r="AF11" i="10"/>
  <c r="AG11" i="10" a="1"/>
  <c r="AG11" i="10"/>
  <c r="AE11" i="10" a="1"/>
  <c r="AE11" i="10"/>
  <c r="AI11" i="10"/>
  <c r="AJ11" i="10"/>
  <c r="AD11" i="10" a="1"/>
  <c r="AD11" i="10"/>
  <c r="AC10" i="10" a="1"/>
  <c r="AC10" i="10"/>
  <c r="AF10" i="10" a="1"/>
  <c r="AF10" i="10"/>
  <c r="AG10" i="10" a="1"/>
  <c r="AG10" i="10"/>
  <c r="AE10" i="10" a="1"/>
  <c r="AE10" i="10"/>
  <c r="AI10" i="10"/>
  <c r="AJ10" i="10"/>
  <c r="AD10" i="10" a="1"/>
  <c r="AD10" i="10"/>
  <c r="AC9" i="10" a="1"/>
  <c r="AC9" i="10"/>
  <c r="AF9" i="10" a="1"/>
  <c r="AF9" i="10"/>
  <c r="AG9" i="10" a="1"/>
  <c r="AG9" i="10"/>
  <c r="AE9" i="10" a="1"/>
  <c r="AE9" i="10"/>
  <c r="AI9" i="10"/>
  <c r="AJ9" i="10"/>
  <c r="AD9" i="10" a="1"/>
  <c r="AD9" i="10"/>
  <c r="S38" i="1"/>
  <c r="S39" i="1"/>
  <c r="T36" i="1"/>
  <c r="T37" i="1"/>
  <c r="T38" i="1"/>
  <c r="U36" i="1"/>
  <c r="U37" i="1"/>
  <c r="U38" i="1"/>
  <c r="V36" i="1"/>
  <c r="V37" i="1"/>
  <c r="V38" i="1"/>
  <c r="W36" i="1"/>
  <c r="W37" i="1"/>
  <c r="W38" i="1"/>
  <c r="X36" i="1"/>
  <c r="X37" i="1"/>
  <c r="X38" i="1"/>
  <c r="Y36" i="1"/>
  <c r="Y37" i="1"/>
  <c r="Y38" i="1"/>
  <c r="Z36" i="1"/>
  <c r="Z37" i="1"/>
  <c r="Z38" i="1"/>
  <c r="AA36" i="1"/>
  <c r="AA37" i="1"/>
  <c r="AA38" i="1"/>
  <c r="AB36" i="1"/>
  <c r="AB37" i="1"/>
  <c r="AB38" i="1"/>
  <c r="AC36" i="1"/>
  <c r="AC37" i="1"/>
  <c r="AC38" i="1"/>
  <c r="AD36" i="1"/>
  <c r="AD37" i="1"/>
  <c r="AD38" i="1"/>
  <c r="AE37" i="1"/>
  <c r="AE38" i="1"/>
  <c r="Y39" i="1"/>
  <c r="C32" i="1"/>
  <c r="E31" i="1"/>
  <c r="D32" i="1"/>
  <c r="E32" i="1"/>
  <c r="F32" i="1"/>
  <c r="G32" i="1"/>
  <c r="H32" i="1"/>
  <c r="I32" i="1"/>
  <c r="Y40" i="1"/>
  <c r="D6" i="1"/>
  <c r="D8" i="1"/>
  <c r="C9" i="1"/>
  <c r="C13" i="1"/>
  <c r="D12" i="1"/>
  <c r="D7" i="1"/>
  <c r="D33" i="1"/>
  <c r="D34" i="1"/>
  <c r="E33" i="1"/>
  <c r="E34" i="1"/>
  <c r="F33" i="1"/>
  <c r="F34" i="1"/>
  <c r="G33" i="1"/>
  <c r="G34" i="1"/>
  <c r="H33" i="1"/>
  <c r="H34" i="1"/>
  <c r="I33" i="1"/>
  <c r="I34" i="1"/>
  <c r="J32" i="1"/>
  <c r="J33" i="1"/>
  <c r="J34" i="1"/>
  <c r="K32" i="1"/>
  <c r="K33" i="1"/>
  <c r="K34" i="1"/>
  <c r="L32" i="1"/>
  <c r="L33" i="1"/>
  <c r="L34" i="1"/>
  <c r="M32" i="1"/>
  <c r="M33" i="1"/>
  <c r="M34" i="1"/>
  <c r="N32" i="1"/>
  <c r="N33" i="1"/>
  <c r="N34" i="1"/>
  <c r="O32" i="1"/>
  <c r="O33" i="1"/>
  <c r="O34" i="1"/>
  <c r="P32" i="1"/>
  <c r="P33" i="1"/>
  <c r="P34" i="1"/>
  <c r="Q32" i="1"/>
  <c r="Q33" i="1"/>
  <c r="Q34" i="1"/>
  <c r="R32" i="1"/>
  <c r="R33" i="1"/>
  <c r="R34" i="1"/>
  <c r="S32" i="1"/>
  <c r="S33" i="1"/>
  <c r="S34" i="1"/>
  <c r="T32" i="1"/>
  <c r="T33" i="1"/>
  <c r="T34" i="1"/>
  <c r="U33" i="1"/>
  <c r="U34" i="1"/>
  <c r="H37" i="1"/>
  <c r="CJ83" i="10"/>
  <c r="CK83" i="10"/>
  <c r="CJ76" i="10"/>
  <c r="CK76" i="10"/>
  <c r="CJ77" i="10"/>
  <c r="CK77" i="10"/>
  <c r="CJ78" i="10"/>
  <c r="CK78" i="10"/>
  <c r="CJ79" i="10"/>
  <c r="CK79" i="10"/>
  <c r="CJ80" i="10"/>
  <c r="CK80" i="10"/>
  <c r="CJ81" i="10"/>
  <c r="CK81" i="10"/>
  <c r="CJ82" i="10"/>
  <c r="CK82" i="10"/>
  <c r="CK75" i="10"/>
  <c r="CJ75" i="10"/>
  <c r="G31" i="12"/>
  <c r="G34" i="12"/>
  <c r="M79" i="12"/>
  <c r="P79" i="12"/>
  <c r="S79" i="12"/>
  <c r="Q79" i="12"/>
  <c r="T79" i="12"/>
  <c r="I9" i="8"/>
  <c r="CQ69" i="10"/>
  <c r="CP69" i="10"/>
  <c r="CO69" i="10"/>
  <c r="CP48" i="10"/>
  <c r="CO71" i="10"/>
  <c r="CP58" i="10"/>
  <c r="CP70" i="10"/>
  <c r="CN70" i="10"/>
  <c r="CN71" i="10"/>
  <c r="CN72" i="10"/>
  <c r="CN73" i="10"/>
  <c r="CN74" i="10"/>
  <c r="CN75" i="10"/>
  <c r="CN69" i="10"/>
  <c r="CP49" i="10"/>
  <c r="CO72" i="10"/>
  <c r="CP50" i="10"/>
  <c r="CO73" i="10"/>
  <c r="CP51" i="10"/>
  <c r="CO74" i="10"/>
  <c r="CP52" i="10"/>
  <c r="CO75" i="10"/>
  <c r="CP53" i="10"/>
  <c r="CP54" i="10"/>
  <c r="CP47" i="10"/>
  <c r="CO70" i="10"/>
  <c r="CP59" i="10"/>
  <c r="CP71" i="10"/>
  <c r="CP60" i="10"/>
  <c r="CP72" i="10"/>
  <c r="CP61" i="10"/>
  <c r="CP73" i="10"/>
  <c r="CP62" i="10"/>
  <c r="CP74" i="10"/>
  <c r="CP63" i="10"/>
  <c r="CP75" i="10"/>
  <c r="CP64" i="10"/>
  <c r="CP65" i="10"/>
  <c r="L2" i="8"/>
  <c r="J10" i="8"/>
  <c r="H11" i="8"/>
  <c r="CL47" i="10"/>
  <c r="CL48" i="10"/>
  <c r="CL49" i="10"/>
  <c r="CL50" i="10"/>
  <c r="CL51" i="10"/>
  <c r="CL52" i="10"/>
  <c r="CL53" i="10"/>
  <c r="CL54" i="10"/>
  <c r="CL55" i="10"/>
  <c r="CL46" i="10"/>
  <c r="CK46" i="10"/>
  <c r="CK47" i="10"/>
  <c r="CK48" i="10"/>
  <c r="CK49" i="10"/>
  <c r="CK50" i="10"/>
  <c r="CK51" i="10"/>
  <c r="CK52" i="10"/>
  <c r="CK53" i="10"/>
  <c r="CK54" i="10"/>
  <c r="CK55" i="10"/>
  <c r="L3" i="8"/>
  <c r="J6" i="8"/>
  <c r="L8" i="8"/>
  <c r="L7" i="8"/>
  <c r="J38" i="12"/>
  <c r="H39" i="12"/>
  <c r="H40" i="12"/>
  <c r="P78" i="12"/>
  <c r="N79" i="12"/>
  <c r="P80" i="12"/>
  <c r="N80" i="12"/>
  <c r="CQ60" i="10"/>
  <c r="CQ72" i="10"/>
  <c r="CQ63" i="10"/>
  <c r="CQ75" i="10"/>
  <c r="CQ65" i="10"/>
  <c r="CQ64" i="10"/>
  <c r="CQ62" i="10"/>
  <c r="CQ74" i="10"/>
  <c r="CQ61" i="10"/>
  <c r="CQ73" i="10"/>
  <c r="CQ59" i="10"/>
  <c r="CQ71" i="10"/>
  <c r="CQ58" i="10"/>
  <c r="CQ70" i="10"/>
  <c r="CM50" i="10"/>
  <c r="J7" i="8"/>
  <c r="J5" i="8"/>
  <c r="L31" i="8"/>
  <c r="I39" i="12"/>
  <c r="I40" i="12"/>
  <c r="G39" i="12"/>
  <c r="G40" i="12"/>
  <c r="J43" i="12"/>
  <c r="J13" i="8"/>
  <c r="R33" i="8"/>
  <c r="BW4" i="10"/>
  <c r="CD6" i="10"/>
  <c r="CF9" i="10"/>
  <c r="CI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F26" i="10"/>
  <c r="CF27" i="10"/>
  <c r="CF28" i="10"/>
  <c r="CF29" i="10"/>
  <c r="CF30" i="10"/>
  <c r="CF31" i="10"/>
  <c r="CF32" i="10"/>
  <c r="CF33" i="10"/>
  <c r="CF34" i="10"/>
  <c r="CF35" i="10"/>
  <c r="CF36" i="10"/>
  <c r="CF37" i="10"/>
  <c r="CF38" i="10"/>
  <c r="CF39" i="10"/>
  <c r="CF40" i="10"/>
  <c r="CF41" i="10"/>
  <c r="CF42" i="10"/>
  <c r="CF43" i="10"/>
  <c r="CF44" i="10"/>
  <c r="CF45" i="10"/>
  <c r="CF46" i="10"/>
  <c r="CF47" i="10"/>
  <c r="CF48" i="10"/>
  <c r="CF49" i="10"/>
  <c r="CF50" i="10"/>
  <c r="CF51" i="10"/>
  <c r="CF52" i="10"/>
  <c r="CF53" i="10"/>
  <c r="CF54" i="10"/>
  <c r="CF55" i="10"/>
  <c r="CF56" i="10"/>
  <c r="CF57" i="10"/>
  <c r="CF58" i="10"/>
  <c r="CF59" i="10"/>
  <c r="CF60" i="10"/>
  <c r="CF61" i="10"/>
  <c r="CF62" i="10"/>
  <c r="CF63" i="10"/>
  <c r="CF64" i="10"/>
  <c r="CF65" i="10"/>
  <c r="CF66" i="10"/>
  <c r="CF67" i="10"/>
  <c r="CF68" i="10"/>
  <c r="CF69" i="10"/>
  <c r="CF70" i="10"/>
  <c r="CF71" i="10"/>
  <c r="CF72" i="10"/>
  <c r="CF73" i="10"/>
  <c r="CF74" i="10"/>
  <c r="CF75" i="10"/>
  <c r="CF76" i="10"/>
  <c r="CF77" i="10"/>
  <c r="CF78" i="10"/>
  <c r="CF79" i="10"/>
  <c r="CF80" i="10"/>
  <c r="CF81" i="10"/>
  <c r="CF82" i="10"/>
  <c r="CF83" i="10"/>
  <c r="CF84" i="10"/>
  <c r="CF85" i="10"/>
  <c r="CF86" i="10"/>
  <c r="CF87" i="10"/>
  <c r="CF88" i="10"/>
  <c r="CF89" i="10"/>
  <c r="CF90" i="10"/>
  <c r="CF91" i="10"/>
  <c r="CF92" i="10"/>
  <c r="CF93" i="10"/>
  <c r="CF94" i="10"/>
  <c r="CF95" i="10"/>
  <c r="CF96" i="10"/>
  <c r="CF97" i="10"/>
  <c r="CF98" i="10"/>
  <c r="CF99" i="10"/>
  <c r="CF100" i="10"/>
  <c r="CF101" i="10"/>
  <c r="CF102" i="10"/>
  <c r="CF103" i="10"/>
  <c r="CF104" i="10"/>
  <c r="CF105" i="10"/>
  <c r="CF106" i="10"/>
  <c r="CF107" i="10"/>
  <c r="CF108" i="10"/>
  <c r="CF109" i="10"/>
  <c r="CF110" i="10"/>
  <c r="CF111" i="10"/>
  <c r="CF112" i="10"/>
  <c r="CF113" i="10"/>
  <c r="CF114" i="10"/>
  <c r="CF115" i="10"/>
  <c r="CF116" i="10"/>
  <c r="CF117" i="10"/>
  <c r="CF118" i="10"/>
  <c r="CF119" i="10"/>
  <c r="CF120" i="10"/>
  <c r="CF121" i="10"/>
  <c r="CF122" i="10"/>
  <c r="CF123" i="10"/>
  <c r="CF124" i="10"/>
  <c r="CF125" i="10"/>
  <c r="CF126" i="10"/>
  <c r="CF127" i="10"/>
  <c r="CF128" i="10"/>
  <c r="CF129" i="10"/>
  <c r="CF130" i="10"/>
  <c r="CF131" i="10"/>
  <c r="CF132" i="10"/>
  <c r="CF133" i="10"/>
  <c r="CF134" i="10"/>
  <c r="CF135" i="10"/>
  <c r="CF136" i="10"/>
  <c r="CF137" i="10"/>
  <c r="CF138" i="10"/>
  <c r="CF139" i="10"/>
  <c r="CF140" i="10"/>
  <c r="CF141" i="10"/>
  <c r="CF142" i="10"/>
  <c r="CF143" i="10"/>
  <c r="CF144" i="10"/>
  <c r="CF145" i="10"/>
  <c r="CF146" i="10"/>
  <c r="CF147" i="10"/>
  <c r="CF148" i="10"/>
  <c r="CF149" i="10"/>
  <c r="CF150" i="10"/>
  <c r="CF151" i="10"/>
  <c r="CF152" i="10"/>
  <c r="CF153" i="10"/>
  <c r="CF154" i="10"/>
  <c r="CF155" i="10"/>
  <c r="CF156" i="10"/>
  <c r="CF157" i="10"/>
  <c r="CF158" i="10"/>
  <c r="CF159" i="10"/>
  <c r="CF160" i="10"/>
  <c r="CF161" i="10"/>
  <c r="CF162" i="10"/>
  <c r="CF163" i="10"/>
  <c r="CF164" i="10"/>
  <c r="CF165" i="10"/>
  <c r="CF166" i="10"/>
  <c r="CF167" i="10"/>
  <c r="CF168" i="10"/>
  <c r="CF169" i="10"/>
  <c r="CF170" i="10"/>
  <c r="CF171" i="10"/>
  <c r="CF172" i="10"/>
  <c r="CF173" i="10"/>
  <c r="CF174" i="10"/>
  <c r="CF175" i="10"/>
  <c r="CF176" i="10"/>
  <c r="CF177" i="10"/>
  <c r="CF178" i="10"/>
  <c r="CF179" i="10"/>
  <c r="CF180" i="10"/>
  <c r="CF181" i="10"/>
  <c r="CF182" i="10"/>
  <c r="CF183" i="10"/>
  <c r="CF184" i="10"/>
  <c r="CF185" i="10"/>
  <c r="CF186" i="10"/>
  <c r="CF187" i="10"/>
  <c r="CF188" i="10"/>
  <c r="CF189" i="10"/>
  <c r="CF190" i="10"/>
  <c r="CF191" i="10"/>
  <c r="CF192" i="10"/>
  <c r="CF193" i="10"/>
  <c r="CF194" i="10"/>
  <c r="CF195" i="10"/>
  <c r="CF196" i="10"/>
  <c r="CF197" i="10"/>
  <c r="CF198" i="10"/>
  <c r="CF199" i="10"/>
  <c r="CF200" i="10"/>
  <c r="CF201" i="10"/>
  <c r="CF202" i="10"/>
  <c r="CF203" i="10"/>
  <c r="CF204" i="10"/>
  <c r="CF205" i="10"/>
  <c r="CF206" i="10"/>
  <c r="CF207" i="10"/>
  <c r="CF208" i="10"/>
  <c r="CF209" i="10"/>
  <c r="CF210" i="10"/>
  <c r="CF211" i="10"/>
  <c r="CF212" i="10"/>
  <c r="CF213" i="10"/>
  <c r="CF214" i="10"/>
  <c r="CF215" i="10"/>
  <c r="CF216" i="10"/>
  <c r="CF217" i="10"/>
  <c r="CF218" i="10"/>
  <c r="CF219" i="10"/>
  <c r="CF220" i="10"/>
  <c r="CF221" i="10"/>
  <c r="CF222" i="10"/>
  <c r="CF223" i="10"/>
  <c r="CF224" i="10"/>
  <c r="CF225" i="10"/>
  <c r="CF226" i="10"/>
  <c r="CF227" i="10"/>
  <c r="CF228" i="10"/>
  <c r="CF229" i="10"/>
  <c r="CF230" i="10"/>
  <c r="CF231" i="10"/>
  <c r="CF232" i="10"/>
  <c r="CF233" i="10"/>
  <c r="CF234" i="10"/>
  <c r="CF235" i="10"/>
  <c r="CF236" i="10"/>
  <c r="CF237" i="10"/>
  <c r="CF238" i="10"/>
  <c r="CF239" i="10"/>
  <c r="CF240" i="10"/>
  <c r="CF241" i="10"/>
  <c r="CF242" i="10"/>
  <c r="CF243" i="10"/>
  <c r="CF244" i="10"/>
  <c r="CF245" i="10"/>
  <c r="CF246" i="10"/>
  <c r="CF247" i="10"/>
  <c r="CF248" i="10"/>
  <c r="P77" i="12"/>
  <c r="N78" i="12"/>
  <c r="Q78" i="12"/>
  <c r="S78" i="12"/>
  <c r="T78" i="12"/>
  <c r="Q80" i="12"/>
  <c r="R80" i="12"/>
  <c r="T80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106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4" i="12"/>
  <c r="M5" i="12"/>
  <c r="P6" i="12"/>
  <c r="P5" i="12"/>
  <c r="N6" i="12"/>
  <c r="P7" i="12"/>
  <c r="N7" i="12"/>
  <c r="P8" i="12"/>
  <c r="N8" i="12"/>
  <c r="P9" i="12"/>
  <c r="N9" i="12"/>
  <c r="P10" i="12"/>
  <c r="N10" i="12"/>
  <c r="P11" i="12"/>
  <c r="N11" i="12"/>
  <c r="P12" i="12"/>
  <c r="N12" i="12"/>
  <c r="P13" i="12"/>
  <c r="N13" i="12"/>
  <c r="P14" i="12"/>
  <c r="N14" i="12"/>
  <c r="P15" i="12"/>
  <c r="N15" i="12"/>
  <c r="P16" i="12"/>
  <c r="N16" i="12"/>
  <c r="P17" i="12"/>
  <c r="N17" i="12"/>
  <c r="P18" i="12"/>
  <c r="N18" i="12"/>
  <c r="P19" i="12"/>
  <c r="N19" i="12"/>
  <c r="P20" i="12"/>
  <c r="N20" i="12"/>
  <c r="P21" i="12"/>
  <c r="N21" i="12"/>
  <c r="P22" i="12"/>
  <c r="N22" i="12"/>
  <c r="P23" i="12"/>
  <c r="N23" i="12"/>
  <c r="P24" i="12"/>
  <c r="N24" i="12"/>
  <c r="P25" i="12"/>
  <c r="N25" i="12"/>
  <c r="P26" i="12"/>
  <c r="N26" i="12"/>
  <c r="P27" i="12"/>
  <c r="N27" i="12"/>
  <c r="P28" i="12"/>
  <c r="N28" i="12"/>
  <c r="P29" i="12"/>
  <c r="N29" i="12"/>
  <c r="P30" i="12"/>
  <c r="N30" i="12"/>
  <c r="P31" i="12"/>
  <c r="N31" i="12"/>
  <c r="P32" i="12"/>
  <c r="N32" i="12"/>
  <c r="P33" i="12"/>
  <c r="N33" i="12"/>
  <c r="P34" i="12"/>
  <c r="N34" i="12"/>
  <c r="P35" i="12"/>
  <c r="N35" i="12"/>
  <c r="P36" i="12"/>
  <c r="N36" i="12"/>
  <c r="P37" i="12"/>
  <c r="N37" i="12"/>
  <c r="P38" i="12"/>
  <c r="N38" i="12"/>
  <c r="P39" i="12"/>
  <c r="N39" i="12"/>
  <c r="P40" i="12"/>
  <c r="N40" i="12"/>
  <c r="P41" i="12"/>
  <c r="N41" i="12"/>
  <c r="P42" i="12"/>
  <c r="N42" i="12"/>
  <c r="P43" i="12"/>
  <c r="N43" i="12"/>
  <c r="P44" i="12"/>
  <c r="N44" i="12"/>
  <c r="P45" i="12"/>
  <c r="N45" i="12"/>
  <c r="P46" i="12"/>
  <c r="N46" i="12"/>
  <c r="P47" i="12"/>
  <c r="N47" i="12"/>
  <c r="P48" i="12"/>
  <c r="N48" i="12"/>
  <c r="P49" i="12"/>
  <c r="N49" i="12"/>
  <c r="P50" i="12"/>
  <c r="N50" i="12"/>
  <c r="P51" i="12"/>
  <c r="N51" i="12"/>
  <c r="P52" i="12"/>
  <c r="N52" i="12"/>
  <c r="P53" i="12"/>
  <c r="N53" i="12"/>
  <c r="P54" i="12"/>
  <c r="N54" i="12"/>
  <c r="P55" i="12"/>
  <c r="N55" i="12"/>
  <c r="P56" i="12"/>
  <c r="N56" i="12"/>
  <c r="P57" i="12"/>
  <c r="N57" i="12"/>
  <c r="P58" i="12"/>
  <c r="N58" i="12"/>
  <c r="P59" i="12"/>
  <c r="N59" i="12"/>
  <c r="P60" i="12"/>
  <c r="N60" i="12"/>
  <c r="P61" i="12"/>
  <c r="N61" i="12"/>
  <c r="P62" i="12"/>
  <c r="N62" i="12"/>
  <c r="P63" i="12"/>
  <c r="N63" i="12"/>
  <c r="P64" i="12"/>
  <c r="N64" i="12"/>
  <c r="P65" i="12"/>
  <c r="N65" i="12"/>
  <c r="P66" i="12"/>
  <c r="N66" i="12"/>
  <c r="P67" i="12"/>
  <c r="N67" i="12"/>
  <c r="P68" i="12"/>
  <c r="N68" i="12"/>
  <c r="P69" i="12"/>
  <c r="N69" i="12"/>
  <c r="P70" i="12"/>
  <c r="N70" i="12"/>
  <c r="P71" i="12"/>
  <c r="N71" i="12"/>
  <c r="P72" i="12"/>
  <c r="N72" i="12"/>
  <c r="P73" i="12"/>
  <c r="N73" i="12"/>
  <c r="P74" i="12"/>
  <c r="N74" i="12"/>
  <c r="P75" i="12"/>
  <c r="N75" i="12"/>
  <c r="P76" i="12"/>
  <c r="N76" i="12"/>
  <c r="N77" i="12"/>
  <c r="P81" i="12"/>
  <c r="N81" i="12"/>
  <c r="P82" i="12"/>
  <c r="N82" i="12"/>
  <c r="P83" i="12"/>
  <c r="N83" i="12"/>
  <c r="P84" i="12"/>
  <c r="N84" i="12"/>
  <c r="P85" i="12"/>
  <c r="N85" i="12"/>
  <c r="P86" i="12"/>
  <c r="N86" i="12"/>
  <c r="P87" i="12"/>
  <c r="N87" i="12"/>
  <c r="P88" i="12"/>
  <c r="N88" i="12"/>
  <c r="P89" i="12"/>
  <c r="N89" i="12"/>
  <c r="P90" i="12"/>
  <c r="N90" i="12"/>
  <c r="P91" i="12"/>
  <c r="N91" i="12"/>
  <c r="P92" i="12"/>
  <c r="N92" i="12"/>
  <c r="P93" i="12"/>
  <c r="N93" i="12"/>
  <c r="P94" i="12"/>
  <c r="N94" i="12"/>
  <c r="P95" i="12"/>
  <c r="N95" i="12"/>
  <c r="P96" i="12"/>
  <c r="N96" i="12"/>
  <c r="P97" i="12"/>
  <c r="N97" i="12"/>
  <c r="P98" i="12"/>
  <c r="N98" i="12"/>
  <c r="P99" i="12"/>
  <c r="N99" i="12"/>
  <c r="P100" i="12"/>
  <c r="N100" i="12"/>
  <c r="P101" i="12"/>
  <c r="N101" i="12"/>
  <c r="P102" i="12"/>
  <c r="N102" i="12"/>
  <c r="P103" i="12"/>
  <c r="N103" i="12"/>
  <c r="P104" i="12"/>
  <c r="N104" i="12"/>
  <c r="P105" i="12"/>
  <c r="N105" i="12"/>
  <c r="P106" i="12"/>
  <c r="N106" i="12"/>
  <c r="P107" i="12"/>
  <c r="N107" i="12"/>
  <c r="P108" i="12"/>
  <c r="N108" i="12"/>
  <c r="P109" i="12"/>
  <c r="N109" i="12"/>
  <c r="P110" i="12"/>
  <c r="N110" i="12"/>
  <c r="P111" i="12"/>
  <c r="N111" i="12"/>
  <c r="P112" i="12"/>
  <c r="N112" i="12"/>
  <c r="P113" i="12"/>
  <c r="N113" i="12"/>
  <c r="P114" i="12"/>
  <c r="N114" i="12"/>
  <c r="P115" i="12"/>
  <c r="N115" i="12"/>
  <c r="P116" i="12"/>
  <c r="N116" i="12"/>
  <c r="P117" i="12"/>
  <c r="N117" i="12"/>
  <c r="P118" i="12"/>
  <c r="N118" i="12"/>
  <c r="P119" i="12"/>
  <c r="N119" i="12"/>
  <c r="P120" i="12"/>
  <c r="N120" i="12"/>
  <c r="P121" i="12"/>
  <c r="N121" i="12"/>
  <c r="P122" i="12"/>
  <c r="N122" i="12"/>
  <c r="P123" i="12"/>
  <c r="N123" i="12"/>
  <c r="P124" i="12"/>
  <c r="N124" i="12"/>
  <c r="P125" i="12"/>
  <c r="N125" i="12"/>
  <c r="P126" i="12"/>
  <c r="N126" i="12"/>
  <c r="P127" i="12"/>
  <c r="N127" i="12"/>
  <c r="P128" i="12"/>
  <c r="N128" i="12"/>
  <c r="P129" i="12"/>
  <c r="N129" i="12"/>
  <c r="P130" i="12"/>
  <c r="N130" i="12"/>
  <c r="P131" i="12"/>
  <c r="N131" i="12"/>
  <c r="P132" i="12"/>
  <c r="N132" i="12"/>
  <c r="P133" i="12"/>
  <c r="N133" i="12"/>
  <c r="P134" i="12"/>
  <c r="N134" i="12"/>
  <c r="P135" i="12"/>
  <c r="N135" i="12"/>
  <c r="P136" i="12"/>
  <c r="N136" i="12"/>
  <c r="P137" i="12"/>
  <c r="N137" i="12"/>
  <c r="P138" i="12"/>
  <c r="N138" i="12"/>
  <c r="P139" i="12"/>
  <c r="N139" i="12"/>
  <c r="P140" i="12"/>
  <c r="N140" i="12"/>
  <c r="P141" i="12"/>
  <c r="N141" i="12"/>
  <c r="P142" i="12"/>
  <c r="N142" i="12"/>
  <c r="P143" i="12"/>
  <c r="N143" i="12"/>
  <c r="P144" i="12"/>
  <c r="N144" i="12"/>
  <c r="P145" i="12"/>
  <c r="N145" i="12"/>
  <c r="P146" i="12"/>
  <c r="N146" i="12"/>
  <c r="P147" i="12"/>
  <c r="N147" i="12"/>
  <c r="P148" i="12"/>
  <c r="N148" i="12"/>
  <c r="P149" i="12"/>
  <c r="N149" i="12"/>
  <c r="P150" i="12"/>
  <c r="N150" i="12"/>
  <c r="P151" i="12"/>
  <c r="N151" i="12"/>
  <c r="P152" i="12"/>
  <c r="N152" i="12"/>
  <c r="P153" i="12"/>
  <c r="N153" i="12"/>
  <c r="P154" i="12"/>
  <c r="N154" i="12"/>
  <c r="P155" i="12"/>
  <c r="N155" i="12"/>
  <c r="P156" i="12"/>
  <c r="N156" i="12"/>
  <c r="P157" i="12"/>
  <c r="N157" i="12"/>
  <c r="P158" i="12"/>
  <c r="N158" i="12"/>
  <c r="P159" i="12"/>
  <c r="N159" i="12"/>
  <c r="P160" i="12"/>
  <c r="N160" i="12"/>
  <c r="P161" i="12"/>
  <c r="N161" i="12"/>
  <c r="P162" i="12"/>
  <c r="N162" i="12"/>
  <c r="P163" i="12"/>
  <c r="N163" i="12"/>
  <c r="P164" i="12"/>
  <c r="N164" i="12"/>
  <c r="P165" i="12"/>
  <c r="N165" i="12"/>
  <c r="P166" i="12"/>
  <c r="N166" i="12"/>
  <c r="P167" i="12"/>
  <c r="N167" i="12"/>
  <c r="P168" i="12"/>
  <c r="N168" i="12"/>
  <c r="P169" i="12"/>
  <c r="N169" i="12"/>
  <c r="P170" i="12"/>
  <c r="N170" i="12"/>
  <c r="P171" i="12"/>
  <c r="N171" i="12"/>
  <c r="P172" i="12"/>
  <c r="N172" i="12"/>
  <c r="P173" i="12"/>
  <c r="N173" i="12"/>
  <c r="P174" i="12"/>
  <c r="N174" i="12"/>
  <c r="P175" i="12"/>
  <c r="N175" i="12"/>
  <c r="P176" i="12"/>
  <c r="N176" i="12"/>
  <c r="P177" i="12"/>
  <c r="N177" i="12"/>
  <c r="P178" i="12"/>
  <c r="N178" i="12"/>
  <c r="P179" i="12"/>
  <c r="N179" i="12"/>
  <c r="P180" i="12"/>
  <c r="N180" i="12"/>
  <c r="P181" i="12"/>
  <c r="N181" i="12"/>
  <c r="P182" i="12"/>
  <c r="N182" i="12"/>
  <c r="P183" i="12"/>
  <c r="N183" i="12"/>
  <c r="P184" i="12"/>
  <c r="N184" i="12"/>
  <c r="P185" i="12"/>
  <c r="N185" i="12"/>
  <c r="P186" i="12"/>
  <c r="N186" i="12"/>
  <c r="P187" i="12"/>
  <c r="N187" i="12"/>
  <c r="P188" i="12"/>
  <c r="N188" i="12"/>
  <c r="P189" i="12"/>
  <c r="N189" i="12"/>
  <c r="P190" i="12"/>
  <c r="N190" i="12"/>
  <c r="P191" i="12"/>
  <c r="N191" i="12"/>
  <c r="P192" i="12"/>
  <c r="N192" i="12"/>
  <c r="P193" i="12"/>
  <c r="N193" i="12"/>
  <c r="P194" i="12"/>
  <c r="N194" i="12"/>
  <c r="P195" i="12"/>
  <c r="N195" i="12"/>
  <c r="P196" i="12"/>
  <c r="N196" i="12"/>
  <c r="P197" i="12"/>
  <c r="N197" i="12"/>
  <c r="P198" i="12"/>
  <c r="N198" i="12"/>
  <c r="P199" i="12"/>
  <c r="N199" i="12"/>
  <c r="P200" i="12"/>
  <c r="N200" i="12"/>
  <c r="P201" i="12"/>
  <c r="N201" i="12"/>
  <c r="P202" i="12"/>
  <c r="N202" i="12"/>
  <c r="P203" i="12"/>
  <c r="N203" i="12"/>
  <c r="P204" i="12"/>
  <c r="N204" i="12"/>
  <c r="P205" i="12"/>
  <c r="N205" i="12"/>
  <c r="P206" i="12"/>
  <c r="N206" i="12"/>
  <c r="P4" i="12"/>
  <c r="N5" i="12"/>
  <c r="I107" i="12"/>
  <c r="Q105" i="12"/>
  <c r="T105" i="12"/>
  <c r="R81" i="12"/>
  <c r="R82" i="12"/>
  <c r="R83" i="12"/>
  <c r="R84" i="12"/>
  <c r="R85" i="12"/>
  <c r="R86" i="12"/>
  <c r="Q87" i="12"/>
  <c r="T87" i="12"/>
  <c r="U85" i="12"/>
  <c r="U84" i="12"/>
  <c r="Q5" i="12"/>
  <c r="T5" i="12"/>
  <c r="Q6" i="12"/>
  <c r="T6" i="12"/>
  <c r="Q7" i="12"/>
  <c r="T7" i="12"/>
  <c r="Q8" i="12"/>
  <c r="T8" i="12"/>
  <c r="Q9" i="12"/>
  <c r="T9" i="12"/>
  <c r="Q10" i="12"/>
  <c r="T10" i="12"/>
  <c r="Q11" i="12"/>
  <c r="T11" i="12"/>
  <c r="Q12" i="12"/>
  <c r="T12" i="12"/>
  <c r="Q13" i="12"/>
  <c r="T13" i="12"/>
  <c r="Q14" i="12"/>
  <c r="T14" i="12"/>
  <c r="Q15" i="12"/>
  <c r="T15" i="12"/>
  <c r="Q16" i="12"/>
  <c r="T16" i="12"/>
  <c r="Q17" i="12"/>
  <c r="T17" i="12"/>
  <c r="Q18" i="12"/>
  <c r="T18" i="12"/>
  <c r="Q19" i="12"/>
  <c r="T19" i="12"/>
  <c r="Q20" i="12"/>
  <c r="T20" i="12"/>
  <c r="Q21" i="12"/>
  <c r="T21" i="12"/>
  <c r="Q22" i="12"/>
  <c r="T22" i="12"/>
  <c r="Q23" i="12"/>
  <c r="T23" i="12"/>
  <c r="Q24" i="12"/>
  <c r="T24" i="12"/>
  <c r="Q25" i="12"/>
  <c r="T25" i="12"/>
  <c r="Q26" i="12"/>
  <c r="T26" i="12"/>
  <c r="Q27" i="12"/>
  <c r="T27" i="12"/>
  <c r="Q28" i="12"/>
  <c r="T28" i="12"/>
  <c r="Q29" i="12"/>
  <c r="T29" i="12"/>
  <c r="Q30" i="12"/>
  <c r="T30" i="12"/>
  <c r="Q31" i="12"/>
  <c r="T31" i="12"/>
  <c r="Q32" i="12"/>
  <c r="T32" i="12"/>
  <c r="Q33" i="12"/>
  <c r="T33" i="12"/>
  <c r="Q34" i="12"/>
  <c r="T34" i="12"/>
  <c r="Q35" i="12"/>
  <c r="T35" i="12"/>
  <c r="Q36" i="12"/>
  <c r="T36" i="12"/>
  <c r="Q37" i="12"/>
  <c r="T37" i="12"/>
  <c r="Q38" i="12"/>
  <c r="T38" i="12"/>
  <c r="Q39" i="12"/>
  <c r="T39" i="12"/>
  <c r="Q40" i="12"/>
  <c r="T40" i="12"/>
  <c r="Q41" i="12"/>
  <c r="T41" i="12"/>
  <c r="Q42" i="12"/>
  <c r="T42" i="12"/>
  <c r="Q43" i="12"/>
  <c r="T43" i="12"/>
  <c r="Q44" i="12"/>
  <c r="T44" i="12"/>
  <c r="Q45" i="12"/>
  <c r="T45" i="12"/>
  <c r="Q46" i="12"/>
  <c r="T46" i="12"/>
  <c r="Q47" i="12"/>
  <c r="T47" i="12"/>
  <c r="Q48" i="12"/>
  <c r="T48" i="12"/>
  <c r="Q49" i="12"/>
  <c r="T49" i="12"/>
  <c r="Q50" i="12"/>
  <c r="T50" i="12"/>
  <c r="Q51" i="12"/>
  <c r="T51" i="12"/>
  <c r="Q52" i="12"/>
  <c r="T52" i="12"/>
  <c r="Q53" i="12"/>
  <c r="T53" i="12"/>
  <c r="Q54" i="12"/>
  <c r="T54" i="12"/>
  <c r="Q55" i="12"/>
  <c r="T55" i="12"/>
  <c r="Q56" i="12"/>
  <c r="T56" i="12"/>
  <c r="Q57" i="12"/>
  <c r="T57" i="12"/>
  <c r="Q58" i="12"/>
  <c r="T58" i="12"/>
  <c r="Q59" i="12"/>
  <c r="T59" i="12"/>
  <c r="Q60" i="12"/>
  <c r="T60" i="12"/>
  <c r="Q61" i="12"/>
  <c r="T61" i="12"/>
  <c r="Q62" i="12"/>
  <c r="T62" i="12"/>
  <c r="Q63" i="12"/>
  <c r="T63" i="12"/>
  <c r="Q64" i="12"/>
  <c r="T64" i="12"/>
  <c r="Q65" i="12"/>
  <c r="T65" i="12"/>
  <c r="Q66" i="12"/>
  <c r="T66" i="12"/>
  <c r="Q67" i="12"/>
  <c r="T67" i="12"/>
  <c r="Q68" i="12"/>
  <c r="T68" i="12"/>
  <c r="Q69" i="12"/>
  <c r="T69" i="12"/>
  <c r="Q70" i="12"/>
  <c r="T70" i="12"/>
  <c r="Q71" i="12"/>
  <c r="T71" i="12"/>
  <c r="Q72" i="12"/>
  <c r="T72" i="12"/>
  <c r="Q73" i="12"/>
  <c r="T73" i="12"/>
  <c r="Q74" i="12"/>
  <c r="T74" i="12"/>
  <c r="Q75" i="12"/>
  <c r="T75" i="12"/>
  <c r="Q76" i="12"/>
  <c r="T76" i="12"/>
  <c r="Q77" i="12"/>
  <c r="T77" i="12"/>
  <c r="Q81" i="12"/>
  <c r="T81" i="12"/>
  <c r="Q82" i="12"/>
  <c r="T82" i="12"/>
  <c r="Q83" i="12"/>
  <c r="T83" i="12"/>
  <c r="Q84" i="12"/>
  <c r="T84" i="12"/>
  <c r="Q85" i="12"/>
  <c r="T85" i="12"/>
  <c r="Q86" i="12"/>
  <c r="T86" i="12"/>
  <c r="Q88" i="12"/>
  <c r="T88" i="12"/>
  <c r="Q89" i="12"/>
  <c r="T89" i="12"/>
  <c r="Q90" i="12"/>
  <c r="T90" i="12"/>
  <c r="Q91" i="12"/>
  <c r="T91" i="12"/>
  <c r="Q92" i="12"/>
  <c r="T92" i="12"/>
  <c r="Q93" i="12"/>
  <c r="T93" i="12"/>
  <c r="Q94" i="12"/>
  <c r="T94" i="12"/>
  <c r="Q95" i="12"/>
  <c r="T95" i="12"/>
  <c r="Q96" i="12"/>
  <c r="T96" i="12"/>
  <c r="Q97" i="12"/>
  <c r="T97" i="12"/>
  <c r="Q98" i="12"/>
  <c r="T98" i="12"/>
  <c r="Q99" i="12"/>
  <c r="T99" i="12"/>
  <c r="Q100" i="12"/>
  <c r="T100" i="12"/>
  <c r="Q101" i="12"/>
  <c r="T101" i="12"/>
  <c r="Q102" i="12"/>
  <c r="T102" i="12"/>
  <c r="Q103" i="12"/>
  <c r="T103" i="12"/>
  <c r="Q104" i="12"/>
  <c r="T104" i="12"/>
  <c r="Q106" i="12"/>
  <c r="T106" i="12"/>
  <c r="Q107" i="12"/>
  <c r="T107" i="12"/>
  <c r="Q108" i="12"/>
  <c r="T108" i="12"/>
  <c r="Q109" i="12"/>
  <c r="T109" i="12"/>
  <c r="Q110" i="12"/>
  <c r="T110" i="12"/>
  <c r="Q111" i="12"/>
  <c r="T111" i="12"/>
  <c r="Q112" i="12"/>
  <c r="T112" i="12"/>
  <c r="Q113" i="12"/>
  <c r="T113" i="12"/>
  <c r="Q114" i="12"/>
  <c r="T114" i="12"/>
  <c r="Q115" i="12"/>
  <c r="T115" i="12"/>
  <c r="Q116" i="12"/>
  <c r="T116" i="12"/>
  <c r="Q117" i="12"/>
  <c r="T117" i="12"/>
  <c r="Q118" i="12"/>
  <c r="T118" i="12"/>
  <c r="Q119" i="12"/>
  <c r="T119" i="12"/>
  <c r="Q120" i="12"/>
  <c r="T120" i="12"/>
  <c r="Q121" i="12"/>
  <c r="T121" i="12"/>
  <c r="Q122" i="12"/>
  <c r="T122" i="12"/>
  <c r="Q123" i="12"/>
  <c r="T123" i="12"/>
  <c r="Q124" i="12"/>
  <c r="T124" i="12"/>
  <c r="Q125" i="12"/>
  <c r="T125" i="12"/>
  <c r="Q126" i="12"/>
  <c r="T126" i="12"/>
  <c r="Q127" i="12"/>
  <c r="T127" i="12"/>
  <c r="Q128" i="12"/>
  <c r="T128" i="12"/>
  <c r="Q129" i="12"/>
  <c r="T129" i="12"/>
  <c r="Q130" i="12"/>
  <c r="T130" i="12"/>
  <c r="Q131" i="12"/>
  <c r="T131" i="12"/>
  <c r="Q132" i="12"/>
  <c r="T132" i="12"/>
  <c r="Q133" i="12"/>
  <c r="T133" i="12"/>
  <c r="Q134" i="12"/>
  <c r="T134" i="12"/>
  <c r="Q135" i="12"/>
  <c r="T135" i="12"/>
  <c r="Q136" i="12"/>
  <c r="T136" i="12"/>
  <c r="Q137" i="12"/>
  <c r="T137" i="12"/>
  <c r="Q138" i="12"/>
  <c r="T138" i="12"/>
  <c r="Q139" i="12"/>
  <c r="T139" i="12"/>
  <c r="Q140" i="12"/>
  <c r="T140" i="12"/>
  <c r="Q141" i="12"/>
  <c r="T141" i="12"/>
  <c r="Q142" i="12"/>
  <c r="T142" i="12"/>
  <c r="Q143" i="12"/>
  <c r="T143" i="12"/>
  <c r="Q144" i="12"/>
  <c r="T144" i="12"/>
  <c r="Q145" i="12"/>
  <c r="T145" i="12"/>
  <c r="Q146" i="12"/>
  <c r="T146" i="12"/>
  <c r="Q147" i="12"/>
  <c r="T147" i="12"/>
  <c r="Q148" i="12"/>
  <c r="T148" i="12"/>
  <c r="Q149" i="12"/>
  <c r="T149" i="12"/>
  <c r="Q150" i="12"/>
  <c r="T150" i="12"/>
  <c r="Q151" i="12"/>
  <c r="T151" i="12"/>
  <c r="Q152" i="12"/>
  <c r="T152" i="12"/>
  <c r="Q153" i="12"/>
  <c r="T153" i="12"/>
  <c r="Q154" i="12"/>
  <c r="T154" i="12"/>
  <c r="Q155" i="12"/>
  <c r="T155" i="12"/>
  <c r="Q156" i="12"/>
  <c r="T156" i="12"/>
  <c r="Q157" i="12"/>
  <c r="T157" i="12"/>
  <c r="Q158" i="12"/>
  <c r="T158" i="12"/>
  <c r="Q159" i="12"/>
  <c r="T159" i="12"/>
  <c r="Q160" i="12"/>
  <c r="T160" i="12"/>
  <c r="Q161" i="12"/>
  <c r="T161" i="12"/>
  <c r="Q162" i="12"/>
  <c r="T162" i="12"/>
  <c r="Q163" i="12"/>
  <c r="T163" i="12"/>
  <c r="Q164" i="12"/>
  <c r="T164" i="12"/>
  <c r="Q165" i="12"/>
  <c r="T165" i="12"/>
  <c r="Q166" i="12"/>
  <c r="T166" i="12"/>
  <c r="Q167" i="12"/>
  <c r="T167" i="12"/>
  <c r="Q168" i="12"/>
  <c r="T168" i="12"/>
  <c r="Q169" i="12"/>
  <c r="T169" i="12"/>
  <c r="Q170" i="12"/>
  <c r="T170" i="12"/>
  <c r="Q171" i="12"/>
  <c r="T171" i="12"/>
  <c r="Q172" i="12"/>
  <c r="T172" i="12"/>
  <c r="Q173" i="12"/>
  <c r="T173" i="12"/>
  <c r="Q174" i="12"/>
  <c r="T174" i="12"/>
  <c r="Q175" i="12"/>
  <c r="T175" i="12"/>
  <c r="Q176" i="12"/>
  <c r="T176" i="12"/>
  <c r="Q177" i="12"/>
  <c r="T177" i="12"/>
  <c r="Q178" i="12"/>
  <c r="T178" i="12"/>
  <c r="Q179" i="12"/>
  <c r="T179" i="12"/>
  <c r="Q180" i="12"/>
  <c r="T180" i="12"/>
  <c r="Q181" i="12"/>
  <c r="T181" i="12"/>
  <c r="Q182" i="12"/>
  <c r="T182" i="12"/>
  <c r="Q183" i="12"/>
  <c r="T183" i="12"/>
  <c r="Q184" i="12"/>
  <c r="T184" i="12"/>
  <c r="Q185" i="12"/>
  <c r="T185" i="12"/>
  <c r="Q186" i="12"/>
  <c r="T186" i="12"/>
  <c r="Q187" i="12"/>
  <c r="T187" i="12"/>
  <c r="Q188" i="12"/>
  <c r="T188" i="12"/>
  <c r="Q189" i="12"/>
  <c r="T189" i="12"/>
  <c r="Q190" i="12"/>
  <c r="T190" i="12"/>
  <c r="Q191" i="12"/>
  <c r="T191" i="12"/>
  <c r="Q192" i="12"/>
  <c r="T192" i="12"/>
  <c r="Q193" i="12"/>
  <c r="T193" i="12"/>
  <c r="Q194" i="12"/>
  <c r="T194" i="12"/>
  <c r="Q195" i="12"/>
  <c r="T195" i="12"/>
  <c r="Q196" i="12"/>
  <c r="T196" i="12"/>
  <c r="Q197" i="12"/>
  <c r="T197" i="12"/>
  <c r="Q198" i="12"/>
  <c r="T198" i="12"/>
  <c r="Q199" i="12"/>
  <c r="T199" i="12"/>
  <c r="Q200" i="12"/>
  <c r="T200" i="12"/>
  <c r="Q201" i="12"/>
  <c r="T201" i="12"/>
  <c r="Q202" i="12"/>
  <c r="T202" i="12"/>
  <c r="Q203" i="12"/>
  <c r="T203" i="12"/>
  <c r="Q204" i="12"/>
  <c r="T204" i="12"/>
  <c r="Q205" i="12"/>
  <c r="T205" i="12"/>
  <c r="Q206" i="12"/>
  <c r="T206" i="12"/>
  <c r="Q4" i="12"/>
  <c r="T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4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87" i="12"/>
  <c r="N2" i="12"/>
  <c r="W4" i="12"/>
  <c r="X4" i="12"/>
  <c r="W5" i="12"/>
  <c r="X5" i="12"/>
  <c r="W6" i="12"/>
  <c r="X6" i="12"/>
  <c r="W7" i="12"/>
  <c r="X7" i="12"/>
  <c r="W8" i="12"/>
  <c r="X8" i="12"/>
  <c r="W9" i="12"/>
  <c r="X9" i="12"/>
  <c r="W10" i="12"/>
  <c r="X10" i="12"/>
  <c r="W11" i="12"/>
  <c r="X11" i="12"/>
  <c r="W12" i="12"/>
  <c r="X12" i="12"/>
  <c r="W13" i="12"/>
  <c r="X13" i="12"/>
  <c r="W14" i="12"/>
  <c r="X14" i="12"/>
  <c r="W15" i="12"/>
  <c r="X15" i="12"/>
  <c r="W16" i="12"/>
  <c r="X16" i="12"/>
  <c r="W17" i="12"/>
  <c r="X17" i="12"/>
  <c r="W18" i="12"/>
  <c r="X18" i="12"/>
  <c r="W19" i="12"/>
  <c r="X19" i="12"/>
  <c r="W20" i="12"/>
  <c r="X20" i="12"/>
  <c r="W21" i="12"/>
  <c r="X21" i="12"/>
  <c r="W22" i="12"/>
  <c r="X22" i="12"/>
  <c r="W23" i="12"/>
  <c r="X23" i="12"/>
  <c r="W24" i="12"/>
  <c r="X24" i="12"/>
  <c r="W25" i="12"/>
  <c r="X25" i="12"/>
  <c r="W26" i="12"/>
  <c r="X26" i="12"/>
  <c r="W27" i="12"/>
  <c r="X27" i="12"/>
  <c r="W28" i="12"/>
  <c r="X28" i="12"/>
  <c r="W29" i="12"/>
  <c r="X29" i="12"/>
  <c r="W30" i="12"/>
  <c r="X30" i="12"/>
  <c r="W31" i="12"/>
  <c r="X31" i="12"/>
  <c r="W32" i="12"/>
  <c r="X32" i="12"/>
  <c r="W33" i="12"/>
  <c r="X33" i="12"/>
  <c r="W34" i="12"/>
  <c r="X34" i="12"/>
  <c r="W35" i="12"/>
  <c r="X35" i="12"/>
  <c r="W36" i="12"/>
  <c r="X36" i="12"/>
  <c r="W37" i="12"/>
  <c r="X37" i="12"/>
  <c r="W38" i="12"/>
  <c r="X38" i="12"/>
  <c r="W39" i="12"/>
  <c r="X39" i="12"/>
  <c r="W40" i="12"/>
  <c r="X40" i="12"/>
  <c r="W41" i="12"/>
  <c r="X41" i="12"/>
  <c r="W42" i="12"/>
  <c r="X42" i="12"/>
  <c r="W43" i="12"/>
  <c r="X43" i="12"/>
  <c r="W44" i="12"/>
  <c r="X44" i="12"/>
  <c r="W45" i="12"/>
  <c r="X45" i="12"/>
  <c r="W46" i="12"/>
  <c r="X46" i="12"/>
  <c r="W47" i="12"/>
  <c r="X47" i="12"/>
  <c r="W48" i="12"/>
  <c r="X48" i="12"/>
  <c r="W49" i="12"/>
  <c r="X49" i="12"/>
  <c r="W50" i="12"/>
  <c r="X50" i="12"/>
  <c r="W51" i="12"/>
  <c r="X51" i="12"/>
  <c r="W52" i="12"/>
  <c r="X52" i="12"/>
  <c r="W53" i="12"/>
  <c r="X53" i="12"/>
  <c r="W54" i="12"/>
  <c r="X54" i="12"/>
  <c r="W55" i="12"/>
  <c r="X55" i="12"/>
  <c r="W56" i="12"/>
  <c r="X56" i="12"/>
  <c r="W57" i="12"/>
  <c r="X57" i="12"/>
  <c r="W58" i="12"/>
  <c r="X58" i="12"/>
  <c r="W59" i="12"/>
  <c r="X59" i="12"/>
  <c r="W60" i="12"/>
  <c r="X60" i="12"/>
  <c r="W61" i="12"/>
  <c r="X61" i="12"/>
  <c r="W62" i="12"/>
  <c r="X62" i="12"/>
  <c r="W63" i="12"/>
  <c r="X63" i="12"/>
  <c r="W64" i="12"/>
  <c r="X64" i="12"/>
  <c r="W65" i="12"/>
  <c r="X65" i="12"/>
  <c r="W66" i="12"/>
  <c r="X66" i="12"/>
  <c r="W67" i="12"/>
  <c r="X67" i="12"/>
  <c r="W68" i="12"/>
  <c r="X68" i="12"/>
  <c r="W69" i="12"/>
  <c r="X69" i="12"/>
  <c r="W70" i="12"/>
  <c r="X70" i="12"/>
  <c r="W71" i="12"/>
  <c r="X71" i="12"/>
  <c r="W72" i="12"/>
  <c r="X72" i="12"/>
  <c r="W73" i="12"/>
  <c r="X73" i="12"/>
  <c r="W74" i="12"/>
  <c r="X74" i="12"/>
  <c r="W75" i="12"/>
  <c r="X75" i="12"/>
  <c r="W76" i="12"/>
  <c r="X76" i="12"/>
  <c r="W77" i="12"/>
  <c r="X77" i="12"/>
  <c r="W78" i="12"/>
  <c r="X78" i="12"/>
  <c r="W79" i="12"/>
  <c r="X79" i="12"/>
  <c r="W80" i="12"/>
  <c r="X80" i="12"/>
  <c r="W81" i="12"/>
  <c r="X81" i="12"/>
  <c r="W82" i="12"/>
  <c r="X82" i="12"/>
  <c r="W83" i="12"/>
  <c r="X83" i="12"/>
  <c r="W84" i="12"/>
  <c r="X84" i="12"/>
  <c r="W85" i="12"/>
  <c r="X85" i="12"/>
  <c r="W86" i="12"/>
  <c r="X86" i="12"/>
  <c r="W87" i="12"/>
  <c r="X87" i="12"/>
  <c r="W88" i="12"/>
  <c r="X88" i="12"/>
  <c r="W89" i="12"/>
  <c r="X89" i="12"/>
  <c r="W90" i="12"/>
  <c r="X90" i="12"/>
  <c r="W91" i="12"/>
  <c r="X91" i="12"/>
  <c r="W92" i="12"/>
  <c r="X92" i="12"/>
  <c r="W93" i="12"/>
  <c r="X93" i="12"/>
  <c r="W94" i="12"/>
  <c r="X94" i="12"/>
  <c r="W95" i="12"/>
  <c r="X95" i="12"/>
  <c r="W96" i="12"/>
  <c r="X96" i="12"/>
  <c r="W97" i="12"/>
  <c r="X97" i="12"/>
  <c r="W98" i="12"/>
  <c r="X98" i="12"/>
  <c r="W99" i="12"/>
  <c r="X99" i="12"/>
  <c r="W100" i="12"/>
  <c r="X100" i="12"/>
  <c r="W101" i="12"/>
  <c r="X101" i="12"/>
  <c r="W102" i="12"/>
  <c r="X102" i="12"/>
  <c r="W103" i="12"/>
  <c r="X103" i="12"/>
  <c r="W104" i="12"/>
  <c r="X104" i="12"/>
  <c r="W105" i="12"/>
  <c r="X105" i="12"/>
  <c r="W106" i="12"/>
  <c r="X106" i="12"/>
  <c r="W107" i="12"/>
  <c r="X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CJ18" i="10"/>
  <c r="CJ20" i="10"/>
  <c r="CJ21" i="10"/>
  <c r="CJ17" i="10"/>
  <c r="G9" i="10"/>
  <c r="B4" i="10"/>
  <c r="B9" i="10"/>
  <c r="O9" i="10"/>
  <c r="G10" i="10"/>
  <c r="B10" i="10"/>
  <c r="O10" i="10"/>
  <c r="G11" i="10"/>
  <c r="B11" i="10"/>
  <c r="O11" i="10"/>
  <c r="G12" i="10"/>
  <c r="B12" i="10"/>
  <c r="O12" i="10"/>
  <c r="G13" i="10"/>
  <c r="B13" i="10"/>
  <c r="O13" i="10"/>
  <c r="G14" i="10"/>
  <c r="B14" i="10"/>
  <c r="O14" i="10"/>
  <c r="G15" i="10"/>
  <c r="B15" i="10"/>
  <c r="O15" i="10"/>
  <c r="G16" i="10"/>
  <c r="B16" i="10"/>
  <c r="O16" i="10"/>
  <c r="G17" i="10"/>
  <c r="B17" i="10"/>
  <c r="O17" i="10"/>
  <c r="G18" i="10"/>
  <c r="B18" i="10"/>
  <c r="O18" i="10"/>
  <c r="G19" i="10"/>
  <c r="B19" i="10"/>
  <c r="O19" i="10"/>
  <c r="G20" i="10"/>
  <c r="B20" i="10"/>
  <c r="O20" i="10"/>
  <c r="G21" i="10"/>
  <c r="B21" i="10"/>
  <c r="O21" i="10"/>
  <c r="G22" i="10"/>
  <c r="B22" i="10"/>
  <c r="O22" i="10"/>
  <c r="G23" i="10"/>
  <c r="B23" i="10"/>
  <c r="O23" i="10"/>
  <c r="G24" i="10"/>
  <c r="B24" i="10"/>
  <c r="O24" i="10"/>
  <c r="G25" i="10"/>
  <c r="B25" i="10"/>
  <c r="O25" i="10"/>
  <c r="G26" i="10"/>
  <c r="B26" i="10"/>
  <c r="O26" i="10"/>
  <c r="G27" i="10"/>
  <c r="B27" i="10"/>
  <c r="O27" i="10"/>
  <c r="G28" i="10"/>
  <c r="B28" i="10"/>
  <c r="O28" i="10"/>
  <c r="G29" i="10"/>
  <c r="B29" i="10"/>
  <c r="O29" i="10"/>
  <c r="G30" i="10"/>
  <c r="B30" i="10"/>
  <c r="O30" i="10"/>
  <c r="G31" i="10"/>
  <c r="B31" i="10"/>
  <c r="O31" i="10"/>
  <c r="G32" i="10"/>
  <c r="B32" i="10"/>
  <c r="O32" i="10"/>
  <c r="G33" i="10"/>
  <c r="B33" i="10"/>
  <c r="O33" i="10"/>
  <c r="G34" i="10"/>
  <c r="B34" i="10"/>
  <c r="O34" i="10"/>
  <c r="G35" i="10"/>
  <c r="B35" i="10"/>
  <c r="O35" i="10"/>
  <c r="G36" i="10"/>
  <c r="B36" i="10"/>
  <c r="O36" i="10"/>
  <c r="G37" i="10"/>
  <c r="B37" i="10"/>
  <c r="O37" i="10"/>
  <c r="G38" i="10"/>
  <c r="B38" i="10"/>
  <c r="O38" i="10"/>
  <c r="G39" i="10"/>
  <c r="B39" i="10"/>
  <c r="O39" i="10"/>
  <c r="G40" i="10"/>
  <c r="B40" i="10"/>
  <c r="O40" i="10"/>
  <c r="G41" i="10"/>
  <c r="B41" i="10"/>
  <c r="O41" i="10"/>
  <c r="G42" i="10"/>
  <c r="B42" i="10"/>
  <c r="O42" i="10"/>
  <c r="G43" i="10"/>
  <c r="B43" i="10"/>
  <c r="O43" i="10"/>
  <c r="G44" i="10"/>
  <c r="B44" i="10"/>
  <c r="O44" i="10"/>
  <c r="G45" i="10"/>
  <c r="B45" i="10"/>
  <c r="O45" i="10"/>
  <c r="G46" i="10"/>
  <c r="B46" i="10"/>
  <c r="O46" i="10"/>
  <c r="G47" i="10"/>
  <c r="B47" i="10"/>
  <c r="O47" i="10"/>
  <c r="G48" i="10"/>
  <c r="B48" i="10"/>
  <c r="O48" i="10"/>
  <c r="G49" i="10"/>
  <c r="B49" i="10"/>
  <c r="O49" i="10"/>
  <c r="G50" i="10"/>
  <c r="B50" i="10"/>
  <c r="O50" i="10"/>
  <c r="G51" i="10"/>
  <c r="B51" i="10"/>
  <c r="O51" i="10"/>
  <c r="G52" i="10"/>
  <c r="B52" i="10"/>
  <c r="O52" i="10"/>
  <c r="G53" i="10"/>
  <c r="B53" i="10"/>
  <c r="O53" i="10"/>
  <c r="G54" i="10"/>
  <c r="B54" i="10"/>
  <c r="O54" i="10"/>
  <c r="G55" i="10"/>
  <c r="B55" i="10"/>
  <c r="O55" i="10"/>
  <c r="G56" i="10"/>
  <c r="B56" i="10"/>
  <c r="O56" i="10"/>
  <c r="G57" i="10"/>
  <c r="B57" i="10"/>
  <c r="O57" i="10"/>
  <c r="G58" i="10"/>
  <c r="B58" i="10"/>
  <c r="O58" i="10"/>
  <c r="G59" i="10"/>
  <c r="B59" i="10"/>
  <c r="O59" i="10"/>
  <c r="G60" i="10"/>
  <c r="B60" i="10"/>
  <c r="O60" i="10"/>
  <c r="G61" i="10"/>
  <c r="B61" i="10"/>
  <c r="O61" i="10"/>
  <c r="G62" i="10"/>
  <c r="B62" i="10"/>
  <c r="O62" i="10"/>
  <c r="G63" i="10"/>
  <c r="B63" i="10"/>
  <c r="O63" i="10"/>
  <c r="G64" i="10"/>
  <c r="B64" i="10"/>
  <c r="O64" i="10"/>
  <c r="G65" i="10"/>
  <c r="B65" i="10"/>
  <c r="O65" i="10"/>
  <c r="G66" i="10"/>
  <c r="B66" i="10"/>
  <c r="O66" i="10"/>
  <c r="G67" i="10"/>
  <c r="B67" i="10"/>
  <c r="O67" i="10"/>
  <c r="G68" i="10"/>
  <c r="B68" i="10"/>
  <c r="O68" i="10"/>
  <c r="G69" i="10"/>
  <c r="B69" i="10"/>
  <c r="O69" i="10"/>
  <c r="G70" i="10"/>
  <c r="B70" i="10"/>
  <c r="O70" i="10"/>
  <c r="G71" i="10"/>
  <c r="B71" i="10"/>
  <c r="O71" i="10"/>
  <c r="G72" i="10"/>
  <c r="B72" i="10"/>
  <c r="O72" i="10"/>
  <c r="G73" i="10"/>
  <c r="B73" i="10"/>
  <c r="O73" i="10"/>
  <c r="G74" i="10"/>
  <c r="B74" i="10"/>
  <c r="O74" i="10"/>
  <c r="G75" i="10"/>
  <c r="B75" i="10"/>
  <c r="O75" i="10"/>
  <c r="G76" i="10"/>
  <c r="B76" i="10"/>
  <c r="O76" i="10"/>
  <c r="G77" i="10"/>
  <c r="B77" i="10"/>
  <c r="O77" i="10"/>
  <c r="G78" i="10"/>
  <c r="B78" i="10"/>
  <c r="O78" i="10"/>
  <c r="G79" i="10"/>
  <c r="B79" i="10"/>
  <c r="O79" i="10"/>
  <c r="G80" i="10"/>
  <c r="B80" i="10"/>
  <c r="O80" i="10"/>
  <c r="G81" i="10"/>
  <c r="B81" i="10"/>
  <c r="O81" i="10"/>
  <c r="G82" i="10"/>
  <c r="B82" i="10"/>
  <c r="O82" i="10"/>
  <c r="G83" i="10"/>
  <c r="B83" i="10"/>
  <c r="O83" i="10"/>
  <c r="G84" i="10"/>
  <c r="B84" i="10"/>
  <c r="O84" i="10"/>
  <c r="G85" i="10"/>
  <c r="B85" i="10"/>
  <c r="O85" i="10"/>
  <c r="G86" i="10"/>
  <c r="B86" i="10"/>
  <c r="O86" i="10"/>
  <c r="G87" i="10"/>
  <c r="B87" i="10"/>
  <c r="O87" i="10"/>
  <c r="G88" i="10"/>
  <c r="B88" i="10"/>
  <c r="O88" i="10"/>
  <c r="G89" i="10"/>
  <c r="B89" i="10"/>
  <c r="O89" i="10"/>
  <c r="G90" i="10"/>
  <c r="B90" i="10"/>
  <c r="O90" i="10"/>
  <c r="G91" i="10"/>
  <c r="B91" i="10"/>
  <c r="O91" i="10"/>
  <c r="G92" i="10"/>
  <c r="B92" i="10"/>
  <c r="O92" i="10"/>
  <c r="G93" i="10"/>
  <c r="B93" i="10"/>
  <c r="O93" i="10"/>
  <c r="G94" i="10"/>
  <c r="B94" i="10"/>
  <c r="O94" i="10"/>
  <c r="G95" i="10"/>
  <c r="B95" i="10"/>
  <c r="O95" i="10"/>
  <c r="G96" i="10"/>
  <c r="B96" i="10"/>
  <c r="O96" i="10"/>
  <c r="G97" i="10"/>
  <c r="B97" i="10"/>
  <c r="O97" i="10"/>
  <c r="G98" i="10"/>
  <c r="B98" i="10"/>
  <c r="O98" i="10"/>
  <c r="G99" i="10"/>
  <c r="B99" i="10"/>
  <c r="O99" i="10"/>
  <c r="G100" i="10"/>
  <c r="B100" i="10"/>
  <c r="O100" i="10"/>
  <c r="G101" i="10"/>
  <c r="B101" i="10"/>
  <c r="O101" i="10"/>
  <c r="G102" i="10"/>
  <c r="B102" i="10"/>
  <c r="O102" i="10"/>
  <c r="G103" i="10"/>
  <c r="B103" i="10"/>
  <c r="O103" i="10"/>
  <c r="G104" i="10"/>
  <c r="B104" i="10"/>
  <c r="O104" i="10"/>
  <c r="G105" i="10"/>
  <c r="B105" i="10"/>
  <c r="O105" i="10"/>
  <c r="G106" i="10"/>
  <c r="B106" i="10"/>
  <c r="O106" i="10"/>
  <c r="G107" i="10"/>
  <c r="B107" i="10"/>
  <c r="O107" i="10"/>
  <c r="G108" i="10"/>
  <c r="B108" i="10"/>
  <c r="O108" i="10"/>
  <c r="G109" i="10"/>
  <c r="B109" i="10"/>
  <c r="O109" i="10"/>
  <c r="G110" i="10"/>
  <c r="B110" i="10"/>
  <c r="O110" i="10"/>
  <c r="G111" i="10"/>
  <c r="B111" i="10"/>
  <c r="O111" i="10"/>
  <c r="G112" i="10"/>
  <c r="B112" i="10"/>
  <c r="O112" i="10"/>
  <c r="G113" i="10"/>
  <c r="B113" i="10"/>
  <c r="O113" i="10"/>
  <c r="G114" i="10"/>
  <c r="B114" i="10"/>
  <c r="O114" i="10"/>
  <c r="G115" i="10"/>
  <c r="B115" i="10"/>
  <c r="O115" i="10"/>
  <c r="G116" i="10"/>
  <c r="B116" i="10"/>
  <c r="O116" i="10"/>
  <c r="G117" i="10"/>
  <c r="B117" i="10"/>
  <c r="O117" i="10"/>
  <c r="G118" i="10"/>
  <c r="B118" i="10"/>
  <c r="O118" i="10"/>
  <c r="G119" i="10"/>
  <c r="B119" i="10"/>
  <c r="O119" i="10"/>
  <c r="G120" i="10"/>
  <c r="B120" i="10"/>
  <c r="O120" i="10"/>
  <c r="G121" i="10"/>
  <c r="B121" i="10"/>
  <c r="O121" i="10"/>
  <c r="G122" i="10"/>
  <c r="B122" i="10"/>
  <c r="O122" i="10"/>
  <c r="G123" i="10"/>
  <c r="B123" i="10"/>
  <c r="O123" i="10"/>
  <c r="G124" i="10"/>
  <c r="B124" i="10"/>
  <c r="O124" i="10"/>
  <c r="G125" i="10"/>
  <c r="B125" i="10"/>
  <c r="O125" i="10"/>
  <c r="G126" i="10"/>
  <c r="B126" i="10"/>
  <c r="O126" i="10"/>
  <c r="G127" i="10"/>
  <c r="B127" i="10"/>
  <c r="O127" i="10"/>
  <c r="G128" i="10"/>
  <c r="B128" i="10"/>
  <c r="O128" i="10"/>
  <c r="G129" i="10"/>
  <c r="B129" i="10"/>
  <c r="O129" i="10"/>
  <c r="G130" i="10"/>
  <c r="B130" i="10"/>
  <c r="O130" i="10"/>
  <c r="G131" i="10"/>
  <c r="B131" i="10"/>
  <c r="O131" i="10"/>
  <c r="G132" i="10"/>
  <c r="B132" i="10"/>
  <c r="O132" i="10"/>
  <c r="G133" i="10"/>
  <c r="B133" i="10"/>
  <c r="O133" i="10"/>
  <c r="G134" i="10"/>
  <c r="B134" i="10"/>
  <c r="O134" i="10"/>
  <c r="G135" i="10"/>
  <c r="B135" i="10"/>
  <c r="O135" i="10"/>
  <c r="G136" i="10"/>
  <c r="B136" i="10"/>
  <c r="O136" i="10"/>
  <c r="G137" i="10"/>
  <c r="B137" i="10"/>
  <c r="O137" i="10"/>
  <c r="G138" i="10"/>
  <c r="B138" i="10"/>
  <c r="O138" i="10"/>
  <c r="G139" i="10"/>
  <c r="B139" i="10"/>
  <c r="O139" i="10"/>
  <c r="G140" i="10"/>
  <c r="B140" i="10"/>
  <c r="O140" i="10"/>
  <c r="G141" i="10"/>
  <c r="B141" i="10"/>
  <c r="O141" i="10"/>
  <c r="G142" i="10"/>
  <c r="B142" i="10"/>
  <c r="O142" i="10"/>
  <c r="G143" i="10"/>
  <c r="B143" i="10"/>
  <c r="O143" i="10"/>
  <c r="G144" i="10"/>
  <c r="B144" i="10"/>
  <c r="O144" i="10"/>
  <c r="G145" i="10"/>
  <c r="B145" i="10"/>
  <c r="O145" i="10"/>
  <c r="G146" i="10"/>
  <c r="B146" i="10"/>
  <c r="O146" i="10"/>
  <c r="G147" i="10"/>
  <c r="B147" i="10"/>
  <c r="O147" i="10"/>
  <c r="G148" i="10"/>
  <c r="B148" i="10"/>
  <c r="O148" i="10"/>
  <c r="G149" i="10"/>
  <c r="B149" i="10"/>
  <c r="O149" i="10"/>
  <c r="G150" i="10"/>
  <c r="B150" i="10"/>
  <c r="O150" i="10"/>
  <c r="G151" i="10"/>
  <c r="B151" i="10"/>
  <c r="O151" i="10"/>
  <c r="G152" i="10"/>
  <c r="B152" i="10"/>
  <c r="O152" i="10"/>
  <c r="G153" i="10"/>
  <c r="B153" i="10"/>
  <c r="O153" i="10"/>
  <c r="G154" i="10"/>
  <c r="B154" i="10"/>
  <c r="O154" i="10"/>
  <c r="G155" i="10"/>
  <c r="B155" i="10"/>
  <c r="O155" i="10"/>
  <c r="G156" i="10"/>
  <c r="B156" i="10"/>
  <c r="O156" i="10"/>
  <c r="G157" i="10"/>
  <c r="B157" i="10"/>
  <c r="O157" i="10"/>
  <c r="G158" i="10"/>
  <c r="B158" i="10"/>
  <c r="O158" i="10"/>
  <c r="G159" i="10"/>
  <c r="B159" i="10"/>
  <c r="O159" i="10"/>
  <c r="G160" i="10"/>
  <c r="B160" i="10"/>
  <c r="O160" i="10"/>
  <c r="G161" i="10"/>
  <c r="B161" i="10"/>
  <c r="O161" i="10"/>
  <c r="G162" i="10"/>
  <c r="B162" i="10"/>
  <c r="O162" i="10"/>
  <c r="G163" i="10"/>
  <c r="B163" i="10"/>
  <c r="O163" i="10"/>
  <c r="G164" i="10"/>
  <c r="B164" i="10"/>
  <c r="O164" i="10"/>
  <c r="G165" i="10"/>
  <c r="B165" i="10"/>
  <c r="O165" i="10"/>
  <c r="G166" i="10"/>
  <c r="B166" i="10"/>
  <c r="O166" i="10"/>
  <c r="G167" i="10"/>
  <c r="B167" i="10"/>
  <c r="O167" i="10"/>
  <c r="G168" i="10"/>
  <c r="B168" i="10"/>
  <c r="O168" i="10"/>
  <c r="G169" i="10"/>
  <c r="B169" i="10"/>
  <c r="O169" i="10"/>
  <c r="G170" i="10"/>
  <c r="B170" i="10"/>
  <c r="O170" i="10"/>
  <c r="G171" i="10"/>
  <c r="B171" i="10"/>
  <c r="O171" i="10"/>
  <c r="G172" i="10"/>
  <c r="B172" i="10"/>
  <c r="O172" i="10"/>
  <c r="G173" i="10"/>
  <c r="B173" i="10"/>
  <c r="O173" i="10"/>
  <c r="G174" i="10"/>
  <c r="B174" i="10"/>
  <c r="O174" i="10"/>
  <c r="G175" i="10"/>
  <c r="B175" i="10"/>
  <c r="O175" i="10"/>
  <c r="G176" i="10"/>
  <c r="B176" i="10"/>
  <c r="O176" i="10"/>
  <c r="G177" i="10"/>
  <c r="B177" i="10"/>
  <c r="O177" i="10"/>
  <c r="G178" i="10"/>
  <c r="B178" i="10"/>
  <c r="O178" i="10"/>
  <c r="G179" i="10"/>
  <c r="B179" i="10"/>
  <c r="O179" i="10"/>
  <c r="G180" i="10"/>
  <c r="B180" i="10"/>
  <c r="O180" i="10"/>
  <c r="G181" i="10"/>
  <c r="B181" i="10"/>
  <c r="O181" i="10"/>
  <c r="G182" i="10"/>
  <c r="B182" i="10"/>
  <c r="O182" i="10"/>
  <c r="G183" i="10"/>
  <c r="B183" i="10"/>
  <c r="O183" i="10"/>
  <c r="G184" i="10"/>
  <c r="B184" i="10"/>
  <c r="O184" i="10"/>
  <c r="G185" i="10"/>
  <c r="B185" i="10"/>
  <c r="O185" i="10"/>
  <c r="G186" i="10"/>
  <c r="B186" i="10"/>
  <c r="O186" i="10"/>
  <c r="G187" i="10"/>
  <c r="B187" i="10"/>
  <c r="O187" i="10"/>
  <c r="G188" i="10"/>
  <c r="B188" i="10"/>
  <c r="O188" i="10"/>
  <c r="G189" i="10"/>
  <c r="B189" i="10"/>
  <c r="O189" i="10"/>
  <c r="G190" i="10"/>
  <c r="B190" i="10"/>
  <c r="O190" i="10"/>
  <c r="G191" i="10"/>
  <c r="B191" i="10"/>
  <c r="O191" i="10"/>
  <c r="G192" i="10"/>
  <c r="B192" i="10"/>
  <c r="O192" i="10"/>
  <c r="G193" i="10"/>
  <c r="B193" i="10"/>
  <c r="O193" i="10"/>
  <c r="G194" i="10"/>
  <c r="B194" i="10"/>
  <c r="O194" i="10"/>
  <c r="G195" i="10"/>
  <c r="B195" i="10"/>
  <c r="O195" i="10"/>
  <c r="G196" i="10"/>
  <c r="B196" i="10"/>
  <c r="O196" i="10"/>
  <c r="G197" i="10"/>
  <c r="B197" i="10"/>
  <c r="O197" i="10"/>
  <c r="G198" i="10"/>
  <c r="B198" i="10"/>
  <c r="O198" i="10"/>
  <c r="G199" i="10"/>
  <c r="B199" i="10"/>
  <c r="O199" i="10"/>
  <c r="G200" i="10"/>
  <c r="B200" i="10"/>
  <c r="O200" i="10"/>
  <c r="G201" i="10"/>
  <c r="B201" i="10"/>
  <c r="O201" i="10"/>
  <c r="G202" i="10"/>
  <c r="B202" i="10"/>
  <c r="O202" i="10"/>
  <c r="G203" i="10"/>
  <c r="B203" i="10"/>
  <c r="O203" i="10"/>
  <c r="G204" i="10"/>
  <c r="B204" i="10"/>
  <c r="O204" i="10"/>
  <c r="G205" i="10"/>
  <c r="B205" i="10"/>
  <c r="O205" i="10"/>
  <c r="G206" i="10"/>
  <c r="B206" i="10"/>
  <c r="O206" i="10"/>
  <c r="G207" i="10"/>
  <c r="B207" i="10"/>
  <c r="O207" i="10"/>
  <c r="G208" i="10"/>
  <c r="B208" i="10"/>
  <c r="O208" i="10"/>
  <c r="G209" i="10"/>
  <c r="B209" i="10"/>
  <c r="O209" i="10"/>
  <c r="G210" i="10"/>
  <c r="B210" i="10"/>
  <c r="O210" i="10"/>
  <c r="G211" i="10"/>
  <c r="B211" i="10"/>
  <c r="O211" i="10"/>
  <c r="G212" i="10"/>
  <c r="B212" i="10"/>
  <c r="O212" i="10"/>
  <c r="G213" i="10"/>
  <c r="B213" i="10"/>
  <c r="O213" i="10"/>
  <c r="G214" i="10"/>
  <c r="B214" i="10"/>
  <c r="O214" i="10"/>
  <c r="G215" i="10"/>
  <c r="B215" i="10"/>
  <c r="O215" i="10"/>
  <c r="G216" i="10"/>
  <c r="B216" i="10"/>
  <c r="O216" i="10"/>
  <c r="G217" i="10"/>
  <c r="B217" i="10"/>
  <c r="O217" i="10"/>
  <c r="G218" i="10"/>
  <c r="B218" i="10"/>
  <c r="O218" i="10"/>
  <c r="G219" i="10"/>
  <c r="B219" i="10"/>
  <c r="O219" i="10"/>
  <c r="G220" i="10"/>
  <c r="B220" i="10"/>
  <c r="O220" i="10"/>
  <c r="G221" i="10"/>
  <c r="B221" i="10"/>
  <c r="O221" i="10"/>
  <c r="G222" i="10"/>
  <c r="B222" i="10"/>
  <c r="O222" i="10"/>
  <c r="G223" i="10"/>
  <c r="B223" i="10"/>
  <c r="O223" i="10"/>
  <c r="G224" i="10"/>
  <c r="B224" i="10"/>
  <c r="O224" i="10"/>
  <c r="G225" i="10"/>
  <c r="B225" i="10"/>
  <c r="O225" i="10"/>
  <c r="G226" i="10"/>
  <c r="B226" i="10"/>
  <c r="O226" i="10"/>
  <c r="G227" i="10"/>
  <c r="B227" i="10"/>
  <c r="O227" i="10"/>
  <c r="G228" i="10"/>
  <c r="B228" i="10"/>
  <c r="O228" i="10"/>
  <c r="G229" i="10"/>
  <c r="B229" i="10"/>
  <c r="O229" i="10"/>
  <c r="G230" i="10"/>
  <c r="B230" i="10"/>
  <c r="O230" i="10"/>
  <c r="G231" i="10"/>
  <c r="B231" i="10"/>
  <c r="O231" i="10"/>
  <c r="G232" i="10"/>
  <c r="B232" i="10"/>
  <c r="O232" i="10"/>
  <c r="G233" i="10"/>
  <c r="B233" i="10"/>
  <c r="O233" i="10"/>
  <c r="G234" i="10"/>
  <c r="B234" i="10"/>
  <c r="O234" i="10"/>
  <c r="G235" i="10"/>
  <c r="B235" i="10"/>
  <c r="O235" i="10"/>
  <c r="G236" i="10"/>
  <c r="B236" i="10"/>
  <c r="O236" i="10"/>
  <c r="G237" i="10"/>
  <c r="B237" i="10"/>
  <c r="O237" i="10"/>
  <c r="G238" i="10"/>
  <c r="B238" i="10"/>
  <c r="O238" i="10"/>
  <c r="G239" i="10"/>
  <c r="B239" i="10"/>
  <c r="O239" i="10"/>
  <c r="G240" i="10"/>
  <c r="B240" i="10"/>
  <c r="O240" i="10"/>
  <c r="G241" i="10"/>
  <c r="B241" i="10"/>
  <c r="O241" i="10"/>
  <c r="G242" i="10"/>
  <c r="B242" i="10"/>
  <c r="O242" i="10"/>
  <c r="G243" i="10"/>
  <c r="B243" i="10"/>
  <c r="O243" i="10"/>
  <c r="G244" i="10"/>
  <c r="B244" i="10"/>
  <c r="O244" i="10"/>
  <c r="G245" i="10"/>
  <c r="B245" i="10"/>
  <c r="O245" i="10"/>
  <c r="G246" i="10"/>
  <c r="B246" i="10"/>
  <c r="O246" i="10"/>
  <c r="G247" i="10"/>
  <c r="B247" i="10"/>
  <c r="O247" i="10"/>
  <c r="G248" i="10"/>
  <c r="B248" i="10"/>
  <c r="O248" i="10"/>
  <c r="W248" i="10"/>
  <c r="CJ12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9" i="10"/>
  <c r="J44" i="12"/>
  <c r="J45" i="12"/>
  <c r="BW9" i="10"/>
  <c r="BX9" i="10"/>
  <c r="BW10" i="10"/>
  <c r="BX10" i="10"/>
  <c r="W31" i="1"/>
  <c r="W32" i="1"/>
  <c r="Z31" i="1"/>
  <c r="F9" i="10"/>
  <c r="G26" i="1"/>
  <c r="G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C28" i="1"/>
  <c r="AG29" i="1"/>
  <c r="P2" i="10"/>
  <c r="L26" i="1"/>
  <c r="M26" i="1"/>
  <c r="N26" i="1"/>
  <c r="O26" i="1"/>
  <c r="P26" i="1"/>
  <c r="Q26" i="1"/>
  <c r="R26" i="1"/>
  <c r="S26" i="1"/>
  <c r="T26" i="1"/>
  <c r="U26" i="1"/>
  <c r="V26" i="1"/>
  <c r="W19" i="1"/>
  <c r="I26" i="1"/>
  <c r="J26" i="1"/>
  <c r="K26" i="1"/>
  <c r="H26" i="1"/>
  <c r="F26" i="1"/>
  <c r="F27" i="1"/>
  <c r="E26" i="1"/>
  <c r="E27" i="1"/>
  <c r="D26" i="1"/>
  <c r="D27" i="1"/>
  <c r="V25" i="8"/>
  <c r="U25" i="8"/>
  <c r="T25" i="8"/>
  <c r="R16" i="8"/>
  <c r="L25" i="8"/>
  <c r="L16" i="8"/>
  <c r="E4" i="8"/>
  <c r="O6" i="8"/>
  <c r="P6" i="8"/>
  <c r="Q6" i="8"/>
  <c r="R6" i="8"/>
  <c r="O5" i="8"/>
  <c r="P5" i="8"/>
  <c r="Q5" i="8"/>
  <c r="R5" i="8"/>
  <c r="N2" i="8"/>
  <c r="N7" i="8"/>
  <c r="N8" i="8"/>
  <c r="N9" i="8"/>
  <c r="N10" i="8"/>
  <c r="N11" i="8"/>
  <c r="P29" i="8"/>
  <c r="Q29" i="8"/>
  <c r="P28" i="8"/>
  <c r="Q28" i="8"/>
  <c r="P27" i="8"/>
  <c r="Q27" i="8"/>
  <c r="P26" i="8"/>
  <c r="Q26" i="8"/>
  <c r="J29" i="8"/>
  <c r="K29" i="8"/>
  <c r="J28" i="8"/>
  <c r="K28" i="8"/>
  <c r="J27" i="8"/>
  <c r="K27" i="8"/>
  <c r="J26" i="8"/>
  <c r="K26" i="8"/>
  <c r="P20" i="8"/>
  <c r="Q20" i="8"/>
  <c r="P19" i="8"/>
  <c r="Q19" i="8"/>
  <c r="P18" i="8"/>
  <c r="Q18" i="8"/>
  <c r="P17" i="8"/>
  <c r="Q17" i="8"/>
  <c r="J20" i="8"/>
  <c r="K20" i="8"/>
  <c r="J19" i="8"/>
  <c r="K19" i="8"/>
  <c r="J17" i="8"/>
  <c r="K17" i="8"/>
  <c r="J18" i="8"/>
  <c r="K18" i="8"/>
  <c r="E3" i="8"/>
  <c r="E8" i="8"/>
  <c r="E9" i="8"/>
  <c r="W21" i="1"/>
  <c r="X19" i="1"/>
  <c r="W28" i="1"/>
  <c r="AA31" i="1"/>
  <c r="Z32" i="1"/>
  <c r="Z33" i="1"/>
  <c r="BW11" i="10"/>
  <c r="R26" i="8"/>
  <c r="U26" i="8"/>
  <c r="R19" i="8"/>
  <c r="R27" i="8"/>
  <c r="S27" i="8"/>
  <c r="R29" i="8"/>
  <c r="S29" i="8"/>
  <c r="L29" i="8"/>
  <c r="T27" i="8"/>
  <c r="R28" i="8"/>
  <c r="S28" i="8"/>
  <c r="L19" i="8"/>
  <c r="L26" i="8"/>
  <c r="R20" i="8"/>
  <c r="T28" i="8"/>
  <c r="L18" i="8"/>
  <c r="L27" i="8"/>
  <c r="R17" i="8"/>
  <c r="T29" i="8"/>
  <c r="L17" i="8"/>
  <c r="L28" i="8"/>
  <c r="R18" i="8"/>
  <c r="T26" i="8"/>
  <c r="L20" i="8"/>
  <c r="W23" i="1"/>
  <c r="W22" i="1"/>
  <c r="N9" i="10"/>
  <c r="E5" i="8"/>
  <c r="BX11" i="10"/>
  <c r="BW12" i="10"/>
  <c r="BX12" i="10"/>
  <c r="BW13" i="10"/>
  <c r="AB31" i="1"/>
  <c r="AA32" i="1"/>
  <c r="AA33" i="1"/>
  <c r="X28" i="1"/>
  <c r="X21" i="1"/>
  <c r="Y19" i="1"/>
  <c r="W24" i="1"/>
  <c r="W25" i="1"/>
  <c r="S26" i="8"/>
  <c r="V29" i="8"/>
  <c r="U29" i="8"/>
  <c r="U27" i="8"/>
  <c r="U28" i="8"/>
  <c r="F21" i="11"/>
  <c r="F20" i="11"/>
  <c r="F19" i="11"/>
  <c r="G19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P62" i="11"/>
  <c r="AP63" i="11"/>
  <c r="AP64" i="11"/>
  <c r="AP65" i="11"/>
  <c r="AP66" i="11"/>
  <c r="AP67" i="11"/>
  <c r="AP68" i="11"/>
  <c r="AP69" i="11"/>
  <c r="AP70" i="11"/>
  <c r="AP71" i="11"/>
  <c r="AP72" i="11"/>
  <c r="AP73" i="11"/>
  <c r="AP74" i="11"/>
  <c r="AP75" i="11"/>
  <c r="AP76" i="11"/>
  <c r="AP77" i="11"/>
  <c r="AP78" i="11"/>
  <c r="AP79" i="11"/>
  <c r="AP80" i="11"/>
  <c r="AP81" i="11"/>
  <c r="AP82" i="11"/>
  <c r="AP83" i="11"/>
  <c r="AP84" i="11"/>
  <c r="AP85" i="11"/>
  <c r="AP86" i="11"/>
  <c r="AP87" i="11"/>
  <c r="AP88" i="11"/>
  <c r="AP89" i="11"/>
  <c r="AP90" i="11"/>
  <c r="AP91" i="11"/>
  <c r="AP92" i="11"/>
  <c r="AP93" i="11"/>
  <c r="AP94" i="11"/>
  <c r="AP95" i="11"/>
  <c r="AP96" i="11"/>
  <c r="AP97" i="11"/>
  <c r="AP98" i="11"/>
  <c r="AP99" i="11"/>
  <c r="AP100" i="11"/>
  <c r="AP101" i="11"/>
  <c r="AP102" i="11"/>
  <c r="AP103" i="11"/>
  <c r="AP104" i="11"/>
  <c r="AP105" i="11"/>
  <c r="AP106" i="11"/>
  <c r="AP107" i="11"/>
  <c r="AP108" i="11"/>
  <c r="AP109" i="11"/>
  <c r="AP110" i="11"/>
  <c r="AP111" i="11"/>
  <c r="AP112" i="11"/>
  <c r="AP113" i="11"/>
  <c r="AP114" i="11"/>
  <c r="AP115" i="11"/>
  <c r="AP116" i="11"/>
  <c r="AP117" i="11"/>
  <c r="AP118" i="11"/>
  <c r="AP119" i="11"/>
  <c r="AP120" i="11"/>
  <c r="AP121" i="11"/>
  <c r="AP122" i="11"/>
  <c r="AP123" i="11"/>
  <c r="AP124" i="11"/>
  <c r="AP125" i="11"/>
  <c r="AP126" i="11"/>
  <c r="AP127" i="11"/>
  <c r="AP128" i="11"/>
  <c r="AP129" i="11"/>
  <c r="AP130" i="11"/>
  <c r="AP131" i="11"/>
  <c r="AP132" i="11"/>
  <c r="AP133" i="11"/>
  <c r="AP134" i="11"/>
  <c r="AP135" i="11"/>
  <c r="AP136" i="11"/>
  <c r="AP137" i="11"/>
  <c r="AP138" i="11"/>
  <c r="AP139" i="11"/>
  <c r="AP140" i="11"/>
  <c r="AP141" i="11"/>
  <c r="AP142" i="11"/>
  <c r="AP143" i="11"/>
  <c r="AP144" i="11"/>
  <c r="AP145" i="11"/>
  <c r="AP146" i="11"/>
  <c r="AP147" i="11"/>
  <c r="AP148" i="11"/>
  <c r="AP149" i="11"/>
  <c r="AP150" i="11"/>
  <c r="AP151" i="11"/>
  <c r="AP152" i="11"/>
  <c r="AP153" i="11"/>
  <c r="AP154" i="11"/>
  <c r="AP155" i="11"/>
  <c r="AP156" i="11"/>
  <c r="AP157" i="11"/>
  <c r="AP158" i="11"/>
  <c r="AP159" i="11"/>
  <c r="AP160" i="11"/>
  <c r="AP161" i="11"/>
  <c r="AP162" i="11"/>
  <c r="AP163" i="11"/>
  <c r="AP164" i="11"/>
  <c r="AP165" i="11"/>
  <c r="AP166" i="11"/>
  <c r="AP167" i="11"/>
  <c r="AP168" i="11"/>
  <c r="AP169" i="11"/>
  <c r="AP170" i="11"/>
  <c r="AP171" i="11"/>
  <c r="AP172" i="11"/>
  <c r="AP173" i="11"/>
  <c r="AP174" i="11"/>
  <c r="AP175" i="11"/>
  <c r="AP176" i="11"/>
  <c r="AP177" i="11"/>
  <c r="AP178" i="11"/>
  <c r="AP179" i="11"/>
  <c r="AP180" i="11"/>
  <c r="AP181" i="11"/>
  <c r="AP182" i="11"/>
  <c r="AP183" i="11"/>
  <c r="AP184" i="11"/>
  <c r="AP185" i="11"/>
  <c r="AP186" i="11"/>
  <c r="AP187" i="11"/>
  <c r="AP188" i="11"/>
  <c r="AP189" i="11"/>
  <c r="AP190" i="11"/>
  <c r="AP191" i="11"/>
  <c r="AP192" i="11"/>
  <c r="AP193" i="11"/>
  <c r="AP194" i="11"/>
  <c r="AP195" i="11"/>
  <c r="AP196" i="11"/>
  <c r="AP197" i="11"/>
  <c r="AP198" i="11"/>
  <c r="AP199" i="11"/>
  <c r="AP200" i="11"/>
  <c r="AP201" i="11"/>
  <c r="AP202" i="11"/>
  <c r="AP203" i="11"/>
  <c r="AP204" i="11"/>
  <c r="AP205" i="11"/>
  <c r="AP206" i="11"/>
  <c r="AP207" i="11"/>
  <c r="AP208" i="11"/>
  <c r="AP209" i="11"/>
  <c r="AP210" i="11"/>
  <c r="AP211" i="11"/>
  <c r="AP212" i="11"/>
  <c r="AP213" i="11"/>
  <c r="AP214" i="11"/>
  <c r="AP215" i="11"/>
  <c r="AP216" i="11"/>
  <c r="AP217" i="11"/>
  <c r="AP218" i="11"/>
  <c r="AP219" i="11"/>
  <c r="AP220" i="11"/>
  <c r="AP221" i="11"/>
  <c r="AP222" i="11"/>
  <c r="AP223" i="11"/>
  <c r="AP224" i="11"/>
  <c r="AP225" i="11"/>
  <c r="AP226" i="11"/>
  <c r="AP227" i="11"/>
  <c r="AP228" i="11"/>
  <c r="AP229" i="11"/>
  <c r="AP230" i="11"/>
  <c r="AP231" i="11"/>
  <c r="AP232" i="11"/>
  <c r="AP233" i="11"/>
  <c r="AP234" i="11"/>
  <c r="AP235" i="11"/>
  <c r="AP236" i="11"/>
  <c r="AP237" i="11"/>
  <c r="AP238" i="11"/>
  <c r="AP239" i="11"/>
  <c r="AP240" i="11"/>
  <c r="AP241" i="11"/>
  <c r="AP242" i="11"/>
  <c r="AP243" i="11"/>
  <c r="AP244" i="11"/>
  <c r="AP245" i="11"/>
  <c r="AP246" i="11"/>
  <c r="AP7" i="11"/>
  <c r="C19" i="11"/>
  <c r="E28" i="11"/>
  <c r="F28" i="11"/>
  <c r="AQ7" i="11"/>
  <c r="AZ1" i="10"/>
  <c r="AZ2" i="10"/>
  <c r="F13" i="8"/>
  <c r="E14" i="8"/>
  <c r="BA7" i="10"/>
  <c r="E33" i="8"/>
  <c r="C46" i="8"/>
  <c r="I10" i="8"/>
  <c r="H10" i="8"/>
  <c r="CO45" i="10"/>
  <c r="Z19" i="1"/>
  <c r="Y28" i="1"/>
  <c r="Y21" i="1"/>
  <c r="AC31" i="1"/>
  <c r="AB32" i="1"/>
  <c r="AB33" i="1"/>
  <c r="X23" i="1"/>
  <c r="X22" i="1"/>
  <c r="X25" i="1"/>
  <c r="X24" i="1"/>
  <c r="V26" i="8"/>
  <c r="V28" i="8"/>
  <c r="BX13" i="10"/>
  <c r="BW14" i="10"/>
  <c r="V27" i="8"/>
  <c r="E35" i="8"/>
  <c r="E26" i="11"/>
  <c r="E27" i="11"/>
  <c r="Y22" i="1"/>
  <c r="Y25" i="1"/>
  <c r="Y23" i="1"/>
  <c r="Y24" i="1"/>
  <c r="AD31" i="1"/>
  <c r="AC32" i="1"/>
  <c r="AC33" i="1"/>
  <c r="AA19" i="1"/>
  <c r="Z28" i="1"/>
  <c r="Z21" i="1"/>
  <c r="BX14" i="10"/>
  <c r="BW15" i="10"/>
  <c r="AF7" i="11"/>
  <c r="Y7" i="11"/>
  <c r="F27" i="11"/>
  <c r="F26" i="11"/>
  <c r="AB19" i="1"/>
  <c r="AA28" i="1"/>
  <c r="AA21" i="1"/>
  <c r="AE31" i="1"/>
  <c r="AD32" i="1"/>
  <c r="AD33" i="1"/>
  <c r="Z24" i="1"/>
  <c r="Z25" i="1"/>
  <c r="Z22" i="1"/>
  <c r="Z23" i="1"/>
  <c r="BX15" i="10"/>
  <c r="BW16" i="10"/>
  <c r="AR5" i="10"/>
  <c r="AF31" i="1"/>
  <c r="AE32" i="1"/>
  <c r="AE33" i="1"/>
  <c r="AA24" i="1"/>
  <c r="AA23" i="1"/>
  <c r="AA25" i="1"/>
  <c r="AA22" i="1"/>
  <c r="AC19" i="1"/>
  <c r="AB28" i="1"/>
  <c r="AB21" i="1"/>
  <c r="BX16" i="10"/>
  <c r="BW17" i="10"/>
  <c r="AQ8" i="11"/>
  <c r="AF8" i="11"/>
  <c r="Y8" i="11"/>
  <c r="AQ9" i="11"/>
  <c r="AF9" i="11"/>
  <c r="Y9" i="11"/>
  <c r="AQ10" i="11"/>
  <c r="AF10" i="11"/>
  <c r="Y10" i="11"/>
  <c r="AQ11" i="11"/>
  <c r="AF11" i="11"/>
  <c r="Y11" i="11"/>
  <c r="AQ12" i="11"/>
  <c r="AF12" i="11"/>
  <c r="Y12" i="11"/>
  <c r="AQ13" i="11"/>
  <c r="AF13" i="11"/>
  <c r="Y13" i="11"/>
  <c r="AQ14" i="11"/>
  <c r="AF14" i="11"/>
  <c r="Y14" i="11"/>
  <c r="AQ15" i="11"/>
  <c r="AF15" i="11"/>
  <c r="Y15" i="11"/>
  <c r="AQ16" i="11"/>
  <c r="AF16" i="11"/>
  <c r="Y16" i="11"/>
  <c r="AQ17" i="11"/>
  <c r="AF17" i="11"/>
  <c r="Y17" i="11"/>
  <c r="AQ18" i="11"/>
  <c r="AF18" i="11"/>
  <c r="Y18" i="11"/>
  <c r="AQ19" i="11"/>
  <c r="AF19" i="11"/>
  <c r="Y19" i="11"/>
  <c r="AQ20" i="11"/>
  <c r="AF20" i="11"/>
  <c r="Y20" i="11"/>
  <c r="AQ21" i="11"/>
  <c r="AF21" i="11"/>
  <c r="Y21" i="11"/>
  <c r="AQ22" i="11"/>
  <c r="AF22" i="11"/>
  <c r="Y22" i="11"/>
  <c r="AQ23" i="11"/>
  <c r="AF23" i="11"/>
  <c r="Y23" i="11"/>
  <c r="AQ24" i="11"/>
  <c r="AF24" i="11"/>
  <c r="Y24" i="11"/>
  <c r="AQ25" i="11"/>
  <c r="AF25" i="11"/>
  <c r="Y25" i="11"/>
  <c r="AQ26" i="11"/>
  <c r="AF26" i="11"/>
  <c r="Y26" i="11"/>
  <c r="AQ27" i="11"/>
  <c r="AF27" i="11"/>
  <c r="Y27" i="11"/>
  <c r="AQ28" i="11"/>
  <c r="AF28" i="11"/>
  <c r="Y28" i="11"/>
  <c r="AQ29" i="11"/>
  <c r="AF29" i="11"/>
  <c r="Y29" i="11"/>
  <c r="AQ30" i="11"/>
  <c r="AF30" i="11"/>
  <c r="Y30" i="11"/>
  <c r="AQ31" i="11"/>
  <c r="AF31" i="11"/>
  <c r="Y31" i="11"/>
  <c r="AQ32" i="11"/>
  <c r="AF32" i="11"/>
  <c r="Y32" i="11"/>
  <c r="AQ33" i="11"/>
  <c r="AF33" i="11"/>
  <c r="Y33" i="11"/>
  <c r="AQ34" i="11"/>
  <c r="AF34" i="11"/>
  <c r="Y34" i="11"/>
  <c r="AQ35" i="11"/>
  <c r="AF35" i="11"/>
  <c r="Y35" i="11"/>
  <c r="AQ36" i="11"/>
  <c r="AF36" i="11"/>
  <c r="Y36" i="11"/>
  <c r="AQ37" i="11"/>
  <c r="AF37" i="11"/>
  <c r="Y37" i="11"/>
  <c r="AQ38" i="11"/>
  <c r="AF38" i="11"/>
  <c r="Y38" i="11"/>
  <c r="AQ39" i="11"/>
  <c r="AF39" i="11"/>
  <c r="Y39" i="11"/>
  <c r="AQ40" i="11"/>
  <c r="AF40" i="11"/>
  <c r="Y40" i="11"/>
  <c r="AQ41" i="11"/>
  <c r="AF41" i="11"/>
  <c r="Y41" i="11"/>
  <c r="AQ42" i="11"/>
  <c r="AF42" i="11"/>
  <c r="Y42" i="11"/>
  <c r="AQ43" i="11"/>
  <c r="AF43" i="11"/>
  <c r="Y43" i="11"/>
  <c r="AQ44" i="11"/>
  <c r="AF44" i="11"/>
  <c r="Y44" i="11"/>
  <c r="AQ45" i="11"/>
  <c r="AF45" i="11"/>
  <c r="Y45" i="11"/>
  <c r="AQ46" i="11"/>
  <c r="AF46" i="11"/>
  <c r="Y46" i="11"/>
  <c r="AQ47" i="11"/>
  <c r="AF47" i="11"/>
  <c r="Y47" i="11"/>
  <c r="AQ48" i="11"/>
  <c r="AF48" i="11"/>
  <c r="Y48" i="11"/>
  <c r="AQ49" i="11"/>
  <c r="AF49" i="11"/>
  <c r="Y49" i="11"/>
  <c r="AQ50" i="11"/>
  <c r="AF50" i="11"/>
  <c r="Y50" i="11"/>
  <c r="AQ51" i="11"/>
  <c r="AF51" i="11"/>
  <c r="Y51" i="11"/>
  <c r="AQ52" i="11"/>
  <c r="AF52" i="11"/>
  <c r="Y52" i="11"/>
  <c r="AQ53" i="11"/>
  <c r="AF53" i="11"/>
  <c r="Y53" i="11"/>
  <c r="AQ54" i="11"/>
  <c r="AF54" i="11"/>
  <c r="Y54" i="11"/>
  <c r="AQ55" i="11"/>
  <c r="AF55" i="11"/>
  <c r="Y55" i="11"/>
  <c r="AQ56" i="11"/>
  <c r="AF56" i="11"/>
  <c r="Y56" i="11"/>
  <c r="AQ57" i="11"/>
  <c r="AF57" i="11"/>
  <c r="Y57" i="11"/>
  <c r="AQ58" i="11"/>
  <c r="AF58" i="11"/>
  <c r="Y58" i="11"/>
  <c r="AQ59" i="11"/>
  <c r="AF59" i="11"/>
  <c r="Y59" i="11"/>
  <c r="AQ60" i="11"/>
  <c r="AF60" i="11"/>
  <c r="Y60" i="11"/>
  <c r="AQ61" i="11"/>
  <c r="AF61" i="11"/>
  <c r="Y61" i="11"/>
  <c r="AQ62" i="11"/>
  <c r="AF62" i="11"/>
  <c r="Y62" i="11"/>
  <c r="AQ63" i="11"/>
  <c r="AF63" i="11"/>
  <c r="Y63" i="11"/>
  <c r="AQ64" i="11"/>
  <c r="AF64" i="11"/>
  <c r="Y64" i="11"/>
  <c r="AQ65" i="11"/>
  <c r="AF65" i="11"/>
  <c r="Y65" i="11"/>
  <c r="AQ66" i="11"/>
  <c r="AF66" i="11"/>
  <c r="Y66" i="11"/>
  <c r="AQ67" i="11"/>
  <c r="AF67" i="11"/>
  <c r="Y67" i="11"/>
  <c r="AQ68" i="11"/>
  <c r="AF68" i="11"/>
  <c r="Y68" i="11"/>
  <c r="AQ69" i="11"/>
  <c r="AF69" i="11"/>
  <c r="Y69" i="11"/>
  <c r="AQ70" i="11"/>
  <c r="AF70" i="11"/>
  <c r="Y70" i="11"/>
  <c r="AQ71" i="11"/>
  <c r="AF71" i="11"/>
  <c r="Y71" i="11"/>
  <c r="AQ72" i="11"/>
  <c r="AF72" i="11"/>
  <c r="Y72" i="11"/>
  <c r="AQ73" i="11"/>
  <c r="AF73" i="11"/>
  <c r="Y73" i="11"/>
  <c r="AQ74" i="11"/>
  <c r="AF74" i="11"/>
  <c r="Y74" i="11"/>
  <c r="AQ75" i="11"/>
  <c r="AF75" i="11"/>
  <c r="Y75" i="11"/>
  <c r="AQ76" i="11"/>
  <c r="AF76" i="11"/>
  <c r="Y76" i="11"/>
  <c r="AQ77" i="11"/>
  <c r="AF77" i="11"/>
  <c r="Y77" i="11"/>
  <c r="AQ78" i="11"/>
  <c r="AF78" i="11"/>
  <c r="Y78" i="11"/>
  <c r="AQ79" i="11"/>
  <c r="AF79" i="11"/>
  <c r="Y79" i="11"/>
  <c r="AQ80" i="11"/>
  <c r="AF80" i="11"/>
  <c r="Y80" i="11"/>
  <c r="AQ81" i="11"/>
  <c r="AF81" i="11"/>
  <c r="Y81" i="11"/>
  <c r="AQ82" i="11"/>
  <c r="AF82" i="11"/>
  <c r="Y82" i="11"/>
  <c r="AQ83" i="11"/>
  <c r="AF83" i="11"/>
  <c r="Y83" i="11"/>
  <c r="AQ84" i="11"/>
  <c r="AF84" i="11"/>
  <c r="Y84" i="11"/>
  <c r="AQ85" i="11"/>
  <c r="AF85" i="11"/>
  <c r="Y85" i="11"/>
  <c r="AQ86" i="11"/>
  <c r="AF86" i="11"/>
  <c r="Y86" i="11"/>
  <c r="AQ87" i="11"/>
  <c r="AF87" i="11"/>
  <c r="Y87" i="11"/>
  <c r="AQ88" i="11"/>
  <c r="AF88" i="11"/>
  <c r="Y88" i="11"/>
  <c r="AQ89" i="11"/>
  <c r="AF89" i="11"/>
  <c r="Y89" i="11"/>
  <c r="AQ90" i="11"/>
  <c r="AF90" i="11"/>
  <c r="Y90" i="11"/>
  <c r="AQ91" i="11"/>
  <c r="AF91" i="11"/>
  <c r="Y91" i="11"/>
  <c r="AQ92" i="11"/>
  <c r="AF92" i="11"/>
  <c r="Y92" i="11"/>
  <c r="AQ93" i="11"/>
  <c r="AF93" i="11"/>
  <c r="Y93" i="11"/>
  <c r="AQ94" i="11"/>
  <c r="AF94" i="11"/>
  <c r="Y94" i="11"/>
  <c r="AQ95" i="11"/>
  <c r="AF95" i="11"/>
  <c r="Y95" i="11"/>
  <c r="AQ96" i="11"/>
  <c r="AF96" i="11"/>
  <c r="Y96" i="11"/>
  <c r="AQ97" i="11"/>
  <c r="AF97" i="11"/>
  <c r="Y97" i="11"/>
  <c r="AQ98" i="11"/>
  <c r="AF98" i="11"/>
  <c r="Y98" i="11"/>
  <c r="AQ99" i="11"/>
  <c r="AF99" i="11"/>
  <c r="Y99" i="11"/>
  <c r="AQ100" i="11"/>
  <c r="AF100" i="11"/>
  <c r="Y100" i="11"/>
  <c r="AQ101" i="11"/>
  <c r="AF101" i="11"/>
  <c r="Y101" i="11"/>
  <c r="AQ102" i="11"/>
  <c r="AF102" i="11"/>
  <c r="Y102" i="11"/>
  <c r="AQ103" i="11"/>
  <c r="AF103" i="11"/>
  <c r="Y103" i="11"/>
  <c r="AQ104" i="11"/>
  <c r="AF104" i="11"/>
  <c r="Y104" i="11"/>
  <c r="AQ105" i="11"/>
  <c r="AF105" i="11"/>
  <c r="Y105" i="11"/>
  <c r="AQ106" i="11"/>
  <c r="AF106" i="11"/>
  <c r="Y106" i="11"/>
  <c r="AQ107" i="11"/>
  <c r="AF107" i="11"/>
  <c r="Y107" i="11"/>
  <c r="AQ108" i="11"/>
  <c r="AF108" i="11"/>
  <c r="Y108" i="11"/>
  <c r="AQ109" i="11"/>
  <c r="AF109" i="11"/>
  <c r="Y109" i="11"/>
  <c r="AQ110" i="11"/>
  <c r="AF110" i="11"/>
  <c r="Y110" i="11"/>
  <c r="AQ111" i="11"/>
  <c r="AF111" i="11"/>
  <c r="Y111" i="11"/>
  <c r="AQ112" i="11"/>
  <c r="AF112" i="11"/>
  <c r="Y112" i="11"/>
  <c r="AQ113" i="11"/>
  <c r="AF113" i="11"/>
  <c r="Y113" i="11"/>
  <c r="AQ114" i="11"/>
  <c r="AF114" i="11"/>
  <c r="Y114" i="11"/>
  <c r="AQ115" i="11"/>
  <c r="AF115" i="11"/>
  <c r="Y115" i="11"/>
  <c r="AQ116" i="11"/>
  <c r="AF116" i="11"/>
  <c r="Y116" i="11"/>
  <c r="AQ117" i="11"/>
  <c r="AF117" i="11"/>
  <c r="Y117" i="11"/>
  <c r="AQ118" i="11"/>
  <c r="AF118" i="11"/>
  <c r="Y118" i="11"/>
  <c r="AQ119" i="11"/>
  <c r="AF119" i="11"/>
  <c r="Y119" i="11"/>
  <c r="AQ120" i="11"/>
  <c r="AF120" i="11"/>
  <c r="Y120" i="11"/>
  <c r="AQ121" i="11"/>
  <c r="AF121" i="11"/>
  <c r="Y121" i="11"/>
  <c r="AQ122" i="11"/>
  <c r="AF122" i="11"/>
  <c r="Y122" i="11"/>
  <c r="AQ123" i="11"/>
  <c r="AF123" i="11"/>
  <c r="Y123" i="11"/>
  <c r="AQ124" i="11"/>
  <c r="AF124" i="11"/>
  <c r="Y124" i="11"/>
  <c r="AQ125" i="11"/>
  <c r="AF125" i="11"/>
  <c r="Y125" i="11"/>
  <c r="AQ126" i="11"/>
  <c r="AF126" i="11"/>
  <c r="Y126" i="11"/>
  <c r="AQ127" i="11"/>
  <c r="AF127" i="11"/>
  <c r="Y127" i="11"/>
  <c r="AQ128" i="11"/>
  <c r="AF128" i="11"/>
  <c r="Y128" i="11"/>
  <c r="AQ129" i="11"/>
  <c r="AF129" i="11"/>
  <c r="Y129" i="11"/>
  <c r="AQ130" i="11"/>
  <c r="AF130" i="11"/>
  <c r="Y130" i="11"/>
  <c r="AQ131" i="11"/>
  <c r="AF131" i="11"/>
  <c r="Y131" i="11"/>
  <c r="AQ132" i="11"/>
  <c r="AF132" i="11"/>
  <c r="Y132" i="11"/>
  <c r="AQ133" i="11"/>
  <c r="AF133" i="11"/>
  <c r="Y133" i="11"/>
  <c r="AQ134" i="11"/>
  <c r="AF134" i="11"/>
  <c r="Y134" i="11"/>
  <c r="AQ135" i="11"/>
  <c r="AF135" i="11"/>
  <c r="Y135" i="11"/>
  <c r="AQ136" i="11"/>
  <c r="AF136" i="11"/>
  <c r="Y136" i="11"/>
  <c r="AQ137" i="11"/>
  <c r="AF137" i="11"/>
  <c r="Y137" i="11"/>
  <c r="AQ138" i="11"/>
  <c r="AF138" i="11"/>
  <c r="Y138" i="11"/>
  <c r="AQ139" i="11"/>
  <c r="AF139" i="11"/>
  <c r="Y139" i="11"/>
  <c r="AQ140" i="11"/>
  <c r="AF140" i="11"/>
  <c r="Y140" i="11"/>
  <c r="AQ141" i="11"/>
  <c r="AF141" i="11"/>
  <c r="Y141" i="11"/>
  <c r="AQ142" i="11"/>
  <c r="AF142" i="11"/>
  <c r="Y142" i="11"/>
  <c r="AQ143" i="11"/>
  <c r="AF143" i="11"/>
  <c r="Y143" i="11"/>
  <c r="AQ144" i="11"/>
  <c r="AF144" i="11"/>
  <c r="Y144" i="11"/>
  <c r="AQ145" i="11"/>
  <c r="AF145" i="11"/>
  <c r="Y145" i="11"/>
  <c r="AQ146" i="11"/>
  <c r="AF146" i="11"/>
  <c r="Y146" i="11"/>
  <c r="AQ147" i="11"/>
  <c r="AF147" i="11"/>
  <c r="Y147" i="11"/>
  <c r="AQ148" i="11"/>
  <c r="AF148" i="11"/>
  <c r="Y148" i="11"/>
  <c r="AQ149" i="11"/>
  <c r="AF149" i="11"/>
  <c r="Y149" i="11"/>
  <c r="AQ150" i="11"/>
  <c r="AF150" i="11"/>
  <c r="Y150" i="11"/>
  <c r="AQ151" i="11"/>
  <c r="AF151" i="11"/>
  <c r="Y151" i="11"/>
  <c r="AQ152" i="11"/>
  <c r="AF152" i="11"/>
  <c r="Y152" i="11"/>
  <c r="AQ153" i="11"/>
  <c r="AF153" i="11"/>
  <c r="Y153" i="11"/>
  <c r="AQ154" i="11"/>
  <c r="AF154" i="11"/>
  <c r="Y154" i="11"/>
  <c r="AQ155" i="11"/>
  <c r="AF155" i="11"/>
  <c r="Y155" i="11"/>
  <c r="AQ156" i="11"/>
  <c r="AF156" i="11"/>
  <c r="Y156" i="11"/>
  <c r="AQ157" i="11"/>
  <c r="AF157" i="11"/>
  <c r="Y157" i="11"/>
  <c r="AQ158" i="11"/>
  <c r="AF158" i="11"/>
  <c r="Y158" i="11"/>
  <c r="AQ159" i="11"/>
  <c r="AF159" i="11"/>
  <c r="Y159" i="11"/>
  <c r="AQ160" i="11"/>
  <c r="AF160" i="11"/>
  <c r="Y160" i="11"/>
  <c r="AQ161" i="11"/>
  <c r="AF161" i="11"/>
  <c r="Y161" i="11"/>
  <c r="AQ162" i="11"/>
  <c r="AF162" i="11"/>
  <c r="Y162" i="11"/>
  <c r="AQ163" i="11"/>
  <c r="AF163" i="11"/>
  <c r="Y163" i="11"/>
  <c r="AQ164" i="11"/>
  <c r="AF164" i="11"/>
  <c r="Y164" i="11"/>
  <c r="AQ165" i="11"/>
  <c r="AF165" i="11"/>
  <c r="Y165" i="11"/>
  <c r="AQ166" i="11"/>
  <c r="AF166" i="11"/>
  <c r="Y166" i="11"/>
  <c r="AQ167" i="11"/>
  <c r="AF167" i="11"/>
  <c r="Y167" i="11"/>
  <c r="AQ168" i="11"/>
  <c r="AF168" i="11"/>
  <c r="Y168" i="11"/>
  <c r="AQ169" i="11"/>
  <c r="AF169" i="11"/>
  <c r="Y169" i="11"/>
  <c r="AQ170" i="11"/>
  <c r="AF170" i="11"/>
  <c r="Y170" i="11"/>
  <c r="AQ171" i="11"/>
  <c r="AF171" i="11"/>
  <c r="Y171" i="11"/>
  <c r="AQ172" i="11"/>
  <c r="AF172" i="11"/>
  <c r="Y172" i="11"/>
  <c r="AQ173" i="11"/>
  <c r="AF173" i="11"/>
  <c r="Y173" i="11"/>
  <c r="AQ174" i="11"/>
  <c r="AF174" i="11"/>
  <c r="Y174" i="11"/>
  <c r="AQ175" i="11"/>
  <c r="AF175" i="11"/>
  <c r="Y175" i="11"/>
  <c r="AQ176" i="11"/>
  <c r="AF176" i="11"/>
  <c r="Y176" i="11"/>
  <c r="AQ177" i="11"/>
  <c r="AF177" i="11"/>
  <c r="Y177" i="11"/>
  <c r="AQ178" i="11"/>
  <c r="AF178" i="11"/>
  <c r="Y178" i="11"/>
  <c r="AQ179" i="11"/>
  <c r="AF179" i="11"/>
  <c r="Y179" i="11"/>
  <c r="AQ180" i="11"/>
  <c r="AF180" i="11"/>
  <c r="Y180" i="11"/>
  <c r="AQ181" i="11"/>
  <c r="AF181" i="11"/>
  <c r="Y181" i="11"/>
  <c r="AQ182" i="11"/>
  <c r="AF182" i="11"/>
  <c r="Y182" i="11"/>
  <c r="AQ183" i="11"/>
  <c r="AF183" i="11"/>
  <c r="Y183" i="11"/>
  <c r="AQ184" i="11"/>
  <c r="AF184" i="11"/>
  <c r="Y184" i="11"/>
  <c r="AQ185" i="11"/>
  <c r="AF185" i="11"/>
  <c r="Y185" i="11"/>
  <c r="AQ186" i="11"/>
  <c r="AF186" i="11"/>
  <c r="Y186" i="11"/>
  <c r="AQ187" i="11"/>
  <c r="AF187" i="11"/>
  <c r="Y187" i="11"/>
  <c r="AQ188" i="11"/>
  <c r="AF188" i="11"/>
  <c r="Y188" i="11"/>
  <c r="AQ189" i="11"/>
  <c r="AF189" i="11"/>
  <c r="Y189" i="11"/>
  <c r="AQ190" i="11"/>
  <c r="AF190" i="11"/>
  <c r="Y190" i="11"/>
  <c r="AQ191" i="11"/>
  <c r="AF191" i="11"/>
  <c r="Y191" i="11"/>
  <c r="AQ192" i="11"/>
  <c r="AF192" i="11"/>
  <c r="Y192" i="11"/>
  <c r="AQ193" i="11"/>
  <c r="AF193" i="11"/>
  <c r="Y193" i="11"/>
  <c r="AQ194" i="11"/>
  <c r="AF194" i="11"/>
  <c r="Y194" i="11"/>
  <c r="AQ195" i="11"/>
  <c r="AF195" i="11"/>
  <c r="Y195" i="11"/>
  <c r="AQ196" i="11"/>
  <c r="AF196" i="11"/>
  <c r="Y196" i="11"/>
  <c r="AQ197" i="11"/>
  <c r="AF197" i="11"/>
  <c r="Y197" i="11"/>
  <c r="AQ198" i="11"/>
  <c r="AF198" i="11"/>
  <c r="Y198" i="11"/>
  <c r="AQ199" i="11"/>
  <c r="AF199" i="11"/>
  <c r="Y199" i="11"/>
  <c r="AQ200" i="11"/>
  <c r="AF200" i="11"/>
  <c r="Y200" i="11"/>
  <c r="AQ201" i="11"/>
  <c r="AF201" i="11"/>
  <c r="Y201" i="11"/>
  <c r="AQ202" i="11"/>
  <c r="AF202" i="11"/>
  <c r="Y202" i="11"/>
  <c r="AQ203" i="11"/>
  <c r="AF203" i="11"/>
  <c r="Y203" i="11"/>
  <c r="AQ204" i="11"/>
  <c r="AF204" i="11"/>
  <c r="Y204" i="11"/>
  <c r="AQ205" i="11"/>
  <c r="AF205" i="11"/>
  <c r="Y205" i="11"/>
  <c r="AQ206" i="11"/>
  <c r="AF206" i="11"/>
  <c r="Y206" i="11"/>
  <c r="AQ207" i="11"/>
  <c r="AF207" i="11"/>
  <c r="Y207" i="11"/>
  <c r="AQ208" i="11"/>
  <c r="AF208" i="11"/>
  <c r="Y208" i="11"/>
  <c r="AQ209" i="11"/>
  <c r="AF209" i="11"/>
  <c r="Y209" i="11"/>
  <c r="AQ210" i="11"/>
  <c r="AF210" i="11"/>
  <c r="Y210" i="11"/>
  <c r="AQ211" i="11"/>
  <c r="AF211" i="11"/>
  <c r="Y211" i="11"/>
  <c r="AQ212" i="11"/>
  <c r="AF212" i="11"/>
  <c r="Y212" i="11"/>
  <c r="AQ213" i="11"/>
  <c r="AF213" i="11"/>
  <c r="Y213" i="11"/>
  <c r="AQ214" i="11"/>
  <c r="AF214" i="11"/>
  <c r="Y214" i="11"/>
  <c r="AQ215" i="11"/>
  <c r="AF215" i="11"/>
  <c r="Y215" i="11"/>
  <c r="AQ216" i="11"/>
  <c r="AF216" i="11"/>
  <c r="Y216" i="11"/>
  <c r="AQ217" i="11"/>
  <c r="AF217" i="11"/>
  <c r="Y217" i="11"/>
  <c r="AQ218" i="11"/>
  <c r="AF218" i="11"/>
  <c r="Y218" i="11"/>
  <c r="AQ219" i="11"/>
  <c r="AF219" i="11"/>
  <c r="Y219" i="11"/>
  <c r="AQ220" i="11"/>
  <c r="AF220" i="11"/>
  <c r="Y220" i="11"/>
  <c r="AQ221" i="11"/>
  <c r="AF221" i="11"/>
  <c r="Y221" i="11"/>
  <c r="AQ222" i="11"/>
  <c r="AF222" i="11"/>
  <c r="Y222" i="11"/>
  <c r="AQ223" i="11"/>
  <c r="AF223" i="11"/>
  <c r="Y223" i="11"/>
  <c r="AQ224" i="11"/>
  <c r="AF224" i="11"/>
  <c r="Y224" i="11"/>
  <c r="AQ225" i="11"/>
  <c r="AF225" i="11"/>
  <c r="Y225" i="11"/>
  <c r="AQ226" i="11"/>
  <c r="AF226" i="11"/>
  <c r="Y226" i="11"/>
  <c r="AQ227" i="11"/>
  <c r="AF227" i="11"/>
  <c r="Y227" i="11"/>
  <c r="AQ228" i="11"/>
  <c r="AF228" i="11"/>
  <c r="Y228" i="11"/>
  <c r="AQ229" i="11"/>
  <c r="AF229" i="11"/>
  <c r="Y229" i="11"/>
  <c r="AQ230" i="11"/>
  <c r="AF230" i="11"/>
  <c r="Y230" i="11"/>
  <c r="AQ231" i="11"/>
  <c r="AF231" i="11"/>
  <c r="Y231" i="11"/>
  <c r="AQ232" i="11"/>
  <c r="AF232" i="11"/>
  <c r="Y232" i="11"/>
  <c r="AQ233" i="11"/>
  <c r="AF233" i="11"/>
  <c r="Y233" i="11"/>
  <c r="AQ234" i="11"/>
  <c r="AF234" i="11"/>
  <c r="Y234" i="11"/>
  <c r="AQ235" i="11"/>
  <c r="AF235" i="11"/>
  <c r="Y235" i="11"/>
  <c r="AQ236" i="11"/>
  <c r="AF236" i="11"/>
  <c r="Y236" i="11"/>
  <c r="AQ237" i="11"/>
  <c r="AF237" i="11"/>
  <c r="Y237" i="11"/>
  <c r="AQ238" i="11"/>
  <c r="AF238" i="11"/>
  <c r="Y238" i="11"/>
  <c r="AQ239" i="11"/>
  <c r="AF239" i="11"/>
  <c r="Y239" i="11"/>
  <c r="AQ240" i="11"/>
  <c r="AF240" i="11"/>
  <c r="Y240" i="11"/>
  <c r="AQ241" i="11"/>
  <c r="AF241" i="11"/>
  <c r="Y241" i="11"/>
  <c r="AQ242" i="11"/>
  <c r="AF242" i="11"/>
  <c r="Y242" i="11"/>
  <c r="AQ243" i="11"/>
  <c r="AF243" i="11"/>
  <c r="Y243" i="11"/>
  <c r="AQ244" i="11"/>
  <c r="AF244" i="11"/>
  <c r="Y244" i="11"/>
  <c r="AQ245" i="11"/>
  <c r="AF245" i="11"/>
  <c r="Y245" i="11"/>
  <c r="AQ246" i="11"/>
  <c r="AF246" i="11"/>
  <c r="Y246" i="11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9" i="10"/>
  <c r="C18" i="1"/>
  <c r="F10" i="10"/>
  <c r="N10" i="10"/>
  <c r="F11" i="10"/>
  <c r="N11" i="10"/>
  <c r="F12" i="10"/>
  <c r="N12" i="10"/>
  <c r="F13" i="10"/>
  <c r="N13" i="10"/>
  <c r="F14" i="10"/>
  <c r="N14" i="10"/>
  <c r="F15" i="10"/>
  <c r="N15" i="10"/>
  <c r="F16" i="10"/>
  <c r="N16" i="10"/>
  <c r="F17" i="10"/>
  <c r="N17" i="10"/>
  <c r="F18" i="10"/>
  <c r="N18" i="10"/>
  <c r="F19" i="10"/>
  <c r="N19" i="10"/>
  <c r="F20" i="10"/>
  <c r="N20" i="10"/>
  <c r="F21" i="10"/>
  <c r="N21" i="10"/>
  <c r="F22" i="10"/>
  <c r="N22" i="10"/>
  <c r="F23" i="10"/>
  <c r="N23" i="10"/>
  <c r="F24" i="10"/>
  <c r="N24" i="10"/>
  <c r="F25" i="10"/>
  <c r="N25" i="10"/>
  <c r="F26" i="10"/>
  <c r="N26" i="10"/>
  <c r="F27" i="10"/>
  <c r="N27" i="10"/>
  <c r="F28" i="10"/>
  <c r="N28" i="10"/>
  <c r="F29" i="10"/>
  <c r="N29" i="10"/>
  <c r="F30" i="10"/>
  <c r="N30" i="10"/>
  <c r="F31" i="10"/>
  <c r="N31" i="10"/>
  <c r="F32" i="10"/>
  <c r="N32" i="10"/>
  <c r="F33" i="10"/>
  <c r="N33" i="10"/>
  <c r="F34" i="10"/>
  <c r="N34" i="10"/>
  <c r="F35" i="10"/>
  <c r="N35" i="10"/>
  <c r="F36" i="10"/>
  <c r="N36" i="10"/>
  <c r="F37" i="10"/>
  <c r="N37" i="10"/>
  <c r="F38" i="10"/>
  <c r="N38" i="10"/>
  <c r="F39" i="10"/>
  <c r="N39" i="10"/>
  <c r="F40" i="10"/>
  <c r="N40" i="10"/>
  <c r="F41" i="10"/>
  <c r="N41" i="10"/>
  <c r="F42" i="10"/>
  <c r="N42" i="10"/>
  <c r="F43" i="10"/>
  <c r="N43" i="10"/>
  <c r="F44" i="10"/>
  <c r="N44" i="10"/>
  <c r="F45" i="10"/>
  <c r="N45" i="10"/>
  <c r="F46" i="10"/>
  <c r="N46" i="10"/>
  <c r="F47" i="10"/>
  <c r="N47" i="10"/>
  <c r="F48" i="10"/>
  <c r="N48" i="10"/>
  <c r="F49" i="10"/>
  <c r="N49" i="10"/>
  <c r="F50" i="10"/>
  <c r="N50" i="10"/>
  <c r="F51" i="10"/>
  <c r="N51" i="10"/>
  <c r="F52" i="10"/>
  <c r="N52" i="10"/>
  <c r="F53" i="10"/>
  <c r="N53" i="10"/>
  <c r="F54" i="10"/>
  <c r="N54" i="10"/>
  <c r="F55" i="10"/>
  <c r="N55" i="10"/>
  <c r="F56" i="10"/>
  <c r="N56" i="10"/>
  <c r="F57" i="10"/>
  <c r="N57" i="10"/>
  <c r="F58" i="10"/>
  <c r="N58" i="10"/>
  <c r="F59" i="10"/>
  <c r="N59" i="10"/>
  <c r="F60" i="10"/>
  <c r="N60" i="10"/>
  <c r="F61" i="10"/>
  <c r="N61" i="10"/>
  <c r="F62" i="10"/>
  <c r="N62" i="10"/>
  <c r="F63" i="10"/>
  <c r="N63" i="10"/>
  <c r="F64" i="10"/>
  <c r="N64" i="10"/>
  <c r="F65" i="10"/>
  <c r="N65" i="10"/>
  <c r="F66" i="10"/>
  <c r="N66" i="10"/>
  <c r="F67" i="10"/>
  <c r="N67" i="10"/>
  <c r="F68" i="10"/>
  <c r="N68" i="10"/>
  <c r="F69" i="10"/>
  <c r="N69" i="10"/>
  <c r="F70" i="10"/>
  <c r="N70" i="10"/>
  <c r="F71" i="10"/>
  <c r="N71" i="10"/>
  <c r="F72" i="10"/>
  <c r="N72" i="10"/>
  <c r="F73" i="10"/>
  <c r="N73" i="10"/>
  <c r="F74" i="10"/>
  <c r="N74" i="10"/>
  <c r="F75" i="10"/>
  <c r="N75" i="10"/>
  <c r="F76" i="10"/>
  <c r="N76" i="10"/>
  <c r="F77" i="10"/>
  <c r="N77" i="10"/>
  <c r="F78" i="10"/>
  <c r="N78" i="10"/>
  <c r="F79" i="10"/>
  <c r="N79" i="10"/>
  <c r="F80" i="10"/>
  <c r="N80" i="10"/>
  <c r="F81" i="10"/>
  <c r="N81" i="10"/>
  <c r="F82" i="10"/>
  <c r="N82" i="10"/>
  <c r="F83" i="10"/>
  <c r="N83" i="10"/>
  <c r="F84" i="10"/>
  <c r="N84" i="10"/>
  <c r="F85" i="10"/>
  <c r="N85" i="10"/>
  <c r="F86" i="10"/>
  <c r="N86" i="10"/>
  <c r="F87" i="10"/>
  <c r="N87" i="10"/>
  <c r="F88" i="10"/>
  <c r="N88" i="10"/>
  <c r="F89" i="10"/>
  <c r="N89" i="10"/>
  <c r="F90" i="10"/>
  <c r="N90" i="10"/>
  <c r="F91" i="10"/>
  <c r="N91" i="10"/>
  <c r="F92" i="10"/>
  <c r="N92" i="10"/>
  <c r="F93" i="10"/>
  <c r="N93" i="10"/>
  <c r="F94" i="10"/>
  <c r="N94" i="10"/>
  <c r="F95" i="10"/>
  <c r="N95" i="10"/>
  <c r="F96" i="10"/>
  <c r="N96" i="10"/>
  <c r="F97" i="10"/>
  <c r="N97" i="10"/>
  <c r="F98" i="10"/>
  <c r="N98" i="10"/>
  <c r="F99" i="10"/>
  <c r="N99" i="10"/>
  <c r="F100" i="10"/>
  <c r="N100" i="10"/>
  <c r="F101" i="10"/>
  <c r="N101" i="10"/>
  <c r="F102" i="10"/>
  <c r="N102" i="10"/>
  <c r="F103" i="10"/>
  <c r="N103" i="10"/>
  <c r="F104" i="10"/>
  <c r="N104" i="10"/>
  <c r="F105" i="10"/>
  <c r="N105" i="10"/>
  <c r="F106" i="10"/>
  <c r="N106" i="10"/>
  <c r="F107" i="10"/>
  <c r="N107" i="10"/>
  <c r="F108" i="10"/>
  <c r="N108" i="10"/>
  <c r="F109" i="10"/>
  <c r="N109" i="10"/>
  <c r="F110" i="10"/>
  <c r="N110" i="10"/>
  <c r="F111" i="10"/>
  <c r="N111" i="10"/>
  <c r="F112" i="10"/>
  <c r="N112" i="10"/>
  <c r="F113" i="10"/>
  <c r="N113" i="10"/>
  <c r="F114" i="10"/>
  <c r="N114" i="10"/>
  <c r="F115" i="10"/>
  <c r="N115" i="10"/>
  <c r="F116" i="10"/>
  <c r="N116" i="10"/>
  <c r="F117" i="10"/>
  <c r="N117" i="10"/>
  <c r="F118" i="10"/>
  <c r="N118" i="10"/>
  <c r="F119" i="10"/>
  <c r="N119" i="10"/>
  <c r="F120" i="10"/>
  <c r="N120" i="10"/>
  <c r="F121" i="10"/>
  <c r="N121" i="10"/>
  <c r="F122" i="10"/>
  <c r="N122" i="10"/>
  <c r="F123" i="10"/>
  <c r="N123" i="10"/>
  <c r="F124" i="10"/>
  <c r="N124" i="10"/>
  <c r="F125" i="10"/>
  <c r="N125" i="10"/>
  <c r="F126" i="10"/>
  <c r="N126" i="10"/>
  <c r="F127" i="10"/>
  <c r="N127" i="10"/>
  <c r="F128" i="10"/>
  <c r="N128" i="10"/>
  <c r="F129" i="10"/>
  <c r="N129" i="10"/>
  <c r="F130" i="10"/>
  <c r="N130" i="10"/>
  <c r="F131" i="10"/>
  <c r="N131" i="10"/>
  <c r="F132" i="10"/>
  <c r="N132" i="10"/>
  <c r="F133" i="10"/>
  <c r="N133" i="10"/>
  <c r="F134" i="10"/>
  <c r="N134" i="10"/>
  <c r="F135" i="10"/>
  <c r="N135" i="10"/>
  <c r="F136" i="10"/>
  <c r="N136" i="10"/>
  <c r="F137" i="10"/>
  <c r="N137" i="10"/>
  <c r="F138" i="10"/>
  <c r="N138" i="10"/>
  <c r="F139" i="10"/>
  <c r="N139" i="10"/>
  <c r="F140" i="10"/>
  <c r="N140" i="10"/>
  <c r="F141" i="10"/>
  <c r="N141" i="10"/>
  <c r="F142" i="10"/>
  <c r="N142" i="10"/>
  <c r="F143" i="10"/>
  <c r="N143" i="10"/>
  <c r="F144" i="10"/>
  <c r="N144" i="10"/>
  <c r="F145" i="10"/>
  <c r="N145" i="10"/>
  <c r="F146" i="10"/>
  <c r="N146" i="10"/>
  <c r="F147" i="10"/>
  <c r="N147" i="10"/>
  <c r="F148" i="10"/>
  <c r="N148" i="10"/>
  <c r="F149" i="10"/>
  <c r="N149" i="10"/>
  <c r="F150" i="10"/>
  <c r="N150" i="10"/>
  <c r="F151" i="10"/>
  <c r="N151" i="10"/>
  <c r="F152" i="10"/>
  <c r="N152" i="10"/>
  <c r="F153" i="10"/>
  <c r="N153" i="10"/>
  <c r="F154" i="10"/>
  <c r="N154" i="10"/>
  <c r="F155" i="10"/>
  <c r="N155" i="10"/>
  <c r="F156" i="10"/>
  <c r="N156" i="10"/>
  <c r="F157" i="10"/>
  <c r="N157" i="10"/>
  <c r="F158" i="10"/>
  <c r="N158" i="10"/>
  <c r="F159" i="10"/>
  <c r="N159" i="10"/>
  <c r="F160" i="10"/>
  <c r="N160" i="10"/>
  <c r="F161" i="10"/>
  <c r="N161" i="10"/>
  <c r="F162" i="10"/>
  <c r="N162" i="10"/>
  <c r="F163" i="10"/>
  <c r="N163" i="10"/>
  <c r="F164" i="10"/>
  <c r="N164" i="10"/>
  <c r="F165" i="10"/>
  <c r="N165" i="10"/>
  <c r="F166" i="10"/>
  <c r="N166" i="10"/>
  <c r="F167" i="10"/>
  <c r="N167" i="10"/>
  <c r="F168" i="10"/>
  <c r="N168" i="10"/>
  <c r="F169" i="10"/>
  <c r="N169" i="10"/>
  <c r="F170" i="10"/>
  <c r="N170" i="10"/>
  <c r="F171" i="10"/>
  <c r="N171" i="10"/>
  <c r="F172" i="10"/>
  <c r="N172" i="10"/>
  <c r="F173" i="10"/>
  <c r="N173" i="10"/>
  <c r="F174" i="10"/>
  <c r="N174" i="10"/>
  <c r="F175" i="10"/>
  <c r="N175" i="10"/>
  <c r="F176" i="10"/>
  <c r="N176" i="10"/>
  <c r="F177" i="10"/>
  <c r="N177" i="10"/>
  <c r="F178" i="10"/>
  <c r="N178" i="10"/>
  <c r="F179" i="10"/>
  <c r="N179" i="10"/>
  <c r="F180" i="10"/>
  <c r="N180" i="10"/>
  <c r="F181" i="10"/>
  <c r="N181" i="10"/>
  <c r="F182" i="10"/>
  <c r="N182" i="10"/>
  <c r="F183" i="10"/>
  <c r="N183" i="10"/>
  <c r="F184" i="10"/>
  <c r="N184" i="10"/>
  <c r="F185" i="10"/>
  <c r="N185" i="10"/>
  <c r="F186" i="10"/>
  <c r="N186" i="10"/>
  <c r="F187" i="10"/>
  <c r="N187" i="10"/>
  <c r="F188" i="10"/>
  <c r="N188" i="10"/>
  <c r="F189" i="10"/>
  <c r="N189" i="10"/>
  <c r="F190" i="10"/>
  <c r="N190" i="10"/>
  <c r="F191" i="10"/>
  <c r="N191" i="10"/>
  <c r="F192" i="10"/>
  <c r="N192" i="10"/>
  <c r="F193" i="10"/>
  <c r="N193" i="10"/>
  <c r="F194" i="10"/>
  <c r="N194" i="10"/>
  <c r="F195" i="10"/>
  <c r="N195" i="10"/>
  <c r="F196" i="10"/>
  <c r="N196" i="10"/>
  <c r="F197" i="10"/>
  <c r="N197" i="10"/>
  <c r="F198" i="10"/>
  <c r="N198" i="10"/>
  <c r="F199" i="10"/>
  <c r="N199" i="10"/>
  <c r="F200" i="10"/>
  <c r="N200" i="10"/>
  <c r="F201" i="10"/>
  <c r="N201" i="10"/>
  <c r="F202" i="10"/>
  <c r="N202" i="10"/>
  <c r="F203" i="10"/>
  <c r="N203" i="10"/>
  <c r="F204" i="10"/>
  <c r="N204" i="10"/>
  <c r="F205" i="10"/>
  <c r="N205" i="10"/>
  <c r="F206" i="10"/>
  <c r="N206" i="10"/>
  <c r="F207" i="10"/>
  <c r="N207" i="10"/>
  <c r="F208" i="10"/>
  <c r="N208" i="10"/>
  <c r="F209" i="10"/>
  <c r="N209" i="10"/>
  <c r="F210" i="10"/>
  <c r="N210" i="10"/>
  <c r="F211" i="10"/>
  <c r="N211" i="10"/>
  <c r="F212" i="10"/>
  <c r="N212" i="10"/>
  <c r="F213" i="10"/>
  <c r="N213" i="10"/>
  <c r="F214" i="10"/>
  <c r="N214" i="10"/>
  <c r="F215" i="10"/>
  <c r="N215" i="10"/>
  <c r="F216" i="10"/>
  <c r="N216" i="10"/>
  <c r="F217" i="10"/>
  <c r="N217" i="10"/>
  <c r="F218" i="10"/>
  <c r="N218" i="10"/>
  <c r="F219" i="10"/>
  <c r="N219" i="10"/>
  <c r="F220" i="10"/>
  <c r="N220" i="10"/>
  <c r="F221" i="10"/>
  <c r="N221" i="10"/>
  <c r="F222" i="10"/>
  <c r="N222" i="10"/>
  <c r="F223" i="10"/>
  <c r="N223" i="10"/>
  <c r="F224" i="10"/>
  <c r="N224" i="10"/>
  <c r="F225" i="10"/>
  <c r="N225" i="10"/>
  <c r="F226" i="10"/>
  <c r="N226" i="10"/>
  <c r="F227" i="10"/>
  <c r="N227" i="10"/>
  <c r="F228" i="10"/>
  <c r="N228" i="10"/>
  <c r="F229" i="10"/>
  <c r="N229" i="10"/>
  <c r="F230" i="10"/>
  <c r="N230" i="10"/>
  <c r="F231" i="10"/>
  <c r="N231" i="10"/>
  <c r="F232" i="10"/>
  <c r="N232" i="10"/>
  <c r="F233" i="10"/>
  <c r="N233" i="10"/>
  <c r="F234" i="10"/>
  <c r="N234" i="10"/>
  <c r="F235" i="10"/>
  <c r="N235" i="10"/>
  <c r="F236" i="10"/>
  <c r="N236" i="10"/>
  <c r="F237" i="10"/>
  <c r="N237" i="10"/>
  <c r="F238" i="10"/>
  <c r="N238" i="10"/>
  <c r="F239" i="10"/>
  <c r="N239" i="10"/>
  <c r="F240" i="10"/>
  <c r="N240" i="10"/>
  <c r="F241" i="10"/>
  <c r="N241" i="10"/>
  <c r="F242" i="10"/>
  <c r="N242" i="10"/>
  <c r="F243" i="10"/>
  <c r="N243" i="10"/>
  <c r="F244" i="10"/>
  <c r="N244" i="10"/>
  <c r="F245" i="10"/>
  <c r="N245" i="10"/>
  <c r="F246" i="10"/>
  <c r="N246" i="10"/>
  <c r="F247" i="10"/>
  <c r="N247" i="10"/>
  <c r="F248" i="10"/>
  <c r="N248" i="10"/>
  <c r="C22" i="10"/>
  <c r="C23" i="10"/>
  <c r="C24" i="10"/>
  <c r="C25" i="10"/>
  <c r="C26" i="10"/>
  <c r="C27" i="10"/>
  <c r="C28" i="10"/>
  <c r="C29" i="10"/>
  <c r="C30" i="10"/>
  <c r="C42" i="10"/>
  <c r="C31" i="10"/>
  <c r="C32" i="10"/>
  <c r="C21" i="10"/>
  <c r="C14" i="1"/>
  <c r="C15" i="1"/>
  <c r="C17" i="1"/>
  <c r="C46" i="1" a="1"/>
  <c r="C46" i="1"/>
  <c r="D46" i="1" a="1"/>
  <c r="D46" i="1"/>
  <c r="E46" i="1" a="1"/>
  <c r="E46" i="1"/>
  <c r="F46" i="1" a="1"/>
  <c r="F46" i="1"/>
  <c r="G46" i="1" a="1"/>
  <c r="G46" i="1"/>
  <c r="H46" i="1" a="1"/>
  <c r="H46" i="1"/>
  <c r="I46" i="1" a="1"/>
  <c r="I46" i="1"/>
  <c r="J46" i="1" a="1"/>
  <c r="J46" i="1"/>
  <c r="K46" i="1" a="1"/>
  <c r="K46" i="1"/>
  <c r="L46" i="1" a="1"/>
  <c r="L46" i="1"/>
  <c r="M46" i="1" a="1"/>
  <c r="M46" i="1"/>
  <c r="N46" i="1" a="1"/>
  <c r="N46" i="1"/>
  <c r="O46" i="1" a="1"/>
  <c r="O46" i="1"/>
  <c r="P46" i="1" a="1"/>
  <c r="P46" i="1"/>
  <c r="Q46" i="1" a="1"/>
  <c r="Q46" i="1"/>
  <c r="F64" i="9"/>
  <c r="R46" i="1" a="1"/>
  <c r="R46" i="1"/>
  <c r="F65" i="9"/>
  <c r="F66" i="9"/>
  <c r="F67" i="9"/>
  <c r="F68" i="9"/>
  <c r="V46" i="1" a="1"/>
  <c r="V46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52" i="1"/>
  <c r="M64" i="9"/>
  <c r="M65" i="9"/>
  <c r="M66" i="9"/>
  <c r="M67" i="9"/>
  <c r="K64" i="9"/>
  <c r="K65" i="9"/>
  <c r="K66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F69" i="9"/>
  <c r="F70" i="9"/>
  <c r="F71" i="9"/>
  <c r="F72" i="9"/>
  <c r="F73" i="9"/>
  <c r="F74" i="9"/>
  <c r="F75" i="9"/>
  <c r="F76" i="9"/>
  <c r="F77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L64" i="9"/>
  <c r="L65" i="9"/>
  <c r="R42" i="1" a="1"/>
  <c r="R42" i="1"/>
  <c r="J64" i="9"/>
  <c r="J65" i="9"/>
  <c r="J66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O77" i="9"/>
  <c r="N77" i="9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D42" i="1" a="1"/>
  <c r="D42" i="1"/>
  <c r="E42" i="1" a="1"/>
  <c r="E42" i="1"/>
  <c r="F42" i="1" a="1"/>
  <c r="F42" i="1"/>
  <c r="G42" i="1" a="1"/>
  <c r="G42" i="1"/>
  <c r="H42" i="1" a="1"/>
  <c r="H42" i="1"/>
  <c r="I42" i="1" a="1"/>
  <c r="I42" i="1"/>
  <c r="J42" i="1" a="1"/>
  <c r="J42" i="1"/>
  <c r="K42" i="1" a="1"/>
  <c r="K42" i="1"/>
  <c r="L42" i="1" a="1"/>
  <c r="L42" i="1"/>
  <c r="M42" i="1" a="1"/>
  <c r="M42" i="1"/>
  <c r="N42" i="1" a="1"/>
  <c r="N42" i="1"/>
  <c r="O42" i="1" a="1"/>
  <c r="O42" i="1"/>
  <c r="P42" i="1" a="1"/>
  <c r="P42" i="1"/>
  <c r="Q42" i="1" a="1"/>
  <c r="Q42" i="1"/>
  <c r="S42" i="1" a="1"/>
  <c r="S42" i="1"/>
  <c r="D43" i="1" a="1"/>
  <c r="D43" i="1"/>
  <c r="E43" i="1" a="1"/>
  <c r="E43" i="1"/>
  <c r="F43" i="1" a="1"/>
  <c r="F43" i="1"/>
  <c r="G43" i="1" a="1"/>
  <c r="G43" i="1"/>
  <c r="H43" i="1" a="1"/>
  <c r="H43" i="1"/>
  <c r="I43" i="1" a="1"/>
  <c r="I43" i="1"/>
  <c r="J43" i="1" a="1"/>
  <c r="J43" i="1"/>
  <c r="K43" i="1" a="1"/>
  <c r="K43" i="1"/>
  <c r="L43" i="1" a="1"/>
  <c r="L43" i="1"/>
  <c r="M43" i="1" a="1"/>
  <c r="M43" i="1"/>
  <c r="N43" i="1" a="1"/>
  <c r="N43" i="1"/>
  <c r="O43" i="1" a="1"/>
  <c r="O43" i="1"/>
  <c r="P43" i="1" a="1"/>
  <c r="P43" i="1"/>
  <c r="Q43" i="1" a="1"/>
  <c r="Q43" i="1"/>
  <c r="R43" i="1" a="1"/>
  <c r="R43" i="1"/>
  <c r="D44" i="1" a="1"/>
  <c r="D44" i="1"/>
  <c r="E44" i="1" a="1"/>
  <c r="E44" i="1"/>
  <c r="F44" i="1" a="1"/>
  <c r="F44" i="1"/>
  <c r="G44" i="1" a="1"/>
  <c r="G44" i="1"/>
  <c r="H44" i="1" a="1"/>
  <c r="H44" i="1"/>
  <c r="I44" i="1" a="1"/>
  <c r="I44" i="1"/>
  <c r="J44" i="1" a="1"/>
  <c r="J44" i="1"/>
  <c r="K44" i="1" a="1"/>
  <c r="K44" i="1"/>
  <c r="L44" i="1" a="1"/>
  <c r="L44" i="1"/>
  <c r="M44" i="1" a="1"/>
  <c r="M44" i="1"/>
  <c r="N44" i="1" a="1"/>
  <c r="N44" i="1"/>
  <c r="O44" i="1" a="1"/>
  <c r="O44" i="1"/>
  <c r="P44" i="1" a="1"/>
  <c r="P44" i="1"/>
  <c r="Q44" i="1" a="1"/>
  <c r="Q44" i="1"/>
  <c r="R44" i="1" a="1"/>
  <c r="R44" i="1"/>
  <c r="D45" i="1" a="1"/>
  <c r="D45" i="1"/>
  <c r="E45" i="1" a="1"/>
  <c r="E45" i="1"/>
  <c r="F45" i="1" a="1"/>
  <c r="F45" i="1"/>
  <c r="G45" i="1" a="1"/>
  <c r="G45" i="1"/>
  <c r="H45" i="1" a="1"/>
  <c r="H45" i="1"/>
  <c r="I45" i="1" a="1"/>
  <c r="I45" i="1"/>
  <c r="J45" i="1" a="1"/>
  <c r="J45" i="1"/>
  <c r="K45" i="1" a="1"/>
  <c r="K45" i="1"/>
  <c r="L45" i="1" a="1"/>
  <c r="L45" i="1"/>
  <c r="M45" i="1" a="1"/>
  <c r="M45" i="1"/>
  <c r="N45" i="1" a="1"/>
  <c r="N45" i="1"/>
  <c r="O45" i="1" a="1"/>
  <c r="O45" i="1"/>
  <c r="P45" i="1" a="1"/>
  <c r="P45" i="1"/>
  <c r="Q45" i="1" a="1"/>
  <c r="Q45" i="1"/>
  <c r="R45" i="1" a="1"/>
  <c r="R45" i="1"/>
  <c r="S45" i="1" a="1"/>
  <c r="S45" i="1"/>
  <c r="C43" i="1" a="1"/>
  <c r="C43" i="1"/>
  <c r="C44" i="1" a="1"/>
  <c r="C44" i="1"/>
  <c r="C45" i="1" a="1"/>
  <c r="C45" i="1"/>
  <c r="C42" i="1" a="1"/>
  <c r="C42" i="1"/>
  <c r="V21" i="1"/>
  <c r="V22" i="1"/>
  <c r="U21" i="1"/>
  <c r="U25" i="1"/>
  <c r="T21" i="1"/>
  <c r="T24" i="1"/>
  <c r="S21" i="1"/>
  <c r="S23" i="1"/>
  <c r="R21" i="1"/>
  <c r="R22" i="1"/>
  <c r="Q21" i="1"/>
  <c r="Q25" i="1"/>
  <c r="P21" i="1"/>
  <c r="P24" i="1"/>
  <c r="O21" i="1"/>
  <c r="O23" i="1"/>
  <c r="N21" i="1"/>
  <c r="N22" i="1"/>
  <c r="M21" i="1"/>
  <c r="M25" i="1"/>
  <c r="L21" i="1"/>
  <c r="L24" i="1"/>
  <c r="K21" i="1"/>
  <c r="K23" i="1"/>
  <c r="J21" i="1"/>
  <c r="J22" i="1"/>
  <c r="I21" i="1"/>
  <c r="I25" i="1"/>
  <c r="H21" i="1"/>
  <c r="H24" i="1"/>
  <c r="G21" i="1"/>
  <c r="G23" i="1"/>
  <c r="F21" i="1"/>
  <c r="F22" i="1"/>
  <c r="E21" i="1"/>
  <c r="E25" i="1"/>
  <c r="D21" i="1"/>
  <c r="D24" i="1"/>
  <c r="C21" i="1"/>
  <c r="C24" i="1"/>
  <c r="L66" i="9"/>
  <c r="S43" i="1" a="1"/>
  <c r="S43" i="1"/>
  <c r="K67" i="9"/>
  <c r="T42" i="1" a="1"/>
  <c r="T42" i="1"/>
  <c r="AD19" i="1"/>
  <c r="AC28" i="1"/>
  <c r="AC21" i="1"/>
  <c r="U46" i="1" a="1"/>
  <c r="U46" i="1"/>
  <c r="T46" i="1" a="1"/>
  <c r="T46" i="1"/>
  <c r="S46" i="1" a="1"/>
  <c r="S46" i="1"/>
  <c r="AB23" i="1"/>
  <c r="AB24" i="1"/>
  <c r="AB22" i="1"/>
  <c r="AB25" i="1"/>
  <c r="AG31" i="1"/>
  <c r="AF32" i="1"/>
  <c r="AF33" i="1"/>
  <c r="BX17" i="10"/>
  <c r="BW18" i="10"/>
  <c r="O22" i="1"/>
  <c r="AB248" i="10" a="1"/>
  <c r="AB248" i="10"/>
  <c r="AJ246" i="11"/>
  <c r="AU246" i="11"/>
  <c r="AC246" i="11"/>
  <c r="V246" i="11"/>
  <c r="AB240" i="10" a="1"/>
  <c r="AB240" i="10"/>
  <c r="K68" i="9"/>
  <c r="AK238" i="11"/>
  <c r="AG238" i="11"/>
  <c r="Z238" i="11"/>
  <c r="AJ238" i="11"/>
  <c r="AU238" i="11"/>
  <c r="AB236" i="10" a="1"/>
  <c r="AB236" i="10"/>
  <c r="AJ234" i="11"/>
  <c r="AU234" i="11"/>
  <c r="AC234" i="11"/>
  <c r="V234" i="11"/>
  <c r="AB228" i="10" a="1"/>
  <c r="AB228" i="10"/>
  <c r="AJ226" i="11"/>
  <c r="AU226" i="11"/>
  <c r="AC226" i="11"/>
  <c r="V226" i="11"/>
  <c r="J67" i="9"/>
  <c r="AM226" i="11"/>
  <c r="AT226" i="11"/>
  <c r="AB226" i="11"/>
  <c r="U226" i="11"/>
  <c r="AN226" i="11"/>
  <c r="AS226" i="11"/>
  <c r="AD226" i="11"/>
  <c r="W226" i="11"/>
  <c r="AB216" i="10" a="1"/>
  <c r="AB216" i="10"/>
  <c r="AK214" i="11"/>
  <c r="AG214" i="11"/>
  <c r="Z214" i="11"/>
  <c r="AL214" i="11"/>
  <c r="AR214" i="11"/>
  <c r="AE214" i="11"/>
  <c r="X214" i="11"/>
  <c r="AN214" i="11"/>
  <c r="AS214" i="11"/>
  <c r="AD214" i="11"/>
  <c r="W214" i="11"/>
  <c r="AJ214" i="11"/>
  <c r="AU214" i="11"/>
  <c r="AM214" i="11"/>
  <c r="AT214" i="11"/>
  <c r="AB214" i="11"/>
  <c r="U214" i="11"/>
  <c r="AB208" i="10" a="1"/>
  <c r="AB208" i="10"/>
  <c r="AK206" i="11"/>
  <c r="AG206" i="11"/>
  <c r="Z206" i="11"/>
  <c r="AN206" i="11"/>
  <c r="AS206" i="11"/>
  <c r="AD206" i="11"/>
  <c r="W206" i="11"/>
  <c r="AL206" i="11"/>
  <c r="AR206" i="11"/>
  <c r="AE206" i="11"/>
  <c r="X206" i="11"/>
  <c r="AM206" i="11"/>
  <c r="AT206" i="11"/>
  <c r="AB206" i="11"/>
  <c r="U206" i="11"/>
  <c r="AJ206" i="11"/>
  <c r="AU206" i="11"/>
  <c r="AC206" i="11"/>
  <c r="V206" i="11"/>
  <c r="AB200" i="10" a="1"/>
  <c r="AB200" i="10"/>
  <c r="AL198" i="11"/>
  <c r="AR198" i="11"/>
  <c r="AE198" i="11"/>
  <c r="X198" i="11"/>
  <c r="AN198" i="11"/>
  <c r="AS198" i="11"/>
  <c r="AD198" i="11"/>
  <c r="W198" i="11"/>
  <c r="AJ198" i="11"/>
  <c r="AU198" i="11"/>
  <c r="AC198" i="11"/>
  <c r="V198" i="11"/>
  <c r="AM198" i="11"/>
  <c r="AT198" i="11"/>
  <c r="AB198" i="11"/>
  <c r="U198" i="11"/>
  <c r="AB192" i="10" a="1"/>
  <c r="AB192" i="10"/>
  <c r="AM190" i="11"/>
  <c r="AT190" i="11"/>
  <c r="AB190" i="11"/>
  <c r="U190" i="11"/>
  <c r="AK190" i="11"/>
  <c r="AG190" i="11"/>
  <c r="Z190" i="11"/>
  <c r="AJ190" i="11"/>
  <c r="AU190" i="11"/>
  <c r="AC190" i="11"/>
  <c r="V190" i="11"/>
  <c r="AN190" i="11"/>
  <c r="AS190" i="11"/>
  <c r="AD190" i="11"/>
  <c r="W190" i="11"/>
  <c r="AL190" i="11"/>
  <c r="AR190" i="11"/>
  <c r="AE190" i="11"/>
  <c r="X190" i="11"/>
  <c r="AB184" i="10" a="1"/>
  <c r="AB184" i="10"/>
  <c r="AM182" i="11"/>
  <c r="AT182" i="11"/>
  <c r="AB182" i="11"/>
  <c r="U182" i="11"/>
  <c r="AK182" i="11"/>
  <c r="AG182" i="11"/>
  <c r="Z182" i="11"/>
  <c r="AJ182" i="11"/>
  <c r="AU182" i="11"/>
  <c r="AC182" i="11"/>
  <c r="V182" i="11"/>
  <c r="AN182" i="11"/>
  <c r="AS182" i="11"/>
  <c r="AD182" i="11"/>
  <c r="W182" i="11"/>
  <c r="AL182" i="11"/>
  <c r="AR182" i="11"/>
  <c r="AE182" i="11"/>
  <c r="X182" i="11"/>
  <c r="AB176" i="10" a="1"/>
  <c r="AB176" i="10"/>
  <c r="AM174" i="11"/>
  <c r="AT174" i="11"/>
  <c r="AB174" i="11"/>
  <c r="U174" i="11"/>
  <c r="AK174" i="11"/>
  <c r="AG174" i="11"/>
  <c r="Z174" i="11"/>
  <c r="AJ174" i="11"/>
  <c r="AU174" i="11"/>
  <c r="AC174" i="11"/>
  <c r="V174" i="11"/>
  <c r="AN174" i="11"/>
  <c r="AS174" i="11"/>
  <c r="AD174" i="11"/>
  <c r="W174" i="11"/>
  <c r="AL174" i="11"/>
  <c r="AR174" i="11"/>
  <c r="AE174" i="11"/>
  <c r="X174" i="11"/>
  <c r="AB168" i="10" a="1"/>
  <c r="AB168" i="10"/>
  <c r="AM166" i="11"/>
  <c r="AT166" i="11"/>
  <c r="AB166" i="11"/>
  <c r="U166" i="11"/>
  <c r="AJ166" i="11"/>
  <c r="AU166" i="11"/>
  <c r="AC166" i="11"/>
  <c r="V166" i="11"/>
  <c r="AN166" i="11"/>
  <c r="AS166" i="11"/>
  <c r="AD166" i="11"/>
  <c r="W166" i="11"/>
  <c r="AL166" i="11"/>
  <c r="AR166" i="11"/>
  <c r="AE166" i="11"/>
  <c r="X166" i="11"/>
  <c r="AB160" i="10" a="1"/>
  <c r="AB160" i="10"/>
  <c r="AM158" i="11"/>
  <c r="AT158" i="11"/>
  <c r="AB158" i="11"/>
  <c r="U158" i="11"/>
  <c r="AK158" i="11"/>
  <c r="AG158" i="11"/>
  <c r="Z158" i="11"/>
  <c r="AJ158" i="11"/>
  <c r="AU158" i="11"/>
  <c r="AC158" i="11"/>
  <c r="V158" i="11"/>
  <c r="AN158" i="11"/>
  <c r="AS158" i="11"/>
  <c r="AD158" i="11"/>
  <c r="W158" i="11"/>
  <c r="AL158" i="11"/>
  <c r="AR158" i="11"/>
  <c r="AE158" i="11"/>
  <c r="X158" i="11"/>
  <c r="AB152" i="10" a="1"/>
  <c r="AB152" i="10"/>
  <c r="AM150" i="11"/>
  <c r="AT150" i="11"/>
  <c r="AB150" i="11"/>
  <c r="U150" i="11"/>
  <c r="AK150" i="11"/>
  <c r="AG150" i="11"/>
  <c r="Z150" i="11"/>
  <c r="AJ150" i="11"/>
  <c r="AU150" i="11"/>
  <c r="AC150" i="11"/>
  <c r="V150" i="11"/>
  <c r="AN150" i="11"/>
  <c r="AS150" i="11"/>
  <c r="AD150" i="11"/>
  <c r="W150" i="11"/>
  <c r="AL150" i="11"/>
  <c r="AR150" i="11"/>
  <c r="AE150" i="11"/>
  <c r="X150" i="11"/>
  <c r="AB144" i="10" a="1"/>
  <c r="AB144" i="10"/>
  <c r="AK142" i="11"/>
  <c r="AG142" i="11"/>
  <c r="Z142" i="11"/>
  <c r="AL142" i="11"/>
  <c r="AR142" i="11"/>
  <c r="AE142" i="11"/>
  <c r="X142" i="11"/>
  <c r="AN142" i="11"/>
  <c r="AS142" i="11"/>
  <c r="AD142" i="11"/>
  <c r="W142" i="11"/>
  <c r="AM142" i="11"/>
  <c r="AT142" i="11"/>
  <c r="AB142" i="11"/>
  <c r="U142" i="11"/>
  <c r="AJ142" i="11"/>
  <c r="AU142" i="11"/>
  <c r="AC142" i="11"/>
  <c r="V142" i="11"/>
  <c r="AK138" i="11"/>
  <c r="AG138" i="11"/>
  <c r="Z138" i="11"/>
  <c r="AJ138" i="11"/>
  <c r="AU138" i="11"/>
  <c r="AC138" i="11"/>
  <c r="V138" i="11"/>
  <c r="AM138" i="11"/>
  <c r="AT138" i="11"/>
  <c r="AB138" i="11"/>
  <c r="U138" i="11"/>
  <c r="AL138" i="11"/>
  <c r="AR138" i="11"/>
  <c r="AE138" i="11"/>
  <c r="X138" i="11"/>
  <c r="AB140" i="10" a="1"/>
  <c r="AB140" i="10"/>
  <c r="AN138" i="11"/>
  <c r="AS138" i="11"/>
  <c r="AD138" i="11"/>
  <c r="W138" i="11"/>
  <c r="AK130" i="11"/>
  <c r="AG130" i="11"/>
  <c r="Z130" i="11"/>
  <c r="AM130" i="11"/>
  <c r="AT130" i="11"/>
  <c r="AB130" i="11"/>
  <c r="U130" i="11"/>
  <c r="AB132" i="10" a="1"/>
  <c r="AB132" i="10"/>
  <c r="AJ130" i="11"/>
  <c r="AU130" i="11"/>
  <c r="AC130" i="11"/>
  <c r="V130" i="11"/>
  <c r="AN130" i="11"/>
  <c r="AS130" i="11"/>
  <c r="AD130" i="11"/>
  <c r="W130" i="11"/>
  <c r="AL130" i="11"/>
  <c r="AR130" i="11"/>
  <c r="AE130" i="11"/>
  <c r="X130" i="11"/>
  <c r="AB124" i="10" a="1"/>
  <c r="AB124" i="10"/>
  <c r="AK122" i="11"/>
  <c r="AG122" i="11"/>
  <c r="Z122" i="11"/>
  <c r="AJ122" i="11"/>
  <c r="AU122" i="11"/>
  <c r="AC122" i="11"/>
  <c r="V122" i="11"/>
  <c r="AM122" i="11"/>
  <c r="AT122" i="11"/>
  <c r="AB122" i="11"/>
  <c r="U122" i="11"/>
  <c r="AL122" i="11"/>
  <c r="AR122" i="11"/>
  <c r="AE122" i="11"/>
  <c r="X122" i="11"/>
  <c r="AN122" i="11"/>
  <c r="AS122" i="11"/>
  <c r="AD122" i="11"/>
  <c r="W122" i="11"/>
  <c r="AB116" i="10" a="1"/>
  <c r="AB116" i="10"/>
  <c r="AK114" i="11"/>
  <c r="AG114" i="11"/>
  <c r="Z114" i="11"/>
  <c r="AM114" i="11"/>
  <c r="AT114" i="11"/>
  <c r="AB114" i="11"/>
  <c r="U114" i="11"/>
  <c r="AJ114" i="11"/>
  <c r="AU114" i="11"/>
  <c r="AC114" i="11"/>
  <c r="V114" i="11"/>
  <c r="AN114" i="11"/>
  <c r="AS114" i="11"/>
  <c r="AD114" i="11"/>
  <c r="W114" i="11"/>
  <c r="AL114" i="11"/>
  <c r="AR114" i="11"/>
  <c r="AE114" i="11"/>
  <c r="X114" i="11"/>
  <c r="AB108" i="10" a="1"/>
  <c r="AB108" i="10"/>
  <c r="AK106" i="11"/>
  <c r="AG106" i="11"/>
  <c r="Z106" i="11"/>
  <c r="AJ106" i="11"/>
  <c r="AU106" i="11"/>
  <c r="AC106" i="11"/>
  <c r="V106" i="11"/>
  <c r="AM106" i="11"/>
  <c r="AT106" i="11"/>
  <c r="AB106" i="11"/>
  <c r="U106" i="11"/>
  <c r="AL106" i="11"/>
  <c r="AR106" i="11"/>
  <c r="AE106" i="11"/>
  <c r="X106" i="11"/>
  <c r="AN106" i="11"/>
  <c r="AS106" i="11"/>
  <c r="AD106" i="11"/>
  <c r="W106" i="11"/>
  <c r="AB96" i="10" a="1"/>
  <c r="AB96" i="10"/>
  <c r="AK94" i="11"/>
  <c r="AG94" i="11"/>
  <c r="Z94" i="11"/>
  <c r="AL94" i="11"/>
  <c r="AR94" i="11"/>
  <c r="AE94" i="11"/>
  <c r="X94" i="11"/>
  <c r="AN94" i="11"/>
  <c r="AS94" i="11"/>
  <c r="AD94" i="11"/>
  <c r="W94" i="11"/>
  <c r="AM94" i="11"/>
  <c r="AT94" i="11"/>
  <c r="AB94" i="11"/>
  <c r="U94" i="11"/>
  <c r="AJ94" i="11"/>
  <c r="AU94" i="11"/>
  <c r="AC94" i="11"/>
  <c r="V94" i="11"/>
  <c r="AB88" i="10" a="1"/>
  <c r="AB88" i="10"/>
  <c r="AN86" i="11"/>
  <c r="AS86" i="11"/>
  <c r="AD86" i="11"/>
  <c r="W86" i="11"/>
  <c r="AL86" i="11"/>
  <c r="AR86" i="11"/>
  <c r="AE86" i="11"/>
  <c r="X86" i="11"/>
  <c r="AJ86" i="11"/>
  <c r="AU86" i="11"/>
  <c r="AC86" i="11"/>
  <c r="V86" i="11"/>
  <c r="AM86" i="11"/>
  <c r="AT86" i="11"/>
  <c r="AB86" i="11"/>
  <c r="U86" i="11"/>
  <c r="AB80" i="10" a="1"/>
  <c r="AB80" i="10"/>
  <c r="AL78" i="11"/>
  <c r="AR78" i="11"/>
  <c r="AE78" i="11"/>
  <c r="X78" i="11"/>
  <c r="AN78" i="11"/>
  <c r="AS78" i="11"/>
  <c r="AD78" i="11"/>
  <c r="W78" i="11"/>
  <c r="AM78" i="11"/>
  <c r="AT78" i="11"/>
  <c r="AB78" i="11"/>
  <c r="U78" i="11"/>
  <c r="AB72" i="10" a="1"/>
  <c r="AB72" i="10"/>
  <c r="AN70" i="11"/>
  <c r="AS70" i="11"/>
  <c r="AD70" i="11"/>
  <c r="W70" i="11"/>
  <c r="AL70" i="11"/>
  <c r="AR70" i="11"/>
  <c r="AE70" i="11"/>
  <c r="X70" i="11"/>
  <c r="AJ70" i="11"/>
  <c r="AU70" i="11"/>
  <c r="AC70" i="11"/>
  <c r="V70" i="11"/>
  <c r="AM70" i="11"/>
  <c r="AT70" i="11"/>
  <c r="AB70" i="11"/>
  <c r="U70" i="11"/>
  <c r="AB64" i="10" a="1"/>
  <c r="AB64" i="10"/>
  <c r="AM62" i="11"/>
  <c r="AT62" i="11"/>
  <c r="AB62" i="11"/>
  <c r="U62" i="11"/>
  <c r="AK62" i="11"/>
  <c r="AG62" i="11"/>
  <c r="Z62" i="11"/>
  <c r="AN62" i="11"/>
  <c r="AS62" i="11"/>
  <c r="AD62" i="11"/>
  <c r="W62" i="11"/>
  <c r="AL62" i="11"/>
  <c r="AR62" i="11"/>
  <c r="AE62" i="11"/>
  <c r="X62" i="11"/>
  <c r="AJ62" i="11"/>
  <c r="AU62" i="11"/>
  <c r="AC62" i="11"/>
  <c r="V62" i="11"/>
  <c r="AM54" i="11"/>
  <c r="AT54" i="11"/>
  <c r="AB54" i="11"/>
  <c r="U54" i="11"/>
  <c r="AN54" i="11"/>
  <c r="AS54" i="11"/>
  <c r="AD54" i="11"/>
  <c r="W54" i="11"/>
  <c r="AJ54" i="11"/>
  <c r="AU54" i="11"/>
  <c r="AC54" i="11"/>
  <c r="V54" i="11"/>
  <c r="AB56" i="10" a="1"/>
  <c r="AB56" i="10"/>
  <c r="AL54" i="11"/>
  <c r="AR54" i="11"/>
  <c r="AE54" i="11"/>
  <c r="X54" i="11"/>
  <c r="AB48" i="10" a="1"/>
  <c r="AB48" i="10"/>
  <c r="AL46" i="11"/>
  <c r="AR46" i="11"/>
  <c r="AE46" i="11"/>
  <c r="X46" i="11"/>
  <c r="AM46" i="11"/>
  <c r="AT46" i="11"/>
  <c r="AB46" i="11"/>
  <c r="U46" i="11"/>
  <c r="AJ46" i="11"/>
  <c r="AU46" i="11"/>
  <c r="AC46" i="11"/>
  <c r="V46" i="11"/>
  <c r="AK46" i="11"/>
  <c r="AG46" i="11"/>
  <c r="Z46" i="11"/>
  <c r="AN46" i="11"/>
  <c r="AS46" i="11"/>
  <c r="AD46" i="11"/>
  <c r="W46" i="11"/>
  <c r="AL38" i="11"/>
  <c r="AR38" i="11"/>
  <c r="AE38" i="11"/>
  <c r="X38" i="11"/>
  <c r="AM38" i="11"/>
  <c r="AT38" i="11"/>
  <c r="AB38" i="11"/>
  <c r="U38" i="11"/>
  <c r="AB40" i="10" a="1"/>
  <c r="AB40" i="10"/>
  <c r="AJ38" i="11"/>
  <c r="AU38" i="11"/>
  <c r="AC38" i="11"/>
  <c r="V38" i="11"/>
  <c r="AN38" i="11"/>
  <c r="AS38" i="11"/>
  <c r="AD38" i="11"/>
  <c r="W38" i="11"/>
  <c r="AK38" i="11"/>
  <c r="AG38" i="11"/>
  <c r="Z38" i="11"/>
  <c r="AB32" i="10" a="1"/>
  <c r="AB32" i="10"/>
  <c r="AL30" i="11"/>
  <c r="AR30" i="11"/>
  <c r="AE30" i="11"/>
  <c r="X30" i="11"/>
  <c r="AM30" i="11"/>
  <c r="AT30" i="11"/>
  <c r="AB30" i="11"/>
  <c r="U30" i="11"/>
  <c r="AJ30" i="11"/>
  <c r="AU30" i="11"/>
  <c r="AC30" i="11"/>
  <c r="V30" i="11"/>
  <c r="AK30" i="11"/>
  <c r="AG30" i="11"/>
  <c r="Z30" i="11"/>
  <c r="AN30" i="11"/>
  <c r="AS30" i="11"/>
  <c r="AD30" i="11"/>
  <c r="W30" i="11"/>
  <c r="AB20" i="10" a="1"/>
  <c r="AB20" i="10"/>
  <c r="AL18" i="11"/>
  <c r="AR18" i="11"/>
  <c r="AE18" i="11"/>
  <c r="X18" i="11"/>
  <c r="AN18" i="11"/>
  <c r="AS18" i="11"/>
  <c r="AD18" i="11"/>
  <c r="W18" i="11"/>
  <c r="AJ18" i="11"/>
  <c r="AU18" i="11"/>
  <c r="AC18" i="11"/>
  <c r="V18" i="11"/>
  <c r="AB247" i="10" a="1"/>
  <c r="AB247" i="10"/>
  <c r="AJ245" i="11"/>
  <c r="AU245" i="11"/>
  <c r="AB239" i="10" a="1"/>
  <c r="AB239" i="10"/>
  <c r="AK237" i="11"/>
  <c r="AG237" i="11"/>
  <c r="Z237" i="11"/>
  <c r="AJ237" i="11"/>
  <c r="AU237" i="11"/>
  <c r="AC237" i="11"/>
  <c r="V237" i="11"/>
  <c r="AB231" i="10" a="1"/>
  <c r="AB231" i="10"/>
  <c r="AN229" i="11"/>
  <c r="AS229" i="11"/>
  <c r="AD229" i="11"/>
  <c r="W229" i="11"/>
  <c r="AJ229" i="11"/>
  <c r="AU229" i="11"/>
  <c r="AM229" i="11"/>
  <c r="AT229" i="11"/>
  <c r="AB229" i="11"/>
  <c r="U229" i="11"/>
  <c r="AB223" i="10" a="1"/>
  <c r="AB223" i="10"/>
  <c r="AN221" i="11"/>
  <c r="AS221" i="11"/>
  <c r="AD221" i="11"/>
  <c r="W221" i="11"/>
  <c r="AK221" i="11"/>
  <c r="AG221" i="11"/>
  <c r="Z221" i="11"/>
  <c r="AJ221" i="11"/>
  <c r="AU221" i="11"/>
  <c r="AC221" i="11"/>
  <c r="V221" i="11"/>
  <c r="AB215" i="10" a="1"/>
  <c r="AB215" i="10"/>
  <c r="AL213" i="11"/>
  <c r="AR213" i="11"/>
  <c r="AE213" i="11"/>
  <c r="X213" i="11"/>
  <c r="AN213" i="11"/>
  <c r="AS213" i="11"/>
  <c r="AD213" i="11"/>
  <c r="W213" i="11"/>
  <c r="AJ213" i="11"/>
  <c r="AU213" i="11"/>
  <c r="AC213" i="11"/>
  <c r="V213" i="11"/>
  <c r="AM213" i="11"/>
  <c r="AT213" i="11"/>
  <c r="AB213" i="11"/>
  <c r="U213" i="11"/>
  <c r="AB207" i="10" a="1"/>
  <c r="AB207" i="10"/>
  <c r="AL205" i="11"/>
  <c r="AR205" i="11"/>
  <c r="AE205" i="11"/>
  <c r="X205" i="11"/>
  <c r="AN205" i="11"/>
  <c r="AS205" i="11"/>
  <c r="AD205" i="11"/>
  <c r="W205" i="11"/>
  <c r="AK205" i="11"/>
  <c r="AG205" i="11"/>
  <c r="Z205" i="11"/>
  <c r="AM205" i="11"/>
  <c r="AT205" i="11"/>
  <c r="AB205" i="11"/>
  <c r="U205" i="11"/>
  <c r="AJ205" i="11"/>
  <c r="AU205" i="11"/>
  <c r="AC205" i="11"/>
  <c r="V205" i="11"/>
  <c r="AB199" i="10" a="1"/>
  <c r="AB199" i="10"/>
  <c r="AL197" i="11"/>
  <c r="AR197" i="11"/>
  <c r="AE197" i="11"/>
  <c r="X197" i="11"/>
  <c r="AK197" i="11"/>
  <c r="AG197" i="11"/>
  <c r="Z197" i="11"/>
  <c r="AN197" i="11"/>
  <c r="AS197" i="11"/>
  <c r="AD197" i="11"/>
  <c r="W197" i="11"/>
  <c r="AJ197" i="11"/>
  <c r="AU197" i="11"/>
  <c r="AC197" i="11"/>
  <c r="V197" i="11"/>
  <c r="AM197" i="11"/>
  <c r="AT197" i="11"/>
  <c r="AB197" i="11"/>
  <c r="U197" i="11"/>
  <c r="AB191" i="10" a="1"/>
  <c r="AB191" i="10"/>
  <c r="AJ189" i="11"/>
  <c r="AU189" i="11"/>
  <c r="AC189" i="11"/>
  <c r="V189" i="11"/>
  <c r="AN189" i="11"/>
  <c r="AS189" i="11"/>
  <c r="AD189" i="11"/>
  <c r="W189" i="11"/>
  <c r="AL189" i="11"/>
  <c r="AR189" i="11"/>
  <c r="AE189" i="11"/>
  <c r="X189" i="11"/>
  <c r="AK189" i="11"/>
  <c r="AG189" i="11"/>
  <c r="Z189" i="11"/>
  <c r="AM189" i="11"/>
  <c r="AT189" i="11"/>
  <c r="AB189" i="11"/>
  <c r="U189" i="11"/>
  <c r="AB183" i="10" a="1"/>
  <c r="AB183" i="10"/>
  <c r="AJ181" i="11"/>
  <c r="AU181" i="11"/>
  <c r="AC181" i="11"/>
  <c r="V181" i="11"/>
  <c r="AN181" i="11"/>
  <c r="AS181" i="11"/>
  <c r="AD181" i="11"/>
  <c r="W181" i="11"/>
  <c r="AL181" i="11"/>
  <c r="AR181" i="11"/>
  <c r="AE181" i="11"/>
  <c r="X181" i="11"/>
  <c r="AM181" i="11"/>
  <c r="AT181" i="11"/>
  <c r="AB181" i="11"/>
  <c r="U181" i="11"/>
  <c r="AB175" i="10" a="1"/>
  <c r="AB175" i="10"/>
  <c r="AJ173" i="11"/>
  <c r="AU173" i="11"/>
  <c r="AC173" i="11"/>
  <c r="V173" i="11"/>
  <c r="AN173" i="11"/>
  <c r="AS173" i="11"/>
  <c r="AD173" i="11"/>
  <c r="W173" i="11"/>
  <c r="AL173" i="11"/>
  <c r="AR173" i="11"/>
  <c r="AE173" i="11"/>
  <c r="X173" i="11"/>
  <c r="AM173" i="11"/>
  <c r="AT173" i="11"/>
  <c r="AB173" i="11"/>
  <c r="U173" i="11"/>
  <c r="AB167" i="10" a="1"/>
  <c r="AB167" i="10"/>
  <c r="AJ165" i="11"/>
  <c r="AU165" i="11"/>
  <c r="AC165" i="11"/>
  <c r="V165" i="11"/>
  <c r="AN165" i="11"/>
  <c r="AS165" i="11"/>
  <c r="AD165" i="11"/>
  <c r="W165" i="11"/>
  <c r="AL165" i="11"/>
  <c r="AR165" i="11"/>
  <c r="AE165" i="11"/>
  <c r="X165" i="11"/>
  <c r="AM165" i="11"/>
  <c r="AT165" i="11"/>
  <c r="AB165" i="11"/>
  <c r="U165" i="11"/>
  <c r="AB159" i="10" a="1"/>
  <c r="AB159" i="10"/>
  <c r="AJ157" i="11"/>
  <c r="AU157" i="11"/>
  <c r="AC157" i="11"/>
  <c r="V157" i="11"/>
  <c r="AN157" i="11"/>
  <c r="AS157" i="11"/>
  <c r="AD157" i="11"/>
  <c r="W157" i="11"/>
  <c r="AL157" i="11"/>
  <c r="AR157" i="11"/>
  <c r="AE157" i="11"/>
  <c r="X157" i="11"/>
  <c r="AM157" i="11"/>
  <c r="AT157" i="11"/>
  <c r="AB157" i="11"/>
  <c r="U157" i="11"/>
  <c r="AB151" i="10" a="1"/>
  <c r="AB151" i="10"/>
  <c r="AL149" i="11"/>
  <c r="AR149" i="11"/>
  <c r="AE149" i="11"/>
  <c r="X149" i="11"/>
  <c r="AN149" i="11"/>
  <c r="AS149" i="11"/>
  <c r="AD149" i="11"/>
  <c r="W149" i="11"/>
  <c r="AK149" i="11"/>
  <c r="AG149" i="11"/>
  <c r="Z149" i="11"/>
  <c r="AJ149" i="11"/>
  <c r="AU149" i="11"/>
  <c r="AC149" i="11"/>
  <c r="V149" i="11"/>
  <c r="AM149" i="11"/>
  <c r="AT149" i="11"/>
  <c r="AB149" i="11"/>
  <c r="U149" i="11"/>
  <c r="AB143" i="10" a="1"/>
  <c r="AB143" i="10"/>
  <c r="AL141" i="11"/>
  <c r="AR141" i="11"/>
  <c r="AE141" i="11"/>
  <c r="X141" i="11"/>
  <c r="AN141" i="11"/>
  <c r="AS141" i="11"/>
  <c r="AD141" i="11"/>
  <c r="W141" i="11"/>
  <c r="AM141" i="11"/>
  <c r="AT141" i="11"/>
  <c r="AB141" i="11"/>
  <c r="U141" i="11"/>
  <c r="AJ141" i="11"/>
  <c r="AU141" i="11"/>
  <c r="AC141" i="11"/>
  <c r="V141" i="11"/>
  <c r="AB139" i="10" a="1"/>
  <c r="AB139" i="10"/>
  <c r="AL137" i="11"/>
  <c r="AR137" i="11"/>
  <c r="AE137" i="11"/>
  <c r="X137" i="11"/>
  <c r="AJ137" i="11"/>
  <c r="AU137" i="11"/>
  <c r="AC137" i="11"/>
  <c r="V137" i="11"/>
  <c r="AM137" i="11"/>
  <c r="AT137" i="11"/>
  <c r="AB137" i="11"/>
  <c r="U137" i="11"/>
  <c r="AK137" i="11"/>
  <c r="AG137" i="11"/>
  <c r="Z137" i="11"/>
  <c r="AN137" i="11"/>
  <c r="AS137" i="11"/>
  <c r="AD137" i="11"/>
  <c r="W137" i="11"/>
  <c r="AB131" i="10" a="1"/>
  <c r="AB131" i="10"/>
  <c r="AL129" i="11"/>
  <c r="AR129" i="11"/>
  <c r="AE129" i="11"/>
  <c r="X129" i="11"/>
  <c r="AM129" i="11"/>
  <c r="AT129" i="11"/>
  <c r="AB129" i="11"/>
  <c r="U129" i="11"/>
  <c r="AJ129" i="11"/>
  <c r="AU129" i="11"/>
  <c r="AC129" i="11"/>
  <c r="V129" i="11"/>
  <c r="AN129" i="11"/>
  <c r="AS129" i="11"/>
  <c r="AD129" i="11"/>
  <c r="W129" i="11"/>
  <c r="AK129" i="11"/>
  <c r="AG129" i="11"/>
  <c r="Z129" i="11"/>
  <c r="AB123" i="10" a="1"/>
  <c r="AB123" i="10"/>
  <c r="AL121" i="11"/>
  <c r="AR121" i="11"/>
  <c r="AE121" i="11"/>
  <c r="X121" i="11"/>
  <c r="AJ121" i="11"/>
  <c r="AU121" i="11"/>
  <c r="AC121" i="11"/>
  <c r="V121" i="11"/>
  <c r="AM121" i="11"/>
  <c r="AT121" i="11"/>
  <c r="AB121" i="11"/>
  <c r="U121" i="11"/>
  <c r="AK121" i="11"/>
  <c r="AG121" i="11"/>
  <c r="Z121" i="11"/>
  <c r="AN121" i="11"/>
  <c r="AS121" i="11"/>
  <c r="AD121" i="11"/>
  <c r="W121" i="11"/>
  <c r="AB115" i="10" a="1"/>
  <c r="AB115" i="10"/>
  <c r="AL113" i="11"/>
  <c r="AR113" i="11"/>
  <c r="AE113" i="11"/>
  <c r="X113" i="11"/>
  <c r="AM113" i="11"/>
  <c r="AT113" i="11"/>
  <c r="AB113" i="11"/>
  <c r="U113" i="11"/>
  <c r="AJ113" i="11"/>
  <c r="AU113" i="11"/>
  <c r="AC113" i="11"/>
  <c r="V113" i="11"/>
  <c r="AN113" i="11"/>
  <c r="AS113" i="11"/>
  <c r="AD113" i="11"/>
  <c r="W113" i="11"/>
  <c r="AB107" i="10" a="1"/>
  <c r="AB107" i="10"/>
  <c r="AL105" i="11"/>
  <c r="AR105" i="11"/>
  <c r="AE105" i="11"/>
  <c r="X105" i="11"/>
  <c r="AJ105" i="11"/>
  <c r="AU105" i="11"/>
  <c r="AC105" i="11"/>
  <c r="V105" i="11"/>
  <c r="AM105" i="11"/>
  <c r="AT105" i="11"/>
  <c r="AB105" i="11"/>
  <c r="U105" i="11"/>
  <c r="AN105" i="11"/>
  <c r="AS105" i="11"/>
  <c r="AD105" i="11"/>
  <c r="W105" i="11"/>
  <c r="AL97" i="11"/>
  <c r="AR97" i="11"/>
  <c r="AE97" i="11"/>
  <c r="X97" i="11"/>
  <c r="AM97" i="11"/>
  <c r="AT97" i="11"/>
  <c r="AB97" i="11"/>
  <c r="U97" i="11"/>
  <c r="AJ97" i="11"/>
  <c r="AU97" i="11"/>
  <c r="AC97" i="11"/>
  <c r="V97" i="11"/>
  <c r="AB99" i="10" a="1"/>
  <c r="AB99" i="10"/>
  <c r="AK97" i="11"/>
  <c r="AG97" i="11"/>
  <c r="Z97" i="11"/>
  <c r="AN97" i="11"/>
  <c r="AS97" i="11"/>
  <c r="AD97" i="11"/>
  <c r="W97" i="11"/>
  <c r="AB91" i="10" a="1"/>
  <c r="AB91" i="10"/>
  <c r="AL89" i="11"/>
  <c r="AR89" i="11"/>
  <c r="AE89" i="11"/>
  <c r="X89" i="11"/>
  <c r="AJ89" i="11"/>
  <c r="AU89" i="11"/>
  <c r="AC89" i="11"/>
  <c r="V89" i="11"/>
  <c r="AM89" i="11"/>
  <c r="AT89" i="11"/>
  <c r="AB89" i="11"/>
  <c r="U89" i="11"/>
  <c r="AK89" i="11"/>
  <c r="AG89" i="11"/>
  <c r="Z89" i="11"/>
  <c r="AN89" i="11"/>
  <c r="AS89" i="11"/>
  <c r="AD89" i="11"/>
  <c r="W89" i="11"/>
  <c r="AB83" i="10" a="1"/>
  <c r="AB83" i="10"/>
  <c r="AL81" i="11"/>
  <c r="AR81" i="11"/>
  <c r="AE81" i="11"/>
  <c r="X81" i="11"/>
  <c r="AM81" i="11"/>
  <c r="AT81" i="11"/>
  <c r="AB81" i="11"/>
  <c r="U81" i="11"/>
  <c r="AJ81" i="11"/>
  <c r="AU81" i="11"/>
  <c r="AC81" i="11"/>
  <c r="V81" i="11"/>
  <c r="AN81" i="11"/>
  <c r="AS81" i="11"/>
  <c r="AD81" i="11"/>
  <c r="W81" i="11"/>
  <c r="AB75" i="10" a="1"/>
  <c r="AB75" i="10"/>
  <c r="AL73" i="11"/>
  <c r="AR73" i="11"/>
  <c r="AE73" i="11"/>
  <c r="X73" i="11"/>
  <c r="AJ73" i="11"/>
  <c r="AU73" i="11"/>
  <c r="AC73" i="11"/>
  <c r="V73" i="11"/>
  <c r="AM73" i="11"/>
  <c r="AT73" i="11"/>
  <c r="AB73" i="11"/>
  <c r="U73" i="11"/>
  <c r="AN73" i="11"/>
  <c r="AS73" i="11"/>
  <c r="AD73" i="11"/>
  <c r="W73" i="11"/>
  <c r="AJ65" i="11"/>
  <c r="AU65" i="11"/>
  <c r="AC65" i="11"/>
  <c r="V65" i="11"/>
  <c r="AN65" i="11"/>
  <c r="AS65" i="11"/>
  <c r="AD65" i="11"/>
  <c r="W65" i="11"/>
  <c r="AB67" i="10" a="1"/>
  <c r="AB67" i="10"/>
  <c r="AL65" i="11"/>
  <c r="AR65" i="11"/>
  <c r="AE65" i="11"/>
  <c r="X65" i="11"/>
  <c r="AM65" i="11"/>
  <c r="AT65" i="11"/>
  <c r="AB65" i="11"/>
  <c r="U65" i="11"/>
  <c r="AK65" i="11"/>
  <c r="AG65" i="11"/>
  <c r="Z65" i="11"/>
  <c r="AB59" i="10" a="1"/>
  <c r="AB59" i="10"/>
  <c r="AJ57" i="11"/>
  <c r="AU57" i="11"/>
  <c r="AC57" i="11"/>
  <c r="V57" i="11"/>
  <c r="AN57" i="11"/>
  <c r="AS57" i="11"/>
  <c r="AD57" i="11"/>
  <c r="W57" i="11"/>
  <c r="AM57" i="11"/>
  <c r="AT57" i="11"/>
  <c r="AB57" i="11"/>
  <c r="U57" i="11"/>
  <c r="AK57" i="11"/>
  <c r="AG57" i="11"/>
  <c r="Z57" i="11"/>
  <c r="AL57" i="11"/>
  <c r="AR57" i="11"/>
  <c r="AE57" i="11"/>
  <c r="X57" i="11"/>
  <c r="AJ49" i="11"/>
  <c r="AU49" i="11"/>
  <c r="AC49" i="11"/>
  <c r="V49" i="11"/>
  <c r="AN49" i="11"/>
  <c r="AS49" i="11"/>
  <c r="AD49" i="11"/>
  <c r="W49" i="11"/>
  <c r="AB51" i="10" a="1"/>
  <c r="AB51" i="10"/>
  <c r="AL49" i="11"/>
  <c r="AR49" i="11"/>
  <c r="AE49" i="11"/>
  <c r="X49" i="11"/>
  <c r="AK49" i="11"/>
  <c r="AG49" i="11"/>
  <c r="Z49" i="11"/>
  <c r="AM49" i="11"/>
  <c r="AT49" i="11"/>
  <c r="AB49" i="11"/>
  <c r="U49" i="11"/>
  <c r="AB43" i="10" a="1"/>
  <c r="AB43" i="10"/>
  <c r="AM41" i="11"/>
  <c r="AT41" i="11"/>
  <c r="AB41" i="11"/>
  <c r="U41" i="11"/>
  <c r="AJ41" i="11"/>
  <c r="AU41" i="11"/>
  <c r="AC41" i="11"/>
  <c r="V41" i="11"/>
  <c r="AN41" i="11"/>
  <c r="AS41" i="11"/>
  <c r="AD41" i="11"/>
  <c r="W41" i="11"/>
  <c r="AK41" i="11"/>
  <c r="AG41" i="11"/>
  <c r="Z41" i="11"/>
  <c r="AL41" i="11"/>
  <c r="AR41" i="11"/>
  <c r="AE41" i="11"/>
  <c r="X41" i="11"/>
  <c r="AM33" i="11"/>
  <c r="AT33" i="11"/>
  <c r="AB33" i="11"/>
  <c r="U33" i="11"/>
  <c r="AJ33" i="11"/>
  <c r="AU33" i="11"/>
  <c r="AC33" i="11"/>
  <c r="V33" i="11"/>
  <c r="AN33" i="11"/>
  <c r="AS33" i="11"/>
  <c r="AD33" i="11"/>
  <c r="W33" i="11"/>
  <c r="AL33" i="11"/>
  <c r="AR33" i="11"/>
  <c r="AE33" i="11"/>
  <c r="X33" i="11"/>
  <c r="AB35" i="10" a="1"/>
  <c r="AB35" i="10"/>
  <c r="AM21" i="11"/>
  <c r="AT21" i="11"/>
  <c r="AB21" i="11"/>
  <c r="U21" i="11"/>
  <c r="AB23" i="10" a="1"/>
  <c r="AB23" i="10"/>
  <c r="AJ21" i="11"/>
  <c r="AU21" i="11"/>
  <c r="AC21" i="11"/>
  <c r="V21" i="11"/>
  <c r="AN21" i="11"/>
  <c r="AS21" i="11"/>
  <c r="AD21" i="11"/>
  <c r="W21" i="11"/>
  <c r="AL21" i="11"/>
  <c r="AR21" i="11"/>
  <c r="AE21" i="11"/>
  <c r="X21" i="11"/>
  <c r="AK21" i="11"/>
  <c r="AG21" i="11"/>
  <c r="Z21" i="11"/>
  <c r="AB9" i="10" a="1"/>
  <c r="AB9" i="10"/>
  <c r="CJ85" i="10"/>
  <c r="AM7" i="11"/>
  <c r="AT7" i="11"/>
  <c r="AB7" i="11"/>
  <c r="U7" i="11"/>
  <c r="AH9" i="10" a="1"/>
  <c r="AH9" i="10"/>
  <c r="AO7" i="11"/>
  <c r="AL7" i="11"/>
  <c r="AR7" i="11"/>
  <c r="AE7" i="11"/>
  <c r="X7" i="11"/>
  <c r="AN7" i="11"/>
  <c r="AS7" i="11"/>
  <c r="AB246" i="10" a="1"/>
  <c r="AB246" i="10"/>
  <c r="AJ244" i="11"/>
  <c r="AU244" i="11"/>
  <c r="AC244" i="11"/>
  <c r="V244" i="11"/>
  <c r="AB242" i="10" a="1"/>
  <c r="AB242" i="10"/>
  <c r="AJ240" i="11"/>
  <c r="AU240" i="11"/>
  <c r="AC240" i="11"/>
  <c r="V240" i="11"/>
  <c r="AB238" i="10" a="1"/>
  <c r="AB238" i="10"/>
  <c r="AJ236" i="11"/>
  <c r="AU236" i="11"/>
  <c r="AC236" i="11"/>
  <c r="V236" i="11"/>
  <c r="AB234" i="10" a="1"/>
  <c r="AB234" i="10"/>
  <c r="AJ232" i="11"/>
  <c r="AU232" i="11"/>
  <c r="AC232" i="11"/>
  <c r="V232" i="11"/>
  <c r="AB230" i="10" a="1"/>
  <c r="AB230" i="10"/>
  <c r="AK228" i="11"/>
  <c r="AG228" i="11"/>
  <c r="Z228" i="11"/>
  <c r="AN228" i="11"/>
  <c r="AS228" i="11"/>
  <c r="AD228" i="11"/>
  <c r="W228" i="11"/>
  <c r="AJ228" i="11"/>
  <c r="AU228" i="11"/>
  <c r="AC228" i="11"/>
  <c r="V228" i="11"/>
  <c r="L67" i="9"/>
  <c r="AL228" i="11"/>
  <c r="AR228" i="11"/>
  <c r="AE228" i="11"/>
  <c r="X228" i="11"/>
  <c r="AB226" i="10" a="1"/>
  <c r="AB226" i="10"/>
  <c r="AJ224" i="11"/>
  <c r="AU224" i="11"/>
  <c r="AN224" i="11"/>
  <c r="AS224" i="11"/>
  <c r="AD224" i="11"/>
  <c r="W224" i="11"/>
  <c r="AK224" i="11"/>
  <c r="AG224" i="11"/>
  <c r="Z224" i="11"/>
  <c r="AB222" i="10" a="1"/>
  <c r="AB222" i="10"/>
  <c r="AM220" i="11"/>
  <c r="AT220" i="11"/>
  <c r="AB220" i="11"/>
  <c r="AN220" i="11"/>
  <c r="AS220" i="11"/>
  <c r="AD220" i="11"/>
  <c r="W220" i="11"/>
  <c r="AJ220" i="11"/>
  <c r="AU220" i="11"/>
  <c r="AC220" i="11"/>
  <c r="V220" i="11"/>
  <c r="AB218" i="10" a="1"/>
  <c r="AB218" i="10"/>
  <c r="AM216" i="11"/>
  <c r="AT216" i="11"/>
  <c r="AB216" i="11"/>
  <c r="U216" i="11"/>
  <c r="AL216" i="11"/>
  <c r="AR216" i="11"/>
  <c r="AE216" i="11"/>
  <c r="X216" i="11"/>
  <c r="AJ216" i="11"/>
  <c r="AU216" i="11"/>
  <c r="AN216" i="11"/>
  <c r="AS216" i="11"/>
  <c r="AD216" i="11"/>
  <c r="W216" i="11"/>
  <c r="AB214" i="10" a="1"/>
  <c r="AB214" i="10"/>
  <c r="AM212" i="11"/>
  <c r="AT212" i="11"/>
  <c r="AB212" i="11"/>
  <c r="U212" i="11"/>
  <c r="AK212" i="11"/>
  <c r="AG212" i="11"/>
  <c r="Z212" i="11"/>
  <c r="AN212" i="11"/>
  <c r="AS212" i="11"/>
  <c r="AD212" i="11"/>
  <c r="W212" i="11"/>
  <c r="AJ212" i="11"/>
  <c r="AU212" i="11"/>
  <c r="AC212" i="11"/>
  <c r="V212" i="11"/>
  <c r="AL212" i="11"/>
  <c r="AR212" i="11"/>
  <c r="AE212" i="11"/>
  <c r="X212" i="11"/>
  <c r="AB210" i="10" a="1"/>
  <c r="AB210" i="10"/>
  <c r="AM208" i="11"/>
  <c r="AT208" i="11"/>
  <c r="AB208" i="11"/>
  <c r="U208" i="11"/>
  <c r="AJ208" i="11"/>
  <c r="AU208" i="11"/>
  <c r="AC208" i="11"/>
  <c r="V208" i="11"/>
  <c r="AL208" i="11"/>
  <c r="AR208" i="11"/>
  <c r="AE208" i="11"/>
  <c r="X208" i="11"/>
  <c r="AN208" i="11"/>
  <c r="AS208" i="11"/>
  <c r="AD208" i="11"/>
  <c r="W208" i="11"/>
  <c r="AK208" i="11"/>
  <c r="AG208" i="11"/>
  <c r="Z208" i="11"/>
  <c r="AB206" i="10" a="1"/>
  <c r="AB206" i="10"/>
  <c r="AM204" i="11"/>
  <c r="AT204" i="11"/>
  <c r="AB204" i="11"/>
  <c r="U204" i="11"/>
  <c r="AN204" i="11"/>
  <c r="AS204" i="11"/>
  <c r="AD204" i="11"/>
  <c r="W204" i="11"/>
  <c r="AL204" i="11"/>
  <c r="AR204" i="11"/>
  <c r="AE204" i="11"/>
  <c r="X204" i="11"/>
  <c r="AJ204" i="11"/>
  <c r="AU204" i="11"/>
  <c r="AB202" i="10" a="1"/>
  <c r="AB202" i="10"/>
  <c r="AM200" i="11"/>
  <c r="AT200" i="11"/>
  <c r="AB200" i="11"/>
  <c r="U200" i="11"/>
  <c r="AL200" i="11"/>
  <c r="AR200" i="11"/>
  <c r="AE200" i="11"/>
  <c r="X200" i="11"/>
  <c r="AJ200" i="11"/>
  <c r="AU200" i="11"/>
  <c r="AK200" i="11"/>
  <c r="AG200" i="11"/>
  <c r="Z200" i="11"/>
  <c r="AN200" i="11"/>
  <c r="AS200" i="11"/>
  <c r="AD200" i="11"/>
  <c r="W200" i="11"/>
  <c r="AB198" i="10" a="1"/>
  <c r="AB198" i="10"/>
  <c r="AM196" i="11"/>
  <c r="AT196" i="11"/>
  <c r="AB196" i="11"/>
  <c r="U196" i="11"/>
  <c r="AK196" i="11"/>
  <c r="AG196" i="11"/>
  <c r="Z196" i="11"/>
  <c r="AN196" i="11"/>
  <c r="AS196" i="11"/>
  <c r="AD196" i="11"/>
  <c r="W196" i="11"/>
  <c r="AJ196" i="11"/>
  <c r="AU196" i="11"/>
  <c r="AC196" i="11"/>
  <c r="V196" i="11"/>
  <c r="AL196" i="11"/>
  <c r="AR196" i="11"/>
  <c r="AE196" i="11"/>
  <c r="X196" i="11"/>
  <c r="AB194" i="10" a="1"/>
  <c r="AB194" i="10"/>
  <c r="AK192" i="11"/>
  <c r="AG192" i="11"/>
  <c r="Z192" i="11"/>
  <c r="AM192" i="11"/>
  <c r="AT192" i="11"/>
  <c r="AB192" i="11"/>
  <c r="U192" i="11"/>
  <c r="AL192" i="11"/>
  <c r="AR192" i="11"/>
  <c r="AE192" i="11"/>
  <c r="X192" i="11"/>
  <c r="AN192" i="11"/>
  <c r="AS192" i="11"/>
  <c r="AD192" i="11"/>
  <c r="W192" i="11"/>
  <c r="AJ192" i="11"/>
  <c r="AU192" i="11"/>
  <c r="AC192" i="11"/>
  <c r="V192" i="11"/>
  <c r="AB190" i="10" a="1"/>
  <c r="AB190" i="10"/>
  <c r="AK188" i="11"/>
  <c r="AG188" i="11"/>
  <c r="Z188" i="11"/>
  <c r="AM188" i="11"/>
  <c r="AT188" i="11"/>
  <c r="AB188" i="11"/>
  <c r="U188" i="11"/>
  <c r="AL188" i="11"/>
  <c r="AR188" i="11"/>
  <c r="AE188" i="11"/>
  <c r="X188" i="11"/>
  <c r="AJ188" i="11"/>
  <c r="AU188" i="11"/>
  <c r="AC188" i="11"/>
  <c r="V188" i="11"/>
  <c r="AN188" i="11"/>
  <c r="AS188" i="11"/>
  <c r="AD188" i="11"/>
  <c r="W188" i="11"/>
  <c r="AB186" i="10" a="1"/>
  <c r="AB186" i="10"/>
  <c r="AK184" i="11"/>
  <c r="AG184" i="11"/>
  <c r="Z184" i="11"/>
  <c r="AM184" i="11"/>
  <c r="AT184" i="11"/>
  <c r="AB184" i="11"/>
  <c r="U184" i="11"/>
  <c r="AL184" i="11"/>
  <c r="AR184" i="11"/>
  <c r="AE184" i="11"/>
  <c r="X184" i="11"/>
  <c r="AN184" i="11"/>
  <c r="AS184" i="11"/>
  <c r="AD184" i="11"/>
  <c r="W184" i="11"/>
  <c r="AJ184" i="11"/>
  <c r="AU184" i="11"/>
  <c r="AC184" i="11"/>
  <c r="V184" i="11"/>
  <c r="AB182" i="10" a="1"/>
  <c r="AB182" i="10"/>
  <c r="AK180" i="11"/>
  <c r="AG180" i="11"/>
  <c r="Z180" i="11"/>
  <c r="AM180" i="11"/>
  <c r="AT180" i="11"/>
  <c r="AB180" i="11"/>
  <c r="U180" i="11"/>
  <c r="AL180" i="11"/>
  <c r="AR180" i="11"/>
  <c r="AE180" i="11"/>
  <c r="X180" i="11"/>
  <c r="AJ180" i="11"/>
  <c r="AU180" i="11"/>
  <c r="AC180" i="11"/>
  <c r="V180" i="11"/>
  <c r="AN180" i="11"/>
  <c r="AS180" i="11"/>
  <c r="AD180" i="11"/>
  <c r="W180" i="11"/>
  <c r="AB178" i="10" a="1"/>
  <c r="AB178" i="10"/>
  <c r="AK176" i="11"/>
  <c r="AG176" i="11"/>
  <c r="Z176" i="11"/>
  <c r="AM176" i="11"/>
  <c r="AT176" i="11"/>
  <c r="AB176" i="11"/>
  <c r="U176" i="11"/>
  <c r="AL176" i="11"/>
  <c r="AR176" i="11"/>
  <c r="AE176" i="11"/>
  <c r="X176" i="11"/>
  <c r="AN176" i="11"/>
  <c r="AS176" i="11"/>
  <c r="AD176" i="11"/>
  <c r="W176" i="11"/>
  <c r="AJ176" i="11"/>
  <c r="AU176" i="11"/>
  <c r="AC176" i="11"/>
  <c r="V176" i="11"/>
  <c r="AB174" i="10" a="1"/>
  <c r="AB174" i="10"/>
  <c r="AK172" i="11"/>
  <c r="AG172" i="11"/>
  <c r="Z172" i="11"/>
  <c r="AM172" i="11"/>
  <c r="AT172" i="11"/>
  <c r="AB172" i="11"/>
  <c r="U172" i="11"/>
  <c r="AL172" i="11"/>
  <c r="AR172" i="11"/>
  <c r="AE172" i="11"/>
  <c r="X172" i="11"/>
  <c r="AJ172" i="11"/>
  <c r="AU172" i="11"/>
  <c r="AC172" i="11"/>
  <c r="V172" i="11"/>
  <c r="AN172" i="11"/>
  <c r="AS172" i="11"/>
  <c r="AD172" i="11"/>
  <c r="W172" i="11"/>
  <c r="AB170" i="10" a="1"/>
  <c r="AB170" i="10"/>
  <c r="AK168" i="11"/>
  <c r="AG168" i="11"/>
  <c r="Z168" i="11"/>
  <c r="AM168" i="11"/>
  <c r="AT168" i="11"/>
  <c r="AB168" i="11"/>
  <c r="U168" i="11"/>
  <c r="AL168" i="11"/>
  <c r="AR168" i="11"/>
  <c r="AE168" i="11"/>
  <c r="X168" i="11"/>
  <c r="AN168" i="11"/>
  <c r="AS168" i="11"/>
  <c r="AD168" i="11"/>
  <c r="W168" i="11"/>
  <c r="AJ168" i="11"/>
  <c r="AU168" i="11"/>
  <c r="AC168" i="11"/>
  <c r="V168" i="11"/>
  <c r="AB166" i="10" a="1"/>
  <c r="AB166" i="10"/>
  <c r="AK164" i="11"/>
  <c r="AG164" i="11"/>
  <c r="Z164" i="11"/>
  <c r="AM164" i="11"/>
  <c r="AT164" i="11"/>
  <c r="AB164" i="11"/>
  <c r="U164" i="11"/>
  <c r="AL164" i="11"/>
  <c r="AR164" i="11"/>
  <c r="AE164" i="11"/>
  <c r="X164" i="11"/>
  <c r="AJ164" i="11"/>
  <c r="AU164" i="11"/>
  <c r="AC164" i="11"/>
  <c r="V164" i="11"/>
  <c r="AN164" i="11"/>
  <c r="AS164" i="11"/>
  <c r="AD164" i="11"/>
  <c r="W164" i="11"/>
  <c r="AB162" i="10" a="1"/>
  <c r="AB162" i="10"/>
  <c r="AK160" i="11"/>
  <c r="AG160" i="11"/>
  <c r="Z160" i="11"/>
  <c r="AM160" i="11"/>
  <c r="AT160" i="11"/>
  <c r="AB160" i="11"/>
  <c r="U160" i="11"/>
  <c r="AL160" i="11"/>
  <c r="AR160" i="11"/>
  <c r="AE160" i="11"/>
  <c r="X160" i="11"/>
  <c r="AN160" i="11"/>
  <c r="AS160" i="11"/>
  <c r="AD160" i="11"/>
  <c r="W160" i="11"/>
  <c r="AJ160" i="11"/>
  <c r="AU160" i="11"/>
  <c r="AC160" i="11"/>
  <c r="V160" i="11"/>
  <c r="AB158" i="10" a="1"/>
  <c r="AB158" i="10"/>
  <c r="AM156" i="11"/>
  <c r="AT156" i="11"/>
  <c r="AB156" i="11"/>
  <c r="U156" i="11"/>
  <c r="AL156" i="11"/>
  <c r="AR156" i="11"/>
  <c r="AE156" i="11"/>
  <c r="X156" i="11"/>
  <c r="AJ156" i="11"/>
  <c r="AU156" i="11"/>
  <c r="AC156" i="11"/>
  <c r="V156" i="11"/>
  <c r="AN156" i="11"/>
  <c r="AS156" i="11"/>
  <c r="AD156" i="11"/>
  <c r="W156" i="11"/>
  <c r="AB154" i="10" a="1"/>
  <c r="AB154" i="10"/>
  <c r="AM152" i="11"/>
  <c r="AT152" i="11"/>
  <c r="AB152" i="11"/>
  <c r="U152" i="11"/>
  <c r="AL152" i="11"/>
  <c r="AR152" i="11"/>
  <c r="AE152" i="11"/>
  <c r="X152" i="11"/>
  <c r="AN152" i="11"/>
  <c r="AS152" i="11"/>
  <c r="AD152" i="11"/>
  <c r="W152" i="11"/>
  <c r="AJ152" i="11"/>
  <c r="AU152" i="11"/>
  <c r="AC152" i="11"/>
  <c r="V152" i="11"/>
  <c r="AB150" i="10" a="1"/>
  <c r="AB150" i="10"/>
  <c r="AM148" i="11"/>
  <c r="AT148" i="11"/>
  <c r="AB148" i="11"/>
  <c r="U148" i="11"/>
  <c r="AN148" i="11"/>
  <c r="AS148" i="11"/>
  <c r="AD148" i="11"/>
  <c r="W148" i="11"/>
  <c r="AJ148" i="11"/>
  <c r="AU148" i="11"/>
  <c r="AC148" i="11"/>
  <c r="V148" i="11"/>
  <c r="AL148" i="11"/>
  <c r="AR148" i="11"/>
  <c r="AE148" i="11"/>
  <c r="X148" i="11"/>
  <c r="AB146" i="10" a="1"/>
  <c r="AB146" i="10"/>
  <c r="AM144" i="11"/>
  <c r="AT144" i="11"/>
  <c r="AB144" i="11"/>
  <c r="U144" i="11"/>
  <c r="AL144" i="11"/>
  <c r="AR144" i="11"/>
  <c r="AE144" i="11"/>
  <c r="X144" i="11"/>
  <c r="AJ144" i="11"/>
  <c r="AU144" i="11"/>
  <c r="AC144" i="11"/>
  <c r="V144" i="11"/>
  <c r="AN144" i="11"/>
  <c r="AS144" i="11"/>
  <c r="AD144" i="11"/>
  <c r="W144" i="11"/>
  <c r="AB142" i="10" a="1"/>
  <c r="AB142" i="10"/>
  <c r="AM140" i="11"/>
  <c r="AT140" i="11"/>
  <c r="AB140" i="11"/>
  <c r="U140" i="11"/>
  <c r="AN140" i="11"/>
  <c r="AS140" i="11"/>
  <c r="AD140" i="11"/>
  <c r="W140" i="11"/>
  <c r="AL140" i="11"/>
  <c r="AR140" i="11"/>
  <c r="AE140" i="11"/>
  <c r="X140" i="11"/>
  <c r="AJ140" i="11"/>
  <c r="AU140" i="11"/>
  <c r="AC140" i="11"/>
  <c r="V140" i="11"/>
  <c r="AB138" i="10" a="1"/>
  <c r="AB138" i="10"/>
  <c r="AM136" i="11"/>
  <c r="AT136" i="11"/>
  <c r="AB136" i="11"/>
  <c r="U136" i="11"/>
  <c r="AJ136" i="11"/>
  <c r="AU136" i="11"/>
  <c r="AC136" i="11"/>
  <c r="V136" i="11"/>
  <c r="AL136" i="11"/>
  <c r="AR136" i="11"/>
  <c r="AE136" i="11"/>
  <c r="X136" i="11"/>
  <c r="AK136" i="11"/>
  <c r="AG136" i="11"/>
  <c r="Z136" i="11"/>
  <c r="AN136" i="11"/>
  <c r="AS136" i="11"/>
  <c r="AD136" i="11"/>
  <c r="W136" i="11"/>
  <c r="AB134" i="10" a="1"/>
  <c r="AB134" i="10"/>
  <c r="AM132" i="11"/>
  <c r="AT132" i="11"/>
  <c r="AB132" i="11"/>
  <c r="U132" i="11"/>
  <c r="AN132" i="11"/>
  <c r="AS132" i="11"/>
  <c r="AD132" i="11"/>
  <c r="W132" i="11"/>
  <c r="AK132" i="11"/>
  <c r="AG132" i="11"/>
  <c r="Z132" i="11"/>
  <c r="AJ132" i="11"/>
  <c r="AU132" i="11"/>
  <c r="AC132" i="11"/>
  <c r="V132" i="11"/>
  <c r="AL132" i="11"/>
  <c r="AR132" i="11"/>
  <c r="AE132" i="11"/>
  <c r="X132" i="11"/>
  <c r="AB130" i="10" a="1"/>
  <c r="AB130" i="10"/>
  <c r="AM128" i="11"/>
  <c r="AT128" i="11"/>
  <c r="AB128" i="11"/>
  <c r="U128" i="11"/>
  <c r="AL128" i="11"/>
  <c r="AR128" i="11"/>
  <c r="AE128" i="11"/>
  <c r="X128" i="11"/>
  <c r="AJ128" i="11"/>
  <c r="AU128" i="11"/>
  <c r="AC128" i="11"/>
  <c r="V128" i="11"/>
  <c r="AN128" i="11"/>
  <c r="AS128" i="11"/>
  <c r="AD128" i="11"/>
  <c r="W128" i="11"/>
  <c r="AK128" i="11"/>
  <c r="AG128" i="11"/>
  <c r="Z128" i="11"/>
  <c r="AB126" i="10" a="1"/>
  <c r="AB126" i="10"/>
  <c r="AM124" i="11"/>
  <c r="AT124" i="11"/>
  <c r="AB124" i="11"/>
  <c r="U124" i="11"/>
  <c r="AK124" i="11"/>
  <c r="AG124" i="11"/>
  <c r="Z124" i="11"/>
  <c r="AN124" i="11"/>
  <c r="AS124" i="11"/>
  <c r="AD124" i="11"/>
  <c r="W124" i="11"/>
  <c r="AL124" i="11"/>
  <c r="AR124" i="11"/>
  <c r="AE124" i="11"/>
  <c r="X124" i="11"/>
  <c r="AJ124" i="11"/>
  <c r="AU124" i="11"/>
  <c r="AC124" i="11"/>
  <c r="V124" i="11"/>
  <c r="AB122" i="10" a="1"/>
  <c r="AB122" i="10"/>
  <c r="AM120" i="11"/>
  <c r="AT120" i="11"/>
  <c r="AB120" i="11"/>
  <c r="U120" i="11"/>
  <c r="AJ120" i="11"/>
  <c r="AU120" i="11"/>
  <c r="AC120" i="11"/>
  <c r="V120" i="11"/>
  <c r="AL120" i="11"/>
  <c r="AR120" i="11"/>
  <c r="AE120" i="11"/>
  <c r="X120" i="11"/>
  <c r="AK120" i="11"/>
  <c r="AG120" i="11"/>
  <c r="Z120" i="11"/>
  <c r="AN120" i="11"/>
  <c r="AS120" i="11"/>
  <c r="AD120" i="11"/>
  <c r="W120" i="11"/>
  <c r="AB118" i="10" a="1"/>
  <c r="AB118" i="10"/>
  <c r="AM116" i="11"/>
  <c r="AT116" i="11"/>
  <c r="AB116" i="11"/>
  <c r="U116" i="11"/>
  <c r="AN116" i="11"/>
  <c r="AS116" i="11"/>
  <c r="AD116" i="11"/>
  <c r="W116" i="11"/>
  <c r="AK116" i="11"/>
  <c r="AG116" i="11"/>
  <c r="Z116" i="11"/>
  <c r="AJ116" i="11"/>
  <c r="AU116" i="11"/>
  <c r="AC116" i="11"/>
  <c r="V116" i="11"/>
  <c r="AL116" i="11"/>
  <c r="AR116" i="11"/>
  <c r="AE116" i="11"/>
  <c r="X116" i="11"/>
  <c r="AB114" i="10" a="1"/>
  <c r="AB114" i="10"/>
  <c r="AM112" i="11"/>
  <c r="AT112" i="11"/>
  <c r="AB112" i="11"/>
  <c r="U112" i="11"/>
  <c r="AL112" i="11"/>
  <c r="AR112" i="11"/>
  <c r="AE112" i="11"/>
  <c r="X112" i="11"/>
  <c r="AJ112" i="11"/>
  <c r="AU112" i="11"/>
  <c r="AC112" i="11"/>
  <c r="V112" i="11"/>
  <c r="AN112" i="11"/>
  <c r="AS112" i="11"/>
  <c r="AD112" i="11"/>
  <c r="W112" i="11"/>
  <c r="AB110" i="10" a="1"/>
  <c r="AB110" i="10"/>
  <c r="AM108" i="11"/>
  <c r="AT108" i="11"/>
  <c r="AB108" i="11"/>
  <c r="U108" i="11"/>
  <c r="AN108" i="11"/>
  <c r="AS108" i="11"/>
  <c r="AD108" i="11"/>
  <c r="W108" i="11"/>
  <c r="AL108" i="11"/>
  <c r="AR108" i="11"/>
  <c r="AE108" i="11"/>
  <c r="X108" i="11"/>
  <c r="AJ108" i="11"/>
  <c r="AU108" i="11"/>
  <c r="AC108" i="11"/>
  <c r="V108" i="11"/>
  <c r="AM104" i="11"/>
  <c r="AT104" i="11"/>
  <c r="AB104" i="11"/>
  <c r="U104" i="11"/>
  <c r="AJ104" i="11"/>
  <c r="AU104" i="11"/>
  <c r="AC104" i="11"/>
  <c r="V104" i="11"/>
  <c r="AB106" i="10" a="1"/>
  <c r="AB106" i="10"/>
  <c r="AL104" i="11"/>
  <c r="AR104" i="11"/>
  <c r="AE104" i="11"/>
  <c r="X104" i="11"/>
  <c r="AK104" i="11"/>
  <c r="AG104" i="11"/>
  <c r="Z104" i="11"/>
  <c r="AN104" i="11"/>
  <c r="AS104" i="11"/>
  <c r="AD104" i="11"/>
  <c r="W104" i="11"/>
  <c r="AB102" i="10" a="1"/>
  <c r="AB102" i="10"/>
  <c r="AM100" i="11"/>
  <c r="AT100" i="11"/>
  <c r="AB100" i="11"/>
  <c r="U100" i="11"/>
  <c r="AN100" i="11"/>
  <c r="AS100" i="11"/>
  <c r="AD100" i="11"/>
  <c r="W100" i="11"/>
  <c r="AK100" i="11"/>
  <c r="AG100" i="11"/>
  <c r="Z100" i="11"/>
  <c r="AJ100" i="11"/>
  <c r="AU100" i="11"/>
  <c r="AC100" i="11"/>
  <c r="V100" i="11"/>
  <c r="AL100" i="11"/>
  <c r="AR100" i="11"/>
  <c r="AE100" i="11"/>
  <c r="X100" i="11"/>
  <c r="AB98" i="10" a="1"/>
  <c r="AB98" i="10"/>
  <c r="AM96" i="11"/>
  <c r="AT96" i="11"/>
  <c r="AB96" i="11"/>
  <c r="U96" i="11"/>
  <c r="AL96" i="11"/>
  <c r="AR96" i="11"/>
  <c r="AE96" i="11"/>
  <c r="X96" i="11"/>
  <c r="AJ96" i="11"/>
  <c r="AU96" i="11"/>
  <c r="AC96" i="11"/>
  <c r="V96" i="11"/>
  <c r="AN96" i="11"/>
  <c r="AS96" i="11"/>
  <c r="AD96" i="11"/>
  <c r="W96" i="11"/>
  <c r="AK96" i="11"/>
  <c r="AG96" i="11"/>
  <c r="Z96" i="11"/>
  <c r="AB94" i="10" a="1"/>
  <c r="AB94" i="10"/>
  <c r="AM92" i="11"/>
  <c r="AT92" i="11"/>
  <c r="AB92" i="11"/>
  <c r="U92" i="11"/>
  <c r="AK92" i="11"/>
  <c r="AG92" i="11"/>
  <c r="Z92" i="11"/>
  <c r="AN92" i="11"/>
  <c r="AS92" i="11"/>
  <c r="AD92" i="11"/>
  <c r="W92" i="11"/>
  <c r="AL92" i="11"/>
  <c r="AR92" i="11"/>
  <c r="AE92" i="11"/>
  <c r="X92" i="11"/>
  <c r="AJ92" i="11"/>
  <c r="AU92" i="11"/>
  <c r="AC92" i="11"/>
  <c r="V92" i="11"/>
  <c r="AM88" i="11"/>
  <c r="AT88" i="11"/>
  <c r="AB88" i="11"/>
  <c r="U88" i="11"/>
  <c r="AB90" i="10" a="1"/>
  <c r="AB90" i="10"/>
  <c r="AJ88" i="11"/>
  <c r="AU88" i="11"/>
  <c r="AC88" i="11"/>
  <c r="V88" i="11"/>
  <c r="AL88" i="11"/>
  <c r="AR88" i="11"/>
  <c r="AE88" i="11"/>
  <c r="X88" i="11"/>
  <c r="AK88" i="11"/>
  <c r="AG88" i="11"/>
  <c r="Z88" i="11"/>
  <c r="AN88" i="11"/>
  <c r="AS88" i="11"/>
  <c r="AD88" i="11"/>
  <c r="W88" i="11"/>
  <c r="AB86" i="10" a="1"/>
  <c r="AB86" i="10"/>
  <c r="AM84" i="11"/>
  <c r="AT84" i="11"/>
  <c r="AB84" i="11"/>
  <c r="U84" i="11"/>
  <c r="AN84" i="11"/>
  <c r="AS84" i="11"/>
  <c r="AD84" i="11"/>
  <c r="W84" i="11"/>
  <c r="AK84" i="11"/>
  <c r="AG84" i="11"/>
  <c r="Z84" i="11"/>
  <c r="AJ84" i="11"/>
  <c r="AU84" i="11"/>
  <c r="AC84" i="11"/>
  <c r="V84" i="11"/>
  <c r="AL84" i="11"/>
  <c r="AR84" i="11"/>
  <c r="AE84" i="11"/>
  <c r="X84" i="11"/>
  <c r="AB82" i="10" a="1"/>
  <c r="AB82" i="10"/>
  <c r="AM80" i="11"/>
  <c r="AT80" i="11"/>
  <c r="AB80" i="11"/>
  <c r="U80" i="11"/>
  <c r="AL80" i="11"/>
  <c r="AR80" i="11"/>
  <c r="AE80" i="11"/>
  <c r="X80" i="11"/>
  <c r="AJ80" i="11"/>
  <c r="AU80" i="11"/>
  <c r="AC80" i="11"/>
  <c r="V80" i="11"/>
  <c r="AN80" i="11"/>
  <c r="AS80" i="11"/>
  <c r="AD80" i="11"/>
  <c r="W80" i="11"/>
  <c r="AK80" i="11"/>
  <c r="AG80" i="11"/>
  <c r="Z80" i="11"/>
  <c r="AM76" i="11"/>
  <c r="AT76" i="11"/>
  <c r="AB76" i="11"/>
  <c r="U76" i="11"/>
  <c r="AK76" i="11"/>
  <c r="AG76" i="11"/>
  <c r="Z76" i="11"/>
  <c r="AB78" i="10" a="1"/>
  <c r="AB78" i="10"/>
  <c r="AN76" i="11"/>
  <c r="AS76" i="11"/>
  <c r="AD76" i="11"/>
  <c r="W76" i="11"/>
  <c r="AL76" i="11"/>
  <c r="AR76" i="11"/>
  <c r="AE76" i="11"/>
  <c r="X76" i="11"/>
  <c r="AJ76" i="11"/>
  <c r="AU76" i="11"/>
  <c r="AC76" i="11"/>
  <c r="V76" i="11"/>
  <c r="AB74" i="10" a="1"/>
  <c r="AB74" i="10"/>
  <c r="AM72" i="11"/>
  <c r="AT72" i="11"/>
  <c r="AB72" i="11"/>
  <c r="U72" i="11"/>
  <c r="AJ72" i="11"/>
  <c r="AU72" i="11"/>
  <c r="AC72" i="11"/>
  <c r="V72" i="11"/>
  <c r="AL72" i="11"/>
  <c r="AR72" i="11"/>
  <c r="AE72" i="11"/>
  <c r="X72" i="11"/>
  <c r="AK72" i="11"/>
  <c r="AG72" i="11"/>
  <c r="Z72" i="11"/>
  <c r="AN72" i="11"/>
  <c r="AS72" i="11"/>
  <c r="AD72" i="11"/>
  <c r="W72" i="11"/>
  <c r="AB70" i="10" a="1"/>
  <c r="AB70" i="10"/>
  <c r="AK68" i="11"/>
  <c r="AG68" i="11"/>
  <c r="Z68" i="11"/>
  <c r="AJ68" i="11"/>
  <c r="AU68" i="11"/>
  <c r="AC68" i="11"/>
  <c r="V68" i="11"/>
  <c r="AL68" i="11"/>
  <c r="AR68" i="11"/>
  <c r="AE68" i="11"/>
  <c r="X68" i="11"/>
  <c r="AN68" i="11"/>
  <c r="AS68" i="11"/>
  <c r="AD68" i="11"/>
  <c r="W68" i="11"/>
  <c r="AM68" i="11"/>
  <c r="AT68" i="11"/>
  <c r="AB68" i="11"/>
  <c r="U68" i="11"/>
  <c r="AB66" i="10" a="1"/>
  <c r="AB66" i="10"/>
  <c r="AK64" i="11"/>
  <c r="AG64" i="11"/>
  <c r="Z64" i="11"/>
  <c r="AN64" i="11"/>
  <c r="AS64" i="11"/>
  <c r="AD64" i="11"/>
  <c r="W64" i="11"/>
  <c r="AJ64" i="11"/>
  <c r="AU64" i="11"/>
  <c r="AC64" i="11"/>
  <c r="V64" i="11"/>
  <c r="AM64" i="11"/>
  <c r="AT64" i="11"/>
  <c r="AB64" i="11"/>
  <c r="U64" i="11"/>
  <c r="AL64" i="11"/>
  <c r="AR64" i="11"/>
  <c r="AE64" i="11"/>
  <c r="X64" i="11"/>
  <c r="AK60" i="11"/>
  <c r="AG60" i="11"/>
  <c r="Z60" i="11"/>
  <c r="AB62" i="10" a="1"/>
  <c r="AB62" i="10"/>
  <c r="AJ60" i="11"/>
  <c r="AU60" i="11"/>
  <c r="AC60" i="11"/>
  <c r="V60" i="11"/>
  <c r="AM60" i="11"/>
  <c r="AT60" i="11"/>
  <c r="AB60" i="11"/>
  <c r="U60" i="11"/>
  <c r="AL60" i="11"/>
  <c r="AR60" i="11"/>
  <c r="AE60" i="11"/>
  <c r="X60" i="11"/>
  <c r="AN60" i="11"/>
  <c r="AS60" i="11"/>
  <c r="AD60" i="11"/>
  <c r="W60" i="11"/>
  <c r="AK56" i="11"/>
  <c r="AG56" i="11"/>
  <c r="Z56" i="11"/>
  <c r="AN56" i="11"/>
  <c r="AS56" i="11"/>
  <c r="AD56" i="11"/>
  <c r="W56" i="11"/>
  <c r="AB58" i="10" a="1"/>
  <c r="AB58" i="10"/>
  <c r="AL56" i="11"/>
  <c r="AR56" i="11"/>
  <c r="AE56" i="11"/>
  <c r="X56" i="11"/>
  <c r="AM56" i="11"/>
  <c r="AT56" i="11"/>
  <c r="AB56" i="11"/>
  <c r="U56" i="11"/>
  <c r="AJ56" i="11"/>
  <c r="AU56" i="11"/>
  <c r="AC56" i="11"/>
  <c r="V56" i="11"/>
  <c r="AB54" i="10" a="1"/>
  <c r="AB54" i="10"/>
  <c r="AK52" i="11"/>
  <c r="AG52" i="11"/>
  <c r="Z52" i="11"/>
  <c r="AM52" i="11"/>
  <c r="AT52" i="11"/>
  <c r="AB52" i="11"/>
  <c r="U52" i="11"/>
  <c r="AJ52" i="11"/>
  <c r="AU52" i="11"/>
  <c r="AC52" i="11"/>
  <c r="V52" i="11"/>
  <c r="AN52" i="11"/>
  <c r="AS52" i="11"/>
  <c r="AD52" i="11"/>
  <c r="W52" i="11"/>
  <c r="AL52" i="11"/>
  <c r="AR52" i="11"/>
  <c r="AE52" i="11"/>
  <c r="X52" i="11"/>
  <c r="AB50" i="10" a="1"/>
  <c r="AB50" i="10"/>
  <c r="AK48" i="11"/>
  <c r="AG48" i="11"/>
  <c r="Z48" i="11"/>
  <c r="AL48" i="11"/>
  <c r="AR48" i="11"/>
  <c r="AE48" i="11"/>
  <c r="X48" i="11"/>
  <c r="AM48" i="11"/>
  <c r="AT48" i="11"/>
  <c r="AB48" i="11"/>
  <c r="U48" i="11"/>
  <c r="AJ48" i="11"/>
  <c r="AU48" i="11"/>
  <c r="AC48" i="11"/>
  <c r="V48" i="11"/>
  <c r="AN48" i="11"/>
  <c r="AS48" i="11"/>
  <c r="AD48" i="11"/>
  <c r="W48" i="11"/>
  <c r="AJ44" i="11"/>
  <c r="AU44" i="11"/>
  <c r="AC44" i="11"/>
  <c r="V44" i="11"/>
  <c r="AN44" i="11"/>
  <c r="AS44" i="11"/>
  <c r="AD44" i="11"/>
  <c r="W44" i="11"/>
  <c r="AL44" i="11"/>
  <c r="AR44" i="11"/>
  <c r="AE44" i="11"/>
  <c r="X44" i="11"/>
  <c r="AB46" i="10" a="1"/>
  <c r="AB46" i="10"/>
  <c r="AM44" i="11"/>
  <c r="AT44" i="11"/>
  <c r="AB44" i="11"/>
  <c r="U44" i="11"/>
  <c r="AJ40" i="11"/>
  <c r="AU40" i="11"/>
  <c r="AC40" i="11"/>
  <c r="V40" i="11"/>
  <c r="AN40" i="11"/>
  <c r="AS40" i="11"/>
  <c r="AD40" i="11"/>
  <c r="W40" i="11"/>
  <c r="AK40" i="11"/>
  <c r="AG40" i="11"/>
  <c r="Z40" i="11"/>
  <c r="AM40" i="11"/>
  <c r="AT40" i="11"/>
  <c r="AB40" i="11"/>
  <c r="U40" i="11"/>
  <c r="AL40" i="11"/>
  <c r="AR40" i="11"/>
  <c r="AE40" i="11"/>
  <c r="X40" i="11"/>
  <c r="AB42" i="10" a="1"/>
  <c r="AB42" i="10"/>
  <c r="AB38" i="10" a="1"/>
  <c r="AB38" i="10"/>
  <c r="AJ36" i="11"/>
  <c r="AU36" i="11"/>
  <c r="AC36" i="11"/>
  <c r="V36" i="11"/>
  <c r="AN36" i="11"/>
  <c r="AS36" i="11"/>
  <c r="AD36" i="11"/>
  <c r="W36" i="11"/>
  <c r="AK36" i="11"/>
  <c r="AG36" i="11"/>
  <c r="Z36" i="11"/>
  <c r="AL36" i="11"/>
  <c r="AR36" i="11"/>
  <c r="AE36" i="11"/>
  <c r="X36" i="11"/>
  <c r="AM36" i="11"/>
  <c r="AT36" i="11"/>
  <c r="AB36" i="11"/>
  <c r="U36" i="11"/>
  <c r="AJ32" i="11"/>
  <c r="AU32" i="11"/>
  <c r="AC32" i="11"/>
  <c r="V32" i="11"/>
  <c r="AN32" i="11"/>
  <c r="AS32" i="11"/>
  <c r="AD32" i="11"/>
  <c r="W32" i="11"/>
  <c r="AB34" i="10" a="1"/>
  <c r="AB34" i="10"/>
  <c r="AK32" i="11"/>
  <c r="AG32" i="11"/>
  <c r="Z32" i="11"/>
  <c r="AL32" i="11"/>
  <c r="AR32" i="11"/>
  <c r="AE32" i="11"/>
  <c r="X32" i="11"/>
  <c r="AM32" i="11"/>
  <c r="AT32" i="11"/>
  <c r="AB32" i="11"/>
  <c r="U32" i="11"/>
  <c r="AJ28" i="11"/>
  <c r="AU28" i="11"/>
  <c r="AC28" i="11"/>
  <c r="V28" i="11"/>
  <c r="AN28" i="11"/>
  <c r="AS28" i="11"/>
  <c r="AD28" i="11"/>
  <c r="W28" i="11"/>
  <c r="AK28" i="11"/>
  <c r="AG28" i="11"/>
  <c r="Z28" i="11"/>
  <c r="AB30" i="10" a="1"/>
  <c r="AB30" i="10"/>
  <c r="AL28" i="11"/>
  <c r="AR28" i="11"/>
  <c r="AE28" i="11"/>
  <c r="X28" i="11"/>
  <c r="AM28" i="11"/>
  <c r="AT28" i="11"/>
  <c r="AB28" i="11"/>
  <c r="U28" i="11"/>
  <c r="AJ24" i="11"/>
  <c r="AU24" i="11"/>
  <c r="AC24" i="11"/>
  <c r="V24" i="11"/>
  <c r="AN24" i="11"/>
  <c r="AS24" i="11"/>
  <c r="AD24" i="11"/>
  <c r="W24" i="11"/>
  <c r="AK24" i="11"/>
  <c r="AG24" i="11"/>
  <c r="Z24" i="11"/>
  <c r="AM24" i="11"/>
  <c r="AT24" i="11"/>
  <c r="AB24" i="11"/>
  <c r="U24" i="11"/>
  <c r="AL24" i="11"/>
  <c r="AR24" i="11"/>
  <c r="AE24" i="11"/>
  <c r="X24" i="11"/>
  <c r="AB26" i="10" a="1"/>
  <c r="AB26" i="10"/>
  <c r="AB22" i="10" a="1"/>
  <c r="AB22" i="10"/>
  <c r="AJ20" i="11"/>
  <c r="AU20" i="11"/>
  <c r="AC20" i="11"/>
  <c r="V20" i="11"/>
  <c r="AN20" i="11"/>
  <c r="AS20" i="11"/>
  <c r="AD20" i="11"/>
  <c r="W20" i="11"/>
  <c r="AK20" i="11"/>
  <c r="AG20" i="11"/>
  <c r="Z20" i="11"/>
  <c r="AL20" i="11"/>
  <c r="AR20" i="11"/>
  <c r="AE20" i="11"/>
  <c r="X20" i="11"/>
  <c r="AM20" i="11"/>
  <c r="AT20" i="11"/>
  <c r="AB20" i="11"/>
  <c r="U20" i="11"/>
  <c r="AJ16" i="11"/>
  <c r="AU16" i="11"/>
  <c r="AC16" i="11"/>
  <c r="V16" i="11"/>
  <c r="AN16" i="11"/>
  <c r="AS16" i="11"/>
  <c r="AD16" i="11"/>
  <c r="W16" i="11"/>
  <c r="AK16" i="11"/>
  <c r="AG16" i="11"/>
  <c r="Z16" i="11"/>
  <c r="AB18" i="10" a="1"/>
  <c r="AB18" i="10"/>
  <c r="AL16" i="11"/>
  <c r="AR16" i="11"/>
  <c r="AE16" i="11"/>
  <c r="X16" i="11"/>
  <c r="AM16" i="11"/>
  <c r="AT16" i="11"/>
  <c r="AB16" i="11"/>
  <c r="U16" i="11"/>
  <c r="AB14" i="10" a="1"/>
  <c r="AB14" i="10"/>
  <c r="AJ12" i="11"/>
  <c r="AU12" i="11"/>
  <c r="AC12" i="11"/>
  <c r="V12" i="11"/>
  <c r="AN12" i="11"/>
  <c r="AS12" i="11"/>
  <c r="AD12" i="11"/>
  <c r="W12" i="11"/>
  <c r="AK12" i="11"/>
  <c r="AG12" i="11"/>
  <c r="Z12" i="11"/>
  <c r="AL12" i="11"/>
  <c r="AR12" i="11"/>
  <c r="AE12" i="11"/>
  <c r="X12" i="11"/>
  <c r="AM12" i="11"/>
  <c r="AT12" i="11"/>
  <c r="AB12" i="11"/>
  <c r="U12" i="11"/>
  <c r="AJ8" i="11"/>
  <c r="AU8" i="11"/>
  <c r="AC8" i="11"/>
  <c r="V8" i="11"/>
  <c r="AN8" i="11"/>
  <c r="AS8" i="11"/>
  <c r="AD8" i="11"/>
  <c r="W8" i="11"/>
  <c r="AM8" i="11"/>
  <c r="AT8" i="11"/>
  <c r="AB8" i="11"/>
  <c r="U8" i="11"/>
  <c r="AL8" i="11"/>
  <c r="AR8" i="11"/>
  <c r="AE8" i="11"/>
  <c r="X8" i="11"/>
  <c r="AB10" i="10" a="1"/>
  <c r="AB10" i="10"/>
  <c r="AB244" i="10" a="1"/>
  <c r="AB244" i="10"/>
  <c r="AK242" i="11"/>
  <c r="AG242" i="11"/>
  <c r="Z242" i="11"/>
  <c r="AJ242" i="11"/>
  <c r="AU242" i="11"/>
  <c r="AC242" i="11"/>
  <c r="V242" i="11"/>
  <c r="AB232" i="10" a="1"/>
  <c r="AB232" i="10"/>
  <c r="AK230" i="11"/>
  <c r="AG230" i="11"/>
  <c r="Z230" i="11"/>
  <c r="AN230" i="11"/>
  <c r="AS230" i="11"/>
  <c r="AD230" i="11"/>
  <c r="W230" i="11"/>
  <c r="AJ230" i="11"/>
  <c r="AU230" i="11"/>
  <c r="AC230" i="11"/>
  <c r="V230" i="11"/>
  <c r="AM230" i="11"/>
  <c r="AT230" i="11"/>
  <c r="AB230" i="11"/>
  <c r="U230" i="11"/>
  <c r="AB224" i="10" a="1"/>
  <c r="AB224" i="10"/>
  <c r="AK222" i="11"/>
  <c r="AG222" i="11"/>
  <c r="Z222" i="11"/>
  <c r="AN222" i="11"/>
  <c r="AS222" i="11"/>
  <c r="AD222" i="11"/>
  <c r="W222" i="11"/>
  <c r="AJ222" i="11"/>
  <c r="AU222" i="11"/>
  <c r="AC222" i="11"/>
  <c r="V222" i="11"/>
  <c r="AB220" i="10" a="1"/>
  <c r="AB220" i="10"/>
  <c r="AK218" i="11"/>
  <c r="AG218" i="11"/>
  <c r="Z218" i="11"/>
  <c r="AM218" i="11"/>
  <c r="AT218" i="11"/>
  <c r="AB218" i="11"/>
  <c r="U218" i="11"/>
  <c r="AJ218" i="11"/>
  <c r="AU218" i="11"/>
  <c r="AC218" i="11"/>
  <c r="V218" i="11"/>
  <c r="AL218" i="11"/>
  <c r="AR218" i="11"/>
  <c r="AE218" i="11"/>
  <c r="X218" i="11"/>
  <c r="AN218" i="11"/>
  <c r="AS218" i="11"/>
  <c r="AD218" i="11"/>
  <c r="W218" i="11"/>
  <c r="AB212" i="10" a="1"/>
  <c r="AB212" i="10"/>
  <c r="AK210" i="11"/>
  <c r="AG210" i="11"/>
  <c r="Z210" i="11"/>
  <c r="AJ210" i="11"/>
  <c r="AU210" i="11"/>
  <c r="AC210" i="11"/>
  <c r="V210" i="11"/>
  <c r="AM210" i="11"/>
  <c r="AT210" i="11"/>
  <c r="AB210" i="11"/>
  <c r="U210" i="11"/>
  <c r="AN210" i="11"/>
  <c r="AS210" i="11"/>
  <c r="AD210" i="11"/>
  <c r="W210" i="11"/>
  <c r="AL210" i="11"/>
  <c r="AR210" i="11"/>
  <c r="AE210" i="11"/>
  <c r="X210" i="11"/>
  <c r="AK202" i="11"/>
  <c r="AG202" i="11"/>
  <c r="Z202" i="11"/>
  <c r="AM202" i="11"/>
  <c r="AT202" i="11"/>
  <c r="AB202" i="11"/>
  <c r="U202" i="11"/>
  <c r="AB204" i="10" a="1"/>
  <c r="AB204" i="10"/>
  <c r="AJ202" i="11"/>
  <c r="AU202" i="11"/>
  <c r="AL202" i="11"/>
  <c r="AR202" i="11"/>
  <c r="AE202" i="11"/>
  <c r="X202" i="11"/>
  <c r="AN202" i="11"/>
  <c r="AS202" i="11"/>
  <c r="AD202" i="11"/>
  <c r="W202" i="11"/>
  <c r="AB196" i="10" a="1"/>
  <c r="AB196" i="10"/>
  <c r="AM194" i="11"/>
  <c r="AT194" i="11"/>
  <c r="AB194" i="11"/>
  <c r="U194" i="11"/>
  <c r="AK194" i="11"/>
  <c r="AG194" i="11"/>
  <c r="Z194" i="11"/>
  <c r="AN194" i="11"/>
  <c r="AS194" i="11"/>
  <c r="AD194" i="11"/>
  <c r="W194" i="11"/>
  <c r="AJ194" i="11"/>
  <c r="AU194" i="11"/>
  <c r="AC194" i="11"/>
  <c r="V194" i="11"/>
  <c r="AL194" i="11"/>
  <c r="AR194" i="11"/>
  <c r="AE194" i="11"/>
  <c r="X194" i="11"/>
  <c r="AB188" i="10" a="1"/>
  <c r="AB188" i="10"/>
  <c r="AM186" i="11"/>
  <c r="AT186" i="11"/>
  <c r="AB186" i="11"/>
  <c r="U186" i="11"/>
  <c r="AN186" i="11"/>
  <c r="AS186" i="11"/>
  <c r="AD186" i="11"/>
  <c r="W186" i="11"/>
  <c r="AJ186" i="11"/>
  <c r="AU186" i="11"/>
  <c r="AC186" i="11"/>
  <c r="V186" i="11"/>
  <c r="AL186" i="11"/>
  <c r="AR186" i="11"/>
  <c r="AE186" i="11"/>
  <c r="X186" i="11"/>
  <c r="AB180" i="10" a="1"/>
  <c r="AB180" i="10"/>
  <c r="AM178" i="11"/>
  <c r="AT178" i="11"/>
  <c r="AB178" i="11"/>
  <c r="U178" i="11"/>
  <c r="AK178" i="11"/>
  <c r="AG178" i="11"/>
  <c r="Z178" i="11"/>
  <c r="AN178" i="11"/>
  <c r="AS178" i="11"/>
  <c r="AD178" i="11"/>
  <c r="W178" i="11"/>
  <c r="AJ178" i="11"/>
  <c r="AU178" i="11"/>
  <c r="AC178" i="11"/>
  <c r="V178" i="11"/>
  <c r="AL178" i="11"/>
  <c r="AR178" i="11"/>
  <c r="AE178" i="11"/>
  <c r="X178" i="11"/>
  <c r="AM170" i="11"/>
  <c r="AT170" i="11"/>
  <c r="AB170" i="11"/>
  <c r="U170" i="11"/>
  <c r="AK170" i="11"/>
  <c r="AG170" i="11"/>
  <c r="Z170" i="11"/>
  <c r="AN170" i="11"/>
  <c r="AS170" i="11"/>
  <c r="AD170" i="11"/>
  <c r="W170" i="11"/>
  <c r="AB172" i="10" a="1"/>
  <c r="AB172" i="10"/>
  <c r="AJ170" i="11"/>
  <c r="AU170" i="11"/>
  <c r="AC170" i="11"/>
  <c r="V170" i="11"/>
  <c r="AL170" i="11"/>
  <c r="AR170" i="11"/>
  <c r="AE170" i="11"/>
  <c r="X170" i="11"/>
  <c r="AB164" i="10" a="1"/>
  <c r="AB164" i="10"/>
  <c r="AM162" i="11"/>
  <c r="AT162" i="11"/>
  <c r="AB162" i="11"/>
  <c r="U162" i="11"/>
  <c r="AK162" i="11"/>
  <c r="AG162" i="11"/>
  <c r="Z162" i="11"/>
  <c r="AN162" i="11"/>
  <c r="AS162" i="11"/>
  <c r="AD162" i="11"/>
  <c r="W162" i="11"/>
  <c r="AJ162" i="11"/>
  <c r="AU162" i="11"/>
  <c r="AC162" i="11"/>
  <c r="V162" i="11"/>
  <c r="AL162" i="11"/>
  <c r="AR162" i="11"/>
  <c r="AE162" i="11"/>
  <c r="X162" i="11"/>
  <c r="AM154" i="11"/>
  <c r="AT154" i="11"/>
  <c r="AB154" i="11"/>
  <c r="U154" i="11"/>
  <c r="AB156" i="10" a="1"/>
  <c r="AB156" i="10"/>
  <c r="AK154" i="11"/>
  <c r="AG154" i="11"/>
  <c r="Z154" i="11"/>
  <c r="AN154" i="11"/>
  <c r="AS154" i="11"/>
  <c r="AD154" i="11"/>
  <c r="W154" i="11"/>
  <c r="AJ154" i="11"/>
  <c r="AU154" i="11"/>
  <c r="AC154" i="11"/>
  <c r="V154" i="11"/>
  <c r="AL154" i="11"/>
  <c r="AR154" i="11"/>
  <c r="AE154" i="11"/>
  <c r="X154" i="11"/>
  <c r="AB148" i="10" a="1"/>
  <c r="AB148" i="10"/>
  <c r="AK146" i="11"/>
  <c r="AG146" i="11"/>
  <c r="Z146" i="11"/>
  <c r="AM146" i="11"/>
  <c r="AT146" i="11"/>
  <c r="AB146" i="11"/>
  <c r="U146" i="11"/>
  <c r="AJ146" i="11"/>
  <c r="AU146" i="11"/>
  <c r="AC146" i="11"/>
  <c r="V146" i="11"/>
  <c r="AN146" i="11"/>
  <c r="AS146" i="11"/>
  <c r="AD146" i="11"/>
  <c r="W146" i="11"/>
  <c r="AL146" i="11"/>
  <c r="AR146" i="11"/>
  <c r="AE146" i="11"/>
  <c r="X146" i="11"/>
  <c r="AB136" i="10" a="1"/>
  <c r="AB136" i="10"/>
  <c r="AK134" i="11"/>
  <c r="AG134" i="11"/>
  <c r="Z134" i="11"/>
  <c r="AN134" i="11"/>
  <c r="AS134" i="11"/>
  <c r="AD134" i="11"/>
  <c r="W134" i="11"/>
  <c r="AL134" i="11"/>
  <c r="AR134" i="11"/>
  <c r="AE134" i="11"/>
  <c r="X134" i="11"/>
  <c r="AJ134" i="11"/>
  <c r="AU134" i="11"/>
  <c r="AC134" i="11"/>
  <c r="V134" i="11"/>
  <c r="AM134" i="11"/>
  <c r="AT134" i="11"/>
  <c r="AB134" i="11"/>
  <c r="U134" i="11"/>
  <c r="AB128" i="10" a="1"/>
  <c r="AB128" i="10"/>
  <c r="AK126" i="11"/>
  <c r="AG126" i="11"/>
  <c r="Z126" i="11"/>
  <c r="AL126" i="11"/>
  <c r="AR126" i="11"/>
  <c r="AE126" i="11"/>
  <c r="X126" i="11"/>
  <c r="AN126" i="11"/>
  <c r="AS126" i="11"/>
  <c r="AD126" i="11"/>
  <c r="W126" i="11"/>
  <c r="AM126" i="11"/>
  <c r="AT126" i="11"/>
  <c r="AB126" i="11"/>
  <c r="U126" i="11"/>
  <c r="AJ126" i="11"/>
  <c r="AU126" i="11"/>
  <c r="AC126" i="11"/>
  <c r="V126" i="11"/>
  <c r="AB120" i="10" a="1"/>
  <c r="AB120" i="10"/>
  <c r="AN118" i="11"/>
  <c r="AS118" i="11"/>
  <c r="AD118" i="11"/>
  <c r="W118" i="11"/>
  <c r="AL118" i="11"/>
  <c r="AR118" i="11"/>
  <c r="AE118" i="11"/>
  <c r="X118" i="11"/>
  <c r="AJ118" i="11"/>
  <c r="AU118" i="11"/>
  <c r="AC118" i="11"/>
  <c r="V118" i="11"/>
  <c r="AM118" i="11"/>
  <c r="AT118" i="11"/>
  <c r="AB118" i="11"/>
  <c r="U118" i="11"/>
  <c r="AB112" i="10" a="1"/>
  <c r="AB112" i="10"/>
  <c r="AK110" i="11"/>
  <c r="AG110" i="11"/>
  <c r="Z110" i="11"/>
  <c r="AL110" i="11"/>
  <c r="AR110" i="11"/>
  <c r="AE110" i="11"/>
  <c r="X110" i="11"/>
  <c r="AN110" i="11"/>
  <c r="AS110" i="11"/>
  <c r="AD110" i="11"/>
  <c r="W110" i="11"/>
  <c r="AJ110" i="11"/>
  <c r="AU110" i="11"/>
  <c r="AC110" i="11"/>
  <c r="V110" i="11"/>
  <c r="AM110" i="11"/>
  <c r="AT110" i="11"/>
  <c r="AB110" i="11"/>
  <c r="U110" i="11"/>
  <c r="AB104" i="10" a="1"/>
  <c r="AB104" i="10"/>
  <c r="AN102" i="11"/>
  <c r="AS102" i="11"/>
  <c r="AD102" i="11"/>
  <c r="W102" i="11"/>
  <c r="AL102" i="11"/>
  <c r="AR102" i="11"/>
  <c r="AE102" i="11"/>
  <c r="X102" i="11"/>
  <c r="AJ102" i="11"/>
  <c r="AU102" i="11"/>
  <c r="AC102" i="11"/>
  <c r="V102" i="11"/>
  <c r="AM102" i="11"/>
  <c r="AT102" i="11"/>
  <c r="AB102" i="11"/>
  <c r="U102" i="11"/>
  <c r="AB100" i="10" a="1"/>
  <c r="AB100" i="10"/>
  <c r="AK98" i="11"/>
  <c r="AG98" i="11"/>
  <c r="Z98" i="11"/>
  <c r="AM98" i="11"/>
  <c r="AT98" i="11"/>
  <c r="AB98" i="11"/>
  <c r="U98" i="11"/>
  <c r="AJ98" i="11"/>
  <c r="AU98" i="11"/>
  <c r="AC98" i="11"/>
  <c r="V98" i="11"/>
  <c r="AN98" i="11"/>
  <c r="AS98" i="11"/>
  <c r="AD98" i="11"/>
  <c r="W98" i="11"/>
  <c r="AL98" i="11"/>
  <c r="AR98" i="11"/>
  <c r="AE98" i="11"/>
  <c r="X98" i="11"/>
  <c r="AB92" i="10" a="1"/>
  <c r="AB92" i="10"/>
  <c r="AK90" i="11"/>
  <c r="AG90" i="11"/>
  <c r="Z90" i="11"/>
  <c r="AJ90" i="11"/>
  <c r="AU90" i="11"/>
  <c r="AC90" i="11"/>
  <c r="V90" i="11"/>
  <c r="AM90" i="11"/>
  <c r="AT90" i="11"/>
  <c r="AB90" i="11"/>
  <c r="U90" i="11"/>
  <c r="AL90" i="11"/>
  <c r="AR90" i="11"/>
  <c r="AE90" i="11"/>
  <c r="X90" i="11"/>
  <c r="AN90" i="11"/>
  <c r="AS90" i="11"/>
  <c r="AD90" i="11"/>
  <c r="W90" i="11"/>
  <c r="AK82" i="11"/>
  <c r="AG82" i="11"/>
  <c r="Z82" i="11"/>
  <c r="AM82" i="11"/>
  <c r="AT82" i="11"/>
  <c r="AB82" i="11"/>
  <c r="U82" i="11"/>
  <c r="AJ82" i="11"/>
  <c r="AU82" i="11"/>
  <c r="AC82" i="11"/>
  <c r="V82" i="11"/>
  <c r="AL82" i="11"/>
  <c r="AR82" i="11"/>
  <c r="AE82" i="11"/>
  <c r="X82" i="11"/>
  <c r="AN82" i="11"/>
  <c r="AS82" i="11"/>
  <c r="AD82" i="11"/>
  <c r="W82" i="11"/>
  <c r="AB84" i="10" a="1"/>
  <c r="AB84" i="10"/>
  <c r="AB76" i="10" a="1"/>
  <c r="AB76" i="10"/>
  <c r="AJ74" i="11"/>
  <c r="AU74" i="11"/>
  <c r="AC74" i="11"/>
  <c r="V74" i="11"/>
  <c r="AM74" i="11"/>
  <c r="AT74" i="11"/>
  <c r="AB74" i="11"/>
  <c r="U74" i="11"/>
  <c r="AL74" i="11"/>
  <c r="AR74" i="11"/>
  <c r="AE74" i="11"/>
  <c r="X74" i="11"/>
  <c r="AN74" i="11"/>
  <c r="AS74" i="11"/>
  <c r="AD74" i="11"/>
  <c r="W74" i="11"/>
  <c r="AM66" i="11"/>
  <c r="AT66" i="11"/>
  <c r="AB66" i="11"/>
  <c r="U66" i="11"/>
  <c r="AJ66" i="11"/>
  <c r="AU66" i="11"/>
  <c r="AC66" i="11"/>
  <c r="V66" i="11"/>
  <c r="AN66" i="11"/>
  <c r="AS66" i="11"/>
  <c r="AD66" i="11"/>
  <c r="W66" i="11"/>
  <c r="AB68" i="10" a="1"/>
  <c r="AB68" i="10"/>
  <c r="AL66" i="11"/>
  <c r="AR66" i="11"/>
  <c r="AE66" i="11"/>
  <c r="X66" i="11"/>
  <c r="AB60" i="10" a="1"/>
  <c r="AB60" i="10"/>
  <c r="AM58" i="11"/>
  <c r="AT58" i="11"/>
  <c r="AB58" i="11"/>
  <c r="U58" i="11"/>
  <c r="AJ58" i="11"/>
  <c r="AU58" i="11"/>
  <c r="AC58" i="11"/>
  <c r="V58" i="11"/>
  <c r="AL58" i="11"/>
  <c r="AR58" i="11"/>
  <c r="AE58" i="11"/>
  <c r="X58" i="11"/>
  <c r="AK58" i="11"/>
  <c r="AG58" i="11"/>
  <c r="Z58" i="11"/>
  <c r="AN58" i="11"/>
  <c r="AS58" i="11"/>
  <c r="AD58" i="11"/>
  <c r="W58" i="11"/>
  <c r="AM50" i="11"/>
  <c r="AT50" i="11"/>
  <c r="AB50" i="11"/>
  <c r="U50" i="11"/>
  <c r="AL50" i="11"/>
  <c r="AR50" i="11"/>
  <c r="AE50" i="11"/>
  <c r="X50" i="11"/>
  <c r="AN50" i="11"/>
  <c r="AS50" i="11"/>
  <c r="AD50" i="11"/>
  <c r="W50" i="11"/>
  <c r="AB52" i="10" a="1"/>
  <c r="AB52" i="10"/>
  <c r="AJ50" i="11"/>
  <c r="AU50" i="11"/>
  <c r="AC50" i="11"/>
  <c r="V50" i="11"/>
  <c r="AL42" i="11"/>
  <c r="AR42" i="11"/>
  <c r="AE42" i="11"/>
  <c r="X42" i="11"/>
  <c r="AB44" i="10" a="1"/>
  <c r="AB44" i="10"/>
  <c r="AM42" i="11"/>
  <c r="AT42" i="11"/>
  <c r="AB42" i="11"/>
  <c r="U42" i="11"/>
  <c r="AN42" i="11"/>
  <c r="AS42" i="11"/>
  <c r="AD42" i="11"/>
  <c r="W42" i="11"/>
  <c r="AJ42" i="11"/>
  <c r="AU42" i="11"/>
  <c r="AC42" i="11"/>
  <c r="V42" i="11"/>
  <c r="AK42" i="11"/>
  <c r="AG42" i="11"/>
  <c r="Z42" i="11"/>
  <c r="AL34" i="11"/>
  <c r="AR34" i="11"/>
  <c r="AE34" i="11"/>
  <c r="X34" i="11"/>
  <c r="AM34" i="11"/>
  <c r="AT34" i="11"/>
  <c r="AB34" i="11"/>
  <c r="U34" i="11"/>
  <c r="AN34" i="11"/>
  <c r="AS34" i="11"/>
  <c r="AD34" i="11"/>
  <c r="W34" i="11"/>
  <c r="AB36" i="10" a="1"/>
  <c r="AB36" i="10"/>
  <c r="AK34" i="11"/>
  <c r="AG34" i="11"/>
  <c r="Z34" i="11"/>
  <c r="AJ34" i="11"/>
  <c r="AU34" i="11"/>
  <c r="AC34" i="11"/>
  <c r="V34" i="11"/>
  <c r="AL26" i="11"/>
  <c r="AR26" i="11"/>
  <c r="AE26" i="11"/>
  <c r="X26" i="11"/>
  <c r="AB28" i="10" a="1"/>
  <c r="AB28" i="10"/>
  <c r="AM26" i="11"/>
  <c r="AT26" i="11"/>
  <c r="AB26" i="11"/>
  <c r="U26" i="11"/>
  <c r="AN26" i="11"/>
  <c r="AS26" i="11"/>
  <c r="AD26" i="11"/>
  <c r="W26" i="11"/>
  <c r="AJ26" i="11"/>
  <c r="AU26" i="11"/>
  <c r="AC26" i="11"/>
  <c r="V26" i="11"/>
  <c r="AK26" i="11"/>
  <c r="AG26" i="11"/>
  <c r="Z26" i="11"/>
  <c r="AL22" i="11"/>
  <c r="AR22" i="11"/>
  <c r="AE22" i="11"/>
  <c r="X22" i="11"/>
  <c r="AM22" i="11"/>
  <c r="AT22" i="11"/>
  <c r="AB22" i="11"/>
  <c r="U22" i="11"/>
  <c r="AJ22" i="11"/>
  <c r="AU22" i="11"/>
  <c r="AC22" i="11"/>
  <c r="V22" i="11"/>
  <c r="AN22" i="11"/>
  <c r="AS22" i="11"/>
  <c r="AD22" i="11"/>
  <c r="W22" i="11"/>
  <c r="AB24" i="10" a="1"/>
  <c r="AB24" i="10"/>
  <c r="AK22" i="11"/>
  <c r="AG22" i="11"/>
  <c r="Z22" i="11"/>
  <c r="AB16" i="10" a="1"/>
  <c r="AB16" i="10"/>
  <c r="AL14" i="11"/>
  <c r="AR14" i="11"/>
  <c r="AE14" i="11"/>
  <c r="X14" i="11"/>
  <c r="AM14" i="11"/>
  <c r="AT14" i="11"/>
  <c r="AB14" i="11"/>
  <c r="U14" i="11"/>
  <c r="AJ14" i="11"/>
  <c r="AU14" i="11"/>
  <c r="AC14" i="11"/>
  <c r="V14" i="11"/>
  <c r="AK14" i="11"/>
  <c r="AG14" i="11"/>
  <c r="Z14" i="11"/>
  <c r="AN14" i="11"/>
  <c r="AS14" i="11"/>
  <c r="AD14" i="11"/>
  <c r="W14" i="11"/>
  <c r="AB12" i="10" a="1"/>
  <c r="AB12" i="10"/>
  <c r="AL10" i="11"/>
  <c r="AR10" i="11"/>
  <c r="AE10" i="11"/>
  <c r="X10" i="11"/>
  <c r="AM10" i="11"/>
  <c r="AT10" i="11"/>
  <c r="AB10" i="11"/>
  <c r="U10" i="11"/>
  <c r="AN10" i="11"/>
  <c r="AS10" i="11"/>
  <c r="AD10" i="11"/>
  <c r="W10" i="11"/>
  <c r="AJ10" i="11"/>
  <c r="AU10" i="11"/>
  <c r="AC10" i="11"/>
  <c r="V10" i="11"/>
  <c r="AK10" i="11"/>
  <c r="AG10" i="11"/>
  <c r="Z10" i="11"/>
  <c r="AH240" i="10" a="1"/>
  <c r="AH240" i="10"/>
  <c r="AO238" i="11"/>
  <c r="AH243" i="10" a="1"/>
  <c r="AH243" i="10"/>
  <c r="AO241" i="11"/>
  <c r="AB243" i="10" a="1"/>
  <c r="AB243" i="10"/>
  <c r="AJ241" i="11"/>
  <c r="AU241" i="11"/>
  <c r="AC241" i="11"/>
  <c r="V241" i="11"/>
  <c r="AH235" i="10" a="1"/>
  <c r="AH235" i="10"/>
  <c r="AO233" i="11"/>
  <c r="AB235" i="10" a="1"/>
  <c r="AB235" i="10"/>
  <c r="AJ233" i="11"/>
  <c r="AU233" i="11"/>
  <c r="AC233" i="11"/>
  <c r="V233" i="11"/>
  <c r="AB227" i="10" a="1"/>
  <c r="AB227" i="10"/>
  <c r="AJ225" i="11"/>
  <c r="AU225" i="11"/>
  <c r="AM225" i="11"/>
  <c r="AT225" i="11"/>
  <c r="AB225" i="11"/>
  <c r="U225" i="11"/>
  <c r="AN225" i="11"/>
  <c r="AS225" i="11"/>
  <c r="AD225" i="11"/>
  <c r="W225" i="11"/>
  <c r="AB219" i="10" a="1"/>
  <c r="AB219" i="10"/>
  <c r="AL217" i="11"/>
  <c r="AR217" i="11"/>
  <c r="AE217" i="11"/>
  <c r="X217" i="11"/>
  <c r="AM217" i="11"/>
  <c r="AT217" i="11"/>
  <c r="AB217" i="11"/>
  <c r="U217" i="11"/>
  <c r="AJ217" i="11"/>
  <c r="AU217" i="11"/>
  <c r="AK217" i="11"/>
  <c r="AG217" i="11"/>
  <c r="Z217" i="11"/>
  <c r="AN217" i="11"/>
  <c r="AS217" i="11"/>
  <c r="AD217" i="11"/>
  <c r="W217" i="11"/>
  <c r="AB211" i="10" a="1"/>
  <c r="AB211" i="10"/>
  <c r="AL209" i="11"/>
  <c r="AR209" i="11"/>
  <c r="AE209" i="11"/>
  <c r="X209" i="11"/>
  <c r="AJ209" i="11"/>
  <c r="AU209" i="11"/>
  <c r="AC209" i="11"/>
  <c r="V209" i="11"/>
  <c r="AM209" i="11"/>
  <c r="AT209" i="11"/>
  <c r="AB209" i="11"/>
  <c r="U209" i="11"/>
  <c r="AN209" i="11"/>
  <c r="AS209" i="11"/>
  <c r="AD209" i="11"/>
  <c r="W209" i="11"/>
  <c r="AK209" i="11"/>
  <c r="AG209" i="11"/>
  <c r="Z209" i="11"/>
  <c r="AB203" i="10" a="1"/>
  <c r="AB203" i="10"/>
  <c r="AL201" i="11"/>
  <c r="AR201" i="11"/>
  <c r="AE201" i="11"/>
  <c r="X201" i="11"/>
  <c r="AM201" i="11"/>
  <c r="AT201" i="11"/>
  <c r="AB201" i="11"/>
  <c r="U201" i="11"/>
  <c r="AJ201" i="11"/>
  <c r="AU201" i="11"/>
  <c r="AK201" i="11"/>
  <c r="AG201" i="11"/>
  <c r="Z201" i="11"/>
  <c r="AN201" i="11"/>
  <c r="AS201" i="11"/>
  <c r="AD201" i="11"/>
  <c r="W201" i="11"/>
  <c r="AB195" i="10" a="1"/>
  <c r="AB195" i="10"/>
  <c r="AJ193" i="11"/>
  <c r="AU193" i="11"/>
  <c r="AC193" i="11"/>
  <c r="V193" i="11"/>
  <c r="AN193" i="11"/>
  <c r="AS193" i="11"/>
  <c r="AD193" i="11"/>
  <c r="W193" i="11"/>
  <c r="AL193" i="11"/>
  <c r="AR193" i="11"/>
  <c r="AE193" i="11"/>
  <c r="X193" i="11"/>
  <c r="AK193" i="11"/>
  <c r="AG193" i="11"/>
  <c r="Z193" i="11"/>
  <c r="AM193" i="11"/>
  <c r="AT193" i="11"/>
  <c r="AB193" i="11"/>
  <c r="U193" i="11"/>
  <c r="AB187" i="10" a="1"/>
  <c r="AB187" i="10"/>
  <c r="AJ185" i="11"/>
  <c r="AU185" i="11"/>
  <c r="AC185" i="11"/>
  <c r="V185" i="11"/>
  <c r="AN185" i="11"/>
  <c r="AS185" i="11"/>
  <c r="AD185" i="11"/>
  <c r="W185" i="11"/>
  <c r="AL185" i="11"/>
  <c r="AR185" i="11"/>
  <c r="AE185" i="11"/>
  <c r="X185" i="11"/>
  <c r="AM185" i="11"/>
  <c r="AT185" i="11"/>
  <c r="AB185" i="11"/>
  <c r="U185" i="11"/>
  <c r="AB179" i="10" a="1"/>
  <c r="AB179" i="10"/>
  <c r="AJ177" i="11"/>
  <c r="AU177" i="11"/>
  <c r="AC177" i="11"/>
  <c r="V177" i="11"/>
  <c r="AN177" i="11"/>
  <c r="AS177" i="11"/>
  <c r="AD177" i="11"/>
  <c r="W177" i="11"/>
  <c r="AL177" i="11"/>
  <c r="AR177" i="11"/>
  <c r="AE177" i="11"/>
  <c r="X177" i="11"/>
  <c r="AM177" i="11"/>
  <c r="AT177" i="11"/>
  <c r="AB177" i="11"/>
  <c r="U177" i="11"/>
  <c r="AB171" i="10" a="1"/>
  <c r="AB171" i="10"/>
  <c r="AJ169" i="11"/>
  <c r="AU169" i="11"/>
  <c r="AC169" i="11"/>
  <c r="V169" i="11"/>
  <c r="AN169" i="11"/>
  <c r="AS169" i="11"/>
  <c r="AD169" i="11"/>
  <c r="W169" i="11"/>
  <c r="AL169" i="11"/>
  <c r="AR169" i="11"/>
  <c r="AE169" i="11"/>
  <c r="X169" i="11"/>
  <c r="AM169" i="11"/>
  <c r="AT169" i="11"/>
  <c r="AB169" i="11"/>
  <c r="U169" i="11"/>
  <c r="AB163" i="10" a="1"/>
  <c r="AB163" i="10"/>
  <c r="AJ161" i="11"/>
  <c r="AU161" i="11"/>
  <c r="AC161" i="11"/>
  <c r="V161" i="11"/>
  <c r="AN161" i="11"/>
  <c r="AS161" i="11"/>
  <c r="AD161" i="11"/>
  <c r="W161" i="11"/>
  <c r="AL161" i="11"/>
  <c r="AR161" i="11"/>
  <c r="AE161" i="11"/>
  <c r="X161" i="11"/>
  <c r="AM161" i="11"/>
  <c r="AT161" i="11"/>
  <c r="AB161" i="11"/>
  <c r="U161" i="11"/>
  <c r="AB155" i="10" a="1"/>
  <c r="AB155" i="10"/>
  <c r="AJ153" i="11"/>
  <c r="AU153" i="11"/>
  <c r="AC153" i="11"/>
  <c r="V153" i="11"/>
  <c r="AN153" i="11"/>
  <c r="AS153" i="11"/>
  <c r="AD153" i="11"/>
  <c r="W153" i="11"/>
  <c r="AL153" i="11"/>
  <c r="AR153" i="11"/>
  <c r="AE153" i="11"/>
  <c r="X153" i="11"/>
  <c r="AK153" i="11"/>
  <c r="AG153" i="11"/>
  <c r="Z153" i="11"/>
  <c r="AM153" i="11"/>
  <c r="AT153" i="11"/>
  <c r="AB153" i="11"/>
  <c r="U153" i="11"/>
  <c r="AB147" i="10" a="1"/>
  <c r="AB147" i="10"/>
  <c r="AL145" i="11"/>
  <c r="AR145" i="11"/>
  <c r="AE145" i="11"/>
  <c r="X145" i="11"/>
  <c r="AM145" i="11"/>
  <c r="AT145" i="11"/>
  <c r="AB145" i="11"/>
  <c r="U145" i="11"/>
  <c r="AJ145" i="11"/>
  <c r="AU145" i="11"/>
  <c r="AC145" i="11"/>
  <c r="V145" i="11"/>
  <c r="AN145" i="11"/>
  <c r="AS145" i="11"/>
  <c r="AD145" i="11"/>
  <c r="W145" i="11"/>
  <c r="AK145" i="11"/>
  <c r="AG145" i="11"/>
  <c r="Z145" i="11"/>
  <c r="AB135" i="10" a="1"/>
  <c r="AB135" i="10"/>
  <c r="AL133" i="11"/>
  <c r="AR133" i="11"/>
  <c r="AE133" i="11"/>
  <c r="X133" i="11"/>
  <c r="AN133" i="11"/>
  <c r="AS133" i="11"/>
  <c r="AD133" i="11"/>
  <c r="W133" i="11"/>
  <c r="AK133" i="11"/>
  <c r="AG133" i="11"/>
  <c r="Z133" i="11"/>
  <c r="AJ133" i="11"/>
  <c r="AU133" i="11"/>
  <c r="AC133" i="11"/>
  <c r="V133" i="11"/>
  <c r="AM133" i="11"/>
  <c r="AT133" i="11"/>
  <c r="AB133" i="11"/>
  <c r="U133" i="11"/>
  <c r="AL125" i="11"/>
  <c r="AR125" i="11"/>
  <c r="AE125" i="11"/>
  <c r="X125" i="11"/>
  <c r="AN125" i="11"/>
  <c r="AS125" i="11"/>
  <c r="AD125" i="11"/>
  <c r="W125" i="11"/>
  <c r="AB127" i="10" a="1"/>
  <c r="AB127" i="10"/>
  <c r="AM125" i="11"/>
  <c r="AT125" i="11"/>
  <c r="AB125" i="11"/>
  <c r="U125" i="11"/>
  <c r="AJ125" i="11"/>
  <c r="AU125" i="11"/>
  <c r="AC125" i="11"/>
  <c r="V125" i="11"/>
  <c r="AB119" i="10" a="1"/>
  <c r="AB119" i="10"/>
  <c r="AL117" i="11"/>
  <c r="AR117" i="11"/>
  <c r="AE117" i="11"/>
  <c r="X117" i="11"/>
  <c r="AN117" i="11"/>
  <c r="AS117" i="11"/>
  <c r="AD117" i="11"/>
  <c r="W117" i="11"/>
  <c r="AK117" i="11"/>
  <c r="AG117" i="11"/>
  <c r="Z117" i="11"/>
  <c r="AJ117" i="11"/>
  <c r="AU117" i="11"/>
  <c r="AC117" i="11"/>
  <c r="V117" i="11"/>
  <c r="AM117" i="11"/>
  <c r="AT117" i="11"/>
  <c r="AB117" i="11"/>
  <c r="U117" i="11"/>
  <c r="AL109" i="11"/>
  <c r="AR109" i="11"/>
  <c r="AE109" i="11"/>
  <c r="X109" i="11"/>
  <c r="AK109" i="11"/>
  <c r="AG109" i="11"/>
  <c r="Z109" i="11"/>
  <c r="AN109" i="11"/>
  <c r="AS109" i="11"/>
  <c r="AD109" i="11"/>
  <c r="W109" i="11"/>
  <c r="AM109" i="11"/>
  <c r="AT109" i="11"/>
  <c r="AB109" i="11"/>
  <c r="U109" i="11"/>
  <c r="AB111" i="10" a="1"/>
  <c r="AB111" i="10"/>
  <c r="AJ109" i="11"/>
  <c r="AU109" i="11"/>
  <c r="AC109" i="11"/>
  <c r="V109" i="11"/>
  <c r="AB103" i="10" a="1"/>
  <c r="AB103" i="10"/>
  <c r="AL101" i="11"/>
  <c r="AR101" i="11"/>
  <c r="AE101" i="11"/>
  <c r="X101" i="11"/>
  <c r="AN101" i="11"/>
  <c r="AS101" i="11"/>
  <c r="AD101" i="11"/>
  <c r="W101" i="11"/>
  <c r="AJ101" i="11"/>
  <c r="AU101" i="11"/>
  <c r="AC101" i="11"/>
  <c r="V101" i="11"/>
  <c r="AM101" i="11"/>
  <c r="AT101" i="11"/>
  <c r="AB101" i="11"/>
  <c r="U101" i="11"/>
  <c r="AB95" i="10" a="1"/>
  <c r="AB95" i="10"/>
  <c r="AL93" i="11"/>
  <c r="AR93" i="11"/>
  <c r="AE93" i="11"/>
  <c r="X93" i="11"/>
  <c r="AN93" i="11"/>
  <c r="AS93" i="11"/>
  <c r="AD93" i="11"/>
  <c r="W93" i="11"/>
  <c r="AJ93" i="11"/>
  <c r="AU93" i="11"/>
  <c r="AC93" i="11"/>
  <c r="V93" i="11"/>
  <c r="AM93" i="11"/>
  <c r="AT93" i="11"/>
  <c r="AB93" i="11"/>
  <c r="U93" i="11"/>
  <c r="AB87" i="10" a="1"/>
  <c r="AB87" i="10"/>
  <c r="AL85" i="11"/>
  <c r="AR85" i="11"/>
  <c r="AE85" i="11"/>
  <c r="X85" i="11"/>
  <c r="AN85" i="11"/>
  <c r="AS85" i="11"/>
  <c r="AD85" i="11"/>
  <c r="W85" i="11"/>
  <c r="AJ85" i="11"/>
  <c r="AU85" i="11"/>
  <c r="AC85" i="11"/>
  <c r="V85" i="11"/>
  <c r="AM85" i="11"/>
  <c r="AT85" i="11"/>
  <c r="AB85" i="11"/>
  <c r="U85" i="11"/>
  <c r="AB79" i="10" a="1"/>
  <c r="AB79" i="10"/>
  <c r="AL77" i="11"/>
  <c r="AR77" i="11"/>
  <c r="AE77" i="11"/>
  <c r="X77" i="11"/>
  <c r="AN77" i="11"/>
  <c r="AS77" i="11"/>
  <c r="AD77" i="11"/>
  <c r="W77" i="11"/>
  <c r="AM77" i="11"/>
  <c r="AT77" i="11"/>
  <c r="AB77" i="11"/>
  <c r="U77" i="11"/>
  <c r="AJ77" i="11"/>
  <c r="AU77" i="11"/>
  <c r="AC77" i="11"/>
  <c r="V77" i="11"/>
  <c r="AB71" i="10" a="1"/>
  <c r="AB71" i="10"/>
  <c r="AJ69" i="11"/>
  <c r="AU69" i="11"/>
  <c r="AC69" i="11"/>
  <c r="V69" i="11"/>
  <c r="AN69" i="11"/>
  <c r="AS69" i="11"/>
  <c r="AD69" i="11"/>
  <c r="W69" i="11"/>
  <c r="AM69" i="11"/>
  <c r="AT69" i="11"/>
  <c r="AB69" i="11"/>
  <c r="U69" i="11"/>
  <c r="AL69" i="11"/>
  <c r="AR69" i="11"/>
  <c r="AE69" i="11"/>
  <c r="X69" i="11"/>
  <c r="AJ61" i="11"/>
  <c r="AU61" i="11"/>
  <c r="AC61" i="11"/>
  <c r="V61" i="11"/>
  <c r="AN61" i="11"/>
  <c r="AS61" i="11"/>
  <c r="AD61" i="11"/>
  <c r="W61" i="11"/>
  <c r="AK61" i="11"/>
  <c r="AG61" i="11"/>
  <c r="Z61" i="11"/>
  <c r="AL61" i="11"/>
  <c r="AR61" i="11"/>
  <c r="AE61" i="11"/>
  <c r="X61" i="11"/>
  <c r="AB63" i="10" a="1"/>
  <c r="AB63" i="10"/>
  <c r="AM61" i="11"/>
  <c r="AT61" i="11"/>
  <c r="AB61" i="11"/>
  <c r="U61" i="11"/>
  <c r="AB55" i="10" a="1"/>
  <c r="AB55" i="10"/>
  <c r="AJ53" i="11"/>
  <c r="AU53" i="11"/>
  <c r="AC53" i="11"/>
  <c r="V53" i="11"/>
  <c r="AN53" i="11"/>
  <c r="AS53" i="11"/>
  <c r="AD53" i="11"/>
  <c r="W53" i="11"/>
  <c r="AM53" i="11"/>
  <c r="AT53" i="11"/>
  <c r="AB53" i="11"/>
  <c r="U53" i="11"/>
  <c r="AL53" i="11"/>
  <c r="AR53" i="11"/>
  <c r="AE53" i="11"/>
  <c r="X53" i="11"/>
  <c r="AK53" i="11"/>
  <c r="AG53" i="11"/>
  <c r="Z53" i="11"/>
  <c r="AM45" i="11"/>
  <c r="AT45" i="11"/>
  <c r="AB45" i="11"/>
  <c r="U45" i="11"/>
  <c r="AJ45" i="11"/>
  <c r="AU45" i="11"/>
  <c r="AC45" i="11"/>
  <c r="V45" i="11"/>
  <c r="AN45" i="11"/>
  <c r="AS45" i="11"/>
  <c r="AD45" i="11"/>
  <c r="W45" i="11"/>
  <c r="AB47" i="10" a="1"/>
  <c r="AB47" i="10"/>
  <c r="AL45" i="11"/>
  <c r="AR45" i="11"/>
  <c r="AE45" i="11"/>
  <c r="X45" i="11"/>
  <c r="AM37" i="11"/>
  <c r="AT37" i="11"/>
  <c r="AB37" i="11"/>
  <c r="U37" i="11"/>
  <c r="AB39" i="10" a="1"/>
  <c r="AB39" i="10"/>
  <c r="AJ37" i="11"/>
  <c r="AU37" i="11"/>
  <c r="AC37" i="11"/>
  <c r="V37" i="11"/>
  <c r="AN37" i="11"/>
  <c r="AS37" i="11"/>
  <c r="AD37" i="11"/>
  <c r="W37" i="11"/>
  <c r="AL37" i="11"/>
  <c r="AR37" i="11"/>
  <c r="AE37" i="11"/>
  <c r="X37" i="11"/>
  <c r="AK37" i="11"/>
  <c r="AG37" i="11"/>
  <c r="Z37" i="11"/>
  <c r="AM29" i="11"/>
  <c r="AT29" i="11"/>
  <c r="AB29" i="11"/>
  <c r="U29" i="11"/>
  <c r="AJ29" i="11"/>
  <c r="AU29" i="11"/>
  <c r="AC29" i="11"/>
  <c r="V29" i="11"/>
  <c r="AN29" i="11"/>
  <c r="AS29" i="11"/>
  <c r="AD29" i="11"/>
  <c r="W29" i="11"/>
  <c r="AB31" i="10" a="1"/>
  <c r="AB31" i="10"/>
  <c r="AK29" i="11"/>
  <c r="AG29" i="11"/>
  <c r="Z29" i="11"/>
  <c r="AL29" i="11"/>
  <c r="AR29" i="11"/>
  <c r="AE29" i="11"/>
  <c r="X29" i="11"/>
  <c r="AB27" i="10" a="1"/>
  <c r="AB27" i="10"/>
  <c r="AM25" i="11"/>
  <c r="AT25" i="11"/>
  <c r="AB25" i="11"/>
  <c r="U25" i="11"/>
  <c r="AJ25" i="11"/>
  <c r="AU25" i="11"/>
  <c r="AC25" i="11"/>
  <c r="V25" i="11"/>
  <c r="AN25" i="11"/>
  <c r="AS25" i="11"/>
  <c r="AD25" i="11"/>
  <c r="W25" i="11"/>
  <c r="AK25" i="11"/>
  <c r="AG25" i="11"/>
  <c r="Z25" i="11"/>
  <c r="AL25" i="11"/>
  <c r="AR25" i="11"/>
  <c r="AE25" i="11"/>
  <c r="X25" i="11"/>
  <c r="AM17" i="11"/>
  <c r="AT17" i="11"/>
  <c r="AB17" i="11"/>
  <c r="U17" i="11"/>
  <c r="AJ17" i="11"/>
  <c r="AU17" i="11"/>
  <c r="AC17" i="11"/>
  <c r="V17" i="11"/>
  <c r="AN17" i="11"/>
  <c r="AS17" i="11"/>
  <c r="AD17" i="11"/>
  <c r="W17" i="11"/>
  <c r="AK17" i="11"/>
  <c r="AG17" i="11"/>
  <c r="Z17" i="11"/>
  <c r="AL17" i="11"/>
  <c r="AR17" i="11"/>
  <c r="AE17" i="11"/>
  <c r="X17" i="11"/>
  <c r="AB19" i="10" a="1"/>
  <c r="AB19" i="10"/>
  <c r="AM13" i="11"/>
  <c r="AT13" i="11"/>
  <c r="AB13" i="11"/>
  <c r="U13" i="11"/>
  <c r="AB15" i="10" a="1"/>
  <c r="AB15" i="10"/>
  <c r="AJ13" i="11"/>
  <c r="AU13" i="11"/>
  <c r="AC13" i="11"/>
  <c r="V13" i="11"/>
  <c r="AN13" i="11"/>
  <c r="AS13" i="11"/>
  <c r="AD13" i="11"/>
  <c r="W13" i="11"/>
  <c r="AK13" i="11"/>
  <c r="AG13" i="11"/>
  <c r="Z13" i="11"/>
  <c r="AL13" i="11"/>
  <c r="AR13" i="11"/>
  <c r="AE13" i="11"/>
  <c r="X13" i="11"/>
  <c r="AM9" i="11"/>
  <c r="AT9" i="11"/>
  <c r="AB9" i="11"/>
  <c r="U9" i="11"/>
  <c r="AJ9" i="11"/>
  <c r="AU9" i="11"/>
  <c r="AC9" i="11"/>
  <c r="V9" i="11"/>
  <c r="AN9" i="11"/>
  <c r="AS9" i="11"/>
  <c r="AD9" i="11"/>
  <c r="W9" i="11"/>
  <c r="AK9" i="11"/>
  <c r="AG9" i="11"/>
  <c r="Z9" i="11"/>
  <c r="AB11" i="10" a="1"/>
  <c r="AB11" i="10"/>
  <c r="AL9" i="11"/>
  <c r="AR9" i="11"/>
  <c r="AE9" i="11"/>
  <c r="X9" i="11"/>
  <c r="AJ243" i="11"/>
  <c r="AU243" i="11"/>
  <c r="AC243" i="11"/>
  <c r="V243" i="11"/>
  <c r="AK243" i="11"/>
  <c r="AG243" i="11"/>
  <c r="Z243" i="11"/>
  <c r="AB245" i="10" a="1"/>
  <c r="AB245" i="10"/>
  <c r="AB241" i="10" a="1"/>
  <c r="AB241" i="10"/>
  <c r="AJ239" i="11"/>
  <c r="AU239" i="11"/>
  <c r="AC239" i="11"/>
  <c r="V239" i="11"/>
  <c r="AB237" i="10" a="1"/>
  <c r="AB237" i="10"/>
  <c r="AJ235" i="11"/>
  <c r="AU235" i="11"/>
  <c r="AC235" i="11"/>
  <c r="V235" i="11"/>
  <c r="AK235" i="11"/>
  <c r="AG235" i="11"/>
  <c r="Z235" i="11"/>
  <c r="AB233" i="10" a="1"/>
  <c r="AB233" i="10"/>
  <c r="AJ231" i="11"/>
  <c r="AU231" i="11"/>
  <c r="AN231" i="11"/>
  <c r="AS231" i="11"/>
  <c r="AD231" i="11"/>
  <c r="W231" i="11"/>
  <c r="AL231" i="11"/>
  <c r="AR231" i="11"/>
  <c r="AE231" i="11"/>
  <c r="X231" i="11"/>
  <c r="AK231" i="11"/>
  <c r="AG231" i="11"/>
  <c r="Z231" i="11"/>
  <c r="AB229" i="10" a="1"/>
  <c r="AB229" i="10"/>
  <c r="AJ227" i="11"/>
  <c r="AU227" i="11"/>
  <c r="AC227" i="11"/>
  <c r="V227" i="11"/>
  <c r="AN227" i="11"/>
  <c r="AS227" i="11"/>
  <c r="AD227" i="11"/>
  <c r="W227" i="11"/>
  <c r="AK227" i="11"/>
  <c r="AG227" i="11"/>
  <c r="Z227" i="11"/>
  <c r="AM227" i="11"/>
  <c r="AT227" i="11"/>
  <c r="AB227" i="11"/>
  <c r="U227" i="11"/>
  <c r="AL227" i="11"/>
  <c r="AR227" i="11"/>
  <c r="AE227" i="11"/>
  <c r="X227" i="11"/>
  <c r="AJ223" i="11"/>
  <c r="AU223" i="11"/>
  <c r="AC223" i="11"/>
  <c r="V223" i="11"/>
  <c r="AN223" i="11"/>
  <c r="AS223" i="11"/>
  <c r="AD223" i="11"/>
  <c r="W223" i="11"/>
  <c r="AB225" i="10" a="1"/>
  <c r="AB225" i="10"/>
  <c r="AM223" i="11"/>
  <c r="AT223" i="11"/>
  <c r="AB223" i="11"/>
  <c r="U223" i="11"/>
  <c r="AB221" i="10" a="1"/>
  <c r="AB221" i="10"/>
  <c r="AJ219" i="11"/>
  <c r="AU219" i="11"/>
  <c r="AC219" i="11"/>
  <c r="V219" i="11"/>
  <c r="AN219" i="11"/>
  <c r="AS219" i="11"/>
  <c r="AD219" i="11"/>
  <c r="W219" i="11"/>
  <c r="AM219" i="11"/>
  <c r="AT219" i="11"/>
  <c r="AB219" i="11"/>
  <c r="U219" i="11"/>
  <c r="AK219" i="11"/>
  <c r="AG219" i="11"/>
  <c r="Z219" i="11"/>
  <c r="AL219" i="11"/>
  <c r="AR219" i="11"/>
  <c r="AE219" i="11"/>
  <c r="X219" i="11"/>
  <c r="AB217" i="10" a="1"/>
  <c r="AB217" i="10"/>
  <c r="AJ215" i="11"/>
  <c r="AU215" i="11"/>
  <c r="AN215" i="11"/>
  <c r="AS215" i="11"/>
  <c r="AD215" i="11"/>
  <c r="W215" i="11"/>
  <c r="AL215" i="11"/>
  <c r="AR215" i="11"/>
  <c r="AE215" i="11"/>
  <c r="X215" i="11"/>
  <c r="AM215" i="11"/>
  <c r="AT215" i="11"/>
  <c r="AB215" i="11"/>
  <c r="U215" i="11"/>
  <c r="AJ211" i="11"/>
  <c r="AU211" i="11"/>
  <c r="AC211" i="11"/>
  <c r="V211" i="11"/>
  <c r="AN211" i="11"/>
  <c r="AS211" i="11"/>
  <c r="AD211" i="11"/>
  <c r="W211" i="11"/>
  <c r="AK211" i="11"/>
  <c r="AG211" i="11"/>
  <c r="Z211" i="11"/>
  <c r="AB213" i="10" a="1"/>
  <c r="AB213" i="10"/>
  <c r="AM211" i="11"/>
  <c r="AT211" i="11"/>
  <c r="AB211" i="11"/>
  <c r="U211" i="11"/>
  <c r="AL211" i="11"/>
  <c r="AR211" i="11"/>
  <c r="AE211" i="11"/>
  <c r="X211" i="11"/>
  <c r="AB209" i="10" a="1"/>
  <c r="AB209" i="10"/>
  <c r="AJ207" i="11"/>
  <c r="AU207" i="11"/>
  <c r="AC207" i="11"/>
  <c r="V207" i="11"/>
  <c r="AN207" i="11"/>
  <c r="AS207" i="11"/>
  <c r="AD207" i="11"/>
  <c r="W207" i="11"/>
  <c r="AL207" i="11"/>
  <c r="AR207" i="11"/>
  <c r="AE207" i="11"/>
  <c r="X207" i="11"/>
  <c r="AM207" i="11"/>
  <c r="AT207" i="11"/>
  <c r="AB207" i="11"/>
  <c r="U207" i="11"/>
  <c r="AB205" i="10" a="1"/>
  <c r="AB205" i="10"/>
  <c r="AJ203" i="11"/>
  <c r="AU203" i="11"/>
  <c r="AN203" i="11"/>
  <c r="AS203" i="11"/>
  <c r="AD203" i="11"/>
  <c r="W203" i="11"/>
  <c r="AM203" i="11"/>
  <c r="AT203" i="11"/>
  <c r="AB203" i="11"/>
  <c r="U203" i="11"/>
  <c r="AK203" i="11"/>
  <c r="AG203" i="11"/>
  <c r="Z203" i="11"/>
  <c r="AL203" i="11"/>
  <c r="AR203" i="11"/>
  <c r="AE203" i="11"/>
  <c r="X203" i="11"/>
  <c r="AB201" i="10" a="1"/>
  <c r="AB201" i="10"/>
  <c r="AJ199" i="11"/>
  <c r="AU199" i="11"/>
  <c r="AC199" i="11"/>
  <c r="V199" i="11"/>
  <c r="AN199" i="11"/>
  <c r="AS199" i="11"/>
  <c r="AD199" i="11"/>
  <c r="W199" i="11"/>
  <c r="AL199" i="11"/>
  <c r="AR199" i="11"/>
  <c r="AE199" i="11"/>
  <c r="X199" i="11"/>
  <c r="AK199" i="11"/>
  <c r="AG199" i="11"/>
  <c r="Z199" i="11"/>
  <c r="AM199" i="11"/>
  <c r="AT199" i="11"/>
  <c r="AB199" i="11"/>
  <c r="U199" i="11"/>
  <c r="AL195" i="11"/>
  <c r="AR195" i="11"/>
  <c r="AE195" i="11"/>
  <c r="X195" i="11"/>
  <c r="AB197" i="10" a="1"/>
  <c r="AB197" i="10"/>
  <c r="AJ195" i="11"/>
  <c r="AU195" i="11"/>
  <c r="AC195" i="11"/>
  <c r="V195" i="11"/>
  <c r="AN195" i="11"/>
  <c r="AS195" i="11"/>
  <c r="AD195" i="11"/>
  <c r="W195" i="11"/>
  <c r="AM195" i="11"/>
  <c r="AT195" i="11"/>
  <c r="AB195" i="11"/>
  <c r="U195" i="11"/>
  <c r="AK195" i="11"/>
  <c r="AG195" i="11"/>
  <c r="Z195" i="11"/>
  <c r="AL191" i="11"/>
  <c r="AR191" i="11"/>
  <c r="AE191" i="11"/>
  <c r="X191" i="11"/>
  <c r="AJ191" i="11"/>
  <c r="AU191" i="11"/>
  <c r="AC191" i="11"/>
  <c r="V191" i="11"/>
  <c r="AN191" i="11"/>
  <c r="AS191" i="11"/>
  <c r="AD191" i="11"/>
  <c r="W191" i="11"/>
  <c r="AB193" i="10" a="1"/>
  <c r="AB193" i="10"/>
  <c r="AM191" i="11"/>
  <c r="AT191" i="11"/>
  <c r="AB191" i="11"/>
  <c r="U191" i="11"/>
  <c r="AB189" i="10" a="1"/>
  <c r="AB189" i="10"/>
  <c r="AL187" i="11"/>
  <c r="AR187" i="11"/>
  <c r="AE187" i="11"/>
  <c r="X187" i="11"/>
  <c r="AJ187" i="11"/>
  <c r="AU187" i="11"/>
  <c r="AC187" i="11"/>
  <c r="V187" i="11"/>
  <c r="AN187" i="11"/>
  <c r="AS187" i="11"/>
  <c r="AD187" i="11"/>
  <c r="W187" i="11"/>
  <c r="AM187" i="11"/>
  <c r="AT187" i="11"/>
  <c r="AB187" i="11"/>
  <c r="U187" i="11"/>
  <c r="AK187" i="11"/>
  <c r="AG187" i="11"/>
  <c r="Z187" i="11"/>
  <c r="AB185" i="10" a="1"/>
  <c r="AB185" i="10"/>
  <c r="AL183" i="11"/>
  <c r="AR183" i="11"/>
  <c r="AE183" i="11"/>
  <c r="X183" i="11"/>
  <c r="AJ183" i="11"/>
  <c r="AU183" i="11"/>
  <c r="AC183" i="11"/>
  <c r="V183" i="11"/>
  <c r="AN183" i="11"/>
  <c r="AS183" i="11"/>
  <c r="AD183" i="11"/>
  <c r="W183" i="11"/>
  <c r="AM183" i="11"/>
  <c r="AT183" i="11"/>
  <c r="AB183" i="11"/>
  <c r="U183" i="11"/>
  <c r="AK183" i="11"/>
  <c r="AG183" i="11"/>
  <c r="Z183" i="11"/>
  <c r="AL179" i="11"/>
  <c r="AR179" i="11"/>
  <c r="AE179" i="11"/>
  <c r="X179" i="11"/>
  <c r="AJ179" i="11"/>
  <c r="AU179" i="11"/>
  <c r="AC179" i="11"/>
  <c r="V179" i="11"/>
  <c r="AN179" i="11"/>
  <c r="AS179" i="11"/>
  <c r="AD179" i="11"/>
  <c r="W179" i="11"/>
  <c r="AM179" i="11"/>
  <c r="AT179" i="11"/>
  <c r="AB179" i="11"/>
  <c r="U179" i="11"/>
  <c r="AB181" i="10" a="1"/>
  <c r="AB181" i="10"/>
  <c r="AK179" i="11"/>
  <c r="AG179" i="11"/>
  <c r="Z179" i="11"/>
  <c r="AL175" i="11"/>
  <c r="AR175" i="11"/>
  <c r="AE175" i="11"/>
  <c r="X175" i="11"/>
  <c r="AB177" i="10" a="1"/>
  <c r="AB177" i="10"/>
  <c r="AJ175" i="11"/>
  <c r="AU175" i="11"/>
  <c r="AC175" i="11"/>
  <c r="V175" i="11"/>
  <c r="AN175" i="11"/>
  <c r="AS175" i="11"/>
  <c r="AD175" i="11"/>
  <c r="W175" i="11"/>
  <c r="AM175" i="11"/>
  <c r="AT175" i="11"/>
  <c r="AB175" i="11"/>
  <c r="U175" i="11"/>
  <c r="AK175" i="11"/>
  <c r="AG175" i="11"/>
  <c r="Z175" i="11"/>
  <c r="AB173" i="10" a="1"/>
  <c r="AB173" i="10"/>
  <c r="AL171" i="11"/>
  <c r="AR171" i="11"/>
  <c r="AE171" i="11"/>
  <c r="X171" i="11"/>
  <c r="AJ171" i="11"/>
  <c r="AU171" i="11"/>
  <c r="AC171" i="11"/>
  <c r="V171" i="11"/>
  <c r="AN171" i="11"/>
  <c r="AS171" i="11"/>
  <c r="AD171" i="11"/>
  <c r="W171" i="11"/>
  <c r="AM171" i="11"/>
  <c r="AT171" i="11"/>
  <c r="AB171" i="11"/>
  <c r="U171" i="11"/>
  <c r="AK171" i="11"/>
  <c r="AG171" i="11"/>
  <c r="Z171" i="11"/>
  <c r="AB169" i="10" a="1"/>
  <c r="AB169" i="10"/>
  <c r="AL167" i="11"/>
  <c r="AR167" i="11"/>
  <c r="AE167" i="11"/>
  <c r="X167" i="11"/>
  <c r="AJ167" i="11"/>
  <c r="AU167" i="11"/>
  <c r="AC167" i="11"/>
  <c r="V167" i="11"/>
  <c r="AN167" i="11"/>
  <c r="AS167" i="11"/>
  <c r="AD167" i="11"/>
  <c r="W167" i="11"/>
  <c r="AM167" i="11"/>
  <c r="AT167" i="11"/>
  <c r="AB167" i="11"/>
  <c r="U167" i="11"/>
  <c r="AK167" i="11"/>
  <c r="AG167" i="11"/>
  <c r="Z167" i="11"/>
  <c r="AB165" i="10" a="1"/>
  <c r="AB165" i="10"/>
  <c r="AL163" i="11"/>
  <c r="AR163" i="11"/>
  <c r="AE163" i="11"/>
  <c r="X163" i="11"/>
  <c r="AJ163" i="11"/>
  <c r="AU163" i="11"/>
  <c r="AC163" i="11"/>
  <c r="V163" i="11"/>
  <c r="AN163" i="11"/>
  <c r="AS163" i="11"/>
  <c r="AD163" i="11"/>
  <c r="W163" i="11"/>
  <c r="AM163" i="11"/>
  <c r="AT163" i="11"/>
  <c r="AB163" i="11"/>
  <c r="U163" i="11"/>
  <c r="AK163" i="11"/>
  <c r="AG163" i="11"/>
  <c r="Z163" i="11"/>
  <c r="AL159" i="11"/>
  <c r="AR159" i="11"/>
  <c r="AE159" i="11"/>
  <c r="X159" i="11"/>
  <c r="AJ159" i="11"/>
  <c r="AU159" i="11"/>
  <c r="AC159" i="11"/>
  <c r="V159" i="11"/>
  <c r="AN159" i="11"/>
  <c r="AS159" i="11"/>
  <c r="AD159" i="11"/>
  <c r="W159" i="11"/>
  <c r="AM159" i="11"/>
  <c r="AT159" i="11"/>
  <c r="AB159" i="11"/>
  <c r="U159" i="11"/>
  <c r="AB161" i="10" a="1"/>
  <c r="AB161" i="10"/>
  <c r="AK159" i="11"/>
  <c r="AG159" i="11"/>
  <c r="Z159" i="11"/>
  <c r="AB157" i="10" a="1"/>
  <c r="AB157" i="10"/>
  <c r="AL155" i="11"/>
  <c r="AR155" i="11"/>
  <c r="AE155" i="11"/>
  <c r="X155" i="11"/>
  <c r="AJ155" i="11"/>
  <c r="AU155" i="11"/>
  <c r="AC155" i="11"/>
  <c r="V155" i="11"/>
  <c r="AN155" i="11"/>
  <c r="AS155" i="11"/>
  <c r="AD155" i="11"/>
  <c r="W155" i="11"/>
  <c r="AM155" i="11"/>
  <c r="AT155" i="11"/>
  <c r="AB155" i="11"/>
  <c r="U155" i="11"/>
  <c r="AK155" i="11"/>
  <c r="AG155" i="11"/>
  <c r="Z155" i="11"/>
  <c r="AB153" i="10" a="1"/>
  <c r="AB153" i="10"/>
  <c r="AL151" i="11"/>
  <c r="AR151" i="11"/>
  <c r="AE151" i="11"/>
  <c r="X151" i="11"/>
  <c r="AJ151" i="11"/>
  <c r="AU151" i="11"/>
  <c r="AC151" i="11"/>
  <c r="V151" i="11"/>
  <c r="AN151" i="11"/>
  <c r="AS151" i="11"/>
  <c r="AD151" i="11"/>
  <c r="W151" i="11"/>
  <c r="AM151" i="11"/>
  <c r="AT151" i="11"/>
  <c r="AB151" i="11"/>
  <c r="U151" i="11"/>
  <c r="AK151" i="11"/>
  <c r="AG151" i="11"/>
  <c r="Z151" i="11"/>
  <c r="AJ147" i="11"/>
  <c r="AU147" i="11"/>
  <c r="AC147" i="11"/>
  <c r="V147" i="11"/>
  <c r="AN147" i="11"/>
  <c r="AS147" i="11"/>
  <c r="AD147" i="11"/>
  <c r="W147" i="11"/>
  <c r="AM147" i="11"/>
  <c r="AT147" i="11"/>
  <c r="AB147" i="11"/>
  <c r="U147" i="11"/>
  <c r="AK147" i="11"/>
  <c r="AG147" i="11"/>
  <c r="Z147" i="11"/>
  <c r="AB149" i="10" a="1"/>
  <c r="AB149" i="10"/>
  <c r="AL147" i="11"/>
  <c r="AR147" i="11"/>
  <c r="AE147" i="11"/>
  <c r="X147" i="11"/>
  <c r="AJ143" i="11"/>
  <c r="AU143" i="11"/>
  <c r="AC143" i="11"/>
  <c r="V143" i="11"/>
  <c r="AN143" i="11"/>
  <c r="AS143" i="11"/>
  <c r="AD143" i="11"/>
  <c r="W143" i="11"/>
  <c r="AB145" i="10" a="1"/>
  <c r="AB145" i="10"/>
  <c r="AL143" i="11"/>
  <c r="AR143" i="11"/>
  <c r="AE143" i="11"/>
  <c r="X143" i="11"/>
  <c r="AM143" i="11"/>
  <c r="AT143" i="11"/>
  <c r="AB143" i="11"/>
  <c r="U143" i="11"/>
  <c r="AK143" i="11"/>
  <c r="AG143" i="11"/>
  <c r="Z143" i="11"/>
  <c r="AB141" i="10" a="1"/>
  <c r="AB141" i="10"/>
  <c r="AJ139" i="11"/>
  <c r="AU139" i="11"/>
  <c r="AC139" i="11"/>
  <c r="V139" i="11"/>
  <c r="AN139" i="11"/>
  <c r="AS139" i="11"/>
  <c r="AD139" i="11"/>
  <c r="W139" i="11"/>
  <c r="AK139" i="11"/>
  <c r="AG139" i="11"/>
  <c r="Z139" i="11"/>
  <c r="AM139" i="11"/>
  <c r="AT139" i="11"/>
  <c r="AB139" i="11"/>
  <c r="U139" i="11"/>
  <c r="AL139" i="11"/>
  <c r="AR139" i="11"/>
  <c r="AE139" i="11"/>
  <c r="X139" i="11"/>
  <c r="AB137" i="10" a="1"/>
  <c r="AB137" i="10"/>
  <c r="AJ135" i="11"/>
  <c r="AU135" i="11"/>
  <c r="AC135" i="11"/>
  <c r="V135" i="11"/>
  <c r="AN135" i="11"/>
  <c r="AS135" i="11"/>
  <c r="AD135" i="11"/>
  <c r="W135" i="11"/>
  <c r="AL135" i="11"/>
  <c r="AR135" i="11"/>
  <c r="AE135" i="11"/>
  <c r="X135" i="11"/>
  <c r="AK135" i="11"/>
  <c r="AG135" i="11"/>
  <c r="Z135" i="11"/>
  <c r="AM135" i="11"/>
  <c r="AT135" i="11"/>
  <c r="AB135" i="11"/>
  <c r="U135" i="11"/>
  <c r="AB133" i="10" a="1"/>
  <c r="AB133" i="10"/>
  <c r="AJ131" i="11"/>
  <c r="AU131" i="11"/>
  <c r="AC131" i="11"/>
  <c r="V131" i="11"/>
  <c r="AN131" i="11"/>
  <c r="AS131" i="11"/>
  <c r="AD131" i="11"/>
  <c r="W131" i="11"/>
  <c r="AM131" i="11"/>
  <c r="AT131" i="11"/>
  <c r="AB131" i="11"/>
  <c r="U131" i="11"/>
  <c r="AK131" i="11"/>
  <c r="AG131" i="11"/>
  <c r="Z131" i="11"/>
  <c r="AL131" i="11"/>
  <c r="AR131" i="11"/>
  <c r="AE131" i="11"/>
  <c r="X131" i="11"/>
  <c r="AB129" i="10" a="1"/>
  <c r="AB129" i="10"/>
  <c r="AJ127" i="11"/>
  <c r="AU127" i="11"/>
  <c r="AC127" i="11"/>
  <c r="V127" i="11"/>
  <c r="AN127" i="11"/>
  <c r="AS127" i="11"/>
  <c r="AD127" i="11"/>
  <c r="W127" i="11"/>
  <c r="AL127" i="11"/>
  <c r="AR127" i="11"/>
  <c r="AE127" i="11"/>
  <c r="X127" i="11"/>
  <c r="AM127" i="11"/>
  <c r="AT127" i="11"/>
  <c r="AB127" i="11"/>
  <c r="U127" i="11"/>
  <c r="AK127" i="11"/>
  <c r="AG127" i="11"/>
  <c r="Z127" i="11"/>
  <c r="AB125" i="10" a="1"/>
  <c r="AB125" i="10"/>
  <c r="AJ123" i="11"/>
  <c r="AU123" i="11"/>
  <c r="AC123" i="11"/>
  <c r="V123" i="11"/>
  <c r="AN123" i="11"/>
  <c r="AS123" i="11"/>
  <c r="AD123" i="11"/>
  <c r="W123" i="11"/>
  <c r="AK123" i="11"/>
  <c r="AG123" i="11"/>
  <c r="Z123" i="11"/>
  <c r="AM123" i="11"/>
  <c r="AT123" i="11"/>
  <c r="AB123" i="11"/>
  <c r="U123" i="11"/>
  <c r="AL123" i="11"/>
  <c r="AR123" i="11"/>
  <c r="AE123" i="11"/>
  <c r="X123" i="11"/>
  <c r="AB121" i="10" a="1"/>
  <c r="AB121" i="10"/>
  <c r="AJ119" i="11"/>
  <c r="AU119" i="11"/>
  <c r="AC119" i="11"/>
  <c r="V119" i="11"/>
  <c r="AN119" i="11"/>
  <c r="AS119" i="11"/>
  <c r="AD119" i="11"/>
  <c r="W119" i="11"/>
  <c r="AL119" i="11"/>
  <c r="AR119" i="11"/>
  <c r="AE119" i="11"/>
  <c r="X119" i="11"/>
  <c r="AK119" i="11"/>
  <c r="AG119" i="11"/>
  <c r="Z119" i="11"/>
  <c r="AM119" i="11"/>
  <c r="AT119" i="11"/>
  <c r="AB119" i="11"/>
  <c r="U119" i="11"/>
  <c r="AB117" i="10" a="1"/>
  <c r="AB117" i="10"/>
  <c r="AJ115" i="11"/>
  <c r="AU115" i="11"/>
  <c r="AC115" i="11"/>
  <c r="V115" i="11"/>
  <c r="AN115" i="11"/>
  <c r="AS115" i="11"/>
  <c r="AD115" i="11"/>
  <c r="W115" i="11"/>
  <c r="AM115" i="11"/>
  <c r="AT115" i="11"/>
  <c r="AB115" i="11"/>
  <c r="U115" i="11"/>
  <c r="AK115" i="11"/>
  <c r="AG115" i="11"/>
  <c r="Z115" i="11"/>
  <c r="AL115" i="11"/>
  <c r="AR115" i="11"/>
  <c r="AE115" i="11"/>
  <c r="X115" i="11"/>
  <c r="AB113" i="10" a="1"/>
  <c r="AB113" i="10"/>
  <c r="AJ111" i="11"/>
  <c r="AU111" i="11"/>
  <c r="AC111" i="11"/>
  <c r="V111" i="11"/>
  <c r="AN111" i="11"/>
  <c r="AS111" i="11"/>
  <c r="AD111" i="11"/>
  <c r="W111" i="11"/>
  <c r="AL111" i="11"/>
  <c r="AR111" i="11"/>
  <c r="AE111" i="11"/>
  <c r="X111" i="11"/>
  <c r="AM111" i="11"/>
  <c r="AT111" i="11"/>
  <c r="AB111" i="11"/>
  <c r="U111" i="11"/>
  <c r="AK111" i="11"/>
  <c r="AG111" i="11"/>
  <c r="Z111" i="11"/>
  <c r="AB109" i="10" a="1"/>
  <c r="AB109" i="10"/>
  <c r="AJ107" i="11"/>
  <c r="AU107" i="11"/>
  <c r="AC107" i="11"/>
  <c r="V107" i="11"/>
  <c r="AN107" i="11"/>
  <c r="AS107" i="11"/>
  <c r="AD107" i="11"/>
  <c r="W107" i="11"/>
  <c r="AK107" i="11"/>
  <c r="AG107" i="11"/>
  <c r="Z107" i="11"/>
  <c r="AM107" i="11"/>
  <c r="AT107" i="11"/>
  <c r="AB107" i="11"/>
  <c r="U107" i="11"/>
  <c r="AL107" i="11"/>
  <c r="AR107" i="11"/>
  <c r="AE107" i="11"/>
  <c r="X107" i="11"/>
  <c r="AB105" i="10" a="1"/>
  <c r="AB105" i="10"/>
  <c r="AJ103" i="11"/>
  <c r="AU103" i="11"/>
  <c r="AC103" i="11"/>
  <c r="V103" i="11"/>
  <c r="AN103" i="11"/>
  <c r="AS103" i="11"/>
  <c r="AD103" i="11"/>
  <c r="W103" i="11"/>
  <c r="AL103" i="11"/>
  <c r="AR103" i="11"/>
  <c r="AE103" i="11"/>
  <c r="X103" i="11"/>
  <c r="AK103" i="11"/>
  <c r="AG103" i="11"/>
  <c r="Z103" i="11"/>
  <c r="AM103" i="11"/>
  <c r="AT103" i="11"/>
  <c r="AB103" i="11"/>
  <c r="U103" i="11"/>
  <c r="AB101" i="10" a="1"/>
  <c r="AB101" i="10"/>
  <c r="AJ99" i="11"/>
  <c r="AU99" i="11"/>
  <c r="AC99" i="11"/>
  <c r="V99" i="11"/>
  <c r="AN99" i="11"/>
  <c r="AS99" i="11"/>
  <c r="AD99" i="11"/>
  <c r="W99" i="11"/>
  <c r="AM99" i="11"/>
  <c r="AT99" i="11"/>
  <c r="AB99" i="11"/>
  <c r="U99" i="11"/>
  <c r="AL99" i="11"/>
  <c r="AR99" i="11"/>
  <c r="AE99" i="11"/>
  <c r="X99" i="11"/>
  <c r="AB97" i="10" a="1"/>
  <c r="AB97" i="10"/>
  <c r="AJ95" i="11"/>
  <c r="AU95" i="11"/>
  <c r="AC95" i="11"/>
  <c r="V95" i="11"/>
  <c r="AN95" i="11"/>
  <c r="AS95" i="11"/>
  <c r="AD95" i="11"/>
  <c r="W95" i="11"/>
  <c r="AL95" i="11"/>
  <c r="AR95" i="11"/>
  <c r="AE95" i="11"/>
  <c r="X95" i="11"/>
  <c r="AM95" i="11"/>
  <c r="AT95" i="11"/>
  <c r="AB95" i="11"/>
  <c r="U95" i="11"/>
  <c r="AK95" i="11"/>
  <c r="AG95" i="11"/>
  <c r="Z95" i="11"/>
  <c r="AB93" i="10" a="1"/>
  <c r="AB93" i="10"/>
  <c r="AJ91" i="11"/>
  <c r="AU91" i="11"/>
  <c r="AC91" i="11"/>
  <c r="V91" i="11"/>
  <c r="AN91" i="11"/>
  <c r="AS91" i="11"/>
  <c r="AD91" i="11"/>
  <c r="W91" i="11"/>
  <c r="AK91" i="11"/>
  <c r="AG91" i="11"/>
  <c r="Z91" i="11"/>
  <c r="AM91" i="11"/>
  <c r="AT91" i="11"/>
  <c r="AB91" i="11"/>
  <c r="U91" i="11"/>
  <c r="AL91" i="11"/>
  <c r="AR91" i="11"/>
  <c r="AE91" i="11"/>
  <c r="X91" i="11"/>
  <c r="AB89" i="10" a="1"/>
  <c r="AB89" i="10"/>
  <c r="AJ87" i="11"/>
  <c r="AU87" i="11"/>
  <c r="AC87" i="11"/>
  <c r="V87" i="11"/>
  <c r="AN87" i="11"/>
  <c r="AS87" i="11"/>
  <c r="AD87" i="11"/>
  <c r="W87" i="11"/>
  <c r="AL87" i="11"/>
  <c r="AR87" i="11"/>
  <c r="AE87" i="11"/>
  <c r="X87" i="11"/>
  <c r="AM87" i="11"/>
  <c r="AT87" i="11"/>
  <c r="AB87" i="11"/>
  <c r="U87" i="11"/>
  <c r="AB85" i="10" a="1"/>
  <c r="AB85" i="10"/>
  <c r="AJ83" i="11"/>
  <c r="AU83" i="11"/>
  <c r="AC83" i="11"/>
  <c r="V83" i="11"/>
  <c r="AN83" i="11"/>
  <c r="AS83" i="11"/>
  <c r="AD83" i="11"/>
  <c r="W83" i="11"/>
  <c r="AM83" i="11"/>
  <c r="AT83" i="11"/>
  <c r="AB83" i="11"/>
  <c r="U83" i="11"/>
  <c r="AL83" i="11"/>
  <c r="AR83" i="11"/>
  <c r="AE83" i="11"/>
  <c r="X83" i="11"/>
  <c r="AB81" i="10" a="1"/>
  <c r="AB81" i="10"/>
  <c r="AJ79" i="11"/>
  <c r="AU79" i="11"/>
  <c r="AC79" i="11"/>
  <c r="V79" i="11"/>
  <c r="AN79" i="11"/>
  <c r="AS79" i="11"/>
  <c r="AD79" i="11"/>
  <c r="W79" i="11"/>
  <c r="AL79" i="11"/>
  <c r="AR79" i="11"/>
  <c r="AE79" i="11"/>
  <c r="X79" i="11"/>
  <c r="AM79" i="11"/>
  <c r="AT79" i="11"/>
  <c r="AB79" i="11"/>
  <c r="U79" i="11"/>
  <c r="AK79" i="11"/>
  <c r="AG79" i="11"/>
  <c r="Z79" i="11"/>
  <c r="AB77" i="10" a="1"/>
  <c r="AB77" i="10"/>
  <c r="AJ75" i="11"/>
  <c r="AU75" i="11"/>
  <c r="AC75" i="11"/>
  <c r="V75" i="11"/>
  <c r="AN75" i="11"/>
  <c r="AS75" i="11"/>
  <c r="AD75" i="11"/>
  <c r="W75" i="11"/>
  <c r="AM75" i="11"/>
  <c r="AT75" i="11"/>
  <c r="AB75" i="11"/>
  <c r="U75" i="11"/>
  <c r="AL75" i="11"/>
  <c r="AR75" i="11"/>
  <c r="AE75" i="11"/>
  <c r="X75" i="11"/>
  <c r="AB73" i="10" a="1"/>
  <c r="AB73" i="10"/>
  <c r="AJ71" i="11"/>
  <c r="AU71" i="11"/>
  <c r="AC71" i="11"/>
  <c r="V71" i="11"/>
  <c r="AN71" i="11"/>
  <c r="AS71" i="11"/>
  <c r="AD71" i="11"/>
  <c r="W71" i="11"/>
  <c r="AL71" i="11"/>
  <c r="AR71" i="11"/>
  <c r="AE71" i="11"/>
  <c r="X71" i="11"/>
  <c r="AK71" i="11"/>
  <c r="AG71" i="11"/>
  <c r="Z71" i="11"/>
  <c r="AM71" i="11"/>
  <c r="AT71" i="11"/>
  <c r="AB71" i="11"/>
  <c r="U71" i="11"/>
  <c r="AH69" i="10" a="1"/>
  <c r="AH69" i="10"/>
  <c r="AO67" i="11"/>
  <c r="AB69" i="10" a="1"/>
  <c r="AB69" i="10"/>
  <c r="AL67" i="11"/>
  <c r="AR67" i="11"/>
  <c r="AE67" i="11"/>
  <c r="X67" i="11"/>
  <c r="AJ67" i="11"/>
  <c r="AU67" i="11"/>
  <c r="AC67" i="11"/>
  <c r="V67" i="11"/>
  <c r="AM67" i="11"/>
  <c r="AT67" i="11"/>
  <c r="AB67" i="11"/>
  <c r="U67" i="11"/>
  <c r="AK67" i="11"/>
  <c r="AG67" i="11"/>
  <c r="Z67" i="11"/>
  <c r="AN67" i="11"/>
  <c r="AS67" i="11"/>
  <c r="AD67" i="11"/>
  <c r="W67" i="11"/>
  <c r="AB65" i="10" a="1"/>
  <c r="AB65" i="10"/>
  <c r="AL63" i="11"/>
  <c r="AR63" i="11"/>
  <c r="AE63" i="11"/>
  <c r="X63" i="11"/>
  <c r="AN63" i="11"/>
  <c r="AS63" i="11"/>
  <c r="AD63" i="11"/>
  <c r="W63" i="11"/>
  <c r="AK63" i="11"/>
  <c r="AG63" i="11"/>
  <c r="Z63" i="11"/>
  <c r="AJ63" i="11"/>
  <c r="AU63" i="11"/>
  <c r="AC63" i="11"/>
  <c r="V63" i="11"/>
  <c r="AM63" i="11"/>
  <c r="AT63" i="11"/>
  <c r="AB63" i="11"/>
  <c r="U63" i="11"/>
  <c r="AB61" i="10" a="1"/>
  <c r="AB61" i="10"/>
  <c r="AL59" i="11"/>
  <c r="AR59" i="11"/>
  <c r="AE59" i="11"/>
  <c r="X59" i="11"/>
  <c r="AJ59" i="11"/>
  <c r="AU59" i="11"/>
  <c r="AC59" i="11"/>
  <c r="V59" i="11"/>
  <c r="AK59" i="11"/>
  <c r="AG59" i="11"/>
  <c r="Z59" i="11"/>
  <c r="AN59" i="11"/>
  <c r="AS59" i="11"/>
  <c r="AD59" i="11"/>
  <c r="W59" i="11"/>
  <c r="AM59" i="11"/>
  <c r="AT59" i="11"/>
  <c r="AB59" i="11"/>
  <c r="U59" i="11"/>
  <c r="AB57" i="10" a="1"/>
  <c r="AB57" i="10"/>
  <c r="AL55" i="11"/>
  <c r="AR55" i="11"/>
  <c r="AE55" i="11"/>
  <c r="X55" i="11"/>
  <c r="AN55" i="11"/>
  <c r="AS55" i="11"/>
  <c r="AD55" i="11"/>
  <c r="W55" i="11"/>
  <c r="AJ55" i="11"/>
  <c r="AU55" i="11"/>
  <c r="AC55" i="11"/>
  <c r="V55" i="11"/>
  <c r="AM55" i="11"/>
  <c r="AT55" i="11"/>
  <c r="AB55" i="11"/>
  <c r="U55" i="11"/>
  <c r="AB53" i="10" a="1"/>
  <c r="AB53" i="10"/>
  <c r="AL51" i="11"/>
  <c r="AR51" i="11"/>
  <c r="AE51" i="11"/>
  <c r="X51" i="11"/>
  <c r="AM51" i="11"/>
  <c r="AT51" i="11"/>
  <c r="AB51" i="11"/>
  <c r="U51" i="11"/>
  <c r="AK51" i="11"/>
  <c r="AG51" i="11"/>
  <c r="Z51" i="11"/>
  <c r="AJ51" i="11"/>
  <c r="AU51" i="11"/>
  <c r="AC51" i="11"/>
  <c r="V51" i="11"/>
  <c r="AN51" i="11"/>
  <c r="AS51" i="11"/>
  <c r="AD51" i="11"/>
  <c r="W51" i="11"/>
  <c r="AB49" i="10" a="1"/>
  <c r="AB49" i="10"/>
  <c r="AL47" i="11"/>
  <c r="AR47" i="11"/>
  <c r="AE47" i="11"/>
  <c r="X47" i="11"/>
  <c r="AK47" i="11"/>
  <c r="AG47" i="11"/>
  <c r="Z47" i="11"/>
  <c r="AN47" i="11"/>
  <c r="AS47" i="11"/>
  <c r="AD47" i="11"/>
  <c r="W47" i="11"/>
  <c r="AJ47" i="11"/>
  <c r="AU47" i="11"/>
  <c r="AC47" i="11"/>
  <c r="V47" i="11"/>
  <c r="AM47" i="11"/>
  <c r="AT47" i="11"/>
  <c r="AB47" i="11"/>
  <c r="U47" i="11"/>
  <c r="AB45" i="10" a="1"/>
  <c r="AB45" i="10"/>
  <c r="AL43" i="11"/>
  <c r="AR43" i="11"/>
  <c r="AE43" i="11"/>
  <c r="X43" i="11"/>
  <c r="AN43" i="11"/>
  <c r="AS43" i="11"/>
  <c r="AD43" i="11"/>
  <c r="W43" i="11"/>
  <c r="AJ43" i="11"/>
  <c r="AU43" i="11"/>
  <c r="AC43" i="11"/>
  <c r="V43" i="11"/>
  <c r="AM43" i="11"/>
  <c r="AT43" i="11"/>
  <c r="AB43" i="11"/>
  <c r="U43" i="11"/>
  <c r="AB41" i="10" a="1"/>
  <c r="AB41" i="10"/>
  <c r="AK39" i="11"/>
  <c r="AG39" i="11"/>
  <c r="Z39" i="11"/>
  <c r="AL39" i="11"/>
  <c r="AR39" i="11"/>
  <c r="AE39" i="11"/>
  <c r="X39" i="11"/>
  <c r="AM39" i="11"/>
  <c r="AT39" i="11"/>
  <c r="AB39" i="11"/>
  <c r="U39" i="11"/>
  <c r="AN39" i="11"/>
  <c r="AS39" i="11"/>
  <c r="AD39" i="11"/>
  <c r="W39" i="11"/>
  <c r="AJ39" i="11"/>
  <c r="AU39" i="11"/>
  <c r="AC39" i="11"/>
  <c r="V39" i="11"/>
  <c r="AB37" i="10" a="1"/>
  <c r="AB37" i="10"/>
  <c r="AK35" i="11"/>
  <c r="AG35" i="11"/>
  <c r="Z35" i="11"/>
  <c r="AL35" i="11"/>
  <c r="AR35" i="11"/>
  <c r="AE35" i="11"/>
  <c r="X35" i="11"/>
  <c r="AM35" i="11"/>
  <c r="AT35" i="11"/>
  <c r="AB35" i="11"/>
  <c r="U35" i="11"/>
  <c r="AN35" i="11"/>
  <c r="AS35" i="11"/>
  <c r="AD35" i="11"/>
  <c r="W35" i="11"/>
  <c r="AJ35" i="11"/>
  <c r="AU35" i="11"/>
  <c r="AC35" i="11"/>
  <c r="V35" i="11"/>
  <c r="AB33" i="10" a="1"/>
  <c r="AB33" i="10"/>
  <c r="AK31" i="11"/>
  <c r="AG31" i="11"/>
  <c r="Z31" i="11"/>
  <c r="AL31" i="11"/>
  <c r="AR31" i="11"/>
  <c r="AE31" i="11"/>
  <c r="X31" i="11"/>
  <c r="AM31" i="11"/>
  <c r="AT31" i="11"/>
  <c r="AB31" i="11"/>
  <c r="U31" i="11"/>
  <c r="AJ31" i="11"/>
  <c r="AU31" i="11"/>
  <c r="AC31" i="11"/>
  <c r="V31" i="11"/>
  <c r="AN31" i="11"/>
  <c r="AS31" i="11"/>
  <c r="AD31" i="11"/>
  <c r="W31" i="11"/>
  <c r="AB29" i="10" a="1"/>
  <c r="AB29" i="10"/>
  <c r="AL27" i="11"/>
  <c r="AR27" i="11"/>
  <c r="AE27" i="11"/>
  <c r="X27" i="11"/>
  <c r="AJ27" i="11"/>
  <c r="AU27" i="11"/>
  <c r="AC27" i="11"/>
  <c r="V27" i="11"/>
  <c r="AN27" i="11"/>
  <c r="AS27" i="11"/>
  <c r="AD27" i="11"/>
  <c r="W27" i="11"/>
  <c r="AM27" i="11"/>
  <c r="AT27" i="11"/>
  <c r="AB27" i="11"/>
  <c r="U27" i="11"/>
  <c r="AB25" i="10" a="1"/>
  <c r="AB25" i="10"/>
  <c r="AL23" i="11"/>
  <c r="AR23" i="11"/>
  <c r="AE23" i="11"/>
  <c r="X23" i="11"/>
  <c r="AM23" i="11"/>
  <c r="AT23" i="11"/>
  <c r="AB23" i="11"/>
  <c r="U23" i="11"/>
  <c r="AN23" i="11"/>
  <c r="AS23" i="11"/>
  <c r="AD23" i="11"/>
  <c r="W23" i="11"/>
  <c r="AJ23" i="11"/>
  <c r="AU23" i="11"/>
  <c r="AC23" i="11"/>
  <c r="V23" i="11"/>
  <c r="AB21" i="10" a="1"/>
  <c r="AB21" i="10"/>
  <c r="AK19" i="11"/>
  <c r="AG19" i="11"/>
  <c r="Z19" i="11"/>
  <c r="AL19" i="11"/>
  <c r="AR19" i="11"/>
  <c r="AE19" i="11"/>
  <c r="X19" i="11"/>
  <c r="AM19" i="11"/>
  <c r="AT19" i="11"/>
  <c r="AB19" i="11"/>
  <c r="U19" i="11"/>
  <c r="AJ19" i="11"/>
  <c r="AU19" i="11"/>
  <c r="AC19" i="11"/>
  <c r="V19" i="11"/>
  <c r="AN19" i="11"/>
  <c r="AS19" i="11"/>
  <c r="AD19" i="11"/>
  <c r="W19" i="11"/>
  <c r="AB17" i="10" a="1"/>
  <c r="AB17" i="10"/>
  <c r="AL15" i="11"/>
  <c r="AR15" i="11"/>
  <c r="AE15" i="11"/>
  <c r="X15" i="11"/>
  <c r="AM15" i="11"/>
  <c r="AT15" i="11"/>
  <c r="AB15" i="11"/>
  <c r="U15" i="11"/>
  <c r="AJ15" i="11"/>
  <c r="AU15" i="11"/>
  <c r="AC15" i="11"/>
  <c r="V15" i="11"/>
  <c r="AN15" i="11"/>
  <c r="AS15" i="11"/>
  <c r="AD15" i="11"/>
  <c r="W15" i="11"/>
  <c r="AB13" i="10" a="1"/>
  <c r="AB13" i="10"/>
  <c r="AK11" i="11"/>
  <c r="AG11" i="11"/>
  <c r="Z11" i="11"/>
  <c r="AL11" i="11"/>
  <c r="AR11" i="11"/>
  <c r="AE11" i="11"/>
  <c r="X11" i="11"/>
  <c r="AN11" i="11"/>
  <c r="AS11" i="11"/>
  <c r="AD11" i="11"/>
  <c r="W11" i="11"/>
  <c r="AJ11" i="11"/>
  <c r="AU11" i="11"/>
  <c r="AC11" i="11"/>
  <c r="V11" i="11"/>
  <c r="AM11" i="11"/>
  <c r="AT11" i="11"/>
  <c r="AB11" i="11"/>
  <c r="U11" i="11"/>
  <c r="AH212" i="10" a="1"/>
  <c r="AH212" i="10"/>
  <c r="AO210" i="11"/>
  <c r="AH248" i="10" a="1"/>
  <c r="AH248" i="10"/>
  <c r="AO246" i="11"/>
  <c r="AH220" i="10" a="1"/>
  <c r="AH220" i="10"/>
  <c r="AO218" i="11"/>
  <c r="AH244" i="10" a="1"/>
  <c r="AH244" i="10"/>
  <c r="AO242" i="11"/>
  <c r="AH228" i="10" a="1"/>
  <c r="AH228" i="10"/>
  <c r="AO226" i="11"/>
  <c r="AH226" i="10" a="1"/>
  <c r="AH226" i="10"/>
  <c r="AO224" i="11"/>
  <c r="AH218" i="10" a="1"/>
  <c r="AH218" i="10"/>
  <c r="AO216" i="11"/>
  <c r="AH233" i="10" a="1"/>
  <c r="AH233" i="10"/>
  <c r="AO231" i="11"/>
  <c r="AH230" i="10" a="1"/>
  <c r="AH230" i="10"/>
  <c r="AO228" i="11"/>
  <c r="AH222" i="10" a="1"/>
  <c r="AH222" i="10"/>
  <c r="AO220" i="11"/>
  <c r="AH214" i="10" a="1"/>
  <c r="AH214" i="10"/>
  <c r="AO212" i="11"/>
  <c r="AH246" i="10" a="1"/>
  <c r="AH246" i="10"/>
  <c r="AO244" i="11"/>
  <c r="AH242" i="10" a="1"/>
  <c r="AH242" i="10"/>
  <c r="AO240" i="11"/>
  <c r="AH210" i="10" a="1"/>
  <c r="AH210" i="10"/>
  <c r="AO208" i="11"/>
  <c r="C34" i="10"/>
  <c r="C46" i="10"/>
  <c r="AH241" i="10" a="1"/>
  <c r="AH241" i="10"/>
  <c r="AO239" i="11"/>
  <c r="AH238" i="10" a="1"/>
  <c r="AH238" i="10"/>
  <c r="AO236" i="11"/>
  <c r="AH236" i="10" a="1"/>
  <c r="AH236" i="10"/>
  <c r="AO234" i="11"/>
  <c r="AH234" i="10" a="1"/>
  <c r="AH234" i="10"/>
  <c r="AO232" i="11"/>
  <c r="AH232" i="10" a="1"/>
  <c r="AH232" i="10"/>
  <c r="AO230" i="11"/>
  <c r="AH224" i="10" a="1"/>
  <c r="AH224" i="10"/>
  <c r="AO222" i="11"/>
  <c r="AH216" i="10" a="1"/>
  <c r="AH216" i="10"/>
  <c r="AO214" i="11"/>
  <c r="AH208" i="10" a="1"/>
  <c r="AH208" i="10"/>
  <c r="AO206" i="11"/>
  <c r="AH231" i="10" a="1"/>
  <c r="AH231" i="10"/>
  <c r="AO229" i="11"/>
  <c r="AH223" i="10" a="1"/>
  <c r="AH223" i="10"/>
  <c r="AO221" i="11"/>
  <c r="AH215" i="10" a="1"/>
  <c r="AH215" i="10"/>
  <c r="AO213" i="11"/>
  <c r="AH207" i="10" a="1"/>
  <c r="AH207" i="10"/>
  <c r="AO205" i="11"/>
  <c r="AH199" i="10" a="1"/>
  <c r="AH199" i="10"/>
  <c r="AO197" i="11"/>
  <c r="AH191" i="10" a="1"/>
  <c r="AH191" i="10"/>
  <c r="AO189" i="11"/>
  <c r="AH183" i="10" a="1"/>
  <c r="AH183" i="10"/>
  <c r="AO181" i="11"/>
  <c r="AH175" i="10" a="1"/>
  <c r="AH175" i="10"/>
  <c r="AO173" i="11"/>
  <c r="AH167" i="10" a="1"/>
  <c r="AH167" i="10"/>
  <c r="AO165" i="11"/>
  <c r="AH159" i="10" a="1"/>
  <c r="AH159" i="10"/>
  <c r="AO157" i="11"/>
  <c r="AH151" i="10" a="1"/>
  <c r="AH151" i="10"/>
  <c r="AO149" i="11"/>
  <c r="AH143" i="10" a="1"/>
  <c r="AH143" i="10"/>
  <c r="AO141" i="11"/>
  <c r="AH135" i="10" a="1"/>
  <c r="AH135" i="10"/>
  <c r="AO133" i="11"/>
  <c r="AH127" i="10" a="1"/>
  <c r="AH127" i="10"/>
  <c r="AO125" i="11"/>
  <c r="AH119" i="10" a="1"/>
  <c r="AH119" i="10"/>
  <c r="AO117" i="11"/>
  <c r="AH111" i="10" a="1"/>
  <c r="AH111" i="10"/>
  <c r="AO109" i="11"/>
  <c r="AH103" i="10" a="1"/>
  <c r="AH103" i="10"/>
  <c r="AO101" i="11"/>
  <c r="AH95" i="10" a="1"/>
  <c r="AH95" i="10"/>
  <c r="AO93" i="11"/>
  <c r="AH91" i="10" a="1"/>
  <c r="AH91" i="10"/>
  <c r="AO89" i="11"/>
  <c r="AH83" i="10" a="1"/>
  <c r="AH83" i="10"/>
  <c r="AO81" i="11"/>
  <c r="AH75" i="10" a="1"/>
  <c r="AH75" i="10"/>
  <c r="AO73" i="11"/>
  <c r="AH67" i="10" a="1"/>
  <c r="AH67" i="10"/>
  <c r="AO65" i="11"/>
  <c r="AH59" i="10" a="1"/>
  <c r="AH59" i="10"/>
  <c r="AO57" i="11"/>
  <c r="AH51" i="10" a="1"/>
  <c r="AH51" i="10"/>
  <c r="AO49" i="11"/>
  <c r="AH47" i="10" a="1"/>
  <c r="AH47" i="10"/>
  <c r="AO45" i="11"/>
  <c r="AH43" i="10" a="1"/>
  <c r="AH43" i="10"/>
  <c r="AO41" i="11"/>
  <c r="AH35" i="10" a="1"/>
  <c r="AH35" i="10"/>
  <c r="AO33" i="11"/>
  <c r="AH31" i="10" a="1"/>
  <c r="AH31" i="10"/>
  <c r="AO29" i="11"/>
  <c r="AH27" i="10" a="1"/>
  <c r="AH27" i="10"/>
  <c r="AO25" i="11"/>
  <c r="AH23" i="10" a="1"/>
  <c r="AH23" i="10"/>
  <c r="AO21" i="11"/>
  <c r="AH19" i="10" a="1"/>
  <c r="AH19" i="10"/>
  <c r="AO17" i="11"/>
  <c r="AH15" i="10" a="1"/>
  <c r="AH15" i="10"/>
  <c r="AO13" i="11"/>
  <c r="AH11" i="10" a="1"/>
  <c r="AH11" i="10"/>
  <c r="AO9" i="11"/>
  <c r="AH247" i="10" a="1"/>
  <c r="AH247" i="10"/>
  <c r="AO245" i="11"/>
  <c r="AH239" i="10" a="1"/>
  <c r="AH239" i="10"/>
  <c r="AO237" i="11"/>
  <c r="AH227" i="10" a="1"/>
  <c r="AH227" i="10"/>
  <c r="AO225" i="11"/>
  <c r="AH219" i="10" a="1"/>
  <c r="AH219" i="10"/>
  <c r="AO217" i="11"/>
  <c r="AH211" i="10" a="1"/>
  <c r="AH211" i="10"/>
  <c r="AO209" i="11"/>
  <c r="AH203" i="10" a="1"/>
  <c r="AH203" i="10"/>
  <c r="AO201" i="11"/>
  <c r="AH195" i="10" a="1"/>
  <c r="AH195" i="10"/>
  <c r="AO193" i="11"/>
  <c r="AH187" i="10" a="1"/>
  <c r="AH187" i="10"/>
  <c r="AO185" i="11"/>
  <c r="AH179" i="10" a="1"/>
  <c r="AH179" i="10"/>
  <c r="AO177" i="11"/>
  <c r="AH171" i="10" a="1"/>
  <c r="AH171" i="10"/>
  <c r="AO169" i="11"/>
  <c r="AH163" i="10" a="1"/>
  <c r="AH163" i="10"/>
  <c r="AO161" i="11"/>
  <c r="AH155" i="10" a="1"/>
  <c r="AH155" i="10"/>
  <c r="AO153" i="11"/>
  <c r="AH147" i="10" a="1"/>
  <c r="AH147" i="10"/>
  <c r="AO145" i="11"/>
  <c r="AH139" i="10" a="1"/>
  <c r="AH139" i="10"/>
  <c r="AO137" i="11"/>
  <c r="AH131" i="10" a="1"/>
  <c r="AH131" i="10"/>
  <c r="AO129" i="11"/>
  <c r="AH123" i="10" a="1"/>
  <c r="AH123" i="10"/>
  <c r="AO121" i="11"/>
  <c r="AH115" i="10" a="1"/>
  <c r="AH115" i="10"/>
  <c r="AO113" i="11"/>
  <c r="AH107" i="10" a="1"/>
  <c r="AH107" i="10"/>
  <c r="AO105" i="11"/>
  <c r="AH99" i="10" a="1"/>
  <c r="AH99" i="10"/>
  <c r="AO97" i="11"/>
  <c r="AH87" i="10" a="1"/>
  <c r="AH87" i="10"/>
  <c r="AO85" i="11"/>
  <c r="AH79" i="10" a="1"/>
  <c r="AH79" i="10"/>
  <c r="AO77" i="11"/>
  <c r="AH71" i="10" a="1"/>
  <c r="AH71" i="10"/>
  <c r="AO69" i="11"/>
  <c r="AH63" i="10" a="1"/>
  <c r="AH63" i="10"/>
  <c r="AO61" i="11"/>
  <c r="AH55" i="10" a="1"/>
  <c r="AH55" i="10"/>
  <c r="AO53" i="11"/>
  <c r="AH39" i="10" a="1"/>
  <c r="AH39" i="10"/>
  <c r="AO37" i="11"/>
  <c r="AH229" i="10" a="1"/>
  <c r="AH229" i="10"/>
  <c r="AO227" i="11"/>
  <c r="AH225" i="10" a="1"/>
  <c r="AH225" i="10"/>
  <c r="AO223" i="11"/>
  <c r="AH221" i="10" a="1"/>
  <c r="AH221" i="10"/>
  <c r="AO219" i="11"/>
  <c r="AH217" i="10" a="1"/>
  <c r="AH217" i="10"/>
  <c r="AO215" i="11"/>
  <c r="AH213" i="10" a="1"/>
  <c r="AH213" i="10"/>
  <c r="AO211" i="11"/>
  <c r="AH209" i="10" a="1"/>
  <c r="AH209" i="10"/>
  <c r="AO207" i="11"/>
  <c r="AH205" i="10" a="1"/>
  <c r="AH205" i="10"/>
  <c r="AO203" i="11"/>
  <c r="AH201" i="10" a="1"/>
  <c r="AH201" i="10"/>
  <c r="AO199" i="11"/>
  <c r="AH197" i="10" a="1"/>
  <c r="AH197" i="10"/>
  <c r="AO195" i="11"/>
  <c r="AH193" i="10" a="1"/>
  <c r="AH193" i="10"/>
  <c r="AO191" i="11"/>
  <c r="AH189" i="10" a="1"/>
  <c r="AH189" i="10"/>
  <c r="AO187" i="11"/>
  <c r="AH185" i="10" a="1"/>
  <c r="AH185" i="10"/>
  <c r="AO183" i="11"/>
  <c r="AH181" i="10" a="1"/>
  <c r="AH181" i="10"/>
  <c r="AO179" i="11"/>
  <c r="AH177" i="10" a="1"/>
  <c r="AH177" i="10"/>
  <c r="AO175" i="11"/>
  <c r="AH173" i="10" a="1"/>
  <c r="AH173" i="10"/>
  <c r="AO171" i="11"/>
  <c r="AH169" i="10" a="1"/>
  <c r="AH169" i="10"/>
  <c r="AO167" i="11"/>
  <c r="AH165" i="10" a="1"/>
  <c r="AH165" i="10"/>
  <c r="AO163" i="11"/>
  <c r="AH161" i="10" a="1"/>
  <c r="AH161" i="10"/>
  <c r="AO159" i="11"/>
  <c r="AH157" i="10" a="1"/>
  <c r="AH157" i="10"/>
  <c r="AO155" i="11"/>
  <c r="AH153" i="10" a="1"/>
  <c r="AH153" i="10"/>
  <c r="AO151" i="11"/>
  <c r="AH149" i="10" a="1"/>
  <c r="AH149" i="10"/>
  <c r="AO147" i="11"/>
  <c r="AH145" i="10" a="1"/>
  <c r="AH145" i="10"/>
  <c r="AO143" i="11"/>
  <c r="AH141" i="10" a="1"/>
  <c r="AH141" i="10"/>
  <c r="AO139" i="11"/>
  <c r="AH137" i="10" a="1"/>
  <c r="AH137" i="10"/>
  <c r="AO135" i="11"/>
  <c r="AH133" i="10" a="1"/>
  <c r="AH133" i="10"/>
  <c r="AO131" i="11"/>
  <c r="AH129" i="10" a="1"/>
  <c r="AH129" i="10"/>
  <c r="AO127" i="11"/>
  <c r="AH125" i="10" a="1"/>
  <c r="AH125" i="10"/>
  <c r="AO123" i="11"/>
  <c r="AH121" i="10" a="1"/>
  <c r="AH121" i="10"/>
  <c r="AO119" i="11"/>
  <c r="AH117" i="10" a="1"/>
  <c r="AH117" i="10"/>
  <c r="AO115" i="11"/>
  <c r="AH113" i="10" a="1"/>
  <c r="AH113" i="10"/>
  <c r="AO111" i="11"/>
  <c r="AH109" i="10" a="1"/>
  <c r="AH109" i="10"/>
  <c r="AO107" i="11"/>
  <c r="AH245" i="10" a="1"/>
  <c r="AH245" i="10"/>
  <c r="AO243" i="11"/>
  <c r="AH237" i="10" a="1"/>
  <c r="AH237" i="10"/>
  <c r="AO235" i="11"/>
  <c r="AH206" i="10" a="1"/>
  <c r="AH206" i="10"/>
  <c r="AO204" i="11"/>
  <c r="AH202" i="10" a="1"/>
  <c r="AH202" i="10"/>
  <c r="AO200" i="11"/>
  <c r="AH198" i="10" a="1"/>
  <c r="AH198" i="10"/>
  <c r="AO196" i="11"/>
  <c r="AH194" i="10" a="1"/>
  <c r="AH194" i="10"/>
  <c r="AO192" i="11"/>
  <c r="AH190" i="10" a="1"/>
  <c r="AH190" i="10"/>
  <c r="AO188" i="11"/>
  <c r="AH186" i="10" a="1"/>
  <c r="AH186" i="10"/>
  <c r="AO184" i="11"/>
  <c r="AH182" i="10" a="1"/>
  <c r="AH182" i="10"/>
  <c r="AO180" i="11"/>
  <c r="AH178" i="10" a="1"/>
  <c r="AH178" i="10"/>
  <c r="AO176" i="11"/>
  <c r="AH174" i="10" a="1"/>
  <c r="AH174" i="10"/>
  <c r="AO172" i="11"/>
  <c r="AH170" i="10" a="1"/>
  <c r="AH170" i="10"/>
  <c r="AO168" i="11"/>
  <c r="AH166" i="10" a="1"/>
  <c r="AH166" i="10"/>
  <c r="AO164" i="11"/>
  <c r="AH162" i="10" a="1"/>
  <c r="AH162" i="10"/>
  <c r="AO160" i="11"/>
  <c r="AH158" i="10" a="1"/>
  <c r="AH158" i="10"/>
  <c r="AO156" i="11"/>
  <c r="AH154" i="10" a="1"/>
  <c r="AH154" i="10"/>
  <c r="AO152" i="11"/>
  <c r="AH150" i="10" a="1"/>
  <c r="AH150" i="10"/>
  <c r="AO148" i="11"/>
  <c r="AH146" i="10" a="1"/>
  <c r="AH146" i="10"/>
  <c r="AO144" i="11"/>
  <c r="AH142" i="10" a="1"/>
  <c r="AH142" i="10"/>
  <c r="AO140" i="11"/>
  <c r="AH138" i="10" a="1"/>
  <c r="AH138" i="10"/>
  <c r="AO136" i="11"/>
  <c r="AH134" i="10" a="1"/>
  <c r="AH134" i="10"/>
  <c r="AO132" i="11"/>
  <c r="AH130" i="10" a="1"/>
  <c r="AH130" i="10"/>
  <c r="AO128" i="11"/>
  <c r="AH126" i="10" a="1"/>
  <c r="AH126" i="10"/>
  <c r="AO124" i="11"/>
  <c r="AH122" i="10" a="1"/>
  <c r="AH122" i="10"/>
  <c r="AO120" i="11"/>
  <c r="AH118" i="10" a="1"/>
  <c r="AH118" i="10"/>
  <c r="AO116" i="11"/>
  <c r="AH114" i="10" a="1"/>
  <c r="AH114" i="10"/>
  <c r="AO112" i="11"/>
  <c r="AH110" i="10" a="1"/>
  <c r="AH110" i="10"/>
  <c r="AO108" i="11"/>
  <c r="AH106" i="10" a="1"/>
  <c r="AH106" i="10"/>
  <c r="AO104" i="11"/>
  <c r="AH102" i="10" a="1"/>
  <c r="AH102" i="10"/>
  <c r="AO100" i="11"/>
  <c r="AH98" i="10" a="1"/>
  <c r="AH98" i="10"/>
  <c r="AO96" i="11"/>
  <c r="AH94" i="10" a="1"/>
  <c r="AH94" i="10"/>
  <c r="AO92" i="11"/>
  <c r="AH90" i="10" a="1"/>
  <c r="AH90" i="10"/>
  <c r="AO88" i="11"/>
  <c r="AH86" i="10" a="1"/>
  <c r="AH86" i="10"/>
  <c r="AO84" i="11"/>
  <c r="AH82" i="10" a="1"/>
  <c r="AH82" i="10"/>
  <c r="AO80" i="11"/>
  <c r="AH78" i="10" a="1"/>
  <c r="AH78" i="10"/>
  <c r="AO76" i="11"/>
  <c r="AH74" i="10" a="1"/>
  <c r="AH74" i="10"/>
  <c r="AO72" i="11"/>
  <c r="AH70" i="10" a="1"/>
  <c r="AH70" i="10"/>
  <c r="AO68" i="11"/>
  <c r="AH66" i="10" a="1"/>
  <c r="AH66" i="10"/>
  <c r="AO64" i="11"/>
  <c r="AH62" i="10" a="1"/>
  <c r="AH62" i="10"/>
  <c r="AO60" i="11"/>
  <c r="AH58" i="10" a="1"/>
  <c r="AH58" i="10"/>
  <c r="AO56" i="11"/>
  <c r="AH54" i="10" a="1"/>
  <c r="AH54" i="10"/>
  <c r="AO52" i="11"/>
  <c r="AH50" i="10" a="1"/>
  <c r="AH50" i="10"/>
  <c r="AO48" i="11"/>
  <c r="AH46" i="10" a="1"/>
  <c r="AH46" i="10"/>
  <c r="AO44" i="11"/>
  <c r="AH42" i="10" a="1"/>
  <c r="AH42" i="10"/>
  <c r="AO40" i="11"/>
  <c r="AH38" i="10" a="1"/>
  <c r="AH38" i="10"/>
  <c r="AO36" i="11"/>
  <c r="AH34" i="10" a="1"/>
  <c r="AH34" i="10"/>
  <c r="AO32" i="11"/>
  <c r="AH30" i="10" a="1"/>
  <c r="AH30" i="10"/>
  <c r="AO28" i="11"/>
  <c r="AH26" i="10" a="1"/>
  <c r="AH26" i="10"/>
  <c r="AO24" i="11"/>
  <c r="AH22" i="10" a="1"/>
  <c r="AH22" i="10"/>
  <c r="AO20" i="11"/>
  <c r="AH18" i="10" a="1"/>
  <c r="AH18" i="10"/>
  <c r="AO16" i="11"/>
  <c r="AH14" i="10" a="1"/>
  <c r="AH14" i="10"/>
  <c r="AO12" i="11"/>
  <c r="AH10" i="10" a="1"/>
  <c r="AH10" i="10"/>
  <c r="AO8" i="11"/>
  <c r="AH105" i="10" a="1"/>
  <c r="AH105" i="10"/>
  <c r="AO103" i="11"/>
  <c r="AH101" i="10" a="1"/>
  <c r="AH101" i="10"/>
  <c r="AO99" i="11"/>
  <c r="AH97" i="10" a="1"/>
  <c r="AH97" i="10"/>
  <c r="AO95" i="11"/>
  <c r="AH93" i="10" a="1"/>
  <c r="AH93" i="10"/>
  <c r="AO91" i="11"/>
  <c r="AH89" i="10" a="1"/>
  <c r="AH89" i="10"/>
  <c r="AO87" i="11"/>
  <c r="AH85" i="10" a="1"/>
  <c r="AH85" i="10"/>
  <c r="AO83" i="11"/>
  <c r="AH81" i="10" a="1"/>
  <c r="AH81" i="10"/>
  <c r="AO79" i="11"/>
  <c r="AH77" i="10" a="1"/>
  <c r="AH77" i="10"/>
  <c r="AO75" i="11"/>
  <c r="AH65" i="10" a="1"/>
  <c r="AH65" i="10"/>
  <c r="AO63" i="11"/>
  <c r="AH61" i="10" a="1"/>
  <c r="AH61" i="10"/>
  <c r="AO59" i="11"/>
  <c r="AH57" i="10" a="1"/>
  <c r="AH57" i="10"/>
  <c r="AO55" i="11"/>
  <c r="AH53" i="10" a="1"/>
  <c r="AH53" i="10"/>
  <c r="AO51" i="11"/>
  <c r="AH49" i="10" a="1"/>
  <c r="AH49" i="10"/>
  <c r="AO47" i="11"/>
  <c r="AH45" i="10" a="1"/>
  <c r="AH45" i="10"/>
  <c r="AO43" i="11"/>
  <c r="AH41" i="10" a="1"/>
  <c r="AH41" i="10"/>
  <c r="AO39" i="11"/>
  <c r="AH37" i="10" a="1"/>
  <c r="AH37" i="10"/>
  <c r="AO35" i="11"/>
  <c r="AH33" i="10" a="1"/>
  <c r="AH33" i="10"/>
  <c r="AO31" i="11"/>
  <c r="AH29" i="10" a="1"/>
  <c r="AH29" i="10"/>
  <c r="AO27" i="11"/>
  <c r="AH25" i="10" a="1"/>
  <c r="AH25" i="10"/>
  <c r="AO23" i="11"/>
  <c r="AH21" i="10" a="1"/>
  <c r="AH21" i="10"/>
  <c r="AO19" i="11"/>
  <c r="AH17" i="10" a="1"/>
  <c r="AH17" i="10"/>
  <c r="AO15" i="11"/>
  <c r="AH13" i="10" a="1"/>
  <c r="AH13" i="10"/>
  <c r="AO11" i="11"/>
  <c r="AH204" i="10" a="1"/>
  <c r="AH204" i="10"/>
  <c r="AO202" i="11"/>
  <c r="AH200" i="10" a="1"/>
  <c r="AH200" i="10"/>
  <c r="AO198" i="11"/>
  <c r="AH196" i="10" a="1"/>
  <c r="AH196" i="10"/>
  <c r="AO194" i="11"/>
  <c r="AH192" i="10" a="1"/>
  <c r="AH192" i="10"/>
  <c r="AO190" i="11"/>
  <c r="AH188" i="10" a="1"/>
  <c r="AH188" i="10"/>
  <c r="AO186" i="11"/>
  <c r="AH184" i="10" a="1"/>
  <c r="AH184" i="10"/>
  <c r="AO182" i="11"/>
  <c r="AH180" i="10" a="1"/>
  <c r="AH180" i="10"/>
  <c r="AO178" i="11"/>
  <c r="AH176" i="10" a="1"/>
  <c r="AH176" i="10"/>
  <c r="AO174" i="11"/>
  <c r="AH172" i="10" a="1"/>
  <c r="AH172" i="10"/>
  <c r="AO170" i="11"/>
  <c r="AH168" i="10" a="1"/>
  <c r="AH168" i="10"/>
  <c r="AO166" i="11"/>
  <c r="AH164" i="10" a="1"/>
  <c r="AH164" i="10"/>
  <c r="AO162" i="11"/>
  <c r="AH160" i="10" a="1"/>
  <c r="AH160" i="10"/>
  <c r="AO158" i="11"/>
  <c r="AH156" i="10" a="1"/>
  <c r="AH156" i="10"/>
  <c r="AO154" i="11"/>
  <c r="AH152" i="10" a="1"/>
  <c r="AH152" i="10"/>
  <c r="AO150" i="11"/>
  <c r="AH148" i="10" a="1"/>
  <c r="AH148" i="10"/>
  <c r="AO146" i="11"/>
  <c r="AH144" i="10" a="1"/>
  <c r="AH144" i="10"/>
  <c r="AO142" i="11"/>
  <c r="AH140" i="10" a="1"/>
  <c r="AH140" i="10"/>
  <c r="AO138" i="11"/>
  <c r="AH136" i="10" a="1"/>
  <c r="AH136" i="10"/>
  <c r="AO134" i="11"/>
  <c r="AH132" i="10" a="1"/>
  <c r="AH132" i="10"/>
  <c r="AO130" i="11"/>
  <c r="AH128" i="10" a="1"/>
  <c r="AH128" i="10"/>
  <c r="AO126" i="11"/>
  <c r="AH124" i="10" a="1"/>
  <c r="AH124" i="10"/>
  <c r="AO122" i="11"/>
  <c r="AH120" i="10" a="1"/>
  <c r="AH120" i="10"/>
  <c r="AO118" i="11"/>
  <c r="AH116" i="10" a="1"/>
  <c r="AH116" i="10"/>
  <c r="AO114" i="11"/>
  <c r="AH112" i="10" a="1"/>
  <c r="AH112" i="10"/>
  <c r="AO110" i="11"/>
  <c r="AH108" i="10" a="1"/>
  <c r="AH108" i="10"/>
  <c r="AO106" i="11"/>
  <c r="AH104" i="10" a="1"/>
  <c r="AH104" i="10"/>
  <c r="AO102" i="11"/>
  <c r="AH100" i="10" a="1"/>
  <c r="AH100" i="10"/>
  <c r="AO98" i="11"/>
  <c r="AH96" i="10" a="1"/>
  <c r="AH96" i="10"/>
  <c r="AO94" i="11"/>
  <c r="AH92" i="10" a="1"/>
  <c r="AH92" i="10"/>
  <c r="AO90" i="11"/>
  <c r="AH88" i="10" a="1"/>
  <c r="AH88" i="10"/>
  <c r="AO86" i="11"/>
  <c r="AH84" i="10" a="1"/>
  <c r="AH84" i="10"/>
  <c r="AO82" i="11"/>
  <c r="AH80" i="10" a="1"/>
  <c r="AH80" i="10"/>
  <c r="AO78" i="11"/>
  <c r="AJ78" i="11"/>
  <c r="AU78" i="11"/>
  <c r="AC78" i="11"/>
  <c r="V78" i="11"/>
  <c r="AH76" i="10" a="1"/>
  <c r="AH76" i="10"/>
  <c r="AO74" i="11"/>
  <c r="AH72" i="10" a="1"/>
  <c r="AH72" i="10"/>
  <c r="AO70" i="11"/>
  <c r="AH68" i="10" a="1"/>
  <c r="AH68" i="10"/>
  <c r="AO66" i="11"/>
  <c r="AH64" i="10" a="1"/>
  <c r="AH64" i="10"/>
  <c r="AO62" i="11"/>
  <c r="AH60" i="10" a="1"/>
  <c r="AH60" i="10"/>
  <c r="AO58" i="11"/>
  <c r="AH56" i="10" a="1"/>
  <c r="AH56" i="10"/>
  <c r="AO54" i="11"/>
  <c r="AH52" i="10" a="1"/>
  <c r="AH52" i="10"/>
  <c r="AO50" i="11"/>
  <c r="AH48" i="10" a="1"/>
  <c r="AH48" i="10"/>
  <c r="AO46" i="11"/>
  <c r="AH44" i="10" a="1"/>
  <c r="AH44" i="10"/>
  <c r="AO42" i="11"/>
  <c r="AH40" i="10" a="1"/>
  <c r="AH40" i="10"/>
  <c r="AO38" i="11"/>
  <c r="AH36" i="10" a="1"/>
  <c r="AH36" i="10"/>
  <c r="AO34" i="11"/>
  <c r="AH32" i="10" a="1"/>
  <c r="AH32" i="10"/>
  <c r="AO30" i="11"/>
  <c r="AH28" i="10" a="1"/>
  <c r="AH28" i="10"/>
  <c r="AO26" i="11"/>
  <c r="AH24" i="10" a="1"/>
  <c r="AH24" i="10"/>
  <c r="AO22" i="11"/>
  <c r="AH20" i="10" a="1"/>
  <c r="AH20" i="10"/>
  <c r="AO18" i="11"/>
  <c r="AM18" i="11"/>
  <c r="AT18" i="11"/>
  <c r="AB18" i="11"/>
  <c r="U18" i="11"/>
  <c r="AH16" i="10" a="1"/>
  <c r="AH16" i="10"/>
  <c r="AO14" i="11"/>
  <c r="AH12" i="10" a="1"/>
  <c r="AH12" i="10"/>
  <c r="AO10" i="11"/>
  <c r="AH73" i="10" a="1"/>
  <c r="AH73" i="10"/>
  <c r="AO71" i="11"/>
  <c r="C33" i="10"/>
  <c r="C37" i="10"/>
  <c r="C38" i="10"/>
  <c r="C54" i="10"/>
  <c r="C44" i="10"/>
  <c r="C41" i="10"/>
  <c r="C36" i="10"/>
  <c r="C40" i="10"/>
  <c r="C43" i="10"/>
  <c r="C39" i="10"/>
  <c r="C35" i="10"/>
  <c r="L23" i="1"/>
  <c r="K22" i="1"/>
  <c r="H23" i="1"/>
  <c r="T43" i="1" a="1"/>
  <c r="T43" i="1"/>
  <c r="AL221" i="11"/>
  <c r="AR221" i="11"/>
  <c r="AE221" i="11"/>
  <c r="AM224" i="11"/>
  <c r="AT224" i="11"/>
  <c r="AB224" i="11"/>
  <c r="U224" i="11"/>
  <c r="T44" i="1" a="1"/>
  <c r="T44" i="1"/>
  <c r="AK232" i="11"/>
  <c r="AG232" i="11"/>
  <c r="Z232" i="11"/>
  <c r="U42" i="1" a="1"/>
  <c r="U42" i="1"/>
  <c r="M68" i="9"/>
  <c r="AN234" i="11"/>
  <c r="AS234" i="11"/>
  <c r="AD234" i="11"/>
  <c r="W234" i="11"/>
  <c r="U45" i="1" a="1"/>
  <c r="U45" i="1"/>
  <c r="T45" i="1" a="1"/>
  <c r="T45" i="1"/>
  <c r="S44" i="1" a="1"/>
  <c r="S44" i="1"/>
  <c r="E24" i="1"/>
  <c r="C25" i="1"/>
  <c r="S22" i="1"/>
  <c r="P23" i="1"/>
  <c r="M24" i="1"/>
  <c r="U24" i="1"/>
  <c r="I24" i="1"/>
  <c r="G22" i="1"/>
  <c r="D23" i="1"/>
  <c r="T23" i="1"/>
  <c r="Q24" i="1"/>
  <c r="N25" i="1"/>
  <c r="C22" i="1"/>
  <c r="D22" i="1"/>
  <c r="H22" i="1"/>
  <c r="L22" i="1"/>
  <c r="P22" i="1"/>
  <c r="T22" i="1"/>
  <c r="E23" i="1"/>
  <c r="I23" i="1"/>
  <c r="M23" i="1"/>
  <c r="Q23" i="1"/>
  <c r="U23" i="1"/>
  <c r="F24" i="1"/>
  <c r="J24" i="1"/>
  <c r="N24" i="1"/>
  <c r="R24" i="1"/>
  <c r="V24" i="1"/>
  <c r="G25" i="1"/>
  <c r="K25" i="1"/>
  <c r="O25" i="1"/>
  <c r="S25" i="1"/>
  <c r="F25" i="1"/>
  <c r="R25" i="1"/>
  <c r="C23" i="1"/>
  <c r="E22" i="1"/>
  <c r="I22" i="1"/>
  <c r="M22" i="1"/>
  <c r="Q22" i="1"/>
  <c r="U22" i="1"/>
  <c r="F23" i="1"/>
  <c r="J23" i="1"/>
  <c r="N23" i="1"/>
  <c r="R23" i="1"/>
  <c r="V23" i="1"/>
  <c r="G24" i="1"/>
  <c r="K24" i="1"/>
  <c r="O24" i="1"/>
  <c r="S24" i="1"/>
  <c r="D25" i="1"/>
  <c r="H25" i="1"/>
  <c r="L25" i="1"/>
  <c r="P25" i="1"/>
  <c r="T25" i="1"/>
  <c r="J25" i="1"/>
  <c r="V25" i="1"/>
  <c r="AJ7" i="11"/>
  <c r="AU7" i="11"/>
  <c r="AC7" i="11"/>
  <c r="V7" i="11"/>
  <c r="AL226" i="11"/>
  <c r="AR226" i="11"/>
  <c r="AE226" i="11"/>
  <c r="X226" i="11"/>
  <c r="AK239" i="11"/>
  <c r="AG239" i="11"/>
  <c r="Z239" i="11"/>
  <c r="AL225" i="11"/>
  <c r="AR225" i="11"/>
  <c r="AE225" i="11"/>
  <c r="X225" i="11"/>
  <c r="AK240" i="11"/>
  <c r="AG240" i="11"/>
  <c r="Z240" i="11"/>
  <c r="AN237" i="11"/>
  <c r="AS237" i="11"/>
  <c r="AD237" i="11"/>
  <c r="W237" i="11"/>
  <c r="AE19" i="1"/>
  <c r="AD21" i="1"/>
  <c r="AD28" i="1"/>
  <c r="AN240" i="11"/>
  <c r="AS240" i="11"/>
  <c r="AD240" i="11"/>
  <c r="W240" i="11"/>
  <c r="AN243" i="11"/>
  <c r="AS243" i="11"/>
  <c r="AD243" i="11"/>
  <c r="W243" i="11"/>
  <c r="AN233" i="11"/>
  <c r="AS233" i="11"/>
  <c r="AD233" i="11"/>
  <c r="W233" i="11"/>
  <c r="AN241" i="11"/>
  <c r="AS241" i="11"/>
  <c r="AD241" i="11"/>
  <c r="W241" i="11"/>
  <c r="AM222" i="11"/>
  <c r="AT222" i="11"/>
  <c r="AB222" i="11"/>
  <c r="U222" i="11"/>
  <c r="AL230" i="11"/>
  <c r="AR230" i="11"/>
  <c r="AE230" i="11"/>
  <c r="X230" i="11"/>
  <c r="AL224" i="11"/>
  <c r="AR224" i="11"/>
  <c r="AE224" i="11"/>
  <c r="X224" i="11"/>
  <c r="AM228" i="11"/>
  <c r="AT228" i="11"/>
  <c r="AB228" i="11"/>
  <c r="U228" i="11"/>
  <c r="AM221" i="11"/>
  <c r="AT221" i="11"/>
  <c r="AB221" i="11"/>
  <c r="U221" i="11"/>
  <c r="AK234" i="11"/>
  <c r="AG234" i="11"/>
  <c r="Z234" i="11"/>
  <c r="AL223" i="11"/>
  <c r="AR223" i="11"/>
  <c r="AE223" i="11"/>
  <c r="AN239" i="11"/>
  <c r="AS239" i="11"/>
  <c r="AD239" i="11"/>
  <c r="W239" i="11"/>
  <c r="AK233" i="11"/>
  <c r="AG233" i="11"/>
  <c r="Z233" i="11"/>
  <c r="AL222" i="11"/>
  <c r="AR222" i="11"/>
  <c r="AE222" i="11"/>
  <c r="X222" i="11"/>
  <c r="AL220" i="11"/>
  <c r="AR220" i="11"/>
  <c r="AE220" i="11"/>
  <c r="X220" i="11"/>
  <c r="AL229" i="11"/>
  <c r="AR229" i="11"/>
  <c r="AE229" i="11"/>
  <c r="X229" i="11"/>
  <c r="AH31" i="1"/>
  <c r="AG32" i="1"/>
  <c r="AG33" i="1"/>
  <c r="AC22" i="1"/>
  <c r="AC25" i="1"/>
  <c r="AC23" i="1"/>
  <c r="AC24" i="1"/>
  <c r="AN238" i="11"/>
  <c r="AS238" i="11"/>
  <c r="AD238" i="11"/>
  <c r="W238" i="11"/>
  <c r="AM231" i="11"/>
  <c r="AT231" i="11"/>
  <c r="AB231" i="11"/>
  <c r="U231" i="11"/>
  <c r="AN232" i="11"/>
  <c r="AS232" i="11"/>
  <c r="AD232" i="11"/>
  <c r="W232" i="11"/>
  <c r="AK236" i="11"/>
  <c r="AG236" i="11"/>
  <c r="Z236" i="11"/>
  <c r="AN242" i="11"/>
  <c r="AS242" i="11"/>
  <c r="AD242" i="11"/>
  <c r="W242" i="11"/>
  <c r="AN235" i="11"/>
  <c r="AS235" i="11"/>
  <c r="AD235" i="11"/>
  <c r="W235" i="11"/>
  <c r="AN236" i="11"/>
  <c r="AS236" i="11"/>
  <c r="AD236" i="11"/>
  <c r="W236" i="11"/>
  <c r="U220" i="11"/>
  <c r="BX18" i="10"/>
  <c r="BW19" i="10"/>
  <c r="O1" i="10"/>
  <c r="AN225" i="10"/>
  <c r="AN242" i="10"/>
  <c r="AN217" i="10"/>
  <c r="AN221" i="10"/>
  <c r="AN212" i="10"/>
  <c r="AN227" i="10"/>
  <c r="AN230" i="10"/>
  <c r="AN204" i="10"/>
  <c r="AN239" i="10"/>
  <c r="AN207" i="10"/>
  <c r="AN236" i="10"/>
  <c r="AN232" i="10"/>
  <c r="AN234" i="10"/>
  <c r="AN210" i="10"/>
  <c r="AN235" i="10"/>
  <c r="AN203" i="10"/>
  <c r="AN216" i="10"/>
  <c r="AN222" i="10"/>
  <c r="AN246" i="10"/>
  <c r="AN244" i="10"/>
  <c r="AN214" i="10"/>
  <c r="AN228" i="10"/>
  <c r="AN248" i="10"/>
  <c r="AN223" i="10"/>
  <c r="AN224" i="10"/>
  <c r="AN218" i="10"/>
  <c r="AN209" i="10"/>
  <c r="AN241" i="10"/>
  <c r="AN213" i="10"/>
  <c r="AN238" i="10"/>
  <c r="AN206" i="10"/>
  <c r="AN240" i="10"/>
  <c r="AN226" i="10"/>
  <c r="AN220" i="10"/>
  <c r="AN208" i="10"/>
  <c r="AK18" i="11"/>
  <c r="AG18" i="11"/>
  <c r="Z18" i="11"/>
  <c r="AK220" i="11"/>
  <c r="AG220" i="11"/>
  <c r="Z220" i="11"/>
  <c r="AK55" i="11"/>
  <c r="AG55" i="11"/>
  <c r="Z55" i="11"/>
  <c r="AK225" i="11"/>
  <c r="AG225" i="11"/>
  <c r="Z225" i="11"/>
  <c r="AK204" i="11"/>
  <c r="AG204" i="11"/>
  <c r="Z204" i="11"/>
  <c r="AK23" i="11"/>
  <c r="AG23" i="11"/>
  <c r="Z23" i="11"/>
  <c r="AK33" i="11"/>
  <c r="AG33" i="11"/>
  <c r="Z33" i="11"/>
  <c r="AK223" i="11"/>
  <c r="AG223" i="11"/>
  <c r="Z223" i="11"/>
  <c r="AK50" i="11"/>
  <c r="AG50" i="11"/>
  <c r="Z50" i="11"/>
  <c r="AK125" i="11"/>
  <c r="AG125" i="11"/>
  <c r="Z125" i="11"/>
  <c r="AN245" i="10"/>
  <c r="AN229" i="10"/>
  <c r="AK8" i="11"/>
  <c r="AG8" i="11"/>
  <c r="Z8" i="11"/>
  <c r="AN233" i="10"/>
  <c r="AN237" i="10"/>
  <c r="AK77" i="11"/>
  <c r="AG77" i="11"/>
  <c r="Z77" i="11"/>
  <c r="AK99" i="11"/>
  <c r="AG99" i="11"/>
  <c r="Z99" i="11"/>
  <c r="AK173" i="11"/>
  <c r="AG173" i="11"/>
  <c r="Z173" i="11"/>
  <c r="AK112" i="11"/>
  <c r="AG112" i="11"/>
  <c r="Z112" i="11"/>
  <c r="AK45" i="11"/>
  <c r="AG45" i="11"/>
  <c r="Z45" i="11"/>
  <c r="AK93" i="11"/>
  <c r="AG93" i="11"/>
  <c r="Z93" i="11"/>
  <c r="AK70" i="11"/>
  <c r="AG70" i="11"/>
  <c r="Z70" i="11"/>
  <c r="AK166" i="11"/>
  <c r="AG166" i="11"/>
  <c r="Z166" i="11"/>
  <c r="AK27" i="11"/>
  <c r="AG27" i="11"/>
  <c r="Z27" i="11"/>
  <c r="AK241" i="11"/>
  <c r="AG241" i="11"/>
  <c r="Z241" i="11"/>
  <c r="AK69" i="11"/>
  <c r="AG69" i="11"/>
  <c r="Z69" i="11"/>
  <c r="AK85" i="11"/>
  <c r="AG85" i="11"/>
  <c r="Z85" i="11"/>
  <c r="AK105" i="11"/>
  <c r="AG105" i="11"/>
  <c r="Z105" i="11"/>
  <c r="AK169" i="11"/>
  <c r="AG169" i="11"/>
  <c r="Z169" i="11"/>
  <c r="AK101" i="11"/>
  <c r="AG101" i="11"/>
  <c r="Z101" i="11"/>
  <c r="AK181" i="11"/>
  <c r="AG181" i="11"/>
  <c r="Z181" i="11"/>
  <c r="AK213" i="11"/>
  <c r="AG213" i="11"/>
  <c r="Z213" i="11"/>
  <c r="AK229" i="11"/>
  <c r="AG229" i="11"/>
  <c r="Z229" i="11"/>
  <c r="AN219" i="10"/>
  <c r="AK81" i="11"/>
  <c r="AG81" i="11"/>
  <c r="Z81" i="11"/>
  <c r="AK118" i="11"/>
  <c r="AG118" i="11"/>
  <c r="Z118" i="11"/>
  <c r="AK216" i="11"/>
  <c r="AG216" i="11"/>
  <c r="Z216" i="11"/>
  <c r="AK140" i="11"/>
  <c r="AG140" i="11"/>
  <c r="Z140" i="11"/>
  <c r="AK157" i="11"/>
  <c r="AG157" i="11"/>
  <c r="Z157" i="11"/>
  <c r="AK198" i="11"/>
  <c r="AG198" i="11"/>
  <c r="Z198" i="11"/>
  <c r="AK43" i="11"/>
  <c r="AG43" i="11"/>
  <c r="Z43" i="11"/>
  <c r="AN202" i="10"/>
  <c r="AN205" i="10"/>
  <c r="AN243" i="10"/>
  <c r="AN211" i="10"/>
  <c r="X221" i="11"/>
  <c r="AK73" i="11"/>
  <c r="AG73" i="11"/>
  <c r="Z73" i="11"/>
  <c r="AK165" i="11"/>
  <c r="AG165" i="11"/>
  <c r="Z165" i="11"/>
  <c r="AK185" i="11"/>
  <c r="AG185" i="11"/>
  <c r="Z185" i="11"/>
  <c r="AK78" i="11"/>
  <c r="AG78" i="11"/>
  <c r="Z78" i="11"/>
  <c r="AK86" i="11"/>
  <c r="AG86" i="11"/>
  <c r="Z86" i="11"/>
  <c r="AK102" i="11"/>
  <c r="AG102" i="11"/>
  <c r="Z102" i="11"/>
  <c r="AK108" i="11"/>
  <c r="AG108" i="11"/>
  <c r="Z108" i="11"/>
  <c r="AK156" i="11"/>
  <c r="AG156" i="11"/>
  <c r="Z156" i="11"/>
  <c r="AK226" i="11"/>
  <c r="AG226" i="11"/>
  <c r="Z226" i="11"/>
  <c r="AK15" i="11"/>
  <c r="AG15" i="11"/>
  <c r="Z15" i="11"/>
  <c r="AK113" i="11"/>
  <c r="AG113" i="11"/>
  <c r="Z113" i="11"/>
  <c r="AK141" i="11"/>
  <c r="AG141" i="11"/>
  <c r="Z141" i="11"/>
  <c r="AK161" i="11"/>
  <c r="AG161" i="11"/>
  <c r="Z161" i="11"/>
  <c r="AK177" i="11"/>
  <c r="AG177" i="11"/>
  <c r="Z177" i="11"/>
  <c r="AN247" i="10"/>
  <c r="AN231" i="10"/>
  <c r="AN215" i="10"/>
  <c r="AN153" i="10"/>
  <c r="AN28" i="10"/>
  <c r="AK44" i="11"/>
  <c r="AG44" i="11"/>
  <c r="Z44" i="11"/>
  <c r="AK54" i="11"/>
  <c r="AG54" i="11"/>
  <c r="Z54" i="11"/>
  <c r="AK66" i="11"/>
  <c r="AG66" i="11"/>
  <c r="Z66" i="11"/>
  <c r="AK75" i="11"/>
  <c r="AG75" i="11"/>
  <c r="Z75" i="11"/>
  <c r="AK83" i="11"/>
  <c r="AG83" i="11"/>
  <c r="Z83" i="11"/>
  <c r="AK191" i="11"/>
  <c r="AG191" i="11"/>
  <c r="Z191" i="11"/>
  <c r="AK74" i="11"/>
  <c r="AG74" i="11"/>
  <c r="Z74" i="11"/>
  <c r="AK144" i="11"/>
  <c r="AG144" i="11"/>
  <c r="Z144" i="11"/>
  <c r="AK148" i="11"/>
  <c r="AG148" i="11"/>
  <c r="Z148" i="11"/>
  <c r="AK152" i="11"/>
  <c r="AG152" i="11"/>
  <c r="Z152" i="11"/>
  <c r="AK186" i="11"/>
  <c r="AG186" i="11"/>
  <c r="Z186" i="11"/>
  <c r="AK87" i="11"/>
  <c r="AG87" i="11"/>
  <c r="Z87" i="11"/>
  <c r="AK207" i="11"/>
  <c r="AG207" i="11"/>
  <c r="Z207" i="11"/>
  <c r="AK215" i="11"/>
  <c r="AG215" i="11"/>
  <c r="Z215" i="11"/>
  <c r="AC200" i="11"/>
  <c r="V200" i="11"/>
  <c r="AC202" i="11"/>
  <c r="V202" i="11"/>
  <c r="AC203" i="11"/>
  <c r="V203" i="11"/>
  <c r="AC225" i="11"/>
  <c r="V225" i="11"/>
  <c r="AC229" i="11"/>
  <c r="V229" i="11"/>
  <c r="AC231" i="11"/>
  <c r="V231" i="11"/>
  <c r="AD7" i="11"/>
  <c r="W7" i="11"/>
  <c r="AC204" i="11"/>
  <c r="V204" i="11"/>
  <c r="AC214" i="11"/>
  <c r="V214" i="11"/>
  <c r="AC216" i="11"/>
  <c r="V216" i="11"/>
  <c r="AC224" i="11"/>
  <c r="V224" i="11"/>
  <c r="AC238" i="11"/>
  <c r="V238" i="11"/>
  <c r="AC201" i="11"/>
  <c r="V201" i="11"/>
  <c r="AC215" i="11"/>
  <c r="V215" i="11"/>
  <c r="AC217" i="11"/>
  <c r="V217" i="11"/>
  <c r="AC245" i="11"/>
  <c r="V245" i="11"/>
  <c r="AK7" i="11"/>
  <c r="AG7" i="11"/>
  <c r="Z7" i="11"/>
  <c r="AN70" i="10"/>
  <c r="AN13" i="10"/>
  <c r="AN122" i="10"/>
  <c r="AN97" i="10"/>
  <c r="AN129" i="10"/>
  <c r="AN14" i="10"/>
  <c r="AN109" i="10"/>
  <c r="AN173" i="10"/>
  <c r="AN33" i="10"/>
  <c r="AN102" i="10"/>
  <c r="AN142" i="10"/>
  <c r="AN23" i="10"/>
  <c r="AN19" i="10"/>
  <c r="AN170" i="10"/>
  <c r="AN164" i="10"/>
  <c r="AN136" i="10"/>
  <c r="AN80" i="10"/>
  <c r="AN16" i="10"/>
  <c r="AN195" i="10"/>
  <c r="AN179" i="10"/>
  <c r="AN147" i="10"/>
  <c r="AN131" i="10"/>
  <c r="AN115" i="10"/>
  <c r="AN83" i="10"/>
  <c r="AN67" i="10"/>
  <c r="AN51" i="10"/>
  <c r="AN35" i="10"/>
  <c r="AN196" i="10"/>
  <c r="AN152" i="10"/>
  <c r="AN108" i="10"/>
  <c r="AN76" i="10"/>
  <c r="AN44" i="10"/>
  <c r="AN94" i="10"/>
  <c r="AN198" i="10"/>
  <c r="AN50" i="10"/>
  <c r="AN90" i="10"/>
  <c r="AN146" i="10"/>
  <c r="AN41" i="10"/>
  <c r="AN73" i="10"/>
  <c r="AN105" i="10"/>
  <c r="AN137" i="10"/>
  <c r="AN177" i="10"/>
  <c r="AN25" i="10"/>
  <c r="AN21" i="10"/>
  <c r="AN53" i="10"/>
  <c r="AN85" i="10"/>
  <c r="AN117" i="10"/>
  <c r="AN149" i="10"/>
  <c r="AN181" i="10"/>
  <c r="AN17" i="10"/>
  <c r="AN62" i="10"/>
  <c r="AN110" i="10"/>
  <c r="AN158" i="10"/>
  <c r="AN114" i="10"/>
  <c r="AN186" i="10"/>
  <c r="AN184" i="10"/>
  <c r="AN156" i="10"/>
  <c r="AN128" i="10"/>
  <c r="AN104" i="10"/>
  <c r="AN72" i="10"/>
  <c r="AN10" i="10"/>
  <c r="AN12" i="10"/>
  <c r="AN191" i="10"/>
  <c r="AN175" i="10"/>
  <c r="AN159" i="10"/>
  <c r="AN143" i="10"/>
  <c r="AN127" i="10"/>
  <c r="AN111" i="10"/>
  <c r="AN95" i="10"/>
  <c r="AN79" i="10"/>
  <c r="AN63" i="10"/>
  <c r="AN180" i="10"/>
  <c r="AN144" i="10"/>
  <c r="AN100" i="10"/>
  <c r="AN68" i="10"/>
  <c r="AN40" i="10"/>
  <c r="AN11" i="10"/>
  <c r="AN174" i="10"/>
  <c r="AN74" i="10"/>
  <c r="AN65" i="10"/>
  <c r="AN201" i="10"/>
  <c r="AN45" i="10"/>
  <c r="AN141" i="10"/>
  <c r="AN54" i="10"/>
  <c r="AN190" i="10"/>
  <c r="AN82" i="10"/>
  <c r="AN188" i="10"/>
  <c r="AN112" i="10"/>
  <c r="AN48" i="10"/>
  <c r="AN163" i="10"/>
  <c r="AN99" i="10"/>
  <c r="AN126" i="10"/>
  <c r="AN58" i="10"/>
  <c r="AN98" i="10"/>
  <c r="AN162" i="10"/>
  <c r="AN49" i="10"/>
  <c r="AN81" i="10"/>
  <c r="AN113" i="10"/>
  <c r="AN145" i="10"/>
  <c r="AN185" i="10"/>
  <c r="AN130" i="10"/>
  <c r="AN61" i="10"/>
  <c r="AN93" i="10"/>
  <c r="AN125" i="10"/>
  <c r="AN157" i="10"/>
  <c r="AN189" i="10"/>
  <c r="AN22" i="10"/>
  <c r="AN78" i="10"/>
  <c r="AN118" i="10"/>
  <c r="AN166" i="10"/>
  <c r="AN29" i="10"/>
  <c r="AN138" i="10"/>
  <c r="AN15" i="10"/>
  <c r="AN200" i="10"/>
  <c r="AN176" i="10"/>
  <c r="AN148" i="10"/>
  <c r="AN124" i="10"/>
  <c r="AN96" i="10"/>
  <c r="AN64" i="10"/>
  <c r="AN24" i="10"/>
  <c r="AN30" i="10"/>
  <c r="AN187" i="10"/>
  <c r="AN171" i="10"/>
  <c r="AN155" i="10"/>
  <c r="AN139" i="10"/>
  <c r="AN123" i="10"/>
  <c r="AN107" i="10"/>
  <c r="AN91" i="10"/>
  <c r="AN75" i="10"/>
  <c r="AN59" i="10"/>
  <c r="AN43" i="10"/>
  <c r="AN172" i="10"/>
  <c r="AN132" i="10"/>
  <c r="AN92" i="10"/>
  <c r="AN60" i="10"/>
  <c r="AN36" i="10"/>
  <c r="AN42" i="10"/>
  <c r="AN26" i="10"/>
  <c r="AN161" i="10"/>
  <c r="AN77" i="10"/>
  <c r="AN46" i="10"/>
  <c r="AN150" i="10"/>
  <c r="AN34" i="10"/>
  <c r="AN66" i="10"/>
  <c r="AN106" i="10"/>
  <c r="AN178" i="10"/>
  <c r="AN32" i="10"/>
  <c r="AN57" i="10"/>
  <c r="AN89" i="10"/>
  <c r="AN121" i="10"/>
  <c r="AN193" i="10"/>
  <c r="AN31" i="10"/>
  <c r="AN194" i="10"/>
  <c r="AN37" i="10"/>
  <c r="AN69" i="10"/>
  <c r="AN101" i="10"/>
  <c r="AN133" i="10"/>
  <c r="AN165" i="10"/>
  <c r="AN197" i="10"/>
  <c r="AN27" i="10"/>
  <c r="AN38" i="10"/>
  <c r="AN86" i="10"/>
  <c r="AN134" i="10"/>
  <c r="AN182" i="10"/>
  <c r="AN18" i="10"/>
  <c r="AN169" i="10"/>
  <c r="AN154" i="10"/>
  <c r="AN192" i="10"/>
  <c r="AN168" i="10"/>
  <c r="AN140" i="10"/>
  <c r="AN116" i="10"/>
  <c r="AN88" i="10"/>
  <c r="AN56" i="10"/>
  <c r="AN20" i="10"/>
  <c r="AN199" i="10"/>
  <c r="AN183" i="10"/>
  <c r="AN167" i="10"/>
  <c r="AN151" i="10"/>
  <c r="AN135" i="10"/>
  <c r="AN119" i="10"/>
  <c r="AN103" i="10"/>
  <c r="AN87" i="10"/>
  <c r="AN71" i="10"/>
  <c r="AN55" i="10"/>
  <c r="AN39" i="10"/>
  <c r="AN160" i="10"/>
  <c r="AN120" i="10"/>
  <c r="AN84" i="10"/>
  <c r="AN52" i="10"/>
  <c r="AN47" i="10"/>
  <c r="AN9" i="10"/>
  <c r="C45" i="10"/>
  <c r="C49" i="10"/>
  <c r="C50" i="10"/>
  <c r="C55" i="10"/>
  <c r="C52" i="10"/>
  <c r="C58" i="10"/>
  <c r="C56" i="10"/>
  <c r="C47" i="10"/>
  <c r="C48" i="10"/>
  <c r="C66" i="10"/>
  <c r="C51" i="10"/>
  <c r="C53" i="10"/>
  <c r="M69" i="9"/>
  <c r="V45" i="1" a="1"/>
  <c r="V45" i="1"/>
  <c r="U44" i="1" a="1"/>
  <c r="U44" i="1"/>
  <c r="J68" i="9"/>
  <c r="L68" i="9"/>
  <c r="U43" i="1" a="1"/>
  <c r="U43" i="1"/>
  <c r="K69" i="9"/>
  <c r="V42" i="1" a="1"/>
  <c r="V42" i="1"/>
  <c r="X223" i="11"/>
  <c r="AD23" i="1"/>
  <c r="AD24" i="1"/>
  <c r="AD25" i="1"/>
  <c r="AD22" i="1"/>
  <c r="AF19" i="1"/>
  <c r="AE21" i="1"/>
  <c r="AE28" i="1"/>
  <c r="AM233" i="11"/>
  <c r="AT233" i="11"/>
  <c r="AB233" i="11"/>
  <c r="U233" i="11"/>
  <c r="AM237" i="11"/>
  <c r="AT237" i="11"/>
  <c r="AB237" i="11"/>
  <c r="U237" i="11"/>
  <c r="AM236" i="11"/>
  <c r="AT236" i="11"/>
  <c r="AB236" i="11"/>
  <c r="U236" i="11"/>
  <c r="AM238" i="11"/>
  <c r="AT238" i="11"/>
  <c r="AB238" i="11"/>
  <c r="U238" i="11"/>
  <c r="AM240" i="11"/>
  <c r="AT240" i="11"/>
  <c r="AB240" i="11"/>
  <c r="U240" i="11"/>
  <c r="AM235" i="11"/>
  <c r="AT235" i="11"/>
  <c r="AB235" i="11"/>
  <c r="U235" i="11"/>
  <c r="AM243" i="11"/>
  <c r="AT243" i="11"/>
  <c r="AB243" i="11"/>
  <c r="U243" i="11"/>
  <c r="AM241" i="11"/>
  <c r="AT241" i="11"/>
  <c r="AB241" i="11"/>
  <c r="U241" i="11"/>
  <c r="AM239" i="11"/>
  <c r="AT239" i="11"/>
  <c r="AB239" i="11"/>
  <c r="U239" i="11"/>
  <c r="AM234" i="11"/>
  <c r="AT234" i="11"/>
  <c r="AB234" i="11"/>
  <c r="U234" i="11"/>
  <c r="AM232" i="11"/>
  <c r="AT232" i="11"/>
  <c r="AB232" i="11"/>
  <c r="U232" i="11"/>
  <c r="AM242" i="11"/>
  <c r="AT242" i="11"/>
  <c r="AB242" i="11"/>
  <c r="U242" i="11"/>
  <c r="K70" i="9"/>
  <c r="K71" i="9"/>
  <c r="K72" i="9"/>
  <c r="K73" i="9"/>
  <c r="K74" i="9"/>
  <c r="K75" i="9"/>
  <c r="K76" i="9"/>
  <c r="K77" i="9"/>
  <c r="AK246" i="11"/>
  <c r="AG246" i="11"/>
  <c r="Z246" i="11"/>
  <c r="AK244" i="11"/>
  <c r="AG244" i="11"/>
  <c r="Z244" i="11"/>
  <c r="AK245" i="11"/>
  <c r="AG245" i="11"/>
  <c r="Z245" i="11"/>
  <c r="AL238" i="11"/>
  <c r="AR238" i="11"/>
  <c r="AE238" i="11"/>
  <c r="X238" i="11"/>
  <c r="AL242" i="11"/>
  <c r="AR242" i="11"/>
  <c r="AE242" i="11"/>
  <c r="X242" i="11"/>
  <c r="AL241" i="11"/>
  <c r="AR241" i="11"/>
  <c r="AE241" i="11"/>
  <c r="X241" i="11"/>
  <c r="AL236" i="11"/>
  <c r="AR236" i="11"/>
  <c r="AE236" i="11"/>
  <c r="X236" i="11"/>
  <c r="AL233" i="11"/>
  <c r="AR233" i="11"/>
  <c r="AE233" i="11"/>
  <c r="X233" i="11"/>
  <c r="AL240" i="11"/>
  <c r="AR240" i="11"/>
  <c r="AE240" i="11"/>
  <c r="X240" i="11"/>
  <c r="AL239" i="11"/>
  <c r="AR239" i="11"/>
  <c r="AE239" i="11"/>
  <c r="X239" i="11"/>
  <c r="AL235" i="11"/>
  <c r="AR235" i="11"/>
  <c r="AE235" i="11"/>
  <c r="X235" i="11"/>
  <c r="AL237" i="11"/>
  <c r="AR237" i="11"/>
  <c r="AE237" i="11"/>
  <c r="X237" i="11"/>
  <c r="AL232" i="11"/>
  <c r="AR232" i="11"/>
  <c r="AE232" i="11"/>
  <c r="X232" i="11"/>
  <c r="AL234" i="11"/>
  <c r="AR234" i="11"/>
  <c r="AE234" i="11"/>
  <c r="X234" i="11"/>
  <c r="AL243" i="11"/>
  <c r="AR243" i="11"/>
  <c r="AE243" i="11"/>
  <c r="X243" i="11"/>
  <c r="AH32" i="1"/>
  <c r="AH33" i="1"/>
  <c r="AI31" i="1"/>
  <c r="M70" i="9"/>
  <c r="M71" i="9"/>
  <c r="M72" i="9"/>
  <c r="M73" i="9"/>
  <c r="M74" i="9"/>
  <c r="M75" i="9"/>
  <c r="M76" i="9"/>
  <c r="M77" i="9"/>
  <c r="AN245" i="11"/>
  <c r="AS245" i="11"/>
  <c r="AD245" i="11"/>
  <c r="W245" i="11"/>
  <c r="AN246" i="11"/>
  <c r="AS246" i="11"/>
  <c r="AD246" i="11"/>
  <c r="W246" i="11"/>
  <c r="AN244" i="11"/>
  <c r="AS244" i="11"/>
  <c r="AD244" i="11"/>
  <c r="W244" i="11"/>
  <c r="BX19" i="10"/>
  <c r="BW20" i="10"/>
  <c r="C57" i="10"/>
  <c r="C61" i="10"/>
  <c r="C62" i="10"/>
  <c r="C63" i="10"/>
  <c r="C65" i="10"/>
  <c r="C60" i="10"/>
  <c r="C68" i="10"/>
  <c r="C78" i="10"/>
  <c r="C59" i="10"/>
  <c r="C70" i="10"/>
  <c r="C64" i="10"/>
  <c r="C67" i="10"/>
  <c r="V44" i="1" a="1"/>
  <c r="V44" i="1"/>
  <c r="J69" i="9"/>
  <c r="L69" i="9"/>
  <c r="V43" i="1" a="1"/>
  <c r="V43" i="1"/>
  <c r="AI32" i="1"/>
  <c r="AI33" i="1"/>
  <c r="AJ31" i="1"/>
  <c r="AE24" i="1"/>
  <c r="AE25" i="1"/>
  <c r="AE22" i="1"/>
  <c r="AE23" i="1"/>
  <c r="AG19" i="1"/>
  <c r="AF28" i="1"/>
  <c r="AF21" i="1"/>
  <c r="L70" i="9"/>
  <c r="L71" i="9"/>
  <c r="L72" i="9"/>
  <c r="L73" i="9"/>
  <c r="L74" i="9"/>
  <c r="L75" i="9"/>
  <c r="L76" i="9"/>
  <c r="L77" i="9"/>
  <c r="AL244" i="11"/>
  <c r="AR244" i="11"/>
  <c r="AE244" i="11"/>
  <c r="X244" i="11"/>
  <c r="AL246" i="11"/>
  <c r="AR246" i="11"/>
  <c r="AE246" i="11"/>
  <c r="X246" i="11"/>
  <c r="AL245" i="11"/>
  <c r="AR245" i="11"/>
  <c r="AE245" i="11"/>
  <c r="X245" i="11"/>
  <c r="J70" i="9"/>
  <c r="J71" i="9"/>
  <c r="J72" i="9"/>
  <c r="J73" i="9"/>
  <c r="J74" i="9"/>
  <c r="J75" i="9"/>
  <c r="J76" i="9"/>
  <c r="J77" i="9"/>
  <c r="AM245" i="11"/>
  <c r="AT245" i="11"/>
  <c r="AB245" i="11"/>
  <c r="U245" i="11"/>
  <c r="AM244" i="11"/>
  <c r="AT244" i="11"/>
  <c r="AB244" i="11"/>
  <c r="U244" i="11"/>
  <c r="AM246" i="11"/>
  <c r="AT246" i="11"/>
  <c r="AB246" i="11"/>
  <c r="U246" i="11"/>
  <c r="BX20" i="10"/>
  <c r="BW21" i="10"/>
  <c r="C69" i="10"/>
  <c r="C73" i="10"/>
  <c r="C74" i="10"/>
  <c r="C79" i="10"/>
  <c r="C82" i="10"/>
  <c r="C71" i="10"/>
  <c r="C72" i="10"/>
  <c r="C75" i="10"/>
  <c r="C77" i="10"/>
  <c r="C76" i="10"/>
  <c r="C90" i="10"/>
  <c r="C80" i="10"/>
  <c r="AH19" i="1"/>
  <c r="AG28" i="1"/>
  <c r="AG21" i="1"/>
  <c r="AK31" i="1"/>
  <c r="AK32" i="1"/>
  <c r="AK33" i="1"/>
  <c r="AJ32" i="1"/>
  <c r="AJ33" i="1"/>
  <c r="AE34" i="1"/>
  <c r="AF23" i="1"/>
  <c r="AF25" i="1"/>
  <c r="AF24" i="1"/>
  <c r="AF22" i="1"/>
  <c r="BX21" i="10"/>
  <c r="BW22" i="10"/>
  <c r="C81" i="10"/>
  <c r="C86" i="10"/>
  <c r="C85" i="10"/>
  <c r="C89" i="10"/>
  <c r="C83" i="10"/>
  <c r="C91" i="10"/>
  <c r="C102" i="10"/>
  <c r="C88" i="10"/>
  <c r="C92" i="10"/>
  <c r="C94" i="10"/>
  <c r="C87" i="10"/>
  <c r="C84" i="10"/>
  <c r="AG22" i="1"/>
  <c r="AG25" i="1"/>
  <c r="AG23" i="1"/>
  <c r="AG24" i="1"/>
  <c r="AI19" i="1"/>
  <c r="AH21" i="1"/>
  <c r="BX22" i="10"/>
  <c r="BW23" i="10"/>
  <c r="C93" i="10"/>
  <c r="C97" i="10"/>
  <c r="C98" i="10"/>
  <c r="C99" i="10"/>
  <c r="C106" i="10"/>
  <c r="C104" i="10"/>
  <c r="C100" i="10"/>
  <c r="C95" i="10"/>
  <c r="C101" i="10"/>
  <c r="C96" i="10"/>
  <c r="C114" i="10"/>
  <c r="C103" i="10"/>
  <c r="AH24" i="1"/>
  <c r="AH22" i="1"/>
  <c r="AH25" i="1"/>
  <c r="AH23" i="1"/>
  <c r="AJ19" i="1"/>
  <c r="AI21" i="1"/>
  <c r="BX23" i="10"/>
  <c r="BW24" i="10"/>
  <c r="C105" i="10"/>
  <c r="C109" i="10"/>
  <c r="C110" i="10"/>
  <c r="C108" i="10"/>
  <c r="C112" i="10"/>
  <c r="C118" i="10"/>
  <c r="C115" i="10"/>
  <c r="C113" i="10"/>
  <c r="C107" i="10"/>
  <c r="C116" i="10"/>
  <c r="C126" i="10"/>
  <c r="C111" i="10"/>
  <c r="AI24" i="1"/>
  <c r="AI25" i="1"/>
  <c r="AI23" i="1"/>
  <c r="AI22" i="1"/>
  <c r="AK19" i="1"/>
  <c r="AJ21" i="1"/>
  <c r="BX24" i="10"/>
  <c r="BW25" i="10"/>
  <c r="C117" i="10"/>
  <c r="C122" i="10"/>
  <c r="C121" i="10"/>
  <c r="C123" i="10"/>
  <c r="C138" i="10"/>
  <c r="C119" i="10"/>
  <c r="C125" i="10"/>
  <c r="C124" i="10"/>
  <c r="C128" i="10"/>
  <c r="C130" i="10"/>
  <c r="C127" i="10"/>
  <c r="C120" i="10"/>
  <c r="AJ23" i="1"/>
  <c r="AJ25" i="1"/>
  <c r="AJ22" i="1"/>
  <c r="AJ24" i="1"/>
  <c r="AL19" i="1"/>
  <c r="AK21" i="1"/>
  <c r="BX25" i="10"/>
  <c r="BW26" i="10"/>
  <c r="C129" i="10"/>
  <c r="C133" i="10"/>
  <c r="C134" i="10"/>
  <c r="C132" i="10"/>
  <c r="C139" i="10"/>
  <c r="C142" i="10"/>
  <c r="C131" i="10"/>
  <c r="C140" i="10"/>
  <c r="C150" i="10"/>
  <c r="C136" i="10"/>
  <c r="C137" i="10"/>
  <c r="C135" i="10"/>
  <c r="AK22" i="1"/>
  <c r="AK25" i="1"/>
  <c r="AK23" i="1"/>
  <c r="AK24" i="1"/>
  <c r="AM19" i="1"/>
  <c r="AL21" i="1"/>
  <c r="BX26" i="10"/>
  <c r="BW27" i="10"/>
  <c r="C141" i="10"/>
  <c r="C145" i="10"/>
  <c r="C146" i="10"/>
  <c r="C152" i="10"/>
  <c r="C149" i="10"/>
  <c r="C154" i="10"/>
  <c r="C162" i="10"/>
  <c r="C151" i="10"/>
  <c r="C148" i="10"/>
  <c r="C147" i="10"/>
  <c r="C143" i="10"/>
  <c r="C144" i="10"/>
  <c r="AL23" i="1"/>
  <c r="AL24" i="1"/>
  <c r="AL25" i="1"/>
  <c r="AL22" i="1"/>
  <c r="AN19" i="1"/>
  <c r="AM21" i="1"/>
  <c r="BX27" i="10"/>
  <c r="BW28" i="10"/>
  <c r="C153" i="10"/>
  <c r="C157" i="10"/>
  <c r="C158" i="10"/>
  <c r="C156" i="10"/>
  <c r="C159" i="10"/>
  <c r="C163" i="10"/>
  <c r="C155" i="10"/>
  <c r="C160" i="10"/>
  <c r="C166" i="10"/>
  <c r="C164" i="10"/>
  <c r="C174" i="10"/>
  <c r="C161" i="10"/>
  <c r="AM24" i="1"/>
  <c r="AM25" i="1"/>
  <c r="AM23" i="1"/>
  <c r="AM22" i="1"/>
  <c r="AO19" i="1"/>
  <c r="AN21" i="1"/>
  <c r="BX28" i="10"/>
  <c r="BW29" i="10"/>
  <c r="C165" i="10"/>
  <c r="C169" i="10"/>
  <c r="C170" i="10"/>
  <c r="C178" i="10"/>
  <c r="C167" i="10"/>
  <c r="C186" i="10"/>
  <c r="C171" i="10"/>
  <c r="C172" i="10"/>
  <c r="C175" i="10"/>
  <c r="C173" i="10"/>
  <c r="C176" i="10"/>
  <c r="C168" i="10"/>
  <c r="AN23" i="1"/>
  <c r="AN25" i="1"/>
  <c r="AN24" i="1"/>
  <c r="AN22" i="1"/>
  <c r="AO21" i="1"/>
  <c r="AP19" i="1"/>
  <c r="BX29" i="10"/>
  <c r="BW30" i="10"/>
  <c r="C177" i="10"/>
  <c r="C182" i="10"/>
  <c r="C181" i="10"/>
  <c r="C179" i="10"/>
  <c r="C190" i="10"/>
  <c r="C188" i="10"/>
  <c r="C185" i="10"/>
  <c r="C184" i="10"/>
  <c r="C198" i="10"/>
  <c r="C180" i="10"/>
  <c r="C183" i="10"/>
  <c r="C187" i="10"/>
  <c r="AQ19" i="1"/>
  <c r="AP21" i="1"/>
  <c r="AO22" i="1"/>
  <c r="AO25" i="1"/>
  <c r="AO24" i="1"/>
  <c r="AO23" i="1"/>
  <c r="BX30" i="10"/>
  <c r="BW31" i="10"/>
  <c r="C189" i="10"/>
  <c r="C194" i="10"/>
  <c r="C193" i="10"/>
  <c r="C200" i="10"/>
  <c r="C202" i="10"/>
  <c r="C199" i="10"/>
  <c r="C196" i="10"/>
  <c r="C195" i="10"/>
  <c r="C191" i="10"/>
  <c r="C192" i="10"/>
  <c r="C210" i="10"/>
  <c r="C197" i="10"/>
  <c r="AP24" i="1"/>
  <c r="AP25" i="1"/>
  <c r="AP23" i="1"/>
  <c r="AP22" i="1"/>
  <c r="AR19" i="1"/>
  <c r="AQ21" i="1"/>
  <c r="BX31" i="10"/>
  <c r="BW32" i="10"/>
  <c r="C201" i="10"/>
  <c r="C205" i="10"/>
  <c r="C206" i="10"/>
  <c r="C204" i="10"/>
  <c r="C207" i="10"/>
  <c r="C222" i="10"/>
  <c r="C208" i="10"/>
  <c r="C214" i="10"/>
  <c r="C209" i="10"/>
  <c r="C203" i="10"/>
  <c r="C211" i="10"/>
  <c r="C212" i="10"/>
  <c r="AQ24" i="1"/>
  <c r="AQ25" i="1"/>
  <c r="AQ23" i="1"/>
  <c r="AQ22" i="1"/>
  <c r="AS19" i="1"/>
  <c r="AR21" i="1"/>
  <c r="BX32" i="10"/>
  <c r="BW33" i="10"/>
  <c r="C213" i="10"/>
  <c r="C217" i="10"/>
  <c r="C218" i="10"/>
  <c r="C224" i="10"/>
  <c r="C226" i="10"/>
  <c r="C234" i="10"/>
  <c r="C219" i="10"/>
  <c r="C215" i="10"/>
  <c r="C221" i="10"/>
  <c r="C216" i="10"/>
  <c r="C223" i="10"/>
  <c r="C220" i="10"/>
  <c r="AR23" i="1"/>
  <c r="AR22" i="1"/>
  <c r="AR24" i="1"/>
  <c r="AR25" i="1"/>
  <c r="AT19" i="1"/>
  <c r="AS21" i="1"/>
  <c r="BX33" i="10"/>
  <c r="BW34" i="10"/>
  <c r="C225" i="10"/>
  <c r="C230" i="10"/>
  <c r="C229" i="10"/>
  <c r="C227" i="10"/>
  <c r="C231" i="10"/>
  <c r="C238" i="10"/>
  <c r="C228" i="10"/>
  <c r="C232" i="10"/>
  <c r="C235" i="10"/>
  <c r="C246" i="10"/>
  <c r="C236" i="10"/>
  <c r="C233" i="10"/>
  <c r="AS22" i="1"/>
  <c r="AS25" i="1"/>
  <c r="AS24" i="1"/>
  <c r="AS23" i="1"/>
  <c r="AU19" i="1"/>
  <c r="AT21" i="1"/>
  <c r="BX34" i="10"/>
  <c r="BW35" i="10"/>
  <c r="C237" i="10"/>
  <c r="C242" i="10"/>
  <c r="C241" i="10"/>
  <c r="C248" i="10"/>
  <c r="C243" i="10"/>
  <c r="C245" i="10"/>
  <c r="C240" i="10"/>
  <c r="C244" i="10"/>
  <c r="C247" i="10"/>
  <c r="C239" i="10"/>
  <c r="AT23" i="1"/>
  <c r="AT24" i="1"/>
  <c r="AT25" i="1"/>
  <c r="AT22" i="1"/>
  <c r="AV19" i="1"/>
  <c r="AU21" i="1"/>
  <c r="BX35" i="10"/>
  <c r="BW36" i="10"/>
  <c r="AW19" i="1"/>
  <c r="AV21" i="1"/>
  <c r="AU24" i="1"/>
  <c r="AU25" i="1"/>
  <c r="AU23" i="1"/>
  <c r="AU22" i="1"/>
  <c r="BX36" i="10"/>
  <c r="BW37" i="10"/>
  <c r="AV23" i="1"/>
  <c r="AV25" i="1"/>
  <c r="AV22" i="1"/>
  <c r="AV24" i="1"/>
  <c r="AX19" i="1"/>
  <c r="AW21" i="1"/>
  <c r="BX37" i="10"/>
  <c r="BW38" i="10"/>
  <c r="E30" i="8"/>
  <c r="C43" i="8"/>
  <c r="E34" i="8"/>
  <c r="C47" i="8"/>
  <c r="C48" i="8"/>
  <c r="C49" i="8"/>
  <c r="AW22" i="1"/>
  <c r="AW25" i="1"/>
  <c r="AW24" i="1"/>
  <c r="AW23" i="1"/>
  <c r="AY19" i="1"/>
  <c r="AX21" i="1"/>
  <c r="BX38" i="10"/>
  <c r="BW39" i="10"/>
  <c r="E31" i="8"/>
  <c r="D10" i="1"/>
  <c r="AX24" i="1"/>
  <c r="AX23" i="1"/>
  <c r="AX22" i="1"/>
  <c r="AX25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1" i="1"/>
  <c r="AY20" i="1"/>
  <c r="AZ1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E6" i="1"/>
  <c r="BX39" i="10"/>
  <c r="BW40" i="10"/>
  <c r="T20" i="1"/>
  <c r="P20" i="1"/>
  <c r="L20" i="1"/>
  <c r="H20" i="1"/>
  <c r="D20" i="1"/>
  <c r="S20" i="1"/>
  <c r="O20" i="1"/>
  <c r="G20" i="1"/>
  <c r="V20" i="1"/>
  <c r="R20" i="1"/>
  <c r="N20" i="1"/>
  <c r="J20" i="1"/>
  <c r="F20" i="1"/>
  <c r="U20" i="1"/>
  <c r="Q20" i="1"/>
  <c r="M20" i="1"/>
  <c r="I20" i="1"/>
  <c r="E20" i="1"/>
  <c r="K20" i="1"/>
  <c r="C20" i="1"/>
  <c r="C16" i="1"/>
  <c r="E6" i="8"/>
  <c r="D9" i="1"/>
  <c r="D4" i="1"/>
  <c r="D5" i="1"/>
  <c r="C4" i="1"/>
  <c r="C5" i="1"/>
  <c r="BA19" i="1"/>
  <c r="AZ21" i="1"/>
  <c r="AZ20" i="1"/>
  <c r="D14" i="1"/>
  <c r="D18" i="1"/>
  <c r="F6" i="1"/>
  <c r="AY24" i="1"/>
  <c r="AY23" i="1"/>
  <c r="AY25" i="1"/>
  <c r="AY22" i="1"/>
  <c r="BX40" i="10"/>
  <c r="BW41" i="10"/>
  <c r="E10" i="8"/>
  <c r="E9" i="1"/>
  <c r="E4" i="1"/>
  <c r="F9" i="1"/>
  <c r="D13" i="1"/>
  <c r="E12" i="1"/>
  <c r="F10" i="8"/>
  <c r="AW9" i="10"/>
  <c r="G6" i="1"/>
  <c r="AZ23" i="1"/>
  <c r="AZ24" i="1"/>
  <c r="AZ25" i="1"/>
  <c r="AZ22" i="1"/>
  <c r="BB19" i="1"/>
  <c r="BA20" i="1"/>
  <c r="BA21" i="1"/>
  <c r="BX41" i="10"/>
  <c r="BW42" i="10"/>
  <c r="E13" i="1"/>
  <c r="F12" i="1"/>
  <c r="G9" i="1"/>
  <c r="F4" i="1"/>
  <c r="E14" i="1"/>
  <c r="D15" i="1"/>
  <c r="D17" i="1"/>
  <c r="BC19" i="1"/>
  <c r="BB21" i="1"/>
  <c r="BB20" i="1"/>
  <c r="BA22" i="1"/>
  <c r="BA25" i="1"/>
  <c r="BA24" i="1"/>
  <c r="BA23" i="1"/>
  <c r="H6" i="1"/>
  <c r="BX42" i="10"/>
  <c r="BW43" i="10"/>
  <c r="H9" i="1"/>
  <c r="G4" i="1"/>
  <c r="F14" i="1"/>
  <c r="F13" i="1"/>
  <c r="G12" i="1"/>
  <c r="E15" i="1"/>
  <c r="E17" i="1"/>
  <c r="BB23" i="1"/>
  <c r="BB24" i="1"/>
  <c r="BB25" i="1"/>
  <c r="BB22" i="1"/>
  <c r="I6" i="1"/>
  <c r="BC20" i="1"/>
  <c r="BC21" i="1"/>
  <c r="BD19" i="1"/>
  <c r="BX43" i="10"/>
  <c r="BW44" i="10"/>
  <c r="I9" i="1"/>
  <c r="H4" i="1"/>
  <c r="G13" i="1"/>
  <c r="H12" i="1"/>
  <c r="G14" i="1"/>
  <c r="F15" i="1"/>
  <c r="F17" i="1"/>
  <c r="J6" i="1"/>
  <c r="BC24" i="1"/>
  <c r="BC25" i="1"/>
  <c r="BC23" i="1"/>
  <c r="BC22" i="1"/>
  <c r="BE19" i="1"/>
  <c r="BD21" i="1"/>
  <c r="BD20" i="1"/>
  <c r="BX44" i="10"/>
  <c r="BW45" i="10"/>
  <c r="J9" i="1"/>
  <c r="I4" i="1"/>
  <c r="G15" i="1"/>
  <c r="G17" i="1"/>
  <c r="H13" i="1"/>
  <c r="I12" i="1"/>
  <c r="H14" i="1"/>
  <c r="BF19" i="1"/>
  <c r="BE20" i="1"/>
  <c r="BE21" i="1"/>
  <c r="BD23" i="1"/>
  <c r="BD25" i="1"/>
  <c r="BD22" i="1"/>
  <c r="BD24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X45" i="10"/>
  <c r="BW46" i="10"/>
  <c r="K9" i="1"/>
  <c r="J4" i="1"/>
  <c r="H15" i="1"/>
  <c r="H17" i="1"/>
  <c r="I13" i="1"/>
  <c r="J12" i="1"/>
  <c r="I14" i="1"/>
  <c r="BE22" i="1"/>
  <c r="BE25" i="1"/>
  <c r="BE23" i="1"/>
  <c r="BE24" i="1"/>
  <c r="BG19" i="1"/>
  <c r="BF20" i="1"/>
  <c r="BF21" i="1"/>
  <c r="BX46" i="10"/>
  <c r="BW47" i="10"/>
  <c r="L9" i="1"/>
  <c r="K4" i="1"/>
  <c r="J13" i="1"/>
  <c r="K12" i="1"/>
  <c r="J14" i="1"/>
  <c r="I15" i="1"/>
  <c r="I17" i="1"/>
  <c r="BH19" i="1"/>
  <c r="BG21" i="1"/>
  <c r="BG20" i="1"/>
  <c r="BF24" i="1"/>
  <c r="BF23" i="1"/>
  <c r="BF22" i="1"/>
  <c r="BF25" i="1"/>
  <c r="BX47" i="10"/>
  <c r="BW48" i="10"/>
  <c r="M9" i="1"/>
  <c r="L4" i="1"/>
  <c r="J15" i="1"/>
  <c r="J17" i="1"/>
  <c r="K14" i="1"/>
  <c r="K13" i="1"/>
  <c r="L12" i="1"/>
  <c r="BG24" i="1"/>
  <c r="BG23" i="1"/>
  <c r="BG25" i="1"/>
  <c r="BG22" i="1"/>
  <c r="BI19" i="1"/>
  <c r="BH21" i="1"/>
  <c r="BH20" i="1"/>
  <c r="BX48" i="10"/>
  <c r="BW49" i="10"/>
  <c r="N9" i="1"/>
  <c r="M4" i="1"/>
  <c r="L13" i="1"/>
  <c r="M12" i="1"/>
  <c r="L14" i="1"/>
  <c r="K15" i="1"/>
  <c r="K17" i="1"/>
  <c r="BH23" i="1"/>
  <c r="BH24" i="1"/>
  <c r="BH22" i="1"/>
  <c r="BH25" i="1"/>
  <c r="BJ19" i="1"/>
  <c r="BI20" i="1"/>
  <c r="BI21" i="1"/>
  <c r="BX49" i="10"/>
  <c r="BW50" i="10"/>
  <c r="O9" i="1"/>
  <c r="N4" i="1"/>
  <c r="L15" i="1"/>
  <c r="L17" i="1"/>
  <c r="M13" i="1"/>
  <c r="N12" i="1"/>
  <c r="M14" i="1"/>
  <c r="BI22" i="1"/>
  <c r="BI25" i="1"/>
  <c r="BI23" i="1"/>
  <c r="BI24" i="1"/>
  <c r="BK19" i="1"/>
  <c r="BJ21" i="1"/>
  <c r="BJ20" i="1"/>
  <c r="BX50" i="10"/>
  <c r="BW51" i="10"/>
  <c r="P9" i="1"/>
  <c r="O4" i="1"/>
  <c r="M15" i="1"/>
  <c r="M17" i="1"/>
  <c r="N13" i="1"/>
  <c r="O12" i="1"/>
  <c r="N14" i="1"/>
  <c r="BJ23" i="1"/>
  <c r="BJ24" i="1"/>
  <c r="BJ25" i="1"/>
  <c r="BJ22" i="1"/>
  <c r="BL19" i="1"/>
  <c r="BK21" i="1"/>
  <c r="BK20" i="1"/>
  <c r="BX51" i="10"/>
  <c r="BW52" i="10"/>
  <c r="Q9" i="1"/>
  <c r="P4" i="1"/>
  <c r="N15" i="1"/>
  <c r="N17" i="1"/>
  <c r="O14" i="1"/>
  <c r="O13" i="1"/>
  <c r="P12" i="1"/>
  <c r="BK24" i="1"/>
  <c r="BK25" i="1"/>
  <c r="BK22" i="1"/>
  <c r="BK23" i="1"/>
  <c r="BM19" i="1"/>
  <c r="BL20" i="1"/>
  <c r="BL21" i="1"/>
  <c r="BX52" i="10"/>
  <c r="BW53" i="10"/>
  <c r="R9" i="1"/>
  <c r="Q4" i="1"/>
  <c r="P13" i="1"/>
  <c r="Q12" i="1"/>
  <c r="P14" i="1"/>
  <c r="O15" i="1"/>
  <c r="O17" i="1"/>
  <c r="BL23" i="1"/>
  <c r="BL25" i="1"/>
  <c r="BL24" i="1"/>
  <c r="BL22" i="1"/>
  <c r="BN19" i="1"/>
  <c r="BM21" i="1"/>
  <c r="BM20" i="1"/>
  <c r="BX53" i="10"/>
  <c r="BW54" i="10"/>
  <c r="S9" i="1"/>
  <c r="R4" i="1"/>
  <c r="P15" i="1"/>
  <c r="P17" i="1"/>
  <c r="Q13" i="1"/>
  <c r="R12" i="1"/>
  <c r="Q14" i="1"/>
  <c r="BM22" i="1"/>
  <c r="BM25" i="1"/>
  <c r="BM23" i="1"/>
  <c r="BM24" i="1"/>
  <c r="BO19" i="1"/>
  <c r="BN20" i="1"/>
  <c r="BN21" i="1"/>
  <c r="BX54" i="10"/>
  <c r="BW55" i="10"/>
  <c r="T9" i="1"/>
  <c r="S4" i="1"/>
  <c r="Q15" i="1"/>
  <c r="Q17" i="1"/>
  <c r="R13" i="1"/>
  <c r="S12" i="1"/>
  <c r="R14" i="1"/>
  <c r="BN24" i="1"/>
  <c r="BN22" i="1"/>
  <c r="BN23" i="1"/>
  <c r="BN25" i="1"/>
  <c r="BP19" i="1"/>
  <c r="BO21" i="1"/>
  <c r="BO20" i="1"/>
  <c r="BX55" i="10"/>
  <c r="BW56" i="10"/>
  <c r="U9" i="1"/>
  <c r="T4" i="1"/>
  <c r="R15" i="1"/>
  <c r="R17" i="1"/>
  <c r="S13" i="1"/>
  <c r="T12" i="1"/>
  <c r="S14" i="1"/>
  <c r="BQ19" i="1"/>
  <c r="BP21" i="1"/>
  <c r="BP20" i="1"/>
  <c r="BO24" i="1"/>
  <c r="BO23" i="1"/>
  <c r="BO25" i="1"/>
  <c r="BO22" i="1"/>
  <c r="BX56" i="10"/>
  <c r="BW57" i="10"/>
  <c r="V9" i="1"/>
  <c r="U4" i="1"/>
  <c r="S15" i="1"/>
  <c r="S17" i="1"/>
  <c r="T13" i="1"/>
  <c r="U12" i="1"/>
  <c r="T14" i="1"/>
  <c r="BP23" i="1"/>
  <c r="BP22" i="1"/>
  <c r="BP24" i="1"/>
  <c r="BP25" i="1"/>
  <c r="V4" i="1"/>
  <c r="W9" i="1"/>
  <c r="BQ20" i="1"/>
  <c r="BQ21" i="1"/>
  <c r="BX57" i="10"/>
  <c r="BW58" i="10"/>
  <c r="T15" i="1"/>
  <c r="T17" i="1"/>
  <c r="U13" i="1"/>
  <c r="V12" i="1"/>
  <c r="U14" i="1"/>
  <c r="W4" i="1"/>
  <c r="X9" i="1"/>
  <c r="BQ22" i="1"/>
  <c r="BQ25" i="1"/>
  <c r="BQ23" i="1"/>
  <c r="BQ24" i="1"/>
  <c r="BX58" i="10"/>
  <c r="BW59" i="10"/>
  <c r="U15" i="1"/>
  <c r="U17" i="1"/>
  <c r="V13" i="1"/>
  <c r="W12" i="1"/>
  <c r="V14" i="1"/>
  <c r="AG27" i="1"/>
  <c r="O2" i="10"/>
  <c r="W13" i="1"/>
  <c r="X12" i="1"/>
  <c r="W14" i="1"/>
  <c r="W15" i="1"/>
  <c r="W17" i="1"/>
  <c r="Y9" i="1"/>
  <c r="X4" i="1"/>
  <c r="BX59" i="10"/>
  <c r="BW60" i="10"/>
  <c r="V15" i="1"/>
  <c r="V17" i="1"/>
  <c r="Y4" i="1"/>
  <c r="Z9" i="1"/>
  <c r="X13" i="1"/>
  <c r="Y12" i="1"/>
  <c r="X14" i="1"/>
  <c r="X15" i="1"/>
  <c r="X17" i="1"/>
  <c r="BX60" i="10"/>
  <c r="BW61" i="10"/>
  <c r="Y14" i="1"/>
  <c r="Y15" i="1"/>
  <c r="Y17" i="1"/>
  <c r="Y13" i="1"/>
  <c r="Z12" i="1"/>
  <c r="AA9" i="1"/>
  <c r="Z4" i="1"/>
  <c r="BX61" i="10"/>
  <c r="BW62" i="10"/>
  <c r="AA4" i="1"/>
  <c r="AB9" i="1"/>
  <c r="Z13" i="1"/>
  <c r="AA12" i="1"/>
  <c r="Z14" i="1"/>
  <c r="Z15" i="1"/>
  <c r="Z17" i="1"/>
  <c r="BX62" i="10"/>
  <c r="BW63" i="10"/>
  <c r="AC9" i="1"/>
  <c r="AB4" i="1"/>
  <c r="AA14" i="1"/>
  <c r="AA15" i="1"/>
  <c r="AA17" i="1"/>
  <c r="AA13" i="1"/>
  <c r="AB12" i="1"/>
  <c r="BX63" i="10"/>
  <c r="BW64" i="10"/>
  <c r="AB13" i="1"/>
  <c r="AC12" i="1"/>
  <c r="AB14" i="1"/>
  <c r="AB15" i="1"/>
  <c r="AB17" i="1"/>
  <c r="AC4" i="1"/>
  <c r="AD9" i="1"/>
  <c r="BX64" i="10"/>
  <c r="BW65" i="10"/>
  <c r="AD4" i="1"/>
  <c r="AE9" i="1"/>
  <c r="AC14" i="1"/>
  <c r="AC15" i="1"/>
  <c r="AC17" i="1"/>
  <c r="AC13" i="1"/>
  <c r="AD12" i="1"/>
  <c r="BX65" i="10"/>
  <c r="BW66" i="10"/>
  <c r="AD13" i="1"/>
  <c r="AE12" i="1"/>
  <c r="AD14" i="1"/>
  <c r="AD15" i="1"/>
  <c r="AD17" i="1"/>
  <c r="AE4" i="1"/>
  <c r="AF9" i="1"/>
  <c r="BX66" i="10"/>
  <c r="BW67" i="10"/>
  <c r="AF4" i="1"/>
  <c r="AG9" i="1"/>
  <c r="AE13" i="1"/>
  <c r="AF12" i="1"/>
  <c r="AE14" i="1"/>
  <c r="AE15" i="1"/>
  <c r="AE17" i="1"/>
  <c r="BX67" i="10"/>
  <c r="BW68" i="10"/>
  <c r="AG4" i="1"/>
  <c r="AH9" i="1"/>
  <c r="AF14" i="1"/>
  <c r="AF15" i="1"/>
  <c r="AF17" i="1"/>
  <c r="AF13" i="1"/>
  <c r="AG12" i="1"/>
  <c r="BX68" i="10"/>
  <c r="BW69" i="10"/>
  <c r="AG13" i="1"/>
  <c r="AH12" i="1"/>
  <c r="AG14" i="1"/>
  <c r="AG15" i="1"/>
  <c r="AG17" i="1"/>
  <c r="AI9" i="1"/>
  <c r="AH4" i="1"/>
  <c r="BX69" i="10"/>
  <c r="BW70" i="10"/>
  <c r="AI4" i="1"/>
  <c r="AJ9" i="1"/>
  <c r="AH13" i="1"/>
  <c r="AI12" i="1"/>
  <c r="AH14" i="1"/>
  <c r="AH15" i="1"/>
  <c r="AH17" i="1"/>
  <c r="BX70" i="10"/>
  <c r="BW71" i="10"/>
  <c r="AJ4" i="1"/>
  <c r="AK9" i="1"/>
  <c r="AI13" i="1"/>
  <c r="AJ12" i="1"/>
  <c r="AI14" i="1"/>
  <c r="AI15" i="1"/>
  <c r="AI17" i="1"/>
  <c r="BX71" i="10"/>
  <c r="BW72" i="10"/>
  <c r="AL9" i="1"/>
  <c r="AK4" i="1"/>
  <c r="AJ13" i="1"/>
  <c r="AK12" i="1"/>
  <c r="AJ14" i="1"/>
  <c r="AJ15" i="1"/>
  <c r="AJ17" i="1"/>
  <c r="BX72" i="10"/>
  <c r="BW73" i="10"/>
  <c r="AK13" i="1"/>
  <c r="AL12" i="1"/>
  <c r="AK14" i="1"/>
  <c r="AK15" i="1"/>
  <c r="AK17" i="1"/>
  <c r="AL4" i="1"/>
  <c r="AM9" i="1"/>
  <c r="BX73" i="10"/>
  <c r="BW74" i="10"/>
  <c r="AN9" i="1"/>
  <c r="AM4" i="1"/>
  <c r="AL13" i="1"/>
  <c r="AM12" i="1"/>
  <c r="AL14" i="1"/>
  <c r="AL15" i="1"/>
  <c r="AL17" i="1"/>
  <c r="BX74" i="10"/>
  <c r="BW75" i="10"/>
  <c r="AM14" i="1"/>
  <c r="AM15" i="1"/>
  <c r="AM17" i="1"/>
  <c r="AM13" i="1"/>
  <c r="AN12" i="1"/>
  <c r="AN4" i="1"/>
  <c r="AO9" i="1"/>
  <c r="BX75" i="10"/>
  <c r="BW76" i="10"/>
  <c r="AO4" i="1"/>
  <c r="AP9" i="1"/>
  <c r="AN14" i="1"/>
  <c r="AN15" i="1"/>
  <c r="AN17" i="1"/>
  <c r="AN13" i="1"/>
  <c r="AO12" i="1"/>
  <c r="BX76" i="10"/>
  <c r="BW77" i="10"/>
  <c r="AO13" i="1"/>
  <c r="AP12" i="1"/>
  <c r="AO14" i="1"/>
  <c r="AO15" i="1"/>
  <c r="AO17" i="1"/>
  <c r="AQ9" i="1"/>
  <c r="AP4" i="1"/>
  <c r="BX77" i="10"/>
  <c r="BW78" i="10"/>
  <c r="AQ4" i="1"/>
  <c r="AR9" i="1"/>
  <c r="AP13" i="1"/>
  <c r="AQ12" i="1"/>
  <c r="AP14" i="1"/>
  <c r="AP15" i="1"/>
  <c r="AP17" i="1"/>
  <c r="BX78" i="10"/>
  <c r="BW79" i="10"/>
  <c r="AR4" i="1"/>
  <c r="AS9" i="1"/>
  <c r="AQ14" i="1"/>
  <c r="AQ15" i="1"/>
  <c r="AQ17" i="1"/>
  <c r="AQ13" i="1"/>
  <c r="AR12" i="1"/>
  <c r="BX79" i="10"/>
  <c r="BW80" i="10"/>
  <c r="AR14" i="1"/>
  <c r="AR15" i="1"/>
  <c r="AR17" i="1"/>
  <c r="AR13" i="1"/>
  <c r="AS12" i="1"/>
  <c r="AS4" i="1"/>
  <c r="AT9" i="1"/>
  <c r="BX80" i="10"/>
  <c r="BW81" i="10"/>
  <c r="AU9" i="1"/>
  <c r="AT4" i="1"/>
  <c r="AS14" i="1"/>
  <c r="AS15" i="1"/>
  <c r="AS17" i="1"/>
  <c r="AS13" i="1"/>
  <c r="AT12" i="1"/>
  <c r="BX81" i="10"/>
  <c r="BW82" i="10"/>
  <c r="AT13" i="1"/>
  <c r="AU12" i="1"/>
  <c r="AT14" i="1"/>
  <c r="AT15" i="1"/>
  <c r="AT17" i="1"/>
  <c r="AU4" i="1"/>
  <c r="AV9" i="1"/>
  <c r="BX82" i="10"/>
  <c r="BW83" i="10"/>
  <c r="AV4" i="1"/>
  <c r="AW9" i="1"/>
  <c r="AU14" i="1"/>
  <c r="AU15" i="1"/>
  <c r="AU17" i="1"/>
  <c r="AU13" i="1"/>
  <c r="AV12" i="1"/>
  <c r="BX83" i="10"/>
  <c r="BW84" i="10"/>
  <c r="AV14" i="1"/>
  <c r="AV15" i="1"/>
  <c r="AV17" i="1"/>
  <c r="AV13" i="1"/>
  <c r="AW12" i="1"/>
  <c r="AW4" i="1"/>
  <c r="AX9" i="1"/>
  <c r="BX84" i="10"/>
  <c r="BW85" i="10"/>
  <c r="AY9" i="1"/>
  <c r="AX4" i="1"/>
  <c r="AW13" i="1"/>
  <c r="AX12" i="1"/>
  <c r="AW14" i="1"/>
  <c r="AW15" i="1"/>
  <c r="AW17" i="1"/>
  <c r="BX85" i="10"/>
  <c r="BW86" i="10"/>
  <c r="AX13" i="1"/>
  <c r="AY12" i="1"/>
  <c r="AX14" i="1"/>
  <c r="AX15" i="1"/>
  <c r="AX17" i="1"/>
  <c r="AY4" i="1"/>
  <c r="AZ9" i="1"/>
  <c r="BX86" i="10"/>
  <c r="BW87" i="10"/>
  <c r="BA9" i="1"/>
  <c r="AZ4" i="1"/>
  <c r="AY14" i="1"/>
  <c r="AY15" i="1"/>
  <c r="AY17" i="1"/>
  <c r="AY13" i="1"/>
  <c r="AZ12" i="1"/>
  <c r="BX87" i="10"/>
  <c r="BW88" i="10"/>
  <c r="AZ14" i="1"/>
  <c r="AZ15" i="1"/>
  <c r="AZ17" i="1"/>
  <c r="AZ13" i="1"/>
  <c r="BA12" i="1"/>
  <c r="BB9" i="1"/>
  <c r="BA4" i="1"/>
  <c r="BX88" i="10"/>
  <c r="BW89" i="10"/>
  <c r="BB4" i="1"/>
  <c r="BC9" i="1"/>
  <c r="BA14" i="1"/>
  <c r="BA15" i="1"/>
  <c r="BA17" i="1"/>
  <c r="BA13" i="1"/>
  <c r="BB12" i="1"/>
  <c r="BX89" i="10"/>
  <c r="BW90" i="10"/>
  <c r="BB13" i="1"/>
  <c r="BC12" i="1"/>
  <c r="BB14" i="1"/>
  <c r="BB15" i="1"/>
  <c r="BB17" i="1"/>
  <c r="BD9" i="1"/>
  <c r="BC4" i="1"/>
  <c r="BX90" i="10"/>
  <c r="BW91" i="10"/>
  <c r="BE9" i="1"/>
  <c r="BD4" i="1"/>
  <c r="BC13" i="1"/>
  <c r="BD12" i="1"/>
  <c r="BC14" i="1"/>
  <c r="BC15" i="1"/>
  <c r="BC17" i="1"/>
  <c r="BX91" i="10"/>
  <c r="BW92" i="10"/>
  <c r="BD13" i="1"/>
  <c r="BE12" i="1"/>
  <c r="BD14" i="1"/>
  <c r="BD15" i="1"/>
  <c r="BD17" i="1"/>
  <c r="BE4" i="1"/>
  <c r="BF9" i="1"/>
  <c r="BX92" i="10"/>
  <c r="BW93" i="10"/>
  <c r="BG9" i="1"/>
  <c r="BF4" i="1"/>
  <c r="BE13" i="1"/>
  <c r="BF12" i="1"/>
  <c r="BE14" i="1"/>
  <c r="BE15" i="1"/>
  <c r="BE17" i="1"/>
  <c r="BX93" i="10"/>
  <c r="BW94" i="10"/>
  <c r="BF14" i="1"/>
  <c r="BF15" i="1"/>
  <c r="BF17" i="1"/>
  <c r="BF13" i="1"/>
  <c r="BG12" i="1"/>
  <c r="BH9" i="1"/>
  <c r="BG4" i="1"/>
  <c r="BX94" i="10"/>
  <c r="BW95" i="10"/>
  <c r="BH4" i="1"/>
  <c r="BI9" i="1"/>
  <c r="BG14" i="1"/>
  <c r="BG15" i="1"/>
  <c r="BG17" i="1"/>
  <c r="BG13" i="1"/>
  <c r="BH12" i="1"/>
  <c r="BX95" i="10"/>
  <c r="BW96" i="10"/>
  <c r="BH14" i="1"/>
  <c r="BH15" i="1"/>
  <c r="BH17" i="1"/>
  <c r="BH13" i="1"/>
  <c r="BI12" i="1"/>
  <c r="BI4" i="1"/>
  <c r="BJ9" i="1"/>
  <c r="BX96" i="10"/>
  <c r="BW97" i="10"/>
  <c r="BK9" i="1"/>
  <c r="BJ4" i="1"/>
  <c r="BI14" i="1"/>
  <c r="BI15" i="1"/>
  <c r="BI17" i="1"/>
  <c r="BI13" i="1"/>
  <c r="BJ12" i="1"/>
  <c r="BX97" i="10"/>
  <c r="BW98" i="10"/>
  <c r="BJ13" i="1"/>
  <c r="BK12" i="1"/>
  <c r="BJ14" i="1"/>
  <c r="BJ15" i="1"/>
  <c r="BJ17" i="1"/>
  <c r="BL9" i="1"/>
  <c r="BK4" i="1"/>
  <c r="BX98" i="10"/>
  <c r="BW99" i="10"/>
  <c r="BM9" i="1"/>
  <c r="BL4" i="1"/>
  <c r="BK13" i="1"/>
  <c r="BL12" i="1"/>
  <c r="BK14" i="1"/>
  <c r="BK15" i="1"/>
  <c r="BK17" i="1"/>
  <c r="BX99" i="10"/>
  <c r="BW100" i="10"/>
  <c r="BL13" i="1"/>
  <c r="BM12" i="1"/>
  <c r="BL14" i="1"/>
  <c r="BL15" i="1"/>
  <c r="BL17" i="1"/>
  <c r="BM4" i="1"/>
  <c r="BN9" i="1"/>
  <c r="BX100" i="10"/>
  <c r="BW101" i="10"/>
  <c r="BO9" i="1"/>
  <c r="BN4" i="1"/>
  <c r="BM14" i="1"/>
  <c r="BM15" i="1"/>
  <c r="BM17" i="1"/>
  <c r="BM13" i="1"/>
  <c r="BN12" i="1"/>
  <c r="BX101" i="10"/>
  <c r="BW102" i="10"/>
  <c r="BN13" i="1"/>
  <c r="BO12" i="1"/>
  <c r="BN14" i="1"/>
  <c r="BN15" i="1"/>
  <c r="BN17" i="1"/>
  <c r="BO4" i="1"/>
  <c r="BP9" i="1"/>
  <c r="BX102" i="10"/>
  <c r="BW103" i="10"/>
  <c r="BP4" i="1"/>
  <c r="BQ9" i="1"/>
  <c r="BQ4" i="1"/>
  <c r="BO14" i="1"/>
  <c r="BO15" i="1"/>
  <c r="BO17" i="1"/>
  <c r="BO13" i="1"/>
  <c r="BP12" i="1"/>
  <c r="BX103" i="10"/>
  <c r="BW104" i="10"/>
  <c r="BP14" i="1"/>
  <c r="BP15" i="1"/>
  <c r="BP17" i="1"/>
  <c r="BP13" i="1"/>
  <c r="BQ12" i="1"/>
  <c r="BX104" i="10"/>
  <c r="BW105" i="10"/>
  <c r="BQ14" i="1"/>
  <c r="BQ15" i="1"/>
  <c r="BQ17" i="1"/>
  <c r="BQ13" i="1"/>
  <c r="BX105" i="10"/>
  <c r="BW106" i="10"/>
  <c r="BX106" i="10"/>
  <c r="BW107" i="10"/>
  <c r="BX107" i="10"/>
  <c r="BW108" i="10"/>
  <c r="BX108" i="10"/>
  <c r="BW109" i="10"/>
  <c r="BX109" i="10"/>
  <c r="BW110" i="10"/>
  <c r="BX110" i="10"/>
  <c r="BW111" i="10"/>
  <c r="BX111" i="10"/>
  <c r="BW112" i="10"/>
  <c r="BX112" i="10"/>
  <c r="BW113" i="10"/>
  <c r="BX113" i="10"/>
  <c r="BW114" i="10"/>
  <c r="BX114" i="10"/>
  <c r="BW115" i="10"/>
  <c r="BX115" i="10"/>
  <c r="BW116" i="10"/>
  <c r="BX116" i="10"/>
  <c r="BW117" i="10"/>
  <c r="BX117" i="10"/>
  <c r="BW118" i="10"/>
  <c r="BX118" i="10"/>
  <c r="BW119" i="10"/>
  <c r="BX119" i="10"/>
  <c r="BW120" i="10"/>
  <c r="BX120" i="10"/>
  <c r="BW121" i="10"/>
  <c r="BX121" i="10"/>
  <c r="BW122" i="10"/>
  <c r="BX122" i="10"/>
  <c r="BW123" i="10"/>
  <c r="BX123" i="10"/>
  <c r="BW124" i="10"/>
  <c r="BX124" i="10"/>
  <c r="BW125" i="10"/>
  <c r="BX125" i="10"/>
  <c r="BW126" i="10"/>
  <c r="BX126" i="10"/>
  <c r="BW127" i="10"/>
  <c r="BX127" i="10"/>
  <c r="BW128" i="10"/>
  <c r="BX128" i="10"/>
  <c r="BW129" i="10"/>
  <c r="BX129" i="10"/>
  <c r="BW130" i="10"/>
  <c r="BX130" i="10"/>
  <c r="BW131" i="10"/>
  <c r="BX131" i="10"/>
  <c r="BW132" i="10"/>
  <c r="BX132" i="10"/>
  <c r="BW133" i="10"/>
  <c r="BX133" i="10"/>
  <c r="BW134" i="10"/>
  <c r="BX134" i="10"/>
  <c r="BW135" i="10"/>
  <c r="BX135" i="10"/>
  <c r="BW136" i="10"/>
  <c r="BX136" i="10"/>
  <c r="BW137" i="10"/>
  <c r="BX137" i="10"/>
  <c r="BW138" i="10"/>
  <c r="BX138" i="10"/>
  <c r="BW139" i="10"/>
  <c r="BX139" i="10"/>
  <c r="BW140" i="10"/>
  <c r="BX140" i="10"/>
  <c r="BW141" i="10"/>
  <c r="BX141" i="10"/>
  <c r="BW142" i="10"/>
  <c r="BX142" i="10"/>
  <c r="BW143" i="10"/>
  <c r="BX143" i="10"/>
  <c r="BW144" i="10"/>
  <c r="BX144" i="10"/>
  <c r="BW145" i="10"/>
  <c r="BX145" i="10"/>
  <c r="BW146" i="10"/>
  <c r="BX146" i="10"/>
  <c r="BW147" i="10"/>
  <c r="BX147" i="10"/>
  <c r="BW148" i="10"/>
  <c r="BX148" i="10"/>
  <c r="BW149" i="10"/>
  <c r="BX149" i="10"/>
  <c r="BW150" i="10"/>
  <c r="BX150" i="10"/>
  <c r="BW151" i="10"/>
  <c r="BX151" i="10"/>
  <c r="BW152" i="10"/>
  <c r="BX152" i="10"/>
  <c r="BW153" i="10"/>
  <c r="BX153" i="10"/>
  <c r="BW154" i="10"/>
  <c r="BX154" i="10"/>
  <c r="BW155" i="10"/>
  <c r="BX155" i="10"/>
  <c r="BW156" i="10"/>
  <c r="BX156" i="10"/>
  <c r="BW157" i="10"/>
  <c r="BX157" i="10"/>
  <c r="BW158" i="10"/>
  <c r="BX158" i="10"/>
  <c r="BW159" i="10"/>
  <c r="BX159" i="10"/>
  <c r="BW160" i="10"/>
  <c r="BX160" i="10"/>
  <c r="BW161" i="10"/>
  <c r="BX161" i="10"/>
  <c r="BW162" i="10"/>
  <c r="BX162" i="10"/>
  <c r="BW163" i="10"/>
  <c r="BX163" i="10"/>
  <c r="BW164" i="10"/>
  <c r="BX164" i="10"/>
  <c r="BW165" i="10"/>
  <c r="BX165" i="10"/>
  <c r="BW166" i="10"/>
  <c r="BX166" i="10"/>
  <c r="BW167" i="10"/>
  <c r="BX167" i="10"/>
  <c r="BW168" i="10"/>
  <c r="BX168" i="10"/>
  <c r="BW169" i="10"/>
  <c r="BX169" i="10"/>
  <c r="BW170" i="10"/>
  <c r="BX170" i="10"/>
  <c r="BW171" i="10"/>
  <c r="BX171" i="10"/>
  <c r="BW172" i="10"/>
  <c r="BX172" i="10"/>
  <c r="BW173" i="10"/>
  <c r="BX173" i="10"/>
  <c r="BW174" i="10"/>
  <c r="BX174" i="10"/>
  <c r="BW175" i="10"/>
  <c r="BX175" i="10"/>
  <c r="BW176" i="10"/>
  <c r="BX176" i="10"/>
  <c r="BW177" i="10"/>
  <c r="BX177" i="10"/>
  <c r="BW178" i="10"/>
  <c r="BX178" i="10"/>
  <c r="BW179" i="10"/>
  <c r="BX179" i="10"/>
  <c r="BW180" i="10"/>
  <c r="BX180" i="10"/>
  <c r="BW181" i="10"/>
  <c r="BX181" i="10"/>
  <c r="BW182" i="10"/>
  <c r="BX182" i="10"/>
  <c r="BW183" i="10"/>
  <c r="BX183" i="10"/>
  <c r="BW184" i="10"/>
  <c r="BX184" i="10"/>
  <c r="BW185" i="10"/>
  <c r="BX185" i="10"/>
  <c r="BW186" i="10"/>
  <c r="BX186" i="10"/>
  <c r="BW187" i="10"/>
  <c r="BX187" i="10"/>
  <c r="BW188" i="10"/>
  <c r="BX188" i="10"/>
  <c r="BW189" i="10"/>
  <c r="BX189" i="10"/>
  <c r="BW190" i="10"/>
  <c r="BX190" i="10"/>
  <c r="BW191" i="10"/>
  <c r="BX191" i="10"/>
  <c r="BW192" i="10"/>
  <c r="BX192" i="10"/>
  <c r="BW193" i="10"/>
  <c r="BX193" i="10"/>
  <c r="BW194" i="10"/>
  <c r="BX194" i="10"/>
  <c r="BW195" i="10"/>
  <c r="BX195" i="10"/>
  <c r="BW196" i="10"/>
  <c r="BX196" i="10"/>
  <c r="BW197" i="10"/>
  <c r="BX197" i="10"/>
  <c r="BW198" i="10"/>
  <c r="BX198" i="10"/>
  <c r="BW199" i="10"/>
  <c r="BX199" i="10"/>
  <c r="BW200" i="10"/>
  <c r="BX200" i="10"/>
  <c r="BW201" i="10"/>
  <c r="BX201" i="10"/>
  <c r="BW202" i="10"/>
  <c r="BX202" i="10"/>
  <c r="BW203" i="10"/>
  <c r="BX203" i="10"/>
  <c r="BW204" i="10"/>
  <c r="BX204" i="10"/>
  <c r="BW205" i="10"/>
  <c r="BX205" i="10"/>
  <c r="BW206" i="10"/>
  <c r="BX206" i="10"/>
  <c r="BW207" i="10"/>
  <c r="BX207" i="10"/>
  <c r="BW208" i="10"/>
  <c r="BX208" i="10"/>
  <c r="BW209" i="10"/>
  <c r="BX209" i="10"/>
  <c r="BW210" i="10"/>
  <c r="BX210" i="10"/>
  <c r="BW211" i="10"/>
  <c r="BX211" i="10"/>
  <c r="BW212" i="10"/>
  <c r="BX212" i="10"/>
  <c r="BW213" i="10"/>
  <c r="BX213" i="10"/>
  <c r="BW214" i="10"/>
  <c r="BX214" i="10"/>
  <c r="BW215" i="10"/>
  <c r="BX215" i="10"/>
  <c r="BW216" i="10"/>
  <c r="BX216" i="10"/>
  <c r="BW217" i="10"/>
  <c r="BX217" i="10"/>
  <c r="BW218" i="10"/>
  <c r="BX218" i="10"/>
  <c r="BW219" i="10"/>
  <c r="BX219" i="10"/>
  <c r="BW220" i="10"/>
  <c r="BX220" i="10"/>
  <c r="BW221" i="10"/>
  <c r="BX221" i="10"/>
  <c r="BW222" i="10"/>
  <c r="BX222" i="10"/>
  <c r="BW223" i="10"/>
  <c r="BX223" i="10"/>
  <c r="BW224" i="10"/>
  <c r="BX224" i="10"/>
  <c r="BW225" i="10"/>
  <c r="BX225" i="10"/>
  <c r="BW226" i="10"/>
  <c r="BX226" i="10"/>
  <c r="BW227" i="10"/>
  <c r="BX227" i="10"/>
  <c r="BW228" i="10"/>
  <c r="BX228" i="10"/>
  <c r="BW229" i="10"/>
  <c r="BX229" i="10"/>
  <c r="BW230" i="10"/>
  <c r="BX230" i="10"/>
  <c r="BW231" i="10"/>
  <c r="BX231" i="10"/>
  <c r="BW232" i="10"/>
  <c r="BX232" i="10"/>
  <c r="BW233" i="10"/>
  <c r="BX233" i="10"/>
  <c r="BW234" i="10"/>
  <c r="BX234" i="10"/>
  <c r="BW235" i="10"/>
  <c r="BX235" i="10"/>
  <c r="BW236" i="10"/>
  <c r="BX236" i="10"/>
  <c r="BW237" i="10"/>
  <c r="BX237" i="10"/>
  <c r="BW238" i="10"/>
  <c r="BX238" i="10"/>
  <c r="BW239" i="10"/>
  <c r="BX239" i="10"/>
  <c r="BW240" i="10"/>
  <c r="BX240" i="10"/>
  <c r="BW241" i="10"/>
  <c r="BX241" i="10"/>
  <c r="BW242" i="10"/>
  <c r="BX242" i="10"/>
  <c r="BW243" i="10"/>
  <c r="BX243" i="10"/>
  <c r="BW244" i="10"/>
  <c r="BX244" i="10"/>
  <c r="BW245" i="10"/>
  <c r="BX245" i="10"/>
  <c r="BW246" i="10"/>
  <c r="BX246" i="10"/>
  <c r="BW247" i="10"/>
  <c r="BX247" i="10"/>
  <c r="BW248" i="10"/>
  <c r="BX248" i="10"/>
  <c r="AD35" i="1"/>
  <c r="H11" i="10"/>
  <c r="H123" i="10"/>
  <c r="H147" i="10"/>
  <c r="H171" i="10"/>
  <c r="H163" i="10"/>
  <c r="H231" i="10"/>
  <c r="H184" i="10"/>
  <c r="H120" i="10"/>
  <c r="H56" i="10"/>
  <c r="H240" i="10"/>
  <c r="H197" i="10"/>
  <c r="H135" i="10"/>
  <c r="H71" i="10"/>
  <c r="H17" i="10"/>
  <c r="H37" i="10"/>
  <c r="H69" i="10"/>
  <c r="H101" i="10"/>
  <c r="H133" i="10"/>
  <c r="H165" i="10"/>
  <c r="H10" i="10"/>
  <c r="H46" i="10"/>
  <c r="H78" i="10"/>
  <c r="H110" i="10"/>
  <c r="H142" i="10"/>
  <c r="H174" i="10"/>
  <c r="H206" i="10"/>
  <c r="H238" i="10"/>
  <c r="H217" i="10"/>
  <c r="H164" i="10"/>
  <c r="H100" i="10"/>
  <c r="H36" i="10"/>
  <c r="H215" i="10"/>
  <c r="H32" i="10"/>
  <c r="H111" i="10"/>
  <c r="H49" i="10"/>
  <c r="H145" i="10"/>
  <c r="H26" i="10"/>
  <c r="H122" i="10"/>
  <c r="H218" i="10"/>
  <c r="H140" i="10"/>
  <c r="H91" i="10"/>
  <c r="H115" i="10"/>
  <c r="H139" i="10"/>
  <c r="H131" i="10"/>
  <c r="H225" i="10"/>
  <c r="H176" i="10"/>
  <c r="H112" i="10"/>
  <c r="H48" i="10"/>
  <c r="H235" i="10"/>
  <c r="H191" i="10"/>
  <c r="H127" i="10"/>
  <c r="H63" i="10"/>
  <c r="H21" i="10"/>
  <c r="H41" i="10"/>
  <c r="H73" i="10"/>
  <c r="H105" i="10"/>
  <c r="H137" i="10"/>
  <c r="H169" i="10"/>
  <c r="H15" i="10"/>
  <c r="H50" i="10"/>
  <c r="H82" i="10"/>
  <c r="H114" i="10"/>
  <c r="H146" i="10"/>
  <c r="H178" i="10"/>
  <c r="H210" i="10"/>
  <c r="H242" i="10"/>
  <c r="H212" i="10"/>
  <c r="H156" i="10"/>
  <c r="H92" i="10"/>
  <c r="H28" i="10"/>
  <c r="H75" i="10"/>
  <c r="H160" i="10"/>
  <c r="H224" i="10"/>
  <c r="H47" i="10"/>
  <c r="H81" i="10"/>
  <c r="H177" i="10"/>
  <c r="H90" i="10"/>
  <c r="H154" i="10"/>
  <c r="H244" i="10"/>
  <c r="H76" i="10"/>
  <c r="H59" i="10"/>
  <c r="H83" i="10"/>
  <c r="H107" i="10"/>
  <c r="H99" i="10"/>
  <c r="H220" i="10"/>
  <c r="H168" i="10"/>
  <c r="H104" i="10"/>
  <c r="H40" i="10"/>
  <c r="H229" i="10"/>
  <c r="H183" i="10"/>
  <c r="H119" i="10"/>
  <c r="H55" i="10"/>
  <c r="H25" i="10"/>
  <c r="H45" i="10"/>
  <c r="H77" i="10"/>
  <c r="H109" i="10"/>
  <c r="H141" i="10"/>
  <c r="H173" i="10"/>
  <c r="H20" i="10"/>
  <c r="H54" i="10"/>
  <c r="H86" i="10"/>
  <c r="H118" i="10"/>
  <c r="H150" i="10"/>
  <c r="H182" i="10"/>
  <c r="H214" i="10"/>
  <c r="H246" i="10"/>
  <c r="H207" i="10"/>
  <c r="H148" i="10"/>
  <c r="H84" i="10"/>
  <c r="H18" i="10"/>
  <c r="H27" i="10"/>
  <c r="H51" i="10"/>
  <c r="H67" i="10"/>
  <c r="H96" i="10"/>
  <c r="H175" i="10"/>
  <c r="H14" i="10"/>
  <c r="H113" i="10"/>
  <c r="H58" i="10"/>
  <c r="H186" i="10"/>
  <c r="H201" i="10"/>
  <c r="H211" i="10"/>
  <c r="H227" i="10"/>
  <c r="H243" i="10"/>
  <c r="H237" i="10"/>
  <c r="H247" i="10"/>
  <c r="H204" i="10"/>
  <c r="H144" i="10"/>
  <c r="H80" i="10"/>
  <c r="H12" i="10"/>
  <c r="H213" i="10"/>
  <c r="H159" i="10"/>
  <c r="H95" i="10"/>
  <c r="H31" i="10"/>
  <c r="H24" i="10"/>
  <c r="H57" i="10"/>
  <c r="H89" i="10"/>
  <c r="H121" i="10"/>
  <c r="H153" i="10"/>
  <c r="H185" i="10"/>
  <c r="H34" i="10"/>
  <c r="H66" i="10"/>
  <c r="H98" i="10"/>
  <c r="H130" i="10"/>
  <c r="H162" i="10"/>
  <c r="H194" i="10"/>
  <c r="H226" i="10"/>
  <c r="H233" i="10"/>
  <c r="H188" i="10"/>
  <c r="H124" i="10"/>
  <c r="H60" i="10"/>
  <c r="H187" i="10"/>
  <c r="H205" i="10"/>
  <c r="H221" i="10"/>
  <c r="H216" i="10"/>
  <c r="H241" i="10"/>
  <c r="H199" i="10"/>
  <c r="H136" i="10"/>
  <c r="H72" i="10"/>
  <c r="H9" i="10"/>
  <c r="H208" i="10"/>
  <c r="H151" i="10"/>
  <c r="H87" i="10"/>
  <c r="H22" i="10"/>
  <c r="H29" i="10"/>
  <c r="H61" i="10"/>
  <c r="H93" i="10"/>
  <c r="H125" i="10"/>
  <c r="H157" i="10"/>
  <c r="H189" i="10"/>
  <c r="H38" i="10"/>
  <c r="H70" i="10"/>
  <c r="H102" i="10"/>
  <c r="H134" i="10"/>
  <c r="H166" i="10"/>
  <c r="H198" i="10"/>
  <c r="H230" i="10"/>
  <c r="H228" i="10"/>
  <c r="H180" i="10"/>
  <c r="H116" i="10"/>
  <c r="H52" i="10"/>
  <c r="H248" i="10"/>
  <c r="H209" i="10"/>
  <c r="H219" i="10"/>
  <c r="H19" i="10"/>
  <c r="H149" i="10"/>
  <c r="H94" i="10"/>
  <c r="H222" i="10"/>
  <c r="H68" i="10"/>
  <c r="H193" i="10"/>
  <c r="H103" i="10"/>
  <c r="H196" i="10"/>
  <c r="H236" i="10"/>
  <c r="H202" i="10"/>
  <c r="H179" i="10"/>
  <c r="H192" i="10"/>
  <c r="H203" i="10"/>
  <c r="H33" i="10"/>
  <c r="H161" i="10"/>
  <c r="H106" i="10"/>
  <c r="H234" i="10"/>
  <c r="H44" i="10"/>
  <c r="H200" i="10"/>
  <c r="H143" i="10"/>
  <c r="H65" i="10"/>
  <c r="H138" i="10"/>
  <c r="H43" i="10"/>
  <c r="H85" i="10"/>
  <c r="H158" i="10"/>
  <c r="H245" i="10"/>
  <c r="H74" i="10"/>
  <c r="H16" i="10"/>
  <c r="H152" i="10"/>
  <c r="H167" i="10"/>
  <c r="H53" i="10"/>
  <c r="H181" i="10"/>
  <c r="H126" i="10"/>
  <c r="H239" i="10"/>
  <c r="H128" i="10"/>
  <c r="H223" i="10"/>
  <c r="H88" i="10"/>
  <c r="H30" i="10"/>
  <c r="H13" i="10"/>
  <c r="H195" i="10"/>
  <c r="H64" i="10"/>
  <c r="H79" i="10"/>
  <c r="H97" i="10"/>
  <c r="H42" i="10"/>
  <c r="H170" i="10"/>
  <c r="H172" i="10"/>
  <c r="H232" i="10"/>
  <c r="H35" i="10"/>
  <c r="H23" i="10"/>
  <c r="H39" i="10"/>
  <c r="H117" i="10"/>
  <c r="H62" i="10"/>
  <c r="H190" i="10"/>
  <c r="H132" i="10"/>
  <c r="H155" i="10"/>
  <c r="H129" i="10"/>
  <c r="H108" i="10"/>
  <c r="I23" i="10"/>
  <c r="P23" i="10"/>
  <c r="P236" i="10"/>
  <c r="I236" i="10"/>
  <c r="P208" i="10"/>
  <c r="I208" i="10"/>
  <c r="P201" i="10"/>
  <c r="I201" i="10"/>
  <c r="P40" i="10"/>
  <c r="I40" i="10"/>
  <c r="P105" i="10"/>
  <c r="I105" i="10"/>
  <c r="P142" i="10"/>
  <c r="I142" i="10"/>
  <c r="P129" i="10"/>
  <c r="I129" i="10"/>
  <c r="P35" i="10"/>
  <c r="I35" i="10"/>
  <c r="P196" i="10"/>
  <c r="I196" i="10"/>
  <c r="P219" i="10"/>
  <c r="I219" i="10"/>
  <c r="P198" i="10"/>
  <c r="I198" i="10"/>
  <c r="P125" i="10"/>
  <c r="I125" i="10"/>
  <c r="I9" i="10"/>
  <c r="P9" i="10"/>
  <c r="P187" i="10"/>
  <c r="I187" i="10"/>
  <c r="P130" i="10"/>
  <c r="I130" i="10"/>
  <c r="P57" i="10"/>
  <c r="I57" i="10"/>
  <c r="P144" i="10"/>
  <c r="I144" i="10"/>
  <c r="P186" i="10"/>
  <c r="I186" i="10"/>
  <c r="I27" i="10"/>
  <c r="P27" i="10"/>
  <c r="P150" i="10"/>
  <c r="I150" i="10"/>
  <c r="P77" i="10"/>
  <c r="I77" i="10"/>
  <c r="P104" i="10"/>
  <c r="I104" i="10"/>
  <c r="I244" i="10"/>
  <c r="P244" i="10"/>
  <c r="P75" i="10"/>
  <c r="I75" i="10"/>
  <c r="P146" i="10"/>
  <c r="I146" i="10"/>
  <c r="P73" i="10"/>
  <c r="I73" i="10"/>
  <c r="P112" i="10"/>
  <c r="I112" i="10"/>
  <c r="P218" i="10"/>
  <c r="I218" i="10"/>
  <c r="P36" i="10"/>
  <c r="I36" i="10"/>
  <c r="P110" i="10"/>
  <c r="I110" i="10"/>
  <c r="P37" i="10"/>
  <c r="I37" i="10"/>
  <c r="P184" i="10"/>
  <c r="I184" i="10"/>
  <c r="P155" i="10"/>
  <c r="I155" i="10"/>
  <c r="P232" i="10"/>
  <c r="I232" i="10"/>
  <c r="P13" i="10"/>
  <c r="I13" i="10"/>
  <c r="P53" i="10"/>
  <c r="I53" i="10"/>
  <c r="P43" i="10"/>
  <c r="I43" i="10"/>
  <c r="P161" i="10"/>
  <c r="I161" i="10"/>
  <c r="P103" i="10"/>
  <c r="I103" i="10"/>
  <c r="P209" i="10"/>
  <c r="I209" i="10"/>
  <c r="P166" i="10"/>
  <c r="I166" i="10"/>
  <c r="P93" i="10"/>
  <c r="I93" i="10"/>
  <c r="P72" i="10"/>
  <c r="I72" i="10"/>
  <c r="P60" i="10"/>
  <c r="I60" i="10"/>
  <c r="P98" i="10"/>
  <c r="I98" i="10"/>
  <c r="I24" i="10"/>
  <c r="P24" i="10"/>
  <c r="P204" i="10"/>
  <c r="I204" i="10"/>
  <c r="P58" i="10"/>
  <c r="I58" i="10"/>
  <c r="P18" i="10"/>
  <c r="I18" i="10"/>
  <c r="P118" i="10"/>
  <c r="I118" i="10"/>
  <c r="P45" i="10"/>
  <c r="I45" i="10"/>
  <c r="P168" i="10"/>
  <c r="I168" i="10"/>
  <c r="P154" i="10"/>
  <c r="I154" i="10"/>
  <c r="I28" i="10"/>
  <c r="P28" i="10"/>
  <c r="P114" i="10"/>
  <c r="I114" i="10"/>
  <c r="P41" i="10"/>
  <c r="I41" i="10"/>
  <c r="P176" i="10"/>
  <c r="I176" i="10"/>
  <c r="P122" i="10"/>
  <c r="I122" i="10"/>
  <c r="P100" i="10"/>
  <c r="I100" i="10"/>
  <c r="P78" i="10"/>
  <c r="I78" i="10"/>
  <c r="P17" i="10"/>
  <c r="I17" i="10"/>
  <c r="P231" i="10"/>
  <c r="I231" i="10"/>
  <c r="P108" i="10"/>
  <c r="I108" i="10"/>
  <c r="P234" i="10"/>
  <c r="I234" i="10"/>
  <c r="P157" i="10"/>
  <c r="I157" i="10"/>
  <c r="P89" i="10"/>
  <c r="I89" i="10"/>
  <c r="P51" i="10"/>
  <c r="I51" i="10"/>
  <c r="P76" i="10"/>
  <c r="I76" i="10"/>
  <c r="P48" i="10"/>
  <c r="I48" i="10"/>
  <c r="P120" i="10"/>
  <c r="I120" i="10"/>
  <c r="P85" i="10"/>
  <c r="I85" i="10"/>
  <c r="P132" i="10"/>
  <c r="I132" i="10"/>
  <c r="I30" i="10"/>
  <c r="P30" i="10"/>
  <c r="P248" i="10"/>
  <c r="I248" i="10"/>
  <c r="P61" i="10"/>
  <c r="I61" i="10"/>
  <c r="P66" i="10"/>
  <c r="I66" i="10"/>
  <c r="P247" i="10"/>
  <c r="I247" i="10"/>
  <c r="P113" i="10"/>
  <c r="I113" i="10"/>
  <c r="P220" i="10"/>
  <c r="I220" i="10"/>
  <c r="P90" i="10"/>
  <c r="I90" i="10"/>
  <c r="P92" i="10"/>
  <c r="I92" i="10"/>
  <c r="P82" i="10"/>
  <c r="I82" i="10"/>
  <c r="P21" i="10"/>
  <c r="I21" i="10"/>
  <c r="P225" i="10"/>
  <c r="I225" i="10"/>
  <c r="I26" i="10"/>
  <c r="P26" i="10"/>
  <c r="P164" i="10"/>
  <c r="I164" i="10"/>
  <c r="P46" i="10"/>
  <c r="I46" i="10"/>
  <c r="P71" i="10"/>
  <c r="I71" i="10"/>
  <c r="P163" i="10"/>
  <c r="I163" i="10"/>
  <c r="P190" i="10"/>
  <c r="I190" i="10"/>
  <c r="P170" i="10"/>
  <c r="I170" i="10"/>
  <c r="P88" i="10"/>
  <c r="I88" i="10"/>
  <c r="P152" i="10"/>
  <c r="I152" i="10"/>
  <c r="P65" i="10"/>
  <c r="I65" i="10"/>
  <c r="P203" i="10"/>
  <c r="I203" i="10"/>
  <c r="P68" i="10"/>
  <c r="I68" i="10"/>
  <c r="P52" i="10"/>
  <c r="I52" i="10"/>
  <c r="P102" i="10"/>
  <c r="I102" i="10"/>
  <c r="I29" i="10"/>
  <c r="P29" i="10"/>
  <c r="P199" i="10"/>
  <c r="I199" i="10"/>
  <c r="P188" i="10"/>
  <c r="I188" i="10"/>
  <c r="P34" i="10"/>
  <c r="I34" i="10"/>
  <c r="P95" i="10"/>
  <c r="I95" i="10"/>
  <c r="I237" i="10"/>
  <c r="P237" i="10"/>
  <c r="P14" i="10"/>
  <c r="I14" i="10"/>
  <c r="P148" i="10"/>
  <c r="I148" i="10"/>
  <c r="P54" i="10"/>
  <c r="I54" i="10"/>
  <c r="P55" i="10"/>
  <c r="I55" i="10"/>
  <c r="P99" i="10"/>
  <c r="I99" i="10"/>
  <c r="P177" i="10"/>
  <c r="I177" i="10"/>
  <c r="P156" i="10"/>
  <c r="I156" i="10"/>
  <c r="P50" i="10"/>
  <c r="I50" i="10"/>
  <c r="P63" i="10"/>
  <c r="I63" i="10"/>
  <c r="P131" i="10"/>
  <c r="I131" i="10"/>
  <c r="P145" i="10"/>
  <c r="I145" i="10"/>
  <c r="P217" i="10"/>
  <c r="I217" i="10"/>
  <c r="P10" i="10"/>
  <c r="I10" i="10"/>
  <c r="P135" i="10"/>
  <c r="I135" i="10"/>
  <c r="P171" i="10"/>
  <c r="I171" i="10"/>
  <c r="P64" i="10"/>
  <c r="I64" i="10"/>
  <c r="P19" i="10"/>
  <c r="I19" i="10"/>
  <c r="P80" i="10"/>
  <c r="I80" i="10"/>
  <c r="P160" i="10"/>
  <c r="I160" i="10"/>
  <c r="P140" i="10"/>
  <c r="I140" i="10"/>
  <c r="P195" i="10"/>
  <c r="I195" i="10"/>
  <c r="P172" i="10"/>
  <c r="I172" i="10"/>
  <c r="P33" i="10"/>
  <c r="I33" i="10"/>
  <c r="P124" i="10"/>
  <c r="I124" i="10"/>
  <c r="P84" i="10"/>
  <c r="I84" i="10"/>
  <c r="P42" i="10"/>
  <c r="I42" i="10"/>
  <c r="P223" i="10"/>
  <c r="I223" i="10"/>
  <c r="P16" i="10"/>
  <c r="I16" i="10"/>
  <c r="P143" i="10"/>
  <c r="I143" i="10"/>
  <c r="P192" i="10"/>
  <c r="I192" i="10"/>
  <c r="P222" i="10"/>
  <c r="I222" i="10"/>
  <c r="P116" i="10"/>
  <c r="I116" i="10"/>
  <c r="P70" i="10"/>
  <c r="I70" i="10"/>
  <c r="I22" i="10"/>
  <c r="P22" i="10"/>
  <c r="I241" i="10"/>
  <c r="P241" i="10"/>
  <c r="P233" i="10"/>
  <c r="I233" i="10"/>
  <c r="P185" i="10"/>
  <c r="I185" i="10"/>
  <c r="P159" i="10"/>
  <c r="I159" i="10"/>
  <c r="I243" i="10"/>
  <c r="P243" i="10"/>
  <c r="P175" i="10"/>
  <c r="I175" i="10"/>
  <c r="P207" i="10"/>
  <c r="I207" i="10"/>
  <c r="P20" i="10"/>
  <c r="I20" i="10"/>
  <c r="P119" i="10"/>
  <c r="I119" i="10"/>
  <c r="P107" i="10"/>
  <c r="I107" i="10"/>
  <c r="P81" i="10"/>
  <c r="I81" i="10"/>
  <c r="P212" i="10"/>
  <c r="I212" i="10"/>
  <c r="P15" i="10"/>
  <c r="I15" i="10"/>
  <c r="P127" i="10"/>
  <c r="I127" i="10"/>
  <c r="P139" i="10"/>
  <c r="I139" i="10"/>
  <c r="P49" i="10"/>
  <c r="I49" i="10"/>
  <c r="P238" i="10"/>
  <c r="I238" i="10"/>
  <c r="P165" i="10"/>
  <c r="I165" i="10"/>
  <c r="P197" i="10"/>
  <c r="I197" i="10"/>
  <c r="P147" i="10"/>
  <c r="I147" i="10"/>
  <c r="P158" i="10"/>
  <c r="I158" i="10"/>
  <c r="P205" i="10"/>
  <c r="I205" i="10"/>
  <c r="P109" i="10"/>
  <c r="I109" i="10"/>
  <c r="P215" i="10"/>
  <c r="I215" i="10"/>
  <c r="P181" i="10"/>
  <c r="I181" i="10"/>
  <c r="P138" i="10"/>
  <c r="I138" i="10"/>
  <c r="P136" i="10"/>
  <c r="I136" i="10"/>
  <c r="P86" i="10"/>
  <c r="I86" i="10"/>
  <c r="P97" i="10"/>
  <c r="I97" i="10"/>
  <c r="P74" i="10"/>
  <c r="I74" i="10"/>
  <c r="P179" i="10"/>
  <c r="I179" i="10"/>
  <c r="P180" i="10"/>
  <c r="I180" i="10"/>
  <c r="P38" i="10"/>
  <c r="I38" i="10"/>
  <c r="P87" i="10"/>
  <c r="I87" i="10"/>
  <c r="P216" i="10"/>
  <c r="I216" i="10"/>
  <c r="P226" i="10"/>
  <c r="I226" i="10"/>
  <c r="P153" i="10"/>
  <c r="I153" i="10"/>
  <c r="P213" i="10"/>
  <c r="I213" i="10"/>
  <c r="P227" i="10"/>
  <c r="I227" i="10"/>
  <c r="P96" i="10"/>
  <c r="I96" i="10"/>
  <c r="P246" i="10"/>
  <c r="I246" i="10"/>
  <c r="P173" i="10"/>
  <c r="I173" i="10"/>
  <c r="P183" i="10"/>
  <c r="I183" i="10"/>
  <c r="P83" i="10"/>
  <c r="I83" i="10"/>
  <c r="P47" i="10"/>
  <c r="I47" i="10"/>
  <c r="P242" i="10"/>
  <c r="I242" i="10"/>
  <c r="P169" i="10"/>
  <c r="I169" i="10"/>
  <c r="P191" i="10"/>
  <c r="I191" i="10"/>
  <c r="P115" i="10"/>
  <c r="I115" i="10"/>
  <c r="P111" i="10"/>
  <c r="I111" i="10"/>
  <c r="P206" i="10"/>
  <c r="I206" i="10"/>
  <c r="P133" i="10"/>
  <c r="I133" i="10"/>
  <c r="P240" i="10"/>
  <c r="I240" i="10"/>
  <c r="P123" i="10"/>
  <c r="I123" i="10"/>
  <c r="P126" i="10"/>
  <c r="I126" i="10"/>
  <c r="P230" i="10"/>
  <c r="I230" i="10"/>
  <c r="P162" i="10"/>
  <c r="I162" i="10"/>
  <c r="P182" i="10"/>
  <c r="I182" i="10"/>
  <c r="P178" i="10"/>
  <c r="I178" i="10"/>
  <c r="P69" i="10"/>
  <c r="I69" i="10"/>
  <c r="P106" i="10"/>
  <c r="I106" i="10"/>
  <c r="P167" i="10"/>
  <c r="I167" i="10"/>
  <c r="P193" i="10"/>
  <c r="I193" i="10"/>
  <c r="P134" i="10"/>
  <c r="I134" i="10"/>
  <c r="P31" i="10"/>
  <c r="I31" i="10"/>
  <c r="I25" i="10"/>
  <c r="P25" i="10"/>
  <c r="P62" i="10"/>
  <c r="I62" i="10"/>
  <c r="P117" i="10"/>
  <c r="I117" i="10"/>
  <c r="P128" i="10"/>
  <c r="I128" i="10"/>
  <c r="P200" i="10"/>
  <c r="I200" i="10"/>
  <c r="P94" i="10"/>
  <c r="I94" i="10"/>
  <c r="P39" i="10"/>
  <c r="I39" i="10"/>
  <c r="P79" i="10"/>
  <c r="I79" i="10"/>
  <c r="P239" i="10"/>
  <c r="I239" i="10"/>
  <c r="P245" i="10"/>
  <c r="I245" i="10"/>
  <c r="P44" i="10"/>
  <c r="I44" i="10"/>
  <c r="P202" i="10"/>
  <c r="I202" i="10"/>
  <c r="P149" i="10"/>
  <c r="I149" i="10"/>
  <c r="P228" i="10"/>
  <c r="I228" i="10"/>
  <c r="P189" i="10"/>
  <c r="I189" i="10"/>
  <c r="P151" i="10"/>
  <c r="I151" i="10"/>
  <c r="P221" i="10"/>
  <c r="I221" i="10"/>
  <c r="P194" i="10"/>
  <c r="I194" i="10"/>
  <c r="P121" i="10"/>
  <c r="I121" i="10"/>
  <c r="P12" i="10"/>
  <c r="I12" i="10"/>
  <c r="P211" i="10"/>
  <c r="I211" i="10"/>
  <c r="P67" i="10"/>
  <c r="I67" i="10"/>
  <c r="P214" i="10"/>
  <c r="I214" i="10"/>
  <c r="P141" i="10"/>
  <c r="I141" i="10"/>
  <c r="P229" i="10"/>
  <c r="I229" i="10"/>
  <c r="P59" i="10"/>
  <c r="I59" i="10"/>
  <c r="P224" i="10"/>
  <c r="I224" i="10"/>
  <c r="P210" i="10"/>
  <c r="I210" i="10"/>
  <c r="P137" i="10"/>
  <c r="I137" i="10"/>
  <c r="P235" i="10"/>
  <c r="I235" i="10"/>
  <c r="P91" i="10"/>
  <c r="I91" i="10"/>
  <c r="I32" i="10"/>
  <c r="P32" i="10"/>
  <c r="P174" i="10"/>
  <c r="I174" i="10"/>
  <c r="P101" i="10"/>
  <c r="I101" i="10"/>
  <c r="P56" i="10"/>
  <c r="I56" i="10"/>
  <c r="P11" i="10"/>
  <c r="I11" i="10"/>
  <c r="X16" i="10"/>
  <c r="X24" i="10"/>
  <c r="X10" i="10"/>
  <c r="X18" i="10"/>
  <c r="X26" i="10"/>
  <c r="X34" i="10"/>
  <c r="X42" i="10"/>
  <c r="X50" i="10"/>
  <c r="X58" i="10"/>
  <c r="X66" i="10"/>
  <c r="X74" i="10"/>
  <c r="X82" i="10"/>
  <c r="X90" i="10"/>
  <c r="X98" i="10"/>
  <c r="X106" i="10"/>
  <c r="X114" i="10"/>
  <c r="X122" i="10"/>
  <c r="X130" i="10"/>
  <c r="X138" i="10"/>
  <c r="X146" i="10"/>
  <c r="X154" i="10"/>
  <c r="X162" i="10"/>
  <c r="X170" i="10"/>
  <c r="X178" i="10"/>
  <c r="X186" i="10"/>
  <c r="X194" i="10"/>
  <c r="X202" i="10"/>
  <c r="X210" i="10"/>
  <c r="X218" i="10"/>
  <c r="X226" i="10"/>
  <c r="X234" i="10"/>
  <c r="X242" i="10"/>
  <c r="X11" i="10"/>
  <c r="X19" i="10"/>
  <c r="X27" i="10"/>
  <c r="X35" i="10"/>
  <c r="X43" i="10"/>
  <c r="X51" i="10"/>
  <c r="X59" i="10"/>
  <c r="X67" i="10"/>
  <c r="X75" i="10"/>
  <c r="X83" i="10"/>
  <c r="X91" i="10"/>
  <c r="X99" i="10"/>
  <c r="X107" i="10"/>
  <c r="X115" i="10"/>
  <c r="X123" i="10"/>
  <c r="X131" i="10"/>
  <c r="X139" i="10"/>
  <c r="X147" i="10"/>
  <c r="X155" i="10"/>
  <c r="X163" i="10"/>
  <c r="X171" i="10"/>
  <c r="X179" i="10"/>
  <c r="X187" i="10"/>
  <c r="X195" i="10"/>
  <c r="X203" i="10"/>
  <c r="X211" i="10"/>
  <c r="X219" i="10"/>
  <c r="X227" i="10"/>
  <c r="X235" i="10"/>
  <c r="X243" i="10"/>
  <c r="X13" i="10"/>
  <c r="X21" i="10"/>
  <c r="X29" i="10"/>
  <c r="X37" i="10"/>
  <c r="X45" i="10"/>
  <c r="X53" i="10"/>
  <c r="X61" i="10"/>
  <c r="X69" i="10"/>
  <c r="X77" i="10"/>
  <c r="X85" i="10"/>
  <c r="X93" i="10"/>
  <c r="X101" i="10"/>
  <c r="X109" i="10"/>
  <c r="X117" i="10"/>
  <c r="X125" i="10"/>
  <c r="X133" i="10"/>
  <c r="X141" i="10"/>
  <c r="X149" i="10"/>
  <c r="X157" i="10"/>
  <c r="X165" i="10"/>
  <c r="X173" i="10"/>
  <c r="X181" i="10"/>
  <c r="X189" i="10"/>
  <c r="X197" i="10"/>
  <c r="X205" i="10"/>
  <c r="X213" i="10"/>
  <c r="X221" i="10"/>
  <c r="X229" i="10"/>
  <c r="X237" i="10"/>
  <c r="X245" i="10"/>
  <c r="X25" i="10"/>
  <c r="X78" i="10"/>
  <c r="X116" i="10"/>
  <c r="X167" i="10"/>
  <c r="X217" i="10"/>
  <c r="X54" i="10"/>
  <c r="X92" i="10"/>
  <c r="X129" i="10"/>
  <c r="X182" i="10"/>
  <c r="X232" i="10"/>
  <c r="X14" i="10"/>
  <c r="X30" i="10"/>
  <c r="X41" i="10"/>
  <c r="X55" i="10"/>
  <c r="X68" i="10"/>
  <c r="X80" i="10"/>
  <c r="X94" i="10"/>
  <c r="X105" i="10"/>
  <c r="X119" i="10"/>
  <c r="X132" i="10"/>
  <c r="X144" i="10"/>
  <c r="X158" i="10"/>
  <c r="X169" i="10"/>
  <c r="X183" i="10"/>
  <c r="X196" i="10"/>
  <c r="X208" i="10"/>
  <c r="X222" i="10"/>
  <c r="X233" i="10"/>
  <c r="X247" i="10"/>
  <c r="X17" i="10"/>
  <c r="X46" i="10"/>
  <c r="X71" i="10"/>
  <c r="X96" i="10"/>
  <c r="X121" i="10"/>
  <c r="X135" i="10"/>
  <c r="X160" i="10"/>
  <c r="X185" i="10"/>
  <c r="X212" i="10"/>
  <c r="X238" i="10"/>
  <c r="X79" i="10"/>
  <c r="X156" i="10"/>
  <c r="X207" i="10"/>
  <c r="X15" i="10"/>
  <c r="X31" i="10"/>
  <c r="X44" i="10"/>
  <c r="X56" i="10"/>
  <c r="X70" i="10"/>
  <c r="X81" i="10"/>
  <c r="X95" i="10"/>
  <c r="X108" i="10"/>
  <c r="X120" i="10"/>
  <c r="X134" i="10"/>
  <c r="X145" i="10"/>
  <c r="X159" i="10"/>
  <c r="X172" i="10"/>
  <c r="X184" i="10"/>
  <c r="X198" i="10"/>
  <c r="X209" i="10"/>
  <c r="X223" i="10"/>
  <c r="X236" i="10"/>
  <c r="X248" i="10"/>
  <c r="CJ13" i="10"/>
  <c r="X9" i="10"/>
  <c r="X32" i="10"/>
  <c r="X57" i="10"/>
  <c r="X84" i="10"/>
  <c r="X110" i="10"/>
  <c r="X148" i="10"/>
  <c r="X174" i="10"/>
  <c r="X199" i="10"/>
  <c r="X224" i="10"/>
  <c r="X118" i="10"/>
  <c r="X168" i="10"/>
  <c r="X220" i="10"/>
  <c r="X20" i="10"/>
  <c r="X33" i="10"/>
  <c r="X47" i="10"/>
  <c r="X60" i="10"/>
  <c r="X72" i="10"/>
  <c r="X86" i="10"/>
  <c r="X97" i="10"/>
  <c r="X111" i="10"/>
  <c r="X124" i="10"/>
  <c r="X136" i="10"/>
  <c r="X150" i="10"/>
  <c r="X161" i="10"/>
  <c r="X175" i="10"/>
  <c r="X188" i="10"/>
  <c r="X200" i="10"/>
  <c r="X214" i="10"/>
  <c r="X225" i="10"/>
  <c r="X239" i="10"/>
  <c r="X22" i="10"/>
  <c r="X36" i="10"/>
  <c r="X48" i="10"/>
  <c r="X62" i="10"/>
  <c r="X73" i="10"/>
  <c r="X87" i="10"/>
  <c r="X100" i="10"/>
  <c r="X112" i="10"/>
  <c r="X126" i="10"/>
  <c r="X137" i="10"/>
  <c r="X151" i="10"/>
  <c r="X164" i="10"/>
  <c r="X176" i="10"/>
  <c r="X190" i="10"/>
  <c r="X201" i="10"/>
  <c r="X215" i="10"/>
  <c r="X228" i="10"/>
  <c r="X240" i="10"/>
  <c r="X23" i="10"/>
  <c r="X38" i="10"/>
  <c r="X49" i="10"/>
  <c r="X63" i="10"/>
  <c r="X76" i="10"/>
  <c r="X88" i="10"/>
  <c r="X102" i="10"/>
  <c r="X113" i="10"/>
  <c r="X127" i="10"/>
  <c r="X140" i="10"/>
  <c r="X152" i="10"/>
  <c r="X166" i="10"/>
  <c r="X177" i="10"/>
  <c r="X191" i="10"/>
  <c r="X204" i="10"/>
  <c r="X216" i="10"/>
  <c r="X230" i="10"/>
  <c r="X241" i="10"/>
  <c r="X39" i="10"/>
  <c r="X52" i="10"/>
  <c r="X64" i="10"/>
  <c r="X89" i="10"/>
  <c r="X103" i="10"/>
  <c r="X128" i="10"/>
  <c r="X142" i="10"/>
  <c r="X153" i="10"/>
  <c r="X180" i="10"/>
  <c r="X192" i="10"/>
  <c r="X206" i="10"/>
  <c r="X231" i="10"/>
  <c r="X244" i="10"/>
  <c r="X12" i="10"/>
  <c r="X28" i="10"/>
  <c r="X40" i="10"/>
  <c r="X65" i="10"/>
  <c r="X104" i="10"/>
  <c r="X143" i="10"/>
  <c r="X193" i="10"/>
  <c r="X246" i="10"/>
  <c r="AO210" i="10"/>
  <c r="AO79" i="10"/>
  <c r="AO115" i="10"/>
  <c r="AO38" i="10"/>
  <c r="AO119" i="10"/>
  <c r="AO223" i="10"/>
  <c r="AO156" i="10"/>
  <c r="AO203" i="10"/>
  <c r="AO21" i="10"/>
  <c r="AO85" i="10"/>
  <c r="AO114" i="10"/>
  <c r="AO103" i="10"/>
  <c r="Q244" i="10"/>
  <c r="J244" i="10"/>
  <c r="R244" i="10"/>
  <c r="AP244" i="10"/>
  <c r="K244" i="10"/>
  <c r="S244" i="10"/>
  <c r="AQ244" i="10"/>
  <c r="L244" i="10"/>
  <c r="T244" i="10"/>
  <c r="AR244" i="10"/>
  <c r="M244" i="10"/>
  <c r="U244" i="10"/>
  <c r="AS244" i="10"/>
  <c r="Q27" i="10"/>
  <c r="L27" i="10"/>
  <c r="T27" i="10"/>
  <c r="AR27" i="10"/>
  <c r="K27" i="10"/>
  <c r="S27" i="10"/>
  <c r="AQ27" i="10"/>
  <c r="J27" i="10"/>
  <c r="R27" i="10"/>
  <c r="AP27" i="10"/>
  <c r="M27" i="10"/>
  <c r="U27" i="10"/>
  <c r="AS27" i="10"/>
  <c r="Q56" i="10"/>
  <c r="L56" i="10"/>
  <c r="T56" i="10"/>
  <c r="AR56" i="10"/>
  <c r="K56" i="10"/>
  <c r="S56" i="10"/>
  <c r="AQ56" i="10"/>
  <c r="M56" i="10"/>
  <c r="U56" i="10"/>
  <c r="AS56" i="10"/>
  <c r="J56" i="10"/>
  <c r="R56" i="10"/>
  <c r="Q39" i="10"/>
  <c r="K39" i="10"/>
  <c r="S39" i="10"/>
  <c r="AQ39" i="10"/>
  <c r="J39" i="10"/>
  <c r="R39" i="10"/>
  <c r="AP39" i="10"/>
  <c r="M39" i="10"/>
  <c r="U39" i="10"/>
  <c r="AS39" i="10"/>
  <c r="L39" i="10"/>
  <c r="T39" i="10"/>
  <c r="AR39" i="10"/>
  <c r="Q230" i="10"/>
  <c r="M230" i="10"/>
  <c r="U230" i="10"/>
  <c r="AS230" i="10"/>
  <c r="L230" i="10"/>
  <c r="T230" i="10"/>
  <c r="AR230" i="10"/>
  <c r="K230" i="10"/>
  <c r="S230" i="10"/>
  <c r="J230" i="10"/>
  <c r="R230" i="10"/>
  <c r="AP230" i="10"/>
  <c r="Q83" i="10"/>
  <c r="M83" i="10"/>
  <c r="U83" i="10"/>
  <c r="AS83" i="10"/>
  <c r="L83" i="10"/>
  <c r="T83" i="10"/>
  <c r="AR83" i="10"/>
  <c r="J83" i="10"/>
  <c r="R83" i="10"/>
  <c r="AP83" i="10"/>
  <c r="K83" i="10"/>
  <c r="S83" i="10"/>
  <c r="AQ83" i="10"/>
  <c r="Q96" i="10"/>
  <c r="J96" i="10"/>
  <c r="R96" i="10"/>
  <c r="L96" i="10"/>
  <c r="T96" i="10"/>
  <c r="AR96" i="10"/>
  <c r="M96" i="10"/>
  <c r="U96" i="10"/>
  <c r="AS96" i="10"/>
  <c r="K96" i="10"/>
  <c r="S96" i="10"/>
  <c r="AQ96" i="10"/>
  <c r="Q215" i="10"/>
  <c r="J215" i="10"/>
  <c r="R215" i="10"/>
  <c r="L215" i="10"/>
  <c r="T215" i="10"/>
  <c r="AR215" i="10"/>
  <c r="K215" i="10"/>
  <c r="S215" i="10"/>
  <c r="AQ215" i="10"/>
  <c r="M215" i="10"/>
  <c r="U215" i="10"/>
  <c r="AS215" i="10"/>
  <c r="Q49" i="10"/>
  <c r="M49" i="10"/>
  <c r="U49" i="10"/>
  <c r="AS49" i="10"/>
  <c r="L49" i="10"/>
  <c r="T49" i="10"/>
  <c r="AR49" i="10"/>
  <c r="K49" i="10"/>
  <c r="S49" i="10"/>
  <c r="AQ49" i="10"/>
  <c r="J49" i="10"/>
  <c r="R49" i="10"/>
  <c r="AP49" i="10"/>
  <c r="Q212" i="10"/>
  <c r="M212" i="10"/>
  <c r="U212" i="10"/>
  <c r="AS212" i="10"/>
  <c r="K212" i="10"/>
  <c r="S212" i="10"/>
  <c r="AQ212" i="10"/>
  <c r="L212" i="10"/>
  <c r="T212" i="10"/>
  <c r="AR212" i="10"/>
  <c r="J212" i="10"/>
  <c r="R212" i="10"/>
  <c r="AP212" i="10"/>
  <c r="M20" i="10"/>
  <c r="U20" i="10"/>
  <c r="AS20" i="10"/>
  <c r="K20" i="10"/>
  <c r="S20" i="10"/>
  <c r="AQ20" i="10"/>
  <c r="Q20" i="10"/>
  <c r="J20" i="10"/>
  <c r="R20" i="10"/>
  <c r="AP20" i="10"/>
  <c r="L20" i="10"/>
  <c r="T20" i="10"/>
  <c r="Q159" i="10"/>
  <c r="K159" i="10"/>
  <c r="S159" i="10"/>
  <c r="AQ159" i="10"/>
  <c r="J159" i="10"/>
  <c r="R159" i="10"/>
  <c r="AP159" i="10"/>
  <c r="M159" i="10"/>
  <c r="U159" i="10"/>
  <c r="AS159" i="10"/>
  <c r="L159" i="10"/>
  <c r="T159" i="10"/>
  <c r="AR159" i="10"/>
  <c r="AO22" i="10"/>
  <c r="Q192" i="10"/>
  <c r="M192" i="10"/>
  <c r="U192" i="10"/>
  <c r="K192" i="10"/>
  <c r="S192" i="10"/>
  <c r="AQ192" i="10"/>
  <c r="J192" i="10"/>
  <c r="R192" i="10"/>
  <c r="AP192" i="10"/>
  <c r="L192" i="10"/>
  <c r="T192" i="10"/>
  <c r="AR192" i="10"/>
  <c r="J42" i="10"/>
  <c r="R42" i="10"/>
  <c r="AP42" i="10"/>
  <c r="K42" i="10"/>
  <c r="S42" i="10"/>
  <c r="Q42" i="10"/>
  <c r="M42" i="10"/>
  <c r="U42" i="10"/>
  <c r="AS42" i="10"/>
  <c r="L42" i="10"/>
  <c r="T42" i="10"/>
  <c r="AR42" i="10"/>
  <c r="Q172" i="10"/>
  <c r="J172" i="10"/>
  <c r="R172" i="10"/>
  <c r="AP172" i="10"/>
  <c r="K172" i="10"/>
  <c r="S172" i="10"/>
  <c r="AQ172" i="10"/>
  <c r="M172" i="10"/>
  <c r="U172" i="10"/>
  <c r="AS172" i="10"/>
  <c r="L172" i="10"/>
  <c r="T172" i="10"/>
  <c r="Q80" i="10"/>
  <c r="J80" i="10"/>
  <c r="R80" i="10"/>
  <c r="AP80" i="10"/>
  <c r="L80" i="10"/>
  <c r="T80" i="10"/>
  <c r="AR80" i="10"/>
  <c r="K80" i="10"/>
  <c r="S80" i="10"/>
  <c r="AQ80" i="10"/>
  <c r="M80" i="10"/>
  <c r="U80" i="10"/>
  <c r="AS80" i="10"/>
  <c r="Q135" i="10"/>
  <c r="K135" i="10"/>
  <c r="S135" i="10"/>
  <c r="AQ135" i="10"/>
  <c r="L135" i="10"/>
  <c r="T135" i="10"/>
  <c r="J135" i="10"/>
  <c r="R135" i="10"/>
  <c r="AP135" i="10"/>
  <c r="M135" i="10"/>
  <c r="U135" i="10"/>
  <c r="AS135" i="10"/>
  <c r="Q131" i="10"/>
  <c r="K131" i="10"/>
  <c r="S131" i="10"/>
  <c r="AQ131" i="10"/>
  <c r="L131" i="10"/>
  <c r="T131" i="10"/>
  <c r="AR131" i="10"/>
  <c r="M131" i="10"/>
  <c r="U131" i="10"/>
  <c r="AS131" i="10"/>
  <c r="J131" i="10"/>
  <c r="R131" i="10"/>
  <c r="AP131" i="10"/>
  <c r="Q177" i="10"/>
  <c r="M177" i="10"/>
  <c r="U177" i="10"/>
  <c r="AS177" i="10"/>
  <c r="J177" i="10"/>
  <c r="R177" i="10"/>
  <c r="K177" i="10"/>
  <c r="S177" i="10"/>
  <c r="AQ177" i="10"/>
  <c r="L177" i="10"/>
  <c r="T177" i="10"/>
  <c r="AR177" i="10"/>
  <c r="Q148" i="10"/>
  <c r="L148" i="10"/>
  <c r="T148" i="10"/>
  <c r="AR148" i="10"/>
  <c r="J148" i="10"/>
  <c r="R148" i="10"/>
  <c r="AP148" i="10"/>
  <c r="M148" i="10"/>
  <c r="U148" i="10"/>
  <c r="AS148" i="10"/>
  <c r="K148" i="10"/>
  <c r="S148" i="10"/>
  <c r="AQ148" i="10"/>
  <c r="Q34" i="10"/>
  <c r="L34" i="10"/>
  <c r="T34" i="10"/>
  <c r="K34" i="10"/>
  <c r="S34" i="10"/>
  <c r="AQ34" i="10"/>
  <c r="J34" i="10"/>
  <c r="R34" i="10"/>
  <c r="AP34" i="10"/>
  <c r="M34" i="10"/>
  <c r="U34" i="10"/>
  <c r="AS34" i="10"/>
  <c r="Q102" i="10"/>
  <c r="L102" i="10"/>
  <c r="T102" i="10"/>
  <c r="AR102" i="10"/>
  <c r="K102" i="10"/>
  <c r="S102" i="10"/>
  <c r="AQ102" i="10"/>
  <c r="M102" i="10"/>
  <c r="U102" i="10"/>
  <c r="AS102" i="10"/>
  <c r="J102" i="10"/>
  <c r="R102" i="10"/>
  <c r="Q65" i="10"/>
  <c r="J65" i="10"/>
  <c r="R65" i="10"/>
  <c r="AP65" i="10"/>
  <c r="K65" i="10"/>
  <c r="S65" i="10"/>
  <c r="AQ65" i="10"/>
  <c r="L65" i="10"/>
  <c r="T65" i="10"/>
  <c r="AR65" i="10"/>
  <c r="M65" i="10"/>
  <c r="U65" i="10"/>
  <c r="Q190" i="10"/>
  <c r="L190" i="10"/>
  <c r="T190" i="10"/>
  <c r="AR190" i="10"/>
  <c r="K190" i="10"/>
  <c r="S190" i="10"/>
  <c r="AQ190" i="10"/>
  <c r="M190" i="10"/>
  <c r="U190" i="10"/>
  <c r="AS190" i="10"/>
  <c r="J190" i="10"/>
  <c r="R190" i="10"/>
  <c r="AP190" i="10"/>
  <c r="Q164" i="10"/>
  <c r="J164" i="10"/>
  <c r="R164" i="10"/>
  <c r="AP164" i="10"/>
  <c r="K164" i="10"/>
  <c r="S164" i="10"/>
  <c r="L164" i="10"/>
  <c r="T164" i="10"/>
  <c r="AR164" i="10"/>
  <c r="M164" i="10"/>
  <c r="U164" i="10"/>
  <c r="AS164" i="10"/>
  <c r="Q82" i="10"/>
  <c r="K82" i="10"/>
  <c r="S82" i="10"/>
  <c r="AQ82" i="10"/>
  <c r="J82" i="10"/>
  <c r="R82" i="10"/>
  <c r="AP82" i="10"/>
  <c r="M82" i="10"/>
  <c r="U82" i="10"/>
  <c r="AS82" i="10"/>
  <c r="L82" i="10"/>
  <c r="T82" i="10"/>
  <c r="AR82" i="10"/>
  <c r="Q113" i="10"/>
  <c r="J113" i="10"/>
  <c r="R113" i="10"/>
  <c r="AP113" i="10"/>
  <c r="K113" i="10"/>
  <c r="S113" i="10"/>
  <c r="M113" i="10"/>
  <c r="U113" i="10"/>
  <c r="AS113" i="10"/>
  <c r="L113" i="10"/>
  <c r="T113" i="10"/>
  <c r="AR113" i="10"/>
  <c r="Q248" i="10"/>
  <c r="K248" i="10"/>
  <c r="S248" i="10"/>
  <c r="AQ248" i="10"/>
  <c r="M248" i="10"/>
  <c r="U248" i="10"/>
  <c r="AS248" i="10"/>
  <c r="J248" i="10"/>
  <c r="R248" i="10"/>
  <c r="AP248" i="10"/>
  <c r="L248" i="10"/>
  <c r="T248" i="10"/>
  <c r="AR248" i="10"/>
  <c r="Q120" i="10"/>
  <c r="M120" i="10"/>
  <c r="U120" i="10"/>
  <c r="K120" i="10"/>
  <c r="S120" i="10"/>
  <c r="AQ120" i="10"/>
  <c r="L120" i="10"/>
  <c r="T120" i="10"/>
  <c r="AR120" i="10"/>
  <c r="J120" i="10"/>
  <c r="R120" i="10"/>
  <c r="AP120" i="10"/>
  <c r="Q89" i="10"/>
  <c r="J89" i="10"/>
  <c r="R89" i="10"/>
  <c r="K89" i="10"/>
  <c r="S89" i="10"/>
  <c r="AQ89" i="10"/>
  <c r="L89" i="10"/>
  <c r="T89" i="10"/>
  <c r="AR89" i="10"/>
  <c r="M89" i="10"/>
  <c r="U89" i="10"/>
  <c r="AS89" i="10"/>
  <c r="Q231" i="10"/>
  <c r="J231" i="10"/>
  <c r="R231" i="10"/>
  <c r="AP231" i="10"/>
  <c r="L231" i="10"/>
  <c r="T231" i="10"/>
  <c r="AR231" i="10"/>
  <c r="K231" i="10"/>
  <c r="S231" i="10"/>
  <c r="AQ231" i="10"/>
  <c r="M231" i="10"/>
  <c r="U231" i="10"/>
  <c r="Q122" i="10"/>
  <c r="L122" i="10"/>
  <c r="T122" i="10"/>
  <c r="M122" i="10"/>
  <c r="U122" i="10"/>
  <c r="AS122" i="10"/>
  <c r="K122" i="10"/>
  <c r="S122" i="10"/>
  <c r="AQ122" i="10"/>
  <c r="J122" i="10"/>
  <c r="R122" i="10"/>
  <c r="AP122" i="10"/>
  <c r="AO28" i="10"/>
  <c r="Q118" i="10"/>
  <c r="K118" i="10"/>
  <c r="S118" i="10"/>
  <c r="AQ118" i="10"/>
  <c r="J118" i="10"/>
  <c r="R118" i="10"/>
  <c r="AP118" i="10"/>
  <c r="L118" i="10"/>
  <c r="T118" i="10"/>
  <c r="M118" i="10"/>
  <c r="U118" i="10"/>
  <c r="AS118" i="10"/>
  <c r="AO24" i="10"/>
  <c r="Q93" i="10"/>
  <c r="J93" i="10"/>
  <c r="R93" i="10"/>
  <c r="M93" i="10"/>
  <c r="U93" i="10"/>
  <c r="AS93" i="10"/>
  <c r="L93" i="10"/>
  <c r="T93" i="10"/>
  <c r="AR93" i="10"/>
  <c r="K93" i="10"/>
  <c r="S93" i="10"/>
  <c r="AQ93" i="10"/>
  <c r="Q161" i="10"/>
  <c r="K161" i="10"/>
  <c r="S161" i="10"/>
  <c r="AQ161" i="10"/>
  <c r="M161" i="10"/>
  <c r="U161" i="10"/>
  <c r="AS161" i="10"/>
  <c r="L161" i="10"/>
  <c r="T161" i="10"/>
  <c r="AR161" i="10"/>
  <c r="J161" i="10"/>
  <c r="R161" i="10"/>
  <c r="AP161" i="10"/>
  <c r="Q232" i="10"/>
  <c r="M232" i="10"/>
  <c r="U232" i="10"/>
  <c r="AS232" i="10"/>
  <c r="L232" i="10"/>
  <c r="T232" i="10"/>
  <c r="K232" i="10"/>
  <c r="S232" i="10"/>
  <c r="AQ232" i="10"/>
  <c r="J232" i="10"/>
  <c r="R232" i="10"/>
  <c r="AP232" i="10"/>
  <c r="Q110" i="10"/>
  <c r="M110" i="10"/>
  <c r="U110" i="10"/>
  <c r="AS110" i="10"/>
  <c r="L110" i="10"/>
  <c r="T110" i="10"/>
  <c r="AR110" i="10"/>
  <c r="J110" i="10"/>
  <c r="R110" i="10"/>
  <c r="AP110" i="10"/>
  <c r="K110" i="10"/>
  <c r="S110" i="10"/>
  <c r="Q73" i="10"/>
  <c r="J73" i="10"/>
  <c r="R73" i="10"/>
  <c r="AP73" i="10"/>
  <c r="K73" i="10"/>
  <c r="S73" i="10"/>
  <c r="AQ73" i="10"/>
  <c r="M73" i="10"/>
  <c r="U73" i="10"/>
  <c r="AS73" i="10"/>
  <c r="L73" i="10"/>
  <c r="T73" i="10"/>
  <c r="AR73" i="10"/>
  <c r="Q104" i="10"/>
  <c r="J104" i="10"/>
  <c r="R104" i="10"/>
  <c r="AP104" i="10"/>
  <c r="L104" i="10"/>
  <c r="T104" i="10"/>
  <c r="AR104" i="10"/>
  <c r="K104" i="10"/>
  <c r="S104" i="10"/>
  <c r="AQ104" i="10"/>
  <c r="M104" i="10"/>
  <c r="U104" i="10"/>
  <c r="AS104" i="10"/>
  <c r="Q186" i="10"/>
  <c r="M186" i="10"/>
  <c r="U186" i="10"/>
  <c r="AS186" i="10"/>
  <c r="J186" i="10"/>
  <c r="R186" i="10"/>
  <c r="AP186" i="10"/>
  <c r="L186" i="10"/>
  <c r="T186" i="10"/>
  <c r="K186" i="10"/>
  <c r="S186" i="10"/>
  <c r="AQ186" i="10"/>
  <c r="Q187" i="10"/>
  <c r="M187" i="10"/>
  <c r="U187" i="10"/>
  <c r="J187" i="10"/>
  <c r="R187" i="10"/>
  <c r="AP187" i="10"/>
  <c r="L187" i="10"/>
  <c r="T187" i="10"/>
  <c r="AR187" i="10"/>
  <c r="K187" i="10"/>
  <c r="S187" i="10"/>
  <c r="AQ187" i="10"/>
  <c r="AO198" i="10"/>
  <c r="AO129" i="10"/>
  <c r="AO201" i="10"/>
  <c r="AO56" i="10"/>
  <c r="AO91" i="10"/>
  <c r="AO224" i="10"/>
  <c r="AO214" i="10"/>
  <c r="AO121" i="10"/>
  <c r="AO189" i="10"/>
  <c r="AO44" i="10"/>
  <c r="AO39" i="10"/>
  <c r="AO117" i="10"/>
  <c r="AO134" i="10"/>
  <c r="AO69" i="10"/>
  <c r="AO230" i="10"/>
  <c r="AO133" i="10"/>
  <c r="AO191" i="10"/>
  <c r="AO83" i="10"/>
  <c r="AO96" i="10"/>
  <c r="AO226" i="10"/>
  <c r="AO180" i="10"/>
  <c r="AO86" i="10"/>
  <c r="AO215" i="10"/>
  <c r="AO147" i="10"/>
  <c r="AO49" i="10"/>
  <c r="AO212" i="10"/>
  <c r="AO20" i="10"/>
  <c r="AO159" i="10"/>
  <c r="K22" i="10"/>
  <c r="S22" i="10"/>
  <c r="AQ22" i="10"/>
  <c r="M22" i="10"/>
  <c r="U22" i="10"/>
  <c r="AS22" i="10"/>
  <c r="L22" i="10"/>
  <c r="T22" i="10"/>
  <c r="AR22" i="10"/>
  <c r="J22" i="10"/>
  <c r="R22" i="10"/>
  <c r="Q22" i="10"/>
  <c r="AO192" i="10"/>
  <c r="AO42" i="10"/>
  <c r="AO172" i="10"/>
  <c r="AO80" i="10"/>
  <c r="AO135" i="10"/>
  <c r="AO131" i="10"/>
  <c r="AO177" i="10"/>
  <c r="AO148" i="10"/>
  <c r="AO34" i="10"/>
  <c r="AO102" i="10"/>
  <c r="AO65" i="10"/>
  <c r="AO190" i="10"/>
  <c r="AO164" i="10"/>
  <c r="AO82" i="10"/>
  <c r="AO113" i="10"/>
  <c r="AO248" i="10"/>
  <c r="AO120" i="10"/>
  <c r="AO89" i="10"/>
  <c r="AO231" i="10"/>
  <c r="AO122" i="10"/>
  <c r="L28" i="10"/>
  <c r="T28" i="10"/>
  <c r="AR28" i="10"/>
  <c r="K28" i="10"/>
  <c r="S28" i="10"/>
  <c r="AQ28" i="10"/>
  <c r="Q28" i="10"/>
  <c r="M28" i="10"/>
  <c r="U28" i="10"/>
  <c r="AS28" i="10"/>
  <c r="J28" i="10"/>
  <c r="R28" i="10"/>
  <c r="AO118" i="10"/>
  <c r="Q24" i="10"/>
  <c r="K24" i="10"/>
  <c r="S24" i="10"/>
  <c r="AQ24" i="10"/>
  <c r="L24" i="10"/>
  <c r="T24" i="10"/>
  <c r="AR24" i="10"/>
  <c r="J24" i="10"/>
  <c r="R24" i="10"/>
  <c r="AP24" i="10"/>
  <c r="M24" i="10"/>
  <c r="U24" i="10"/>
  <c r="AS24" i="10"/>
  <c r="AO93" i="10"/>
  <c r="AO161" i="10"/>
  <c r="AO232" i="10"/>
  <c r="AO110" i="10"/>
  <c r="AO73" i="10"/>
  <c r="AO104" i="10"/>
  <c r="AO186" i="10"/>
  <c r="AO187" i="10"/>
  <c r="Q219" i="10"/>
  <c r="J219" i="10"/>
  <c r="R219" i="10"/>
  <c r="AP219" i="10"/>
  <c r="M219" i="10"/>
  <c r="U219" i="10"/>
  <c r="L219" i="10"/>
  <c r="T219" i="10"/>
  <c r="AR219" i="10"/>
  <c r="K219" i="10"/>
  <c r="S219" i="10"/>
  <c r="AQ219" i="10"/>
  <c r="Q142" i="10"/>
  <c r="M142" i="10"/>
  <c r="U142" i="10"/>
  <c r="AS142" i="10"/>
  <c r="L142" i="10"/>
  <c r="T142" i="10"/>
  <c r="AR142" i="10"/>
  <c r="J142" i="10"/>
  <c r="R142" i="10"/>
  <c r="AP142" i="10"/>
  <c r="K142" i="10"/>
  <c r="S142" i="10"/>
  <c r="AQ142" i="10"/>
  <c r="Q208" i="10"/>
  <c r="L208" i="10"/>
  <c r="T208" i="10"/>
  <c r="AR208" i="10"/>
  <c r="K208" i="10"/>
  <c r="S208" i="10"/>
  <c r="AQ208" i="10"/>
  <c r="M208" i="10"/>
  <c r="U208" i="10"/>
  <c r="AS208" i="10"/>
  <c r="J208" i="10"/>
  <c r="R208" i="10"/>
  <c r="AP208" i="10"/>
  <c r="AO11" i="10"/>
  <c r="AO151" i="10"/>
  <c r="AO128" i="10"/>
  <c r="AO240" i="10"/>
  <c r="AO246" i="10"/>
  <c r="AO158" i="10"/>
  <c r="Q241" i="10"/>
  <c r="M241" i="10"/>
  <c r="U241" i="10"/>
  <c r="AS241" i="10"/>
  <c r="K241" i="10"/>
  <c r="S241" i="10"/>
  <c r="AQ241" i="10"/>
  <c r="J241" i="10"/>
  <c r="R241" i="10"/>
  <c r="AP241" i="10"/>
  <c r="L241" i="10"/>
  <c r="T241" i="10"/>
  <c r="AR241" i="10"/>
  <c r="AO160" i="10"/>
  <c r="AO54" i="10"/>
  <c r="AO170" i="10"/>
  <c r="AO51" i="10"/>
  <c r="AO45" i="10"/>
  <c r="AO37" i="10"/>
  <c r="Q129" i="10"/>
  <c r="J129" i="10"/>
  <c r="R129" i="10"/>
  <c r="AP129" i="10"/>
  <c r="K129" i="10"/>
  <c r="S129" i="10"/>
  <c r="AQ129" i="10"/>
  <c r="M129" i="10"/>
  <c r="U129" i="10"/>
  <c r="AS129" i="10"/>
  <c r="L129" i="10"/>
  <c r="T129" i="10"/>
  <c r="Q91" i="10"/>
  <c r="M91" i="10"/>
  <c r="U91" i="10"/>
  <c r="AS91" i="10"/>
  <c r="J91" i="10"/>
  <c r="R91" i="10"/>
  <c r="AP91" i="10"/>
  <c r="L91" i="10"/>
  <c r="T91" i="10"/>
  <c r="AR91" i="10"/>
  <c r="K91" i="10"/>
  <c r="S91" i="10"/>
  <c r="AQ91" i="10"/>
  <c r="Q44" i="10"/>
  <c r="J44" i="10"/>
  <c r="R44" i="10"/>
  <c r="AP44" i="10"/>
  <c r="K44" i="10"/>
  <c r="S44" i="10"/>
  <c r="AQ44" i="10"/>
  <c r="L44" i="10"/>
  <c r="T44" i="10"/>
  <c r="AR44" i="10"/>
  <c r="M44" i="10"/>
  <c r="U44" i="10"/>
  <c r="AS44" i="10"/>
  <c r="Q133" i="10"/>
  <c r="M133" i="10"/>
  <c r="U133" i="10"/>
  <c r="AS133" i="10"/>
  <c r="L133" i="10"/>
  <c r="T133" i="10"/>
  <c r="AR133" i="10"/>
  <c r="J133" i="10"/>
  <c r="R133" i="10"/>
  <c r="AP133" i="10"/>
  <c r="K133" i="10"/>
  <c r="S133" i="10"/>
  <c r="AQ133" i="10"/>
  <c r="Q147" i="10"/>
  <c r="L147" i="10"/>
  <c r="T147" i="10"/>
  <c r="AR147" i="10"/>
  <c r="K147" i="10"/>
  <c r="S147" i="10"/>
  <c r="AQ147" i="10"/>
  <c r="J147" i="10"/>
  <c r="R147" i="10"/>
  <c r="M147" i="10"/>
  <c r="U147" i="10"/>
  <c r="AS147" i="10"/>
  <c r="Q101" i="10"/>
  <c r="L101" i="10"/>
  <c r="T101" i="10"/>
  <c r="AR101" i="10"/>
  <c r="K101" i="10"/>
  <c r="S101" i="10"/>
  <c r="AQ101" i="10"/>
  <c r="M101" i="10"/>
  <c r="U101" i="10"/>
  <c r="J101" i="10"/>
  <c r="R101" i="10"/>
  <c r="AP101" i="10"/>
  <c r="Q59" i="10"/>
  <c r="M59" i="10"/>
  <c r="U59" i="10"/>
  <c r="K59" i="10"/>
  <c r="S59" i="10"/>
  <c r="AQ59" i="10"/>
  <c r="J59" i="10"/>
  <c r="R59" i="10"/>
  <c r="AP59" i="10"/>
  <c r="L59" i="10"/>
  <c r="T59" i="10"/>
  <c r="AR59" i="10"/>
  <c r="Q194" i="10"/>
  <c r="M194" i="10"/>
  <c r="U194" i="10"/>
  <c r="AS194" i="10"/>
  <c r="K194" i="10"/>
  <c r="S194" i="10"/>
  <c r="AQ194" i="10"/>
  <c r="J194" i="10"/>
  <c r="R194" i="10"/>
  <c r="AP194" i="10"/>
  <c r="L194" i="10"/>
  <c r="T194" i="10"/>
  <c r="AR194" i="10"/>
  <c r="Q94" i="10"/>
  <c r="J94" i="10"/>
  <c r="R94" i="10"/>
  <c r="AP94" i="10"/>
  <c r="K94" i="10"/>
  <c r="S94" i="10"/>
  <c r="AQ94" i="10"/>
  <c r="M94" i="10"/>
  <c r="U94" i="10"/>
  <c r="AS94" i="10"/>
  <c r="L94" i="10"/>
  <c r="T94" i="10"/>
  <c r="AR94" i="10"/>
  <c r="Q62" i="10"/>
  <c r="J62" i="10"/>
  <c r="R62" i="10"/>
  <c r="K62" i="10"/>
  <c r="S62" i="10"/>
  <c r="AQ62" i="10"/>
  <c r="M62" i="10"/>
  <c r="U62" i="10"/>
  <c r="AS62" i="10"/>
  <c r="L62" i="10"/>
  <c r="T62" i="10"/>
  <c r="AR62" i="10"/>
  <c r="Q126" i="10"/>
  <c r="M126" i="10"/>
  <c r="U126" i="10"/>
  <c r="AS126" i="10"/>
  <c r="L126" i="10"/>
  <c r="T126" i="10"/>
  <c r="AR126" i="10"/>
  <c r="J126" i="10"/>
  <c r="R126" i="10"/>
  <c r="AP126" i="10"/>
  <c r="K126" i="10"/>
  <c r="S126" i="10"/>
  <c r="Q169" i="10"/>
  <c r="K169" i="10"/>
  <c r="S169" i="10"/>
  <c r="AQ169" i="10"/>
  <c r="J169" i="10"/>
  <c r="R169" i="10"/>
  <c r="AP169" i="10"/>
  <c r="L169" i="10"/>
  <c r="T169" i="10"/>
  <c r="AR169" i="10"/>
  <c r="M169" i="10"/>
  <c r="U169" i="10"/>
  <c r="AS169" i="10"/>
  <c r="Q227" i="10"/>
  <c r="M227" i="10"/>
  <c r="U227" i="10"/>
  <c r="AS227" i="10"/>
  <c r="K227" i="10"/>
  <c r="S227" i="10"/>
  <c r="L227" i="10"/>
  <c r="T227" i="10"/>
  <c r="AR227" i="10"/>
  <c r="J227" i="10"/>
  <c r="R227" i="10"/>
  <c r="AP227" i="10"/>
  <c r="Q109" i="10"/>
  <c r="L109" i="10"/>
  <c r="T109" i="10"/>
  <c r="AR109" i="10"/>
  <c r="K109" i="10"/>
  <c r="S109" i="10"/>
  <c r="AQ109" i="10"/>
  <c r="J109" i="10"/>
  <c r="R109" i="10"/>
  <c r="M109" i="10"/>
  <c r="U109" i="10"/>
  <c r="AS109" i="10"/>
  <c r="Q139" i="10"/>
  <c r="J139" i="10"/>
  <c r="R139" i="10"/>
  <c r="AP139" i="10"/>
  <c r="L139" i="10"/>
  <c r="T139" i="10"/>
  <c r="AR139" i="10"/>
  <c r="K139" i="10"/>
  <c r="S139" i="10"/>
  <c r="AQ139" i="10"/>
  <c r="M139" i="10"/>
  <c r="U139" i="10"/>
  <c r="AS139" i="10"/>
  <c r="Q143" i="10"/>
  <c r="L143" i="10"/>
  <c r="T143" i="10"/>
  <c r="AR143" i="10"/>
  <c r="M143" i="10"/>
  <c r="U143" i="10"/>
  <c r="AS143" i="10"/>
  <c r="J143" i="10"/>
  <c r="R143" i="10"/>
  <c r="K143" i="10"/>
  <c r="S143" i="10"/>
  <c r="AQ143" i="10"/>
  <c r="Q19" i="10"/>
  <c r="L19" i="10"/>
  <c r="T19" i="10"/>
  <c r="AR19" i="10"/>
  <c r="M19" i="10"/>
  <c r="U19" i="10"/>
  <c r="AS19" i="10"/>
  <c r="K19" i="10"/>
  <c r="S19" i="10"/>
  <c r="AQ19" i="10"/>
  <c r="J19" i="10"/>
  <c r="R19" i="10"/>
  <c r="Q14" i="10"/>
  <c r="M14" i="10"/>
  <c r="U14" i="10"/>
  <c r="AS14" i="10"/>
  <c r="L14" i="10"/>
  <c r="T14" i="10"/>
  <c r="AR14" i="10"/>
  <c r="K14" i="10"/>
  <c r="S14" i="10"/>
  <c r="AQ14" i="10"/>
  <c r="J14" i="10"/>
  <c r="R14" i="10"/>
  <c r="AP14" i="10"/>
  <c r="Q163" i="10"/>
  <c r="K163" i="10"/>
  <c r="S163" i="10"/>
  <c r="AQ163" i="10"/>
  <c r="M163" i="10"/>
  <c r="U163" i="10"/>
  <c r="AS163" i="10"/>
  <c r="J163" i="10"/>
  <c r="R163" i="10"/>
  <c r="AP163" i="10"/>
  <c r="L163" i="10"/>
  <c r="T163" i="10"/>
  <c r="AR163" i="10"/>
  <c r="AO30" i="10"/>
  <c r="Q176" i="10"/>
  <c r="J176" i="10"/>
  <c r="R176" i="10"/>
  <c r="AP176" i="10"/>
  <c r="M176" i="10"/>
  <c r="U176" i="10"/>
  <c r="AS176" i="10"/>
  <c r="K176" i="10"/>
  <c r="S176" i="10"/>
  <c r="AQ176" i="10"/>
  <c r="L176" i="10"/>
  <c r="T176" i="10"/>
  <c r="AR176" i="10"/>
  <c r="Q98" i="10"/>
  <c r="L98" i="10"/>
  <c r="T98" i="10"/>
  <c r="M98" i="10"/>
  <c r="U98" i="10"/>
  <c r="AS98" i="10"/>
  <c r="K98" i="10"/>
  <c r="S98" i="10"/>
  <c r="AQ98" i="10"/>
  <c r="J98" i="10"/>
  <c r="R98" i="10"/>
  <c r="AP98" i="10"/>
  <c r="Q43" i="10"/>
  <c r="M43" i="10"/>
  <c r="U43" i="10"/>
  <c r="AS43" i="10"/>
  <c r="J43" i="10"/>
  <c r="R43" i="10"/>
  <c r="AP43" i="10"/>
  <c r="L43" i="10"/>
  <c r="T43" i="10"/>
  <c r="AR43" i="10"/>
  <c r="K43" i="10"/>
  <c r="S43" i="10"/>
  <c r="AQ43" i="10"/>
  <c r="Q36" i="10"/>
  <c r="J36" i="10"/>
  <c r="R36" i="10"/>
  <c r="AP36" i="10"/>
  <c r="M36" i="10"/>
  <c r="U36" i="10"/>
  <c r="AS36" i="10"/>
  <c r="K36" i="10"/>
  <c r="S36" i="10"/>
  <c r="AQ36" i="10"/>
  <c r="L36" i="10"/>
  <c r="T36" i="10"/>
  <c r="Q146" i="10"/>
  <c r="L146" i="10"/>
  <c r="T146" i="10"/>
  <c r="AR146" i="10"/>
  <c r="K146" i="10"/>
  <c r="S146" i="10"/>
  <c r="M146" i="10"/>
  <c r="U146" i="10"/>
  <c r="AS146" i="10"/>
  <c r="J146" i="10"/>
  <c r="R146" i="10"/>
  <c r="AP146" i="10"/>
  <c r="Q77" i="10"/>
  <c r="K77" i="10"/>
  <c r="S77" i="10"/>
  <c r="AQ77" i="10"/>
  <c r="L77" i="10"/>
  <c r="T77" i="10"/>
  <c r="AR77" i="10"/>
  <c r="M77" i="10"/>
  <c r="U77" i="10"/>
  <c r="AS77" i="10"/>
  <c r="J77" i="10"/>
  <c r="R77" i="10"/>
  <c r="AP77" i="10"/>
  <c r="Q144" i="10"/>
  <c r="M144" i="10"/>
  <c r="U144" i="10"/>
  <c r="AS144" i="10"/>
  <c r="K144" i="10"/>
  <c r="S144" i="10"/>
  <c r="AQ144" i="10"/>
  <c r="L144" i="10"/>
  <c r="T144" i="10"/>
  <c r="AR144" i="10"/>
  <c r="J144" i="10"/>
  <c r="R144" i="10"/>
  <c r="AP144" i="10"/>
  <c r="AO9" i="10"/>
  <c r="P1" i="10"/>
  <c r="AO59" i="10"/>
  <c r="AO245" i="10"/>
  <c r="AO62" i="10"/>
  <c r="AO193" i="10"/>
  <c r="AO178" i="10"/>
  <c r="AO126" i="10"/>
  <c r="AO206" i="10"/>
  <c r="AO169" i="10"/>
  <c r="AO183" i="10"/>
  <c r="AO227" i="10"/>
  <c r="AO216" i="10"/>
  <c r="AO179" i="10"/>
  <c r="AO136" i="10"/>
  <c r="AO109" i="10"/>
  <c r="AO197" i="10"/>
  <c r="AO139" i="10"/>
  <c r="AO81" i="10"/>
  <c r="AO207" i="10"/>
  <c r="AO185" i="10"/>
  <c r="AO70" i="10"/>
  <c r="AO143" i="10"/>
  <c r="AO84" i="10"/>
  <c r="AO195" i="10"/>
  <c r="AO19" i="10"/>
  <c r="AO10" i="10"/>
  <c r="AO63" i="10"/>
  <c r="AO99" i="10"/>
  <c r="AO14" i="10"/>
  <c r="AO188" i="10"/>
  <c r="AO52" i="10"/>
  <c r="AO152" i="10"/>
  <c r="AO163" i="10"/>
  <c r="Q26" i="10"/>
  <c r="M26" i="10"/>
  <c r="U26" i="10"/>
  <c r="AS26" i="10"/>
  <c r="J26" i="10"/>
  <c r="R26" i="10"/>
  <c r="AP26" i="10"/>
  <c r="L26" i="10"/>
  <c r="T26" i="10"/>
  <c r="AR26" i="10"/>
  <c r="K26" i="10"/>
  <c r="S26" i="10"/>
  <c r="AQ26" i="10"/>
  <c r="AO92" i="10"/>
  <c r="AO247" i="10"/>
  <c r="Q30" i="10"/>
  <c r="L30" i="10"/>
  <c r="T30" i="10"/>
  <c r="AR30" i="10"/>
  <c r="M30" i="10"/>
  <c r="U30" i="10"/>
  <c r="AS30" i="10"/>
  <c r="K30" i="10"/>
  <c r="S30" i="10"/>
  <c r="AQ30" i="10"/>
  <c r="J30" i="10"/>
  <c r="R30" i="10"/>
  <c r="AO48" i="10"/>
  <c r="AO157" i="10"/>
  <c r="AO17" i="10"/>
  <c r="AO176" i="10"/>
  <c r="AO154" i="10"/>
  <c r="AO18" i="10"/>
  <c r="AO98" i="10"/>
  <c r="AO166" i="10"/>
  <c r="AO43" i="10"/>
  <c r="AO155" i="10"/>
  <c r="AO36" i="10"/>
  <c r="AO146" i="10"/>
  <c r="AO77" i="10"/>
  <c r="AO144" i="10"/>
  <c r="Q196" i="10"/>
  <c r="L196" i="10"/>
  <c r="T196" i="10"/>
  <c r="AR196" i="10"/>
  <c r="M196" i="10"/>
  <c r="U196" i="10"/>
  <c r="AS196" i="10"/>
  <c r="J196" i="10"/>
  <c r="R196" i="10"/>
  <c r="AP196" i="10"/>
  <c r="K196" i="10"/>
  <c r="S196" i="10"/>
  <c r="AQ196" i="10"/>
  <c r="Q105" i="10"/>
  <c r="M105" i="10"/>
  <c r="U105" i="10"/>
  <c r="AS105" i="10"/>
  <c r="K105" i="10"/>
  <c r="S105" i="10"/>
  <c r="AQ105" i="10"/>
  <c r="J105" i="10"/>
  <c r="R105" i="10"/>
  <c r="AP105" i="10"/>
  <c r="L105" i="10"/>
  <c r="T105" i="10"/>
  <c r="AR105" i="10"/>
  <c r="Q236" i="10"/>
  <c r="K236" i="10"/>
  <c r="S236" i="10"/>
  <c r="AQ236" i="10"/>
  <c r="L236" i="10"/>
  <c r="T236" i="10"/>
  <c r="AR236" i="10"/>
  <c r="M236" i="10"/>
  <c r="U236" i="10"/>
  <c r="J236" i="10"/>
  <c r="R236" i="10"/>
  <c r="AP236" i="10"/>
  <c r="AO12" i="10"/>
  <c r="AO162" i="10"/>
  <c r="AO97" i="10"/>
  <c r="AO222" i="10"/>
  <c r="AO95" i="10"/>
  <c r="AO61" i="10"/>
  <c r="AO72" i="10"/>
  <c r="AO130" i="10"/>
  <c r="Q224" i="10"/>
  <c r="L224" i="10"/>
  <c r="T224" i="10"/>
  <c r="AR224" i="10"/>
  <c r="K224" i="10"/>
  <c r="S224" i="10"/>
  <c r="AQ224" i="10"/>
  <c r="M224" i="10"/>
  <c r="U224" i="10"/>
  <c r="AS224" i="10"/>
  <c r="J224" i="10"/>
  <c r="R224" i="10"/>
  <c r="Q134" i="10"/>
  <c r="M134" i="10"/>
  <c r="U134" i="10"/>
  <c r="AS134" i="10"/>
  <c r="J134" i="10"/>
  <c r="R134" i="10"/>
  <c r="L134" i="10"/>
  <c r="T134" i="10"/>
  <c r="AR134" i="10"/>
  <c r="K134" i="10"/>
  <c r="S134" i="10"/>
  <c r="AQ134" i="10"/>
  <c r="Q180" i="10"/>
  <c r="L180" i="10"/>
  <c r="T180" i="10"/>
  <c r="AR180" i="10"/>
  <c r="M180" i="10"/>
  <c r="U180" i="10"/>
  <c r="AS180" i="10"/>
  <c r="K180" i="10"/>
  <c r="S180" i="10"/>
  <c r="AQ180" i="10"/>
  <c r="J180" i="10"/>
  <c r="R180" i="10"/>
  <c r="AP180" i="10"/>
  <c r="Q67" i="10"/>
  <c r="L67" i="10"/>
  <c r="T67" i="10"/>
  <c r="AR67" i="10"/>
  <c r="M67" i="10"/>
  <c r="U67" i="10"/>
  <c r="AS67" i="10"/>
  <c r="K67" i="10"/>
  <c r="S67" i="10"/>
  <c r="AQ67" i="10"/>
  <c r="J67" i="10"/>
  <c r="R67" i="10"/>
  <c r="AP67" i="10"/>
  <c r="Q178" i="10"/>
  <c r="J178" i="10"/>
  <c r="R178" i="10"/>
  <c r="AP178" i="10"/>
  <c r="L178" i="10"/>
  <c r="T178" i="10"/>
  <c r="AR178" i="10"/>
  <c r="K178" i="10"/>
  <c r="S178" i="10"/>
  <c r="AQ178" i="10"/>
  <c r="M178" i="10"/>
  <c r="U178" i="10"/>
  <c r="AS178" i="10"/>
  <c r="Q216" i="10"/>
  <c r="J216" i="10"/>
  <c r="R216" i="10"/>
  <c r="AP216" i="10"/>
  <c r="M216" i="10"/>
  <c r="U216" i="10"/>
  <c r="AS216" i="10"/>
  <c r="L216" i="10"/>
  <c r="T216" i="10"/>
  <c r="AR216" i="10"/>
  <c r="K216" i="10"/>
  <c r="S216" i="10"/>
  <c r="AQ216" i="10"/>
  <c r="Q207" i="10"/>
  <c r="M207" i="10"/>
  <c r="U207" i="10"/>
  <c r="AS207" i="10"/>
  <c r="L207" i="10"/>
  <c r="T207" i="10"/>
  <c r="AR207" i="10"/>
  <c r="K207" i="10"/>
  <c r="S207" i="10"/>
  <c r="AQ207" i="10"/>
  <c r="J207" i="10"/>
  <c r="R207" i="10"/>
  <c r="AP207" i="10"/>
  <c r="Q10" i="10"/>
  <c r="M10" i="10"/>
  <c r="U10" i="10"/>
  <c r="AS10" i="10"/>
  <c r="L10" i="10"/>
  <c r="T10" i="10"/>
  <c r="AR10" i="10"/>
  <c r="J10" i="10"/>
  <c r="R10" i="10"/>
  <c r="K10" i="10"/>
  <c r="S10" i="10"/>
  <c r="AQ10" i="10"/>
  <c r="AO26" i="10"/>
  <c r="Q48" i="10"/>
  <c r="J48" i="10"/>
  <c r="R48" i="10"/>
  <c r="AP48" i="10"/>
  <c r="K48" i="10"/>
  <c r="S48" i="10"/>
  <c r="L48" i="10"/>
  <c r="T48" i="10"/>
  <c r="AR48" i="10"/>
  <c r="M48" i="10"/>
  <c r="U48" i="10"/>
  <c r="AS48" i="10"/>
  <c r="Q154" i="10"/>
  <c r="J154" i="10"/>
  <c r="R154" i="10"/>
  <c r="AP154" i="10"/>
  <c r="L154" i="10"/>
  <c r="T154" i="10"/>
  <c r="AR154" i="10"/>
  <c r="M154" i="10"/>
  <c r="U154" i="10"/>
  <c r="AS154" i="10"/>
  <c r="K154" i="10"/>
  <c r="S154" i="10"/>
  <c r="AQ154" i="10"/>
  <c r="Q155" i="10"/>
  <c r="K155" i="10"/>
  <c r="S155" i="10"/>
  <c r="AQ155" i="10"/>
  <c r="L155" i="10"/>
  <c r="T155" i="10"/>
  <c r="AR155" i="10"/>
  <c r="M155" i="10"/>
  <c r="U155" i="10"/>
  <c r="AS155" i="10"/>
  <c r="J155" i="10"/>
  <c r="R155" i="10"/>
  <c r="AP155" i="10"/>
  <c r="AO219" i="10"/>
  <c r="AO235" i="10"/>
  <c r="AO94" i="10"/>
  <c r="Q174" i="10"/>
  <c r="K174" i="10"/>
  <c r="S174" i="10"/>
  <c r="AQ174" i="10"/>
  <c r="J174" i="10"/>
  <c r="R174" i="10"/>
  <c r="AP174" i="10"/>
  <c r="M174" i="10"/>
  <c r="U174" i="10"/>
  <c r="AS174" i="10"/>
  <c r="L174" i="10"/>
  <c r="T174" i="10"/>
  <c r="AR174" i="10"/>
  <c r="Q137" i="10"/>
  <c r="M137" i="10"/>
  <c r="U137" i="10"/>
  <c r="AS137" i="10"/>
  <c r="L137" i="10"/>
  <c r="T137" i="10"/>
  <c r="AR137" i="10"/>
  <c r="K137" i="10"/>
  <c r="S137" i="10"/>
  <c r="AQ137" i="10"/>
  <c r="J137" i="10"/>
  <c r="R137" i="10"/>
  <c r="AP137" i="10"/>
  <c r="Q229" i="10"/>
  <c r="M229" i="10"/>
  <c r="U229" i="10"/>
  <c r="AS229" i="10"/>
  <c r="J229" i="10"/>
  <c r="R229" i="10"/>
  <c r="AP229" i="10"/>
  <c r="L229" i="10"/>
  <c r="T229" i="10"/>
  <c r="K229" i="10"/>
  <c r="S229" i="10"/>
  <c r="AQ229" i="10"/>
  <c r="Q211" i="10"/>
  <c r="L211" i="10"/>
  <c r="T211" i="10"/>
  <c r="K211" i="10"/>
  <c r="S211" i="10"/>
  <c r="AQ211" i="10"/>
  <c r="M211" i="10"/>
  <c r="U211" i="10"/>
  <c r="AS211" i="10"/>
  <c r="J211" i="10"/>
  <c r="R211" i="10"/>
  <c r="AP211" i="10"/>
  <c r="Q221" i="10"/>
  <c r="L221" i="10"/>
  <c r="T221" i="10"/>
  <c r="AR221" i="10"/>
  <c r="M221" i="10"/>
  <c r="U221" i="10"/>
  <c r="AS221" i="10"/>
  <c r="K221" i="10"/>
  <c r="S221" i="10"/>
  <c r="AQ221" i="10"/>
  <c r="J221" i="10"/>
  <c r="R221" i="10"/>
  <c r="AP221" i="10"/>
  <c r="Q149" i="10"/>
  <c r="K149" i="10"/>
  <c r="S149" i="10"/>
  <c r="AQ149" i="10"/>
  <c r="L149" i="10"/>
  <c r="T149" i="10"/>
  <c r="AR149" i="10"/>
  <c r="J149" i="10"/>
  <c r="R149" i="10"/>
  <c r="AP149" i="10"/>
  <c r="M149" i="10"/>
  <c r="U149" i="10"/>
  <c r="AS149" i="10"/>
  <c r="Q239" i="10"/>
  <c r="M239" i="10"/>
  <c r="U239" i="10"/>
  <c r="AS239" i="10"/>
  <c r="L239" i="10"/>
  <c r="T239" i="10"/>
  <c r="AR239" i="10"/>
  <c r="J239" i="10"/>
  <c r="R239" i="10"/>
  <c r="AP239" i="10"/>
  <c r="K239" i="10"/>
  <c r="S239" i="10"/>
  <c r="AQ239" i="10"/>
  <c r="Q200" i="10"/>
  <c r="L200" i="10"/>
  <c r="T200" i="10"/>
  <c r="AR200" i="10"/>
  <c r="J200" i="10"/>
  <c r="R200" i="10"/>
  <c r="K200" i="10"/>
  <c r="S200" i="10"/>
  <c r="AQ200" i="10"/>
  <c r="M200" i="10"/>
  <c r="U200" i="10"/>
  <c r="AS200" i="10"/>
  <c r="AO25" i="10"/>
  <c r="Q167" i="10"/>
  <c r="K167" i="10"/>
  <c r="S167" i="10"/>
  <c r="AQ167" i="10"/>
  <c r="M167" i="10"/>
  <c r="U167" i="10"/>
  <c r="AS167" i="10"/>
  <c r="J167" i="10"/>
  <c r="R167" i="10"/>
  <c r="AP167" i="10"/>
  <c r="L167" i="10"/>
  <c r="T167" i="10"/>
  <c r="AR167" i="10"/>
  <c r="Q182" i="10"/>
  <c r="M182" i="10"/>
  <c r="U182" i="10"/>
  <c r="AS182" i="10"/>
  <c r="L182" i="10"/>
  <c r="T182" i="10"/>
  <c r="AR182" i="10"/>
  <c r="J182" i="10"/>
  <c r="R182" i="10"/>
  <c r="AP182" i="10"/>
  <c r="K182" i="10"/>
  <c r="S182" i="10"/>
  <c r="AQ182" i="10"/>
  <c r="Q123" i="10"/>
  <c r="J123" i="10"/>
  <c r="R123" i="10"/>
  <c r="AP123" i="10"/>
  <c r="L123" i="10"/>
  <c r="T123" i="10"/>
  <c r="AR123" i="10"/>
  <c r="M123" i="10"/>
  <c r="U123" i="10"/>
  <c r="AS123" i="10"/>
  <c r="K123" i="10"/>
  <c r="S123" i="10"/>
  <c r="AQ123" i="10"/>
  <c r="Q111" i="10"/>
  <c r="J111" i="10"/>
  <c r="R111" i="10"/>
  <c r="AP111" i="10"/>
  <c r="K111" i="10"/>
  <c r="S111" i="10"/>
  <c r="AQ111" i="10"/>
  <c r="L111" i="10"/>
  <c r="T111" i="10"/>
  <c r="AR111" i="10"/>
  <c r="M111" i="10"/>
  <c r="U111" i="10"/>
  <c r="AS111" i="10"/>
  <c r="Q242" i="10"/>
  <c r="J242" i="10"/>
  <c r="R242" i="10"/>
  <c r="AP242" i="10"/>
  <c r="M242" i="10"/>
  <c r="U242" i="10"/>
  <c r="L242" i="10"/>
  <c r="T242" i="10"/>
  <c r="AR242" i="10"/>
  <c r="K242" i="10"/>
  <c r="S242" i="10"/>
  <c r="AQ242" i="10"/>
  <c r="Q173" i="10"/>
  <c r="K173" i="10"/>
  <c r="S173" i="10"/>
  <c r="AQ173" i="10"/>
  <c r="M173" i="10"/>
  <c r="U173" i="10"/>
  <c r="AS173" i="10"/>
  <c r="L173" i="10"/>
  <c r="T173" i="10"/>
  <c r="AR173" i="10"/>
  <c r="J173" i="10"/>
  <c r="R173" i="10"/>
  <c r="AP173" i="10"/>
  <c r="Q213" i="10"/>
  <c r="K213" i="10"/>
  <c r="S213" i="10"/>
  <c r="AQ213" i="10"/>
  <c r="M213" i="10"/>
  <c r="U213" i="10"/>
  <c r="AS213" i="10"/>
  <c r="J213" i="10"/>
  <c r="R213" i="10"/>
  <c r="AP213" i="10"/>
  <c r="L213" i="10"/>
  <c r="T213" i="10"/>
  <c r="AR213" i="10"/>
  <c r="Q87" i="10"/>
  <c r="L87" i="10"/>
  <c r="T87" i="10"/>
  <c r="AR87" i="10"/>
  <c r="J87" i="10"/>
  <c r="R87" i="10"/>
  <c r="AP87" i="10"/>
  <c r="K87" i="10"/>
  <c r="S87" i="10"/>
  <c r="M87" i="10"/>
  <c r="U87" i="10"/>
  <c r="AS87" i="10"/>
  <c r="Q74" i="10"/>
  <c r="J74" i="10"/>
  <c r="R74" i="10"/>
  <c r="AP74" i="10"/>
  <c r="K74" i="10"/>
  <c r="S74" i="10"/>
  <c r="AQ74" i="10"/>
  <c r="L74" i="10"/>
  <c r="T74" i="10"/>
  <c r="AR74" i="10"/>
  <c r="M74" i="10"/>
  <c r="U74" i="10"/>
  <c r="AS74" i="10"/>
  <c r="Q138" i="10"/>
  <c r="L138" i="10"/>
  <c r="T138" i="10"/>
  <c r="AR138" i="10"/>
  <c r="K138" i="10"/>
  <c r="S138" i="10"/>
  <c r="AQ138" i="10"/>
  <c r="J138" i="10"/>
  <c r="R138" i="10"/>
  <c r="AP138" i="10"/>
  <c r="M138" i="10"/>
  <c r="U138" i="10"/>
  <c r="AS138" i="10"/>
  <c r="Q205" i="10"/>
  <c r="L205" i="10"/>
  <c r="T205" i="10"/>
  <c r="AR205" i="10"/>
  <c r="K205" i="10"/>
  <c r="S205" i="10"/>
  <c r="AQ205" i="10"/>
  <c r="M205" i="10"/>
  <c r="U205" i="10"/>
  <c r="AS205" i="10"/>
  <c r="J205" i="10"/>
  <c r="R205" i="10"/>
  <c r="AP205" i="10"/>
  <c r="Q165" i="10"/>
  <c r="L165" i="10"/>
  <c r="T165" i="10"/>
  <c r="AR165" i="10"/>
  <c r="J165" i="10"/>
  <c r="R165" i="10"/>
  <c r="AP165" i="10"/>
  <c r="M165" i="10"/>
  <c r="U165" i="10"/>
  <c r="AS165" i="10"/>
  <c r="K165" i="10"/>
  <c r="S165" i="10"/>
  <c r="AQ165" i="10"/>
  <c r="Q127" i="10"/>
  <c r="L127" i="10"/>
  <c r="T127" i="10"/>
  <c r="AR127" i="10"/>
  <c r="K127" i="10"/>
  <c r="S127" i="10"/>
  <c r="AQ127" i="10"/>
  <c r="M127" i="10"/>
  <c r="U127" i="10"/>
  <c r="AS127" i="10"/>
  <c r="J127" i="10"/>
  <c r="R127" i="10"/>
  <c r="AP127" i="10"/>
  <c r="Q107" i="10"/>
  <c r="J107" i="10"/>
  <c r="R107" i="10"/>
  <c r="AP107" i="10"/>
  <c r="M107" i="10"/>
  <c r="U107" i="10"/>
  <c r="AS107" i="10"/>
  <c r="L107" i="10"/>
  <c r="T107" i="10"/>
  <c r="AR107" i="10"/>
  <c r="K107" i="10"/>
  <c r="S107" i="10"/>
  <c r="AQ107" i="10"/>
  <c r="Q175" i="10"/>
  <c r="K175" i="10"/>
  <c r="S175" i="10"/>
  <c r="M175" i="10"/>
  <c r="U175" i="10"/>
  <c r="AS175" i="10"/>
  <c r="L175" i="10"/>
  <c r="T175" i="10"/>
  <c r="AR175" i="10"/>
  <c r="J175" i="10"/>
  <c r="R175" i="10"/>
  <c r="AP175" i="10"/>
  <c r="Q233" i="10"/>
  <c r="J233" i="10"/>
  <c r="R233" i="10"/>
  <c r="AP233" i="10"/>
  <c r="K233" i="10"/>
  <c r="S233" i="10"/>
  <c r="AQ233" i="10"/>
  <c r="L233" i="10"/>
  <c r="T233" i="10"/>
  <c r="AR233" i="10"/>
  <c r="M233" i="10"/>
  <c r="U233" i="10"/>
  <c r="AS233" i="10"/>
  <c r="Q116" i="10"/>
  <c r="J116" i="10"/>
  <c r="R116" i="10"/>
  <c r="AP116" i="10"/>
  <c r="K116" i="10"/>
  <c r="S116" i="10"/>
  <c r="AQ116" i="10"/>
  <c r="M116" i="10"/>
  <c r="U116" i="10"/>
  <c r="AS116" i="10"/>
  <c r="L116" i="10"/>
  <c r="T116" i="10"/>
  <c r="AR116" i="10"/>
  <c r="Q16" i="10"/>
  <c r="L16" i="10"/>
  <c r="T16" i="10"/>
  <c r="AR16" i="10"/>
  <c r="J16" i="10"/>
  <c r="R16" i="10"/>
  <c r="M16" i="10"/>
  <c r="U16" i="10"/>
  <c r="AS16" i="10"/>
  <c r="K16" i="10"/>
  <c r="S16" i="10"/>
  <c r="AQ16" i="10"/>
  <c r="Q124" i="10"/>
  <c r="K124" i="10"/>
  <c r="S124" i="10"/>
  <c r="AQ124" i="10"/>
  <c r="L124" i="10"/>
  <c r="T124" i="10"/>
  <c r="AR124" i="10"/>
  <c r="J124" i="10"/>
  <c r="R124" i="10"/>
  <c r="AP124" i="10"/>
  <c r="M124" i="10"/>
  <c r="U124" i="10"/>
  <c r="Q140" i="10"/>
  <c r="M140" i="10"/>
  <c r="U140" i="10"/>
  <c r="AS140" i="10"/>
  <c r="K140" i="10"/>
  <c r="S140" i="10"/>
  <c r="AQ140" i="10"/>
  <c r="L140" i="10"/>
  <c r="T140" i="10"/>
  <c r="AR140" i="10"/>
  <c r="J140" i="10"/>
  <c r="R140" i="10"/>
  <c r="AP140" i="10"/>
  <c r="Q64" i="10"/>
  <c r="K64" i="10"/>
  <c r="S64" i="10"/>
  <c r="AQ64" i="10"/>
  <c r="L64" i="10"/>
  <c r="T64" i="10"/>
  <c r="AR64" i="10"/>
  <c r="J64" i="10"/>
  <c r="R64" i="10"/>
  <c r="M64" i="10"/>
  <c r="U64" i="10"/>
  <c r="AS64" i="10"/>
  <c r="Q217" i="10"/>
  <c r="L217" i="10"/>
  <c r="T217" i="10"/>
  <c r="AR217" i="10"/>
  <c r="K217" i="10"/>
  <c r="S217" i="10"/>
  <c r="AQ217" i="10"/>
  <c r="J217" i="10"/>
  <c r="R217" i="10"/>
  <c r="AP217" i="10"/>
  <c r="M217" i="10"/>
  <c r="U217" i="10"/>
  <c r="AS217" i="10"/>
  <c r="Q50" i="10"/>
  <c r="K50" i="10"/>
  <c r="S50" i="10"/>
  <c r="L50" i="10"/>
  <c r="T50" i="10"/>
  <c r="AR50" i="10"/>
  <c r="J50" i="10"/>
  <c r="R50" i="10"/>
  <c r="AP50" i="10"/>
  <c r="M50" i="10"/>
  <c r="U50" i="10"/>
  <c r="AS50" i="10"/>
  <c r="Q55" i="10"/>
  <c r="M55" i="10"/>
  <c r="U55" i="10"/>
  <c r="AS55" i="10"/>
  <c r="J55" i="10"/>
  <c r="R55" i="10"/>
  <c r="AP55" i="10"/>
  <c r="K55" i="10"/>
  <c r="S55" i="10"/>
  <c r="AQ55" i="10"/>
  <c r="L55" i="10"/>
  <c r="T55" i="10"/>
  <c r="AR55" i="10"/>
  <c r="AO237" i="10"/>
  <c r="Q199" i="10"/>
  <c r="M199" i="10"/>
  <c r="U199" i="10"/>
  <c r="AS199" i="10"/>
  <c r="J199" i="10"/>
  <c r="R199" i="10"/>
  <c r="AP199" i="10"/>
  <c r="L199" i="10"/>
  <c r="T199" i="10"/>
  <c r="AR199" i="10"/>
  <c r="K199" i="10"/>
  <c r="S199" i="10"/>
  <c r="AQ199" i="10"/>
  <c r="Q68" i="10"/>
  <c r="M68" i="10"/>
  <c r="U68" i="10"/>
  <c r="AS68" i="10"/>
  <c r="K68" i="10"/>
  <c r="S68" i="10"/>
  <c r="AQ68" i="10"/>
  <c r="L68" i="10"/>
  <c r="T68" i="10"/>
  <c r="AR68" i="10"/>
  <c r="J68" i="10"/>
  <c r="R68" i="10"/>
  <c r="AP68" i="10"/>
  <c r="Q88" i="10"/>
  <c r="J88" i="10"/>
  <c r="R88" i="10"/>
  <c r="AP88" i="10"/>
  <c r="M88" i="10"/>
  <c r="U88" i="10"/>
  <c r="AS88" i="10"/>
  <c r="K88" i="10"/>
  <c r="S88" i="10"/>
  <c r="L88" i="10"/>
  <c r="T88" i="10"/>
  <c r="AR88" i="10"/>
  <c r="Q71" i="10"/>
  <c r="K71" i="10"/>
  <c r="S71" i="10"/>
  <c r="AQ71" i="10"/>
  <c r="J71" i="10"/>
  <c r="R71" i="10"/>
  <c r="AP71" i="10"/>
  <c r="L71" i="10"/>
  <c r="T71" i="10"/>
  <c r="AR71" i="10"/>
  <c r="M71" i="10"/>
  <c r="U71" i="10"/>
  <c r="AS71" i="10"/>
  <c r="Q225" i="10"/>
  <c r="M225" i="10"/>
  <c r="U225" i="10"/>
  <c r="AS225" i="10"/>
  <c r="K225" i="10"/>
  <c r="S225" i="10"/>
  <c r="AQ225" i="10"/>
  <c r="J225" i="10"/>
  <c r="R225" i="10"/>
  <c r="AP225" i="10"/>
  <c r="L225" i="10"/>
  <c r="T225" i="10"/>
  <c r="AR225" i="10"/>
  <c r="Q90" i="10"/>
  <c r="K90" i="10"/>
  <c r="S90" i="10"/>
  <c r="AQ90" i="10"/>
  <c r="L90" i="10"/>
  <c r="T90" i="10"/>
  <c r="AR90" i="10"/>
  <c r="M90" i="10"/>
  <c r="U90" i="10"/>
  <c r="AS90" i="10"/>
  <c r="J90" i="10"/>
  <c r="R90" i="10"/>
  <c r="Q66" i="10"/>
  <c r="K66" i="10"/>
  <c r="S66" i="10"/>
  <c r="AQ66" i="10"/>
  <c r="L66" i="10"/>
  <c r="T66" i="10"/>
  <c r="AR66" i="10"/>
  <c r="M66" i="10"/>
  <c r="U66" i="10"/>
  <c r="AS66" i="10"/>
  <c r="J66" i="10"/>
  <c r="R66" i="10"/>
  <c r="Q132" i="10"/>
  <c r="K132" i="10"/>
  <c r="S132" i="10"/>
  <c r="AQ132" i="10"/>
  <c r="L132" i="10"/>
  <c r="T132" i="10"/>
  <c r="AR132" i="10"/>
  <c r="J132" i="10"/>
  <c r="R132" i="10"/>
  <c r="AP132" i="10"/>
  <c r="M132" i="10"/>
  <c r="U132" i="10"/>
  <c r="AS132" i="10"/>
  <c r="Q76" i="10"/>
  <c r="K76" i="10"/>
  <c r="S76" i="10"/>
  <c r="AQ76" i="10"/>
  <c r="J76" i="10"/>
  <c r="R76" i="10"/>
  <c r="AP76" i="10"/>
  <c r="L76" i="10"/>
  <c r="T76" i="10"/>
  <c r="AR76" i="10"/>
  <c r="M76" i="10"/>
  <c r="U76" i="10"/>
  <c r="AS76" i="10"/>
  <c r="Q234" i="10"/>
  <c r="J234" i="10"/>
  <c r="R234" i="10"/>
  <c r="AP234" i="10"/>
  <c r="L234" i="10"/>
  <c r="T234" i="10"/>
  <c r="AR234" i="10"/>
  <c r="M234" i="10"/>
  <c r="U234" i="10"/>
  <c r="AS234" i="10"/>
  <c r="K234" i="10"/>
  <c r="S234" i="10"/>
  <c r="AQ234" i="10"/>
  <c r="Q78" i="10"/>
  <c r="M78" i="10"/>
  <c r="U78" i="10"/>
  <c r="AS78" i="10"/>
  <c r="K78" i="10"/>
  <c r="S78" i="10"/>
  <c r="AQ78" i="10"/>
  <c r="J78" i="10"/>
  <c r="R78" i="10"/>
  <c r="L78" i="10"/>
  <c r="T78" i="10"/>
  <c r="AR78" i="10"/>
  <c r="Q41" i="10"/>
  <c r="J41" i="10"/>
  <c r="R41" i="10"/>
  <c r="AP41" i="10"/>
  <c r="M41" i="10"/>
  <c r="U41" i="10"/>
  <c r="AS41" i="10"/>
  <c r="L41" i="10"/>
  <c r="T41" i="10"/>
  <c r="AR41" i="10"/>
  <c r="K41" i="10"/>
  <c r="S41" i="10"/>
  <c r="AQ41" i="10"/>
  <c r="Q168" i="10"/>
  <c r="M168" i="10"/>
  <c r="U168" i="10"/>
  <c r="AS168" i="10"/>
  <c r="J168" i="10"/>
  <c r="R168" i="10"/>
  <c r="AP168" i="10"/>
  <c r="L168" i="10"/>
  <c r="T168" i="10"/>
  <c r="AR168" i="10"/>
  <c r="K168" i="10"/>
  <c r="S168" i="10"/>
  <c r="AQ168" i="10"/>
  <c r="Q58" i="10"/>
  <c r="K58" i="10"/>
  <c r="S58" i="10"/>
  <c r="AQ58" i="10"/>
  <c r="L58" i="10"/>
  <c r="T58" i="10"/>
  <c r="AR58" i="10"/>
  <c r="M58" i="10"/>
  <c r="U58" i="10"/>
  <c r="AS58" i="10"/>
  <c r="J58" i="10"/>
  <c r="R58" i="10"/>
  <c r="Q60" i="10"/>
  <c r="J60" i="10"/>
  <c r="R60" i="10"/>
  <c r="AP60" i="10"/>
  <c r="K60" i="10"/>
  <c r="S60" i="10"/>
  <c r="AQ60" i="10"/>
  <c r="L60" i="10"/>
  <c r="T60" i="10"/>
  <c r="AR60" i="10"/>
  <c r="M60" i="10"/>
  <c r="U60" i="10"/>
  <c r="Q209" i="10"/>
  <c r="K209" i="10"/>
  <c r="S209" i="10"/>
  <c r="AQ209" i="10"/>
  <c r="J209" i="10"/>
  <c r="R209" i="10"/>
  <c r="AP209" i="10"/>
  <c r="L209" i="10"/>
  <c r="T209" i="10"/>
  <c r="AR209" i="10"/>
  <c r="M209" i="10"/>
  <c r="U209" i="10"/>
  <c r="AS209" i="10"/>
  <c r="Q53" i="10"/>
  <c r="J53" i="10"/>
  <c r="R53" i="10"/>
  <c r="AP53" i="10"/>
  <c r="K53" i="10"/>
  <c r="S53" i="10"/>
  <c r="AQ53" i="10"/>
  <c r="L53" i="10"/>
  <c r="T53" i="10"/>
  <c r="AR53" i="10"/>
  <c r="M53" i="10"/>
  <c r="U53" i="10"/>
  <c r="AS53" i="10"/>
  <c r="Q184" i="10"/>
  <c r="J184" i="10"/>
  <c r="R184" i="10"/>
  <c r="AP184" i="10"/>
  <c r="M184" i="10"/>
  <c r="U184" i="10"/>
  <c r="AS184" i="10"/>
  <c r="L184" i="10"/>
  <c r="T184" i="10"/>
  <c r="AR184" i="10"/>
  <c r="K184" i="10"/>
  <c r="S184" i="10"/>
  <c r="AQ184" i="10"/>
  <c r="Q218" i="10"/>
  <c r="L218" i="10"/>
  <c r="T218" i="10"/>
  <c r="AR218" i="10"/>
  <c r="K218" i="10"/>
  <c r="S218" i="10"/>
  <c r="M218" i="10"/>
  <c r="U218" i="10"/>
  <c r="AS218" i="10"/>
  <c r="J218" i="10"/>
  <c r="R218" i="10"/>
  <c r="AP218" i="10"/>
  <c r="Q75" i="10"/>
  <c r="J75" i="10"/>
  <c r="R75" i="10"/>
  <c r="AP75" i="10"/>
  <c r="M75" i="10"/>
  <c r="U75" i="10"/>
  <c r="AS75" i="10"/>
  <c r="K75" i="10"/>
  <c r="S75" i="10"/>
  <c r="AQ75" i="10"/>
  <c r="L75" i="10"/>
  <c r="T75" i="10"/>
  <c r="AR75" i="10"/>
  <c r="Q150" i="10"/>
  <c r="L150" i="10"/>
  <c r="T150" i="10"/>
  <c r="AR150" i="10"/>
  <c r="J150" i="10"/>
  <c r="R150" i="10"/>
  <c r="AP150" i="10"/>
  <c r="M150" i="10"/>
  <c r="U150" i="10"/>
  <c r="AS150" i="10"/>
  <c r="K150" i="10"/>
  <c r="S150" i="10"/>
  <c r="AQ150" i="10"/>
  <c r="Q57" i="10"/>
  <c r="L57" i="10"/>
  <c r="T57" i="10"/>
  <c r="AR57" i="10"/>
  <c r="J57" i="10"/>
  <c r="R57" i="10"/>
  <c r="AP57" i="10"/>
  <c r="M57" i="10"/>
  <c r="U57" i="10"/>
  <c r="AS57" i="10"/>
  <c r="K57" i="10"/>
  <c r="S57" i="10"/>
  <c r="Q9" i="10"/>
  <c r="L9" i="10"/>
  <c r="T9" i="10"/>
  <c r="AR9" i="10"/>
  <c r="M9" i="10"/>
  <c r="U9" i="10"/>
  <c r="AS9" i="10"/>
  <c r="J9" i="10"/>
  <c r="R9" i="10"/>
  <c r="K9" i="10"/>
  <c r="S9" i="10"/>
  <c r="AQ9" i="10"/>
  <c r="AO196" i="10"/>
  <c r="AO105" i="10"/>
  <c r="AO236" i="10"/>
  <c r="J32" i="10"/>
  <c r="R32" i="10"/>
  <c r="AP32" i="10"/>
  <c r="K32" i="10"/>
  <c r="S32" i="10"/>
  <c r="Q32" i="10"/>
  <c r="L32" i="10"/>
  <c r="T32" i="10"/>
  <c r="AR32" i="10"/>
  <c r="M32" i="10"/>
  <c r="U32" i="10"/>
  <c r="AS32" i="10"/>
  <c r="AO31" i="10"/>
  <c r="AO153" i="10"/>
  <c r="AO15" i="10"/>
  <c r="AO171" i="10"/>
  <c r="AO46" i="10"/>
  <c r="AO100" i="10"/>
  <c r="AO13" i="10"/>
  <c r="Q198" i="10"/>
  <c r="M198" i="10"/>
  <c r="U198" i="10"/>
  <c r="AS198" i="10"/>
  <c r="J198" i="10"/>
  <c r="R198" i="10"/>
  <c r="AP198" i="10"/>
  <c r="L198" i="10"/>
  <c r="T198" i="10"/>
  <c r="AR198" i="10"/>
  <c r="K198" i="10"/>
  <c r="S198" i="10"/>
  <c r="AQ198" i="10"/>
  <c r="Q121" i="10"/>
  <c r="L121" i="10"/>
  <c r="T121" i="10"/>
  <c r="AR121" i="10"/>
  <c r="K121" i="10"/>
  <c r="S121" i="10"/>
  <c r="AQ121" i="10"/>
  <c r="M121" i="10"/>
  <c r="U121" i="10"/>
  <c r="AS121" i="10"/>
  <c r="J121" i="10"/>
  <c r="R121" i="10"/>
  <c r="Q69" i="10"/>
  <c r="L69" i="10"/>
  <c r="T69" i="10"/>
  <c r="AR69" i="10"/>
  <c r="K69" i="10"/>
  <c r="S69" i="10"/>
  <c r="AQ69" i="10"/>
  <c r="M69" i="10"/>
  <c r="U69" i="10"/>
  <c r="AS69" i="10"/>
  <c r="J69" i="10"/>
  <c r="R69" i="10"/>
  <c r="Q226" i="10"/>
  <c r="J226" i="10"/>
  <c r="R226" i="10"/>
  <c r="L226" i="10"/>
  <c r="T226" i="10"/>
  <c r="AR226" i="10"/>
  <c r="M226" i="10"/>
  <c r="U226" i="10"/>
  <c r="AS226" i="10"/>
  <c r="K226" i="10"/>
  <c r="S226" i="10"/>
  <c r="AQ226" i="10"/>
  <c r="Q228" i="10"/>
  <c r="J228" i="10"/>
  <c r="R228" i="10"/>
  <c r="AP228" i="10"/>
  <c r="K228" i="10"/>
  <c r="S228" i="10"/>
  <c r="AQ228" i="10"/>
  <c r="M228" i="10"/>
  <c r="U228" i="10"/>
  <c r="AS228" i="10"/>
  <c r="L228" i="10"/>
  <c r="T228" i="10"/>
  <c r="AR228" i="10"/>
  <c r="Q206" i="10"/>
  <c r="K206" i="10"/>
  <c r="S206" i="10"/>
  <c r="AQ206" i="10"/>
  <c r="L206" i="10"/>
  <c r="T206" i="10"/>
  <c r="AR206" i="10"/>
  <c r="J206" i="10"/>
  <c r="R206" i="10"/>
  <c r="AP206" i="10"/>
  <c r="M206" i="10"/>
  <c r="U206" i="10"/>
  <c r="AS206" i="10"/>
  <c r="Q136" i="10"/>
  <c r="L136" i="10"/>
  <c r="T136" i="10"/>
  <c r="AR136" i="10"/>
  <c r="K136" i="10"/>
  <c r="S136" i="10"/>
  <c r="AQ136" i="10"/>
  <c r="M136" i="10"/>
  <c r="U136" i="10"/>
  <c r="AS136" i="10"/>
  <c r="J136" i="10"/>
  <c r="R136" i="10"/>
  <c r="Q185" i="10"/>
  <c r="J185" i="10"/>
  <c r="R185" i="10"/>
  <c r="AP185" i="10"/>
  <c r="M185" i="10"/>
  <c r="U185" i="10"/>
  <c r="AS185" i="10"/>
  <c r="L185" i="10"/>
  <c r="T185" i="10"/>
  <c r="AR185" i="10"/>
  <c r="K185" i="10"/>
  <c r="S185" i="10"/>
  <c r="AQ185" i="10"/>
  <c r="Q195" i="10"/>
  <c r="M195" i="10"/>
  <c r="U195" i="10"/>
  <c r="AS195" i="10"/>
  <c r="J195" i="10"/>
  <c r="R195" i="10"/>
  <c r="AP195" i="10"/>
  <c r="L195" i="10"/>
  <c r="T195" i="10"/>
  <c r="AR195" i="10"/>
  <c r="K195" i="10"/>
  <c r="S195" i="10"/>
  <c r="AQ195" i="10"/>
  <c r="Q99" i="10"/>
  <c r="M99" i="10"/>
  <c r="U99" i="10"/>
  <c r="AS99" i="10"/>
  <c r="J99" i="10"/>
  <c r="R99" i="10"/>
  <c r="AP99" i="10"/>
  <c r="L99" i="10"/>
  <c r="T99" i="10"/>
  <c r="AR99" i="10"/>
  <c r="K99" i="10"/>
  <c r="S99" i="10"/>
  <c r="AQ99" i="10"/>
  <c r="Q152" i="10"/>
  <c r="M152" i="10"/>
  <c r="U152" i="10"/>
  <c r="AS152" i="10"/>
  <c r="K152" i="10"/>
  <c r="S152" i="10"/>
  <c r="AQ152" i="10"/>
  <c r="L152" i="10"/>
  <c r="T152" i="10"/>
  <c r="AR152" i="10"/>
  <c r="J152" i="10"/>
  <c r="R152" i="10"/>
  <c r="Q247" i="10"/>
  <c r="K247" i="10"/>
  <c r="S247" i="10"/>
  <c r="AQ247" i="10"/>
  <c r="L247" i="10"/>
  <c r="T247" i="10"/>
  <c r="AR247" i="10"/>
  <c r="M247" i="10"/>
  <c r="U247" i="10"/>
  <c r="AS247" i="10"/>
  <c r="J247" i="10"/>
  <c r="R247" i="10"/>
  <c r="AP247" i="10"/>
  <c r="Q17" i="10"/>
  <c r="K17" i="10"/>
  <c r="S17" i="10"/>
  <c r="AQ17" i="10"/>
  <c r="L17" i="10"/>
  <c r="T17" i="10"/>
  <c r="AR17" i="10"/>
  <c r="J17" i="10"/>
  <c r="R17" i="10"/>
  <c r="M17" i="10"/>
  <c r="U17" i="10"/>
  <c r="AS17" i="10"/>
  <c r="Q166" i="10"/>
  <c r="K166" i="10"/>
  <c r="S166" i="10"/>
  <c r="AQ166" i="10"/>
  <c r="M166" i="10"/>
  <c r="U166" i="10"/>
  <c r="AS166" i="10"/>
  <c r="L166" i="10"/>
  <c r="T166" i="10"/>
  <c r="AR166" i="10"/>
  <c r="J166" i="10"/>
  <c r="R166" i="10"/>
  <c r="AP166" i="10"/>
  <c r="AO142" i="10"/>
  <c r="AO194" i="10"/>
  <c r="AO174" i="10"/>
  <c r="AO211" i="10"/>
  <c r="AO200" i="10"/>
  <c r="AO182" i="10"/>
  <c r="AO242" i="10"/>
  <c r="AO213" i="10"/>
  <c r="AO74" i="10"/>
  <c r="AO205" i="10"/>
  <c r="AO165" i="10"/>
  <c r="AO107" i="10"/>
  <c r="AO175" i="10"/>
  <c r="AO233" i="10"/>
  <c r="AO116" i="10"/>
  <c r="AO16" i="10"/>
  <c r="AO124" i="10"/>
  <c r="AO140" i="10"/>
  <c r="AO64" i="10"/>
  <c r="AO217" i="10"/>
  <c r="AO50" i="10"/>
  <c r="AO55" i="10"/>
  <c r="Q237" i="10"/>
  <c r="M237" i="10"/>
  <c r="U237" i="10"/>
  <c r="AS237" i="10"/>
  <c r="J237" i="10"/>
  <c r="R237" i="10"/>
  <c r="AP237" i="10"/>
  <c r="L237" i="10"/>
  <c r="T237" i="10"/>
  <c r="AR237" i="10"/>
  <c r="K237" i="10"/>
  <c r="S237" i="10"/>
  <c r="AQ237" i="10"/>
  <c r="AO199" i="10"/>
  <c r="AO68" i="10"/>
  <c r="AO88" i="10"/>
  <c r="AO71" i="10"/>
  <c r="AO225" i="10"/>
  <c r="AO90" i="10"/>
  <c r="AO66" i="10"/>
  <c r="AO132" i="10"/>
  <c r="AO76" i="10"/>
  <c r="AO234" i="10"/>
  <c r="AO78" i="10"/>
  <c r="AO41" i="10"/>
  <c r="AO168" i="10"/>
  <c r="AO58" i="10"/>
  <c r="AO60" i="10"/>
  <c r="AO209" i="10"/>
  <c r="AO53" i="10"/>
  <c r="AO184" i="10"/>
  <c r="AO218" i="10"/>
  <c r="AO75" i="10"/>
  <c r="AO150" i="10"/>
  <c r="AO57" i="10"/>
  <c r="Q125" i="10"/>
  <c r="M125" i="10"/>
  <c r="U125" i="10"/>
  <c r="AS125" i="10"/>
  <c r="K125" i="10"/>
  <c r="S125" i="10"/>
  <c r="AQ125" i="10"/>
  <c r="L125" i="10"/>
  <c r="T125" i="10"/>
  <c r="AR125" i="10"/>
  <c r="J125" i="10"/>
  <c r="R125" i="10"/>
  <c r="AP125" i="10"/>
  <c r="Q35" i="10"/>
  <c r="L35" i="10"/>
  <c r="T35" i="10"/>
  <c r="J35" i="10"/>
  <c r="R35" i="10"/>
  <c r="AP35" i="10"/>
  <c r="M35" i="10"/>
  <c r="U35" i="10"/>
  <c r="AS35" i="10"/>
  <c r="K35" i="10"/>
  <c r="S35" i="10"/>
  <c r="AQ35" i="10"/>
  <c r="Q40" i="10"/>
  <c r="J40" i="10"/>
  <c r="R40" i="10"/>
  <c r="AP40" i="10"/>
  <c r="L40" i="10"/>
  <c r="T40" i="10"/>
  <c r="AR40" i="10"/>
  <c r="M40" i="10"/>
  <c r="U40" i="10"/>
  <c r="AS40" i="10"/>
  <c r="K40" i="10"/>
  <c r="S40" i="10"/>
  <c r="AQ40" i="10"/>
  <c r="AO23" i="10"/>
  <c r="AO141" i="10"/>
  <c r="AO202" i="10"/>
  <c r="AO106" i="10"/>
  <c r="AO47" i="10"/>
  <c r="AO181" i="10"/>
  <c r="AO238" i="10"/>
  <c r="Q243" i="10"/>
  <c r="M243" i="10"/>
  <c r="U243" i="10"/>
  <c r="AS243" i="10"/>
  <c r="K243" i="10"/>
  <c r="S243" i="10"/>
  <c r="AQ243" i="10"/>
  <c r="L243" i="10"/>
  <c r="T243" i="10"/>
  <c r="AR243" i="10"/>
  <c r="J243" i="10"/>
  <c r="R243" i="10"/>
  <c r="AP243" i="10"/>
  <c r="AO33" i="10"/>
  <c r="AO145" i="10"/>
  <c r="Q29" i="10"/>
  <c r="J29" i="10"/>
  <c r="R29" i="10"/>
  <c r="AP29" i="10"/>
  <c r="M29" i="10"/>
  <c r="U29" i="10"/>
  <c r="AS29" i="10"/>
  <c r="L29" i="10"/>
  <c r="T29" i="10"/>
  <c r="AR29" i="10"/>
  <c r="K29" i="10"/>
  <c r="S29" i="10"/>
  <c r="AQ29" i="10"/>
  <c r="AO220" i="10"/>
  <c r="AO108" i="10"/>
  <c r="AO204" i="10"/>
  <c r="AO112" i="10"/>
  <c r="Q201" i="10"/>
  <c r="L201" i="10"/>
  <c r="T201" i="10"/>
  <c r="AR201" i="10"/>
  <c r="K201" i="10"/>
  <c r="S201" i="10"/>
  <c r="AQ201" i="10"/>
  <c r="M201" i="10"/>
  <c r="U201" i="10"/>
  <c r="AS201" i="10"/>
  <c r="J201" i="10"/>
  <c r="R201" i="10"/>
  <c r="Q214" i="10"/>
  <c r="L214" i="10"/>
  <c r="T214" i="10"/>
  <c r="AR214" i="10"/>
  <c r="M214" i="10"/>
  <c r="U214" i="10"/>
  <c r="AS214" i="10"/>
  <c r="K214" i="10"/>
  <c r="S214" i="10"/>
  <c r="AQ214" i="10"/>
  <c r="J214" i="10"/>
  <c r="R214" i="10"/>
  <c r="Q189" i="10"/>
  <c r="K189" i="10"/>
  <c r="S189" i="10"/>
  <c r="AQ189" i="10"/>
  <c r="L189" i="10"/>
  <c r="T189" i="10"/>
  <c r="AR189" i="10"/>
  <c r="M189" i="10"/>
  <c r="U189" i="10"/>
  <c r="AS189" i="10"/>
  <c r="J189" i="10"/>
  <c r="R189" i="10"/>
  <c r="AP189" i="10"/>
  <c r="Q117" i="10"/>
  <c r="J117" i="10"/>
  <c r="R117" i="10"/>
  <c r="M117" i="10"/>
  <c r="U117" i="10"/>
  <c r="AS117" i="10"/>
  <c r="K117" i="10"/>
  <c r="S117" i="10"/>
  <c r="AQ117" i="10"/>
  <c r="L117" i="10"/>
  <c r="T117" i="10"/>
  <c r="AR117" i="10"/>
  <c r="Q191" i="10"/>
  <c r="L191" i="10"/>
  <c r="T191" i="10"/>
  <c r="AR191" i="10"/>
  <c r="J191" i="10"/>
  <c r="R191" i="10"/>
  <c r="AP191" i="10"/>
  <c r="M191" i="10"/>
  <c r="U191" i="10"/>
  <c r="AS191" i="10"/>
  <c r="K191" i="10"/>
  <c r="S191" i="10"/>
  <c r="AQ191" i="10"/>
  <c r="Q86" i="10"/>
  <c r="J86" i="10"/>
  <c r="R86" i="10"/>
  <c r="M86" i="10"/>
  <c r="U86" i="10"/>
  <c r="AS86" i="10"/>
  <c r="K86" i="10"/>
  <c r="S86" i="10"/>
  <c r="AQ86" i="10"/>
  <c r="L86" i="10"/>
  <c r="T86" i="10"/>
  <c r="AR86" i="10"/>
  <c r="Q235" i="10"/>
  <c r="M235" i="10"/>
  <c r="U235" i="10"/>
  <c r="AS235" i="10"/>
  <c r="K235" i="10"/>
  <c r="S235" i="10"/>
  <c r="AQ235" i="10"/>
  <c r="J235" i="10"/>
  <c r="R235" i="10"/>
  <c r="AP235" i="10"/>
  <c r="L235" i="10"/>
  <c r="T235" i="10"/>
  <c r="AR235" i="10"/>
  <c r="Q245" i="10"/>
  <c r="J245" i="10"/>
  <c r="R245" i="10"/>
  <c r="K245" i="10"/>
  <c r="S245" i="10"/>
  <c r="AQ245" i="10"/>
  <c r="M245" i="10"/>
  <c r="U245" i="10"/>
  <c r="AS245" i="10"/>
  <c r="L245" i="10"/>
  <c r="T245" i="10"/>
  <c r="AR245" i="10"/>
  <c r="Q193" i="10"/>
  <c r="M193" i="10"/>
  <c r="U193" i="10"/>
  <c r="AS193" i="10"/>
  <c r="K193" i="10"/>
  <c r="S193" i="10"/>
  <c r="AQ193" i="10"/>
  <c r="J193" i="10"/>
  <c r="R193" i="10"/>
  <c r="L193" i="10"/>
  <c r="T193" i="10"/>
  <c r="AR193" i="10"/>
  <c r="Q183" i="10"/>
  <c r="K183" i="10"/>
  <c r="S183" i="10"/>
  <c r="AQ183" i="10"/>
  <c r="M183" i="10"/>
  <c r="U183" i="10"/>
  <c r="AS183" i="10"/>
  <c r="J183" i="10"/>
  <c r="R183" i="10"/>
  <c r="L183" i="10"/>
  <c r="T183" i="10"/>
  <c r="AR183" i="10"/>
  <c r="Q179" i="10"/>
  <c r="K179" i="10"/>
  <c r="S179" i="10"/>
  <c r="AQ179" i="10"/>
  <c r="J179" i="10"/>
  <c r="R179" i="10"/>
  <c r="AP179" i="10"/>
  <c r="M179" i="10"/>
  <c r="U179" i="10"/>
  <c r="AS179" i="10"/>
  <c r="L179" i="10"/>
  <c r="T179" i="10"/>
  <c r="AR179" i="10"/>
  <c r="Q197" i="10"/>
  <c r="J197" i="10"/>
  <c r="R197" i="10"/>
  <c r="K197" i="10"/>
  <c r="S197" i="10"/>
  <c r="AQ197" i="10"/>
  <c r="M197" i="10"/>
  <c r="U197" i="10"/>
  <c r="AS197" i="10"/>
  <c r="L197" i="10"/>
  <c r="T197" i="10"/>
  <c r="AR197" i="10"/>
  <c r="Q81" i="10"/>
  <c r="L81" i="10"/>
  <c r="T81" i="10"/>
  <c r="AR81" i="10"/>
  <c r="K81" i="10"/>
  <c r="S81" i="10"/>
  <c r="AQ81" i="10"/>
  <c r="M81" i="10"/>
  <c r="U81" i="10"/>
  <c r="AS81" i="10"/>
  <c r="J81" i="10"/>
  <c r="R81" i="10"/>
  <c r="Q70" i="10"/>
  <c r="L70" i="10"/>
  <c r="T70" i="10"/>
  <c r="AR70" i="10"/>
  <c r="K70" i="10"/>
  <c r="S70" i="10"/>
  <c r="AQ70" i="10"/>
  <c r="M70" i="10"/>
  <c r="U70" i="10"/>
  <c r="AS70" i="10"/>
  <c r="J70" i="10"/>
  <c r="R70" i="10"/>
  <c r="Q84" i="10"/>
  <c r="J84" i="10"/>
  <c r="R84" i="10"/>
  <c r="M84" i="10"/>
  <c r="U84" i="10"/>
  <c r="AS84" i="10"/>
  <c r="K84" i="10"/>
  <c r="S84" i="10"/>
  <c r="AQ84" i="10"/>
  <c r="L84" i="10"/>
  <c r="T84" i="10"/>
  <c r="AR84" i="10"/>
  <c r="Q63" i="10"/>
  <c r="L63" i="10"/>
  <c r="T63" i="10"/>
  <c r="AR63" i="10"/>
  <c r="M63" i="10"/>
  <c r="U63" i="10"/>
  <c r="AS63" i="10"/>
  <c r="K63" i="10"/>
  <c r="S63" i="10"/>
  <c r="AQ63" i="10"/>
  <c r="J63" i="10"/>
  <c r="R63" i="10"/>
  <c r="Q188" i="10"/>
  <c r="M188" i="10"/>
  <c r="U188" i="10"/>
  <c r="AS188" i="10"/>
  <c r="L188" i="10"/>
  <c r="T188" i="10"/>
  <c r="AR188" i="10"/>
  <c r="K188" i="10"/>
  <c r="S188" i="10"/>
  <c r="AQ188" i="10"/>
  <c r="J188" i="10"/>
  <c r="R188" i="10"/>
  <c r="Q52" i="10"/>
  <c r="J52" i="10"/>
  <c r="R52" i="10"/>
  <c r="L52" i="10"/>
  <c r="T52" i="10"/>
  <c r="AR52" i="10"/>
  <c r="M52" i="10"/>
  <c r="U52" i="10"/>
  <c r="AS52" i="10"/>
  <c r="K52" i="10"/>
  <c r="S52" i="10"/>
  <c r="AQ52" i="10"/>
  <c r="Q92" i="10"/>
  <c r="J92" i="10"/>
  <c r="R92" i="10"/>
  <c r="M92" i="10"/>
  <c r="U92" i="10"/>
  <c r="AS92" i="10"/>
  <c r="K92" i="10"/>
  <c r="S92" i="10"/>
  <c r="AQ92" i="10"/>
  <c r="L92" i="10"/>
  <c r="T92" i="10"/>
  <c r="AR92" i="10"/>
  <c r="Q157" i="10"/>
  <c r="M157" i="10"/>
  <c r="U157" i="10"/>
  <c r="AS157" i="10"/>
  <c r="K157" i="10"/>
  <c r="S157" i="10"/>
  <c r="AQ157" i="10"/>
  <c r="J157" i="10"/>
  <c r="R157" i="10"/>
  <c r="L157" i="10"/>
  <c r="T157" i="10"/>
  <c r="AR157" i="10"/>
  <c r="Q18" i="10"/>
  <c r="M18" i="10"/>
  <c r="U18" i="10"/>
  <c r="AS18" i="10"/>
  <c r="L18" i="10"/>
  <c r="T18" i="10"/>
  <c r="AR18" i="10"/>
  <c r="K18" i="10"/>
  <c r="S18" i="10"/>
  <c r="AQ18" i="10"/>
  <c r="J18" i="10"/>
  <c r="R18" i="10"/>
  <c r="AO208" i="10"/>
  <c r="AO101" i="10"/>
  <c r="AO67" i="10"/>
  <c r="AO228" i="10"/>
  <c r="AO137" i="10"/>
  <c r="AO229" i="10"/>
  <c r="AO221" i="10"/>
  <c r="AO149" i="10"/>
  <c r="AO239" i="10"/>
  <c r="Q25" i="10"/>
  <c r="L25" i="10"/>
  <c r="T25" i="10"/>
  <c r="AR25" i="10"/>
  <c r="M25" i="10"/>
  <c r="U25" i="10"/>
  <c r="AS25" i="10"/>
  <c r="J25" i="10"/>
  <c r="R25" i="10"/>
  <c r="K25" i="10"/>
  <c r="S25" i="10"/>
  <c r="AQ25" i="10"/>
  <c r="AO167" i="10"/>
  <c r="AO123" i="10"/>
  <c r="AO111" i="10"/>
  <c r="AO173" i="10"/>
  <c r="AO87" i="10"/>
  <c r="AO138" i="10"/>
  <c r="AO127" i="10"/>
  <c r="Q11" i="10"/>
  <c r="L11" i="10"/>
  <c r="T11" i="10"/>
  <c r="AR11" i="10"/>
  <c r="K11" i="10"/>
  <c r="S11" i="10"/>
  <c r="AQ11" i="10"/>
  <c r="M11" i="10"/>
  <c r="U11" i="10"/>
  <c r="AS11" i="10"/>
  <c r="J11" i="10"/>
  <c r="R11" i="10"/>
  <c r="AO32" i="10"/>
  <c r="Q210" i="10"/>
  <c r="L210" i="10"/>
  <c r="T210" i="10"/>
  <c r="AR210" i="10"/>
  <c r="J210" i="10"/>
  <c r="R210" i="10"/>
  <c r="K210" i="10"/>
  <c r="S210" i="10"/>
  <c r="AQ210" i="10"/>
  <c r="M210" i="10"/>
  <c r="U210" i="10"/>
  <c r="AS210" i="10"/>
  <c r="Q141" i="10"/>
  <c r="K141" i="10"/>
  <c r="S141" i="10"/>
  <c r="AQ141" i="10"/>
  <c r="L141" i="10"/>
  <c r="T141" i="10"/>
  <c r="AR141" i="10"/>
  <c r="M141" i="10"/>
  <c r="U141" i="10"/>
  <c r="AS141" i="10"/>
  <c r="J141" i="10"/>
  <c r="R141" i="10"/>
  <c r="K12" i="10"/>
  <c r="S12" i="10"/>
  <c r="AQ12" i="10"/>
  <c r="M12" i="10"/>
  <c r="U12" i="10"/>
  <c r="AS12" i="10"/>
  <c r="Q12" i="10"/>
  <c r="L12" i="10"/>
  <c r="T12" i="10"/>
  <c r="AR12" i="10"/>
  <c r="J12" i="10"/>
  <c r="R12" i="10"/>
  <c r="Q151" i="10"/>
  <c r="K151" i="10"/>
  <c r="S151" i="10"/>
  <c r="AQ151" i="10"/>
  <c r="J151" i="10"/>
  <c r="R151" i="10"/>
  <c r="AP151" i="10"/>
  <c r="L151" i="10"/>
  <c r="T151" i="10"/>
  <c r="AR151" i="10"/>
  <c r="M151" i="10"/>
  <c r="U151" i="10"/>
  <c r="AS151" i="10"/>
  <c r="Q202" i="10"/>
  <c r="M202" i="10"/>
  <c r="U202" i="10"/>
  <c r="AS202" i="10"/>
  <c r="K202" i="10"/>
  <c r="S202" i="10"/>
  <c r="AQ202" i="10"/>
  <c r="L202" i="10"/>
  <c r="T202" i="10"/>
  <c r="AR202" i="10"/>
  <c r="J202" i="10"/>
  <c r="R202" i="10"/>
  <c r="Q79" i="10"/>
  <c r="L79" i="10"/>
  <c r="T79" i="10"/>
  <c r="AR79" i="10"/>
  <c r="J79" i="10"/>
  <c r="R79" i="10"/>
  <c r="K79" i="10"/>
  <c r="S79" i="10"/>
  <c r="AQ79" i="10"/>
  <c r="M79" i="10"/>
  <c r="U79" i="10"/>
  <c r="AS79" i="10"/>
  <c r="Q128" i="10"/>
  <c r="M128" i="10"/>
  <c r="U128" i="10"/>
  <c r="AS128" i="10"/>
  <c r="K128" i="10"/>
  <c r="S128" i="10"/>
  <c r="AQ128" i="10"/>
  <c r="J128" i="10"/>
  <c r="R128" i="10"/>
  <c r="L128" i="10"/>
  <c r="T128" i="10"/>
  <c r="AR128" i="10"/>
  <c r="Q31" i="10"/>
  <c r="L31" i="10"/>
  <c r="T31" i="10"/>
  <c r="AR31" i="10"/>
  <c r="J31" i="10"/>
  <c r="R31" i="10"/>
  <c r="K31" i="10"/>
  <c r="S31" i="10"/>
  <c r="AQ31" i="10"/>
  <c r="M31" i="10"/>
  <c r="U31" i="10"/>
  <c r="AS31" i="10"/>
  <c r="Q106" i="10"/>
  <c r="K106" i="10"/>
  <c r="S106" i="10"/>
  <c r="AQ106" i="10"/>
  <c r="J106" i="10"/>
  <c r="R106" i="10"/>
  <c r="AP106" i="10"/>
  <c r="L106" i="10"/>
  <c r="T106" i="10"/>
  <c r="AR106" i="10"/>
  <c r="M106" i="10"/>
  <c r="U106" i="10"/>
  <c r="AS106" i="10"/>
  <c r="Q162" i="10"/>
  <c r="L162" i="10"/>
  <c r="T162" i="10"/>
  <c r="AR162" i="10"/>
  <c r="M162" i="10"/>
  <c r="U162" i="10"/>
  <c r="AS162" i="10"/>
  <c r="J162" i="10"/>
  <c r="R162" i="10"/>
  <c r="K162" i="10"/>
  <c r="S162" i="10"/>
  <c r="AQ162" i="10"/>
  <c r="Q240" i="10"/>
  <c r="M240" i="10"/>
  <c r="U240" i="10"/>
  <c r="AS240" i="10"/>
  <c r="K240" i="10"/>
  <c r="S240" i="10"/>
  <c r="AQ240" i="10"/>
  <c r="L240" i="10"/>
  <c r="T240" i="10"/>
  <c r="AR240" i="10"/>
  <c r="J240" i="10"/>
  <c r="R240" i="10"/>
  <c r="Q115" i="10"/>
  <c r="K115" i="10"/>
  <c r="S115" i="10"/>
  <c r="AQ115" i="10"/>
  <c r="J115" i="10"/>
  <c r="R115" i="10"/>
  <c r="M115" i="10"/>
  <c r="U115" i="10"/>
  <c r="AS115" i="10"/>
  <c r="L115" i="10"/>
  <c r="T115" i="10"/>
  <c r="AR115" i="10"/>
  <c r="Q47" i="10"/>
  <c r="J47" i="10"/>
  <c r="R47" i="10"/>
  <c r="L47" i="10"/>
  <c r="T47" i="10"/>
  <c r="AR47" i="10"/>
  <c r="M47" i="10"/>
  <c r="U47" i="10"/>
  <c r="AS47" i="10"/>
  <c r="K47" i="10"/>
  <c r="S47" i="10"/>
  <c r="AQ47" i="10"/>
  <c r="Q246" i="10"/>
  <c r="J246" i="10"/>
  <c r="R246" i="10"/>
  <c r="AP246" i="10"/>
  <c r="K246" i="10"/>
  <c r="S246" i="10"/>
  <c r="AQ246" i="10"/>
  <c r="L246" i="10"/>
  <c r="T246" i="10"/>
  <c r="AR246" i="10"/>
  <c r="M246" i="10"/>
  <c r="U246" i="10"/>
  <c r="AS246" i="10"/>
  <c r="Q153" i="10"/>
  <c r="J153" i="10"/>
  <c r="R153" i="10"/>
  <c r="AP153" i="10"/>
  <c r="L153" i="10"/>
  <c r="T153" i="10"/>
  <c r="AR153" i="10"/>
  <c r="M153" i="10"/>
  <c r="U153" i="10"/>
  <c r="AS153" i="10"/>
  <c r="K153" i="10"/>
  <c r="S153" i="10"/>
  <c r="AQ153" i="10"/>
  <c r="Q38" i="10"/>
  <c r="K38" i="10"/>
  <c r="S38" i="10"/>
  <c r="AQ38" i="10"/>
  <c r="M38" i="10"/>
  <c r="U38" i="10"/>
  <c r="AS38" i="10"/>
  <c r="L38" i="10"/>
  <c r="T38" i="10"/>
  <c r="AR38" i="10"/>
  <c r="J38" i="10"/>
  <c r="R38" i="10"/>
  <c r="AP38" i="10"/>
  <c r="Q97" i="10"/>
  <c r="J97" i="10"/>
  <c r="R97" i="10"/>
  <c r="M97" i="10"/>
  <c r="U97" i="10"/>
  <c r="AS97" i="10"/>
  <c r="L97" i="10"/>
  <c r="T97" i="10"/>
  <c r="AR97" i="10"/>
  <c r="K97" i="10"/>
  <c r="S97" i="10"/>
  <c r="AQ97" i="10"/>
  <c r="Q181" i="10"/>
  <c r="L181" i="10"/>
  <c r="T181" i="10"/>
  <c r="AR181" i="10"/>
  <c r="K181" i="10"/>
  <c r="S181" i="10"/>
  <c r="AQ181" i="10"/>
  <c r="J181" i="10"/>
  <c r="R181" i="10"/>
  <c r="M181" i="10"/>
  <c r="U181" i="10"/>
  <c r="AS181" i="10"/>
  <c r="Q158" i="10"/>
  <c r="L158" i="10"/>
  <c r="T158" i="10"/>
  <c r="AR158" i="10"/>
  <c r="M158" i="10"/>
  <c r="U158" i="10"/>
  <c r="AS158" i="10"/>
  <c r="K158" i="10"/>
  <c r="S158" i="10"/>
  <c r="AQ158" i="10"/>
  <c r="J158" i="10"/>
  <c r="R158" i="10"/>
  <c r="Q238" i="10"/>
  <c r="M238" i="10"/>
  <c r="U238" i="10"/>
  <c r="AS238" i="10"/>
  <c r="K238" i="10"/>
  <c r="S238" i="10"/>
  <c r="AQ238" i="10"/>
  <c r="L238" i="10"/>
  <c r="T238" i="10"/>
  <c r="AR238" i="10"/>
  <c r="J238" i="10"/>
  <c r="R238" i="10"/>
  <c r="Q15" i="10"/>
  <c r="M15" i="10"/>
  <c r="U15" i="10"/>
  <c r="AS15" i="10"/>
  <c r="L15" i="10"/>
  <c r="T15" i="10"/>
  <c r="AR15" i="10"/>
  <c r="J15" i="10"/>
  <c r="R15" i="10"/>
  <c r="AP15" i="10"/>
  <c r="K15" i="10"/>
  <c r="S15" i="10"/>
  <c r="AQ15" i="10"/>
  <c r="Q119" i="10"/>
  <c r="M119" i="10"/>
  <c r="U119" i="10"/>
  <c r="AS119" i="10"/>
  <c r="J119" i="10"/>
  <c r="R119" i="10"/>
  <c r="L119" i="10"/>
  <c r="T119" i="10"/>
  <c r="AR119" i="10"/>
  <c r="K119" i="10"/>
  <c r="S119" i="10"/>
  <c r="AQ119" i="10"/>
  <c r="AO243" i="10"/>
  <c r="AO241" i="10"/>
  <c r="Q222" i="10"/>
  <c r="M222" i="10"/>
  <c r="U222" i="10"/>
  <c r="AS222" i="10"/>
  <c r="L222" i="10"/>
  <c r="T222" i="10"/>
  <c r="AR222" i="10"/>
  <c r="J222" i="10"/>
  <c r="R222" i="10"/>
  <c r="K222" i="10"/>
  <c r="S222" i="10"/>
  <c r="AQ222" i="10"/>
  <c r="Q223" i="10"/>
  <c r="M223" i="10"/>
  <c r="U223" i="10"/>
  <c r="AS223" i="10"/>
  <c r="L223" i="10"/>
  <c r="T223" i="10"/>
  <c r="AR223" i="10"/>
  <c r="K223" i="10"/>
  <c r="S223" i="10"/>
  <c r="AQ223" i="10"/>
  <c r="J223" i="10"/>
  <c r="R223" i="10"/>
  <c r="M33" i="10"/>
  <c r="U33" i="10"/>
  <c r="AS33" i="10"/>
  <c r="J33" i="10"/>
  <c r="R33" i="10"/>
  <c r="AP33" i="10"/>
  <c r="K33" i="10"/>
  <c r="S33" i="10"/>
  <c r="AQ33" i="10"/>
  <c r="Q33" i="10"/>
  <c r="L33" i="10"/>
  <c r="T33" i="10"/>
  <c r="AR33" i="10"/>
  <c r="Q160" i="10"/>
  <c r="K160" i="10"/>
  <c r="S160" i="10"/>
  <c r="AQ160" i="10"/>
  <c r="L160" i="10"/>
  <c r="T160" i="10"/>
  <c r="AR160" i="10"/>
  <c r="M160" i="10"/>
  <c r="U160" i="10"/>
  <c r="AS160" i="10"/>
  <c r="J160" i="10"/>
  <c r="R160" i="10"/>
  <c r="Q171" i="10"/>
  <c r="J171" i="10"/>
  <c r="R171" i="10"/>
  <c r="AP171" i="10"/>
  <c r="M171" i="10"/>
  <c r="U171" i="10"/>
  <c r="AS171" i="10"/>
  <c r="K171" i="10"/>
  <c r="S171" i="10"/>
  <c r="AQ171" i="10"/>
  <c r="L171" i="10"/>
  <c r="T171" i="10"/>
  <c r="AR171" i="10"/>
  <c r="Q145" i="10"/>
  <c r="L145" i="10"/>
  <c r="T145" i="10"/>
  <c r="AR145" i="10"/>
  <c r="J145" i="10"/>
  <c r="R145" i="10"/>
  <c r="AP145" i="10"/>
  <c r="K145" i="10"/>
  <c r="S145" i="10"/>
  <c r="AQ145" i="10"/>
  <c r="M145" i="10"/>
  <c r="U145" i="10"/>
  <c r="AS145" i="10"/>
  <c r="Q156" i="10"/>
  <c r="J156" i="10"/>
  <c r="R156" i="10"/>
  <c r="L156" i="10"/>
  <c r="T156" i="10"/>
  <c r="AR156" i="10"/>
  <c r="M156" i="10"/>
  <c r="U156" i="10"/>
  <c r="AS156" i="10"/>
  <c r="K156" i="10"/>
  <c r="S156" i="10"/>
  <c r="AQ156" i="10"/>
  <c r="Q54" i="10"/>
  <c r="K54" i="10"/>
  <c r="S54" i="10"/>
  <c r="AQ54" i="10"/>
  <c r="M54" i="10"/>
  <c r="U54" i="10"/>
  <c r="AS54" i="10"/>
  <c r="J54" i="10"/>
  <c r="R54" i="10"/>
  <c r="L54" i="10"/>
  <c r="T54" i="10"/>
  <c r="AR54" i="10"/>
  <c r="Q95" i="10"/>
  <c r="M95" i="10"/>
  <c r="U95" i="10"/>
  <c r="AS95" i="10"/>
  <c r="K95" i="10"/>
  <c r="S95" i="10"/>
  <c r="AQ95" i="10"/>
  <c r="L95" i="10"/>
  <c r="T95" i="10"/>
  <c r="AR95" i="10"/>
  <c r="J95" i="10"/>
  <c r="R95" i="10"/>
  <c r="AO29" i="10"/>
  <c r="Q203" i="10"/>
  <c r="L203" i="10"/>
  <c r="T203" i="10"/>
  <c r="AR203" i="10"/>
  <c r="M203" i="10"/>
  <c r="U203" i="10"/>
  <c r="AS203" i="10"/>
  <c r="K203" i="10"/>
  <c r="S203" i="10"/>
  <c r="AQ203" i="10"/>
  <c r="J203" i="10"/>
  <c r="R203" i="10"/>
  <c r="Q170" i="10"/>
  <c r="J170" i="10"/>
  <c r="R170" i="10"/>
  <c r="L170" i="10"/>
  <c r="T170" i="10"/>
  <c r="AR170" i="10"/>
  <c r="K170" i="10"/>
  <c r="S170" i="10"/>
  <c r="AQ170" i="10"/>
  <c r="M170" i="10"/>
  <c r="U170" i="10"/>
  <c r="AS170" i="10"/>
  <c r="Q46" i="10"/>
  <c r="K46" i="10"/>
  <c r="S46" i="10"/>
  <c r="AQ46" i="10"/>
  <c r="J46" i="10"/>
  <c r="R46" i="10"/>
  <c r="L46" i="10"/>
  <c r="T46" i="10"/>
  <c r="AR46" i="10"/>
  <c r="M46" i="10"/>
  <c r="U46" i="10"/>
  <c r="AS46" i="10"/>
  <c r="M21" i="10"/>
  <c r="U21" i="10"/>
  <c r="AS21" i="10"/>
  <c r="K21" i="10"/>
  <c r="S21" i="10"/>
  <c r="AQ21" i="10"/>
  <c r="Q21" i="10"/>
  <c r="J21" i="10"/>
  <c r="R21" i="10"/>
  <c r="L21" i="10"/>
  <c r="T21" i="10"/>
  <c r="AR21" i="10"/>
  <c r="Q220" i="10"/>
  <c r="M220" i="10"/>
  <c r="U220" i="10"/>
  <c r="AS220" i="10"/>
  <c r="J220" i="10"/>
  <c r="R220" i="10"/>
  <c r="AP220" i="10"/>
  <c r="K220" i="10"/>
  <c r="S220" i="10"/>
  <c r="AQ220" i="10"/>
  <c r="L220" i="10"/>
  <c r="T220" i="10"/>
  <c r="AR220" i="10"/>
  <c r="Q61" i="10"/>
  <c r="J61" i="10"/>
  <c r="R61" i="10"/>
  <c r="K61" i="10"/>
  <c r="S61" i="10"/>
  <c r="AQ61" i="10"/>
  <c r="L61" i="10"/>
  <c r="T61" i="10"/>
  <c r="AR61" i="10"/>
  <c r="M61" i="10"/>
  <c r="U61" i="10"/>
  <c r="AS61" i="10"/>
  <c r="Q85" i="10"/>
  <c r="L85" i="10"/>
  <c r="T85" i="10"/>
  <c r="AR85" i="10"/>
  <c r="J85" i="10"/>
  <c r="R85" i="10"/>
  <c r="K85" i="10"/>
  <c r="S85" i="10"/>
  <c r="AQ85" i="10"/>
  <c r="M85" i="10"/>
  <c r="U85" i="10"/>
  <c r="AS85" i="10"/>
  <c r="Q51" i="10"/>
  <c r="K51" i="10"/>
  <c r="S51" i="10"/>
  <c r="AQ51" i="10"/>
  <c r="L51" i="10"/>
  <c r="T51" i="10"/>
  <c r="AR51" i="10"/>
  <c r="M51" i="10"/>
  <c r="U51" i="10"/>
  <c r="AS51" i="10"/>
  <c r="J51" i="10"/>
  <c r="R51" i="10"/>
  <c r="Q108" i="10"/>
  <c r="M108" i="10"/>
  <c r="U108" i="10"/>
  <c r="AS108" i="10"/>
  <c r="J108" i="10"/>
  <c r="R108" i="10"/>
  <c r="AP108" i="10"/>
  <c r="K108" i="10"/>
  <c r="S108" i="10"/>
  <c r="AQ108" i="10"/>
  <c r="L108" i="10"/>
  <c r="T108" i="10"/>
  <c r="AR108" i="10"/>
  <c r="Q100" i="10"/>
  <c r="M100" i="10"/>
  <c r="U100" i="10"/>
  <c r="AS100" i="10"/>
  <c r="J100" i="10"/>
  <c r="R100" i="10"/>
  <c r="K100" i="10"/>
  <c r="S100" i="10"/>
  <c r="AQ100" i="10"/>
  <c r="L100" i="10"/>
  <c r="T100" i="10"/>
  <c r="AR100" i="10"/>
  <c r="Q114" i="10"/>
  <c r="J114" i="10"/>
  <c r="R114" i="10"/>
  <c r="L114" i="10"/>
  <c r="T114" i="10"/>
  <c r="AR114" i="10"/>
  <c r="M114" i="10"/>
  <c r="U114" i="10"/>
  <c r="AS114" i="10"/>
  <c r="K114" i="10"/>
  <c r="S114" i="10"/>
  <c r="AQ114" i="10"/>
  <c r="Q45" i="10"/>
  <c r="K45" i="10"/>
  <c r="S45" i="10"/>
  <c r="AQ45" i="10"/>
  <c r="L45" i="10"/>
  <c r="T45" i="10"/>
  <c r="AR45" i="10"/>
  <c r="J45" i="10"/>
  <c r="R45" i="10"/>
  <c r="M45" i="10"/>
  <c r="U45" i="10"/>
  <c r="AS45" i="10"/>
  <c r="Q204" i="10"/>
  <c r="K204" i="10"/>
  <c r="S204" i="10"/>
  <c r="AQ204" i="10"/>
  <c r="J204" i="10"/>
  <c r="R204" i="10"/>
  <c r="AP204" i="10"/>
  <c r="L204" i="10"/>
  <c r="T204" i="10"/>
  <c r="AR204" i="10"/>
  <c r="M204" i="10"/>
  <c r="U204" i="10"/>
  <c r="AS204" i="10"/>
  <c r="Q72" i="10"/>
  <c r="M72" i="10"/>
  <c r="U72" i="10"/>
  <c r="AS72" i="10"/>
  <c r="K72" i="10"/>
  <c r="S72" i="10"/>
  <c r="AQ72" i="10"/>
  <c r="J72" i="10"/>
  <c r="R72" i="10"/>
  <c r="L72" i="10"/>
  <c r="T72" i="10"/>
  <c r="AR72" i="10"/>
  <c r="Q103" i="10"/>
  <c r="L103" i="10"/>
  <c r="T103" i="10"/>
  <c r="AR103" i="10"/>
  <c r="M103" i="10"/>
  <c r="U103" i="10"/>
  <c r="AS103" i="10"/>
  <c r="J103" i="10"/>
  <c r="R103" i="10"/>
  <c r="AP103" i="10"/>
  <c r="K103" i="10"/>
  <c r="S103" i="10"/>
  <c r="AQ103" i="10"/>
  <c r="Q13" i="10"/>
  <c r="J13" i="10"/>
  <c r="R13" i="10"/>
  <c r="M13" i="10"/>
  <c r="U13" i="10"/>
  <c r="AS13" i="10"/>
  <c r="L13" i="10"/>
  <c r="T13" i="10"/>
  <c r="AR13" i="10"/>
  <c r="K13" i="10"/>
  <c r="S13" i="10"/>
  <c r="AQ13" i="10"/>
  <c r="Q37" i="10"/>
  <c r="M37" i="10"/>
  <c r="U37" i="10"/>
  <c r="AS37" i="10"/>
  <c r="K37" i="10"/>
  <c r="S37" i="10"/>
  <c r="AQ37" i="10"/>
  <c r="L37" i="10"/>
  <c r="T37" i="10"/>
  <c r="AR37" i="10"/>
  <c r="J37" i="10"/>
  <c r="R37" i="10"/>
  <c r="AP37" i="10"/>
  <c r="Q112" i="10"/>
  <c r="M112" i="10"/>
  <c r="U112" i="10"/>
  <c r="AS112" i="10"/>
  <c r="J112" i="10"/>
  <c r="R112" i="10"/>
  <c r="K112" i="10"/>
  <c r="S112" i="10"/>
  <c r="AQ112" i="10"/>
  <c r="L112" i="10"/>
  <c r="T112" i="10"/>
  <c r="AR112" i="10"/>
  <c r="AO244" i="10"/>
  <c r="AO27" i="10"/>
  <c r="Q130" i="10"/>
  <c r="M130" i="10"/>
  <c r="U130" i="10"/>
  <c r="AS130" i="10"/>
  <c r="L130" i="10"/>
  <c r="T130" i="10"/>
  <c r="AR130" i="10"/>
  <c r="K130" i="10"/>
  <c r="S130" i="10"/>
  <c r="AQ130" i="10"/>
  <c r="J130" i="10"/>
  <c r="R130" i="10"/>
  <c r="AP130" i="10"/>
  <c r="AO125" i="10"/>
  <c r="AO35" i="10"/>
  <c r="AO40" i="10"/>
  <c r="Q23" i="10"/>
  <c r="L23" i="10"/>
  <c r="T23" i="10"/>
  <c r="AR23" i="10"/>
  <c r="M23" i="10"/>
  <c r="U23" i="10"/>
  <c r="AS23" i="10"/>
  <c r="K23" i="10"/>
  <c r="S23" i="10"/>
  <c r="AQ23" i="10"/>
  <c r="J23" i="10"/>
  <c r="R23" i="10"/>
  <c r="V107" i="10"/>
  <c r="V105" i="10"/>
  <c r="BB105" i="10"/>
  <c r="V167" i="10"/>
  <c r="BB167" i="10"/>
  <c r="V149" i="10"/>
  <c r="BB149" i="10"/>
  <c r="Y15" i="10"/>
  <c r="Y23" i="10"/>
  <c r="Y31" i="10"/>
  <c r="Y39" i="10"/>
  <c r="Y47" i="10"/>
  <c r="Y55" i="10"/>
  <c r="Y63" i="10"/>
  <c r="Y71" i="10"/>
  <c r="Y79" i="10"/>
  <c r="Y87" i="10"/>
  <c r="Y95" i="10"/>
  <c r="Y103" i="10"/>
  <c r="Y111" i="10"/>
  <c r="Y119" i="10"/>
  <c r="Y127" i="10"/>
  <c r="Y135" i="10"/>
  <c r="Y143" i="10"/>
  <c r="Y151" i="10"/>
  <c r="Y159" i="10"/>
  <c r="Y167" i="10"/>
  <c r="Y175" i="10"/>
  <c r="Y183" i="10"/>
  <c r="Y191" i="10"/>
  <c r="Y199" i="10"/>
  <c r="Y207" i="10"/>
  <c r="Y215" i="10"/>
  <c r="Y223" i="10"/>
  <c r="Y231" i="10"/>
  <c r="Y239" i="10"/>
  <c r="Y247" i="10"/>
  <c r="Y17" i="10"/>
  <c r="Y25" i="10"/>
  <c r="Y33" i="10"/>
  <c r="Y41" i="10"/>
  <c r="Y49" i="10"/>
  <c r="Y57" i="10"/>
  <c r="Y65" i="10"/>
  <c r="Y73" i="10"/>
  <c r="Y81" i="10"/>
  <c r="Y89" i="10"/>
  <c r="Y97" i="10"/>
  <c r="Y105" i="10"/>
  <c r="Y113" i="10"/>
  <c r="Y121" i="10"/>
  <c r="Y129" i="10"/>
  <c r="Y137" i="10"/>
  <c r="Y145" i="10"/>
  <c r="Y153" i="10"/>
  <c r="Y161" i="10"/>
  <c r="Y169" i="10"/>
  <c r="Y177" i="10"/>
  <c r="Y185" i="10"/>
  <c r="Y193" i="10"/>
  <c r="Y201" i="10"/>
  <c r="Y209" i="10"/>
  <c r="Y217" i="10"/>
  <c r="Y225" i="10"/>
  <c r="Y233" i="10"/>
  <c r="Y241" i="10"/>
  <c r="Y10" i="10"/>
  <c r="Y18" i="10"/>
  <c r="Y26" i="10"/>
  <c r="Y34" i="10"/>
  <c r="Y42" i="10"/>
  <c r="Y50" i="10"/>
  <c r="Y58" i="10"/>
  <c r="Y66" i="10"/>
  <c r="Y74" i="10"/>
  <c r="Y82" i="10"/>
  <c r="Y90" i="10"/>
  <c r="Y98" i="10"/>
  <c r="Y106" i="10"/>
  <c r="Y114" i="10"/>
  <c r="Y122" i="10"/>
  <c r="Y130" i="10"/>
  <c r="Y138" i="10"/>
  <c r="Y146" i="10"/>
  <c r="Y154" i="10"/>
  <c r="Y162" i="10"/>
  <c r="Y170" i="10"/>
  <c r="Y178" i="10"/>
  <c r="Y186" i="10"/>
  <c r="Y194" i="10"/>
  <c r="Y202" i="10"/>
  <c r="Y210" i="10"/>
  <c r="Y218" i="10"/>
  <c r="Y226" i="10"/>
  <c r="Y234" i="10"/>
  <c r="Y242" i="10"/>
  <c r="Y12" i="10"/>
  <c r="Y20" i="10"/>
  <c r="Y28" i="10"/>
  <c r="Y36" i="10"/>
  <c r="Y44" i="10"/>
  <c r="Y52" i="10"/>
  <c r="Y60" i="10"/>
  <c r="Y68" i="10"/>
  <c r="Y76" i="10"/>
  <c r="Y84" i="10"/>
  <c r="Y92" i="10"/>
  <c r="Y100" i="10"/>
  <c r="Y108" i="10"/>
  <c r="Y116" i="10"/>
  <c r="Y124" i="10"/>
  <c r="Y132" i="10"/>
  <c r="Y140" i="10"/>
  <c r="Y148" i="10"/>
  <c r="Y156" i="10"/>
  <c r="Y164" i="10"/>
  <c r="Y172" i="10"/>
  <c r="Y180" i="10"/>
  <c r="Y188" i="10"/>
  <c r="Y196" i="10"/>
  <c r="Y204" i="10"/>
  <c r="Y212" i="10"/>
  <c r="Y220" i="10"/>
  <c r="Y228" i="10"/>
  <c r="Y236" i="10"/>
  <c r="Y244" i="10"/>
  <c r="Y13" i="10"/>
  <c r="Y21" i="10"/>
  <c r="Y29" i="10"/>
  <c r="Y37" i="10"/>
  <c r="Y45" i="10"/>
  <c r="Y53" i="10"/>
  <c r="Y61" i="10"/>
  <c r="Y69" i="10"/>
  <c r="Y77" i="10"/>
  <c r="Y85" i="10"/>
  <c r="Y93" i="10"/>
  <c r="Y101" i="10"/>
  <c r="Y109" i="10"/>
  <c r="Y117" i="10"/>
  <c r="Y125" i="10"/>
  <c r="Y133" i="10"/>
  <c r="Y141" i="10"/>
  <c r="Y149" i="10"/>
  <c r="Y157" i="10"/>
  <c r="Y165" i="10"/>
  <c r="Y173" i="10"/>
  <c r="Y181" i="10"/>
  <c r="Y189" i="10"/>
  <c r="Y197" i="10"/>
  <c r="Y205" i="10"/>
  <c r="Y27" i="10"/>
  <c r="Y70" i="10"/>
  <c r="Y91" i="10"/>
  <c r="Y134" i="10"/>
  <c r="Y198" i="10"/>
  <c r="Y30" i="10"/>
  <c r="Y235" i="10"/>
  <c r="Y11" i="10"/>
  <c r="Y32" i="10"/>
  <c r="Y54" i="10"/>
  <c r="Y75" i="10"/>
  <c r="Y96" i="10"/>
  <c r="Y118" i="10"/>
  <c r="Y139" i="10"/>
  <c r="Y160" i="10"/>
  <c r="Y182" i="10"/>
  <c r="Y203" i="10"/>
  <c r="Y221" i="10"/>
  <c r="Y237" i="10"/>
  <c r="Y16" i="10"/>
  <c r="Y59" i="10"/>
  <c r="Y80" i="10"/>
  <c r="Y102" i="10"/>
  <c r="Y144" i="10"/>
  <c r="Y187" i="10"/>
  <c r="Y224" i="10"/>
  <c r="Y115" i="10"/>
  <c r="Y14" i="10"/>
  <c r="Y35" i="10"/>
  <c r="Y56" i="10"/>
  <c r="Y78" i="10"/>
  <c r="Y99" i="10"/>
  <c r="Y120" i="10"/>
  <c r="Y142" i="10"/>
  <c r="Y163" i="10"/>
  <c r="Y184" i="10"/>
  <c r="Y206" i="10"/>
  <c r="Y222" i="10"/>
  <c r="Y238" i="10"/>
  <c r="Y38" i="10"/>
  <c r="Y123" i="10"/>
  <c r="Y166" i="10"/>
  <c r="Y208" i="10"/>
  <c r="Y240" i="10"/>
  <c r="Y9" i="10"/>
  <c r="Y179" i="10"/>
  <c r="Y19" i="10"/>
  <c r="Y40" i="10"/>
  <c r="Y62" i="10"/>
  <c r="Y83" i="10"/>
  <c r="Y104" i="10"/>
  <c r="Y126" i="10"/>
  <c r="Y147" i="10"/>
  <c r="Y168" i="10"/>
  <c r="Y190" i="10"/>
  <c r="Y211" i="10"/>
  <c r="Y227" i="10"/>
  <c r="Y243" i="10"/>
  <c r="Y22" i="10"/>
  <c r="Y43" i="10"/>
  <c r="Y64" i="10"/>
  <c r="Y86" i="10"/>
  <c r="Y107" i="10"/>
  <c r="Y128" i="10"/>
  <c r="Y150" i="10"/>
  <c r="Y171" i="10"/>
  <c r="Y192" i="10"/>
  <c r="Y213" i="10"/>
  <c r="Y229" i="10"/>
  <c r="Y245" i="10"/>
  <c r="Y24" i="10"/>
  <c r="Y46" i="10"/>
  <c r="Y67" i="10"/>
  <c r="Y88" i="10"/>
  <c r="Y110" i="10"/>
  <c r="Y131" i="10"/>
  <c r="Y152" i="10"/>
  <c r="Y174" i="10"/>
  <c r="Y195" i="10"/>
  <c r="Y214" i="10"/>
  <c r="Y230" i="10"/>
  <c r="Y246" i="10"/>
  <c r="Y48" i="10"/>
  <c r="Y112" i="10"/>
  <c r="Y155" i="10"/>
  <c r="Y176" i="10"/>
  <c r="Y216" i="10"/>
  <c r="Y232" i="10"/>
  <c r="Y248" i="10"/>
  <c r="CJ14" i="10"/>
  <c r="Y51" i="10"/>
  <c r="Y72" i="10"/>
  <c r="Y94" i="10"/>
  <c r="Y136" i="10"/>
  <c r="Y158" i="10"/>
  <c r="Y200" i="10"/>
  <c r="Y219" i="10"/>
  <c r="V27" i="10"/>
  <c r="BV27" i="10"/>
  <c r="V174" i="10"/>
  <c r="BB174" i="10"/>
  <c r="V173" i="10"/>
  <c r="BU173" i="10"/>
  <c r="V41" i="10"/>
  <c r="BB41" i="10"/>
  <c r="V106" i="10"/>
  <c r="BU106" i="10"/>
  <c r="V73" i="10"/>
  <c r="BV73" i="10"/>
  <c r="V53" i="10"/>
  <c r="BV53" i="10"/>
  <c r="V80" i="10"/>
  <c r="BV80" i="10"/>
  <c r="V132" i="10"/>
  <c r="BV132" i="10"/>
  <c r="V68" i="10"/>
  <c r="BU68" i="10"/>
  <c r="V244" i="10"/>
  <c r="BB244" i="10"/>
  <c r="V165" i="10"/>
  <c r="BB165" i="10"/>
  <c r="V43" i="10"/>
  <c r="BV43" i="10"/>
  <c r="V111" i="10"/>
  <c r="BU111" i="10"/>
  <c r="V137" i="10"/>
  <c r="BB137" i="10"/>
  <c r="V199" i="10"/>
  <c r="BB199" i="10"/>
  <c r="V182" i="10"/>
  <c r="BB182" i="10"/>
  <c r="V142" i="10"/>
  <c r="BB142" i="10"/>
  <c r="V26" i="10"/>
  <c r="BB26" i="10"/>
  <c r="V139" i="10"/>
  <c r="BB139" i="10"/>
  <c r="V194" i="10"/>
  <c r="BV194" i="10"/>
  <c r="V159" i="10"/>
  <c r="BB159" i="10"/>
  <c r="V196" i="10"/>
  <c r="BB196" i="10"/>
  <c r="V127" i="10"/>
  <c r="BB127" i="10"/>
  <c r="V150" i="10"/>
  <c r="BB150" i="10"/>
  <c r="V209" i="10"/>
  <c r="BV209" i="10"/>
  <c r="V225" i="10"/>
  <c r="BV225" i="10"/>
  <c r="V116" i="10"/>
  <c r="BV116" i="10"/>
  <c r="V205" i="10"/>
  <c r="BV205" i="10"/>
  <c r="V161" i="10"/>
  <c r="BV161" i="10"/>
  <c r="V190" i="10"/>
  <c r="BU190" i="10"/>
  <c r="V131" i="10"/>
  <c r="BB131" i="10"/>
  <c r="V212" i="10"/>
  <c r="BB212" i="10"/>
  <c r="V206" i="10"/>
  <c r="BV206" i="10"/>
  <c r="V168" i="10"/>
  <c r="BB168" i="10"/>
  <c r="V140" i="10"/>
  <c r="BB140" i="10"/>
  <c r="V176" i="10"/>
  <c r="BV176" i="10"/>
  <c r="V208" i="10"/>
  <c r="BB208" i="10"/>
  <c r="V216" i="10"/>
  <c r="BB216" i="10"/>
  <c r="V82" i="10"/>
  <c r="BV82" i="10"/>
  <c r="V163" i="10"/>
  <c r="BB163" i="10"/>
  <c r="V241" i="10"/>
  <c r="BV241" i="10"/>
  <c r="V123" i="10"/>
  <c r="BU123" i="10"/>
  <c r="V217" i="10"/>
  <c r="BB217" i="10"/>
  <c r="V77" i="10"/>
  <c r="BB77" i="10"/>
  <c r="V169" i="10"/>
  <c r="BB169" i="10"/>
  <c r="V91" i="10"/>
  <c r="BB91" i="10"/>
  <c r="V213" i="10"/>
  <c r="BB213" i="10"/>
  <c r="V148" i="10"/>
  <c r="BB148" i="10"/>
  <c r="V55" i="10"/>
  <c r="BB55" i="10"/>
  <c r="V247" i="10"/>
  <c r="BU247" i="10"/>
  <c r="V29" i="10"/>
  <c r="BB29" i="10"/>
  <c r="V138" i="10"/>
  <c r="BB138" i="10"/>
  <c r="V67" i="10"/>
  <c r="BB67" i="10"/>
  <c r="V75" i="10"/>
  <c r="BB75" i="10"/>
  <c r="V76" i="10"/>
  <c r="BB76" i="10"/>
  <c r="V71" i="10"/>
  <c r="BB71" i="10"/>
  <c r="V74" i="10"/>
  <c r="BU74" i="10"/>
  <c r="V104" i="10"/>
  <c r="BB104" i="10"/>
  <c r="V248" i="10"/>
  <c r="BB248" i="10"/>
  <c r="V49" i="10"/>
  <c r="BU49" i="10"/>
  <c r="V83" i="10"/>
  <c r="BV83" i="10"/>
  <c r="V39" i="10"/>
  <c r="BV39" i="10"/>
  <c r="AP202" i="10"/>
  <c r="AT202" i="10"/>
  <c r="AV202" i="10"/>
  <c r="V202" i="10"/>
  <c r="V171" i="10"/>
  <c r="AQ32" i="10"/>
  <c r="AT32" i="10"/>
  <c r="V32" i="10"/>
  <c r="BB43" i="10"/>
  <c r="BU43" i="10"/>
  <c r="V40" i="10"/>
  <c r="AP112" i="10"/>
  <c r="V112" i="10"/>
  <c r="AP100" i="10"/>
  <c r="V100" i="10"/>
  <c r="AP51" i="10"/>
  <c r="V51" i="10"/>
  <c r="AP54" i="10"/>
  <c r="V54" i="10"/>
  <c r="V239" i="10"/>
  <c r="AP18" i="10"/>
  <c r="V18" i="10"/>
  <c r="AP81" i="10"/>
  <c r="V81" i="10"/>
  <c r="AP197" i="10"/>
  <c r="AT197" i="10"/>
  <c r="V197" i="10"/>
  <c r="AP183" i="10"/>
  <c r="V183" i="10"/>
  <c r="AP117" i="10"/>
  <c r="V117" i="10"/>
  <c r="V179" i="10"/>
  <c r="AP19" i="10"/>
  <c r="V19" i="10"/>
  <c r="AP109" i="10"/>
  <c r="V109" i="10"/>
  <c r="AS101" i="10"/>
  <c r="AT101" i="10"/>
  <c r="AV101" i="10"/>
  <c r="V101" i="10"/>
  <c r="AR129" i="10"/>
  <c r="AT129" i="10"/>
  <c r="AV129" i="10"/>
  <c r="V129" i="10"/>
  <c r="AP28" i="10"/>
  <c r="V28" i="10"/>
  <c r="AP22" i="10"/>
  <c r="V22" i="10"/>
  <c r="AP158" i="10"/>
  <c r="V158" i="10"/>
  <c r="AP240" i="10"/>
  <c r="V240" i="10"/>
  <c r="AP12" i="10"/>
  <c r="V12" i="10"/>
  <c r="AP11" i="10"/>
  <c r="V11" i="10"/>
  <c r="V228" i="10"/>
  <c r="AP134" i="10"/>
  <c r="V134" i="10"/>
  <c r="V130" i="10"/>
  <c r="AP96" i="10"/>
  <c r="V96" i="10"/>
  <c r="AQ230" i="10"/>
  <c r="AT230" i="10"/>
  <c r="V230" i="10"/>
  <c r="V103" i="10"/>
  <c r="AP156" i="10"/>
  <c r="V156" i="10"/>
  <c r="AP181" i="10"/>
  <c r="V181" i="10"/>
  <c r="AP64" i="10"/>
  <c r="V64" i="10"/>
  <c r="AP16" i="10"/>
  <c r="V16" i="10"/>
  <c r="AT239" i="10"/>
  <c r="AP10" i="10"/>
  <c r="V10" i="10"/>
  <c r="AT180" i="10"/>
  <c r="V38" i="10"/>
  <c r="AP23" i="10"/>
  <c r="V23" i="10"/>
  <c r="V125" i="10"/>
  <c r="AT37" i="10"/>
  <c r="AP13" i="10"/>
  <c r="V13" i="10"/>
  <c r="AP72" i="10"/>
  <c r="V72" i="10"/>
  <c r="AP46" i="10"/>
  <c r="V46" i="10"/>
  <c r="AP203" i="10"/>
  <c r="V203" i="10"/>
  <c r="AT145" i="10"/>
  <c r="AP160" i="10"/>
  <c r="V160" i="10"/>
  <c r="AP222" i="10"/>
  <c r="V222" i="10"/>
  <c r="AP70" i="10"/>
  <c r="V70" i="10"/>
  <c r="V108" i="10"/>
  <c r="V145" i="10"/>
  <c r="AP226" i="10"/>
  <c r="V226" i="10"/>
  <c r="AT105" i="10"/>
  <c r="BH105" i="10"/>
  <c r="BN105" i="10" a="1"/>
  <c r="BN105" i="10"/>
  <c r="AQ57" i="10"/>
  <c r="AT57" i="10"/>
  <c r="V57" i="10"/>
  <c r="AT209" i="10"/>
  <c r="AP58" i="10"/>
  <c r="V58" i="10"/>
  <c r="AP78" i="10"/>
  <c r="V78" i="10"/>
  <c r="AP90" i="10"/>
  <c r="V90" i="10"/>
  <c r="AQ88" i="10"/>
  <c r="AT88" i="10"/>
  <c r="V88" i="10"/>
  <c r="AS124" i="10"/>
  <c r="V124" i="10"/>
  <c r="AT205" i="10"/>
  <c r="AQ87" i="10"/>
  <c r="V87" i="10"/>
  <c r="AS242" i="10"/>
  <c r="AT242" i="10"/>
  <c r="AV242" i="10"/>
  <c r="V242" i="10"/>
  <c r="V94" i="10"/>
  <c r="AS236" i="10"/>
  <c r="AT236" i="10"/>
  <c r="V236" i="10"/>
  <c r="V195" i="10"/>
  <c r="AT39" i="10"/>
  <c r="AR118" i="10"/>
  <c r="AT118" i="10"/>
  <c r="V118" i="10"/>
  <c r="AR122" i="10"/>
  <c r="AT122" i="10"/>
  <c r="AV122" i="10"/>
  <c r="V122" i="10"/>
  <c r="AQ113" i="10"/>
  <c r="AT113" i="10"/>
  <c r="V113" i="10"/>
  <c r="AP177" i="10"/>
  <c r="AT177" i="10"/>
  <c r="V177" i="10"/>
  <c r="AT80" i="10"/>
  <c r="AP85" i="10"/>
  <c r="V85" i="10"/>
  <c r="AT40" i="10"/>
  <c r="AP121" i="10"/>
  <c r="AT121" i="10"/>
  <c r="V121" i="10"/>
  <c r="AT221" i="10"/>
  <c r="AT248" i="10"/>
  <c r="AP119" i="10"/>
  <c r="AT119" i="10"/>
  <c r="V119" i="10"/>
  <c r="AP238" i="10"/>
  <c r="V238" i="10"/>
  <c r="AT246" i="10"/>
  <c r="AP79" i="10"/>
  <c r="V79" i="10"/>
  <c r="AP25" i="10"/>
  <c r="AT25" i="10"/>
  <c r="AV25" i="10"/>
  <c r="V25" i="10"/>
  <c r="V221" i="10"/>
  <c r="AT67" i="10"/>
  <c r="AR35" i="10"/>
  <c r="AT35" i="10"/>
  <c r="AV35" i="10"/>
  <c r="V35" i="10"/>
  <c r="AQ218" i="10"/>
  <c r="AT218" i="10"/>
  <c r="V218" i="10"/>
  <c r="AQ48" i="10"/>
  <c r="AT48" i="10"/>
  <c r="AV48" i="10"/>
  <c r="V48" i="10"/>
  <c r="AP224" i="10"/>
  <c r="V224" i="10"/>
  <c r="V14" i="10"/>
  <c r="AS219" i="10"/>
  <c r="AT219" i="10"/>
  <c r="AV219" i="10"/>
  <c r="V219" i="10"/>
  <c r="V44" i="10"/>
  <c r="AP95" i="10"/>
  <c r="V95" i="10"/>
  <c r="AP31" i="10"/>
  <c r="V31" i="10"/>
  <c r="AP52" i="10"/>
  <c r="V52" i="10"/>
  <c r="AQ175" i="10"/>
  <c r="AT175" i="10"/>
  <c r="V175" i="10"/>
  <c r="AP114" i="10"/>
  <c r="V114" i="10"/>
  <c r="AT244" i="10"/>
  <c r="AP92" i="10"/>
  <c r="V92" i="10"/>
  <c r="AP193" i="10"/>
  <c r="AT193" i="10"/>
  <c r="V193" i="10"/>
  <c r="V33" i="10"/>
  <c r="AT234" i="10"/>
  <c r="BB205" i="10"/>
  <c r="BU205" i="10"/>
  <c r="AT182" i="10"/>
  <c r="AP152" i="10"/>
  <c r="V152" i="10"/>
  <c r="AP69" i="10"/>
  <c r="V69" i="10"/>
  <c r="AP200" i="10"/>
  <c r="V200" i="10"/>
  <c r="AR229" i="10"/>
  <c r="AT229" i="10"/>
  <c r="V229" i="10"/>
  <c r="V235" i="10"/>
  <c r="AS59" i="10"/>
  <c r="AT59" i="10"/>
  <c r="V59" i="10"/>
  <c r="AP147" i="10"/>
  <c r="V147" i="10"/>
  <c r="V37" i="10"/>
  <c r="V151" i="10"/>
  <c r="AP162" i="10"/>
  <c r="V162" i="10"/>
  <c r="BB106" i="10"/>
  <c r="AP47" i="10"/>
  <c r="V47" i="10"/>
  <c r="AQ50" i="10"/>
  <c r="AT50" i="10"/>
  <c r="V50" i="10"/>
  <c r="AT233" i="10"/>
  <c r="AR211" i="10"/>
  <c r="AT211" i="10"/>
  <c r="V211" i="10"/>
  <c r="AT130" i="10"/>
  <c r="AP45" i="10"/>
  <c r="V45" i="10"/>
  <c r="AT108" i="10"/>
  <c r="AP61" i="10"/>
  <c r="V61" i="10"/>
  <c r="AP21" i="10"/>
  <c r="V21" i="10"/>
  <c r="AP223" i="10"/>
  <c r="V223" i="10"/>
  <c r="AT103" i="10"/>
  <c r="AP97" i="10"/>
  <c r="V97" i="10"/>
  <c r="AP115" i="10"/>
  <c r="AT115" i="10"/>
  <c r="AV115" i="10"/>
  <c r="V115" i="10"/>
  <c r="AP128" i="10"/>
  <c r="V128" i="10"/>
  <c r="AT151" i="10"/>
  <c r="AP141" i="10"/>
  <c r="V141" i="10"/>
  <c r="AP157" i="10"/>
  <c r="V157" i="10"/>
  <c r="AP86" i="10"/>
  <c r="V86" i="10"/>
  <c r="V233" i="10"/>
  <c r="AS60" i="10"/>
  <c r="AT60" i="10"/>
  <c r="V60" i="10"/>
  <c r="AT76" i="10"/>
  <c r="AP66" i="10"/>
  <c r="V66" i="10"/>
  <c r="V99" i="10"/>
  <c r="AQ146" i="10"/>
  <c r="AT146" i="10"/>
  <c r="AV146" i="10"/>
  <c r="V146" i="10"/>
  <c r="AR98" i="10"/>
  <c r="AT98" i="10"/>
  <c r="V98" i="10"/>
  <c r="AP143" i="10"/>
  <c r="V143" i="10"/>
  <c r="AQ227" i="10"/>
  <c r="V227" i="10"/>
  <c r="AQ126" i="10"/>
  <c r="AT126" i="10"/>
  <c r="AV126" i="10"/>
  <c r="V126" i="10"/>
  <c r="AP62" i="10"/>
  <c r="AT62" i="10"/>
  <c r="AV62" i="10"/>
  <c r="V62" i="10"/>
  <c r="AT194" i="10"/>
  <c r="V180" i="10"/>
  <c r="V189" i="10"/>
  <c r="BV167" i="10"/>
  <c r="AT137" i="10"/>
  <c r="AP214" i="10"/>
  <c r="V214" i="10"/>
  <c r="V220" i="10"/>
  <c r="AT125" i="10"/>
  <c r="AT168" i="10"/>
  <c r="AT225" i="10"/>
  <c r="AP17" i="10"/>
  <c r="V17" i="10"/>
  <c r="V15" i="10"/>
  <c r="AT196" i="10"/>
  <c r="AT55" i="10"/>
  <c r="AT173" i="10"/>
  <c r="V166" i="10"/>
  <c r="AT77" i="10"/>
  <c r="BV49" i="10"/>
  <c r="AS120" i="10"/>
  <c r="AT120" i="10"/>
  <c r="AV120" i="10"/>
  <c r="V120" i="10"/>
  <c r="AP102" i="10"/>
  <c r="V102" i="10"/>
  <c r="AR34" i="10"/>
  <c r="V34" i="10"/>
  <c r="AS192" i="10"/>
  <c r="AT192" i="10"/>
  <c r="V192" i="10"/>
  <c r="AR20" i="10"/>
  <c r="AT20" i="10"/>
  <c r="V20" i="10"/>
  <c r="AP56" i="10"/>
  <c r="AT56" i="10"/>
  <c r="AV56" i="10"/>
  <c r="V56" i="10"/>
  <c r="AT106" i="10"/>
  <c r="AP210" i="10"/>
  <c r="AT210" i="10"/>
  <c r="V210" i="10"/>
  <c r="AT228" i="10"/>
  <c r="AP63" i="10"/>
  <c r="V63" i="10"/>
  <c r="AP84" i="10"/>
  <c r="AT84" i="10"/>
  <c r="V84" i="10"/>
  <c r="AT33" i="10"/>
  <c r="AT41" i="10"/>
  <c r="BB107" i="10"/>
  <c r="BV107" i="10"/>
  <c r="BU107" i="10"/>
  <c r="AT166" i="10"/>
  <c r="V153" i="10"/>
  <c r="AP9" i="10"/>
  <c r="V9" i="10"/>
  <c r="AT53" i="10"/>
  <c r="AT71" i="10"/>
  <c r="AT68" i="10"/>
  <c r="AT140" i="10"/>
  <c r="AT123" i="10"/>
  <c r="AT167" i="10"/>
  <c r="AR36" i="10"/>
  <c r="AT36" i="10"/>
  <c r="AV36" i="10"/>
  <c r="V36" i="10"/>
  <c r="AS187" i="10"/>
  <c r="V187" i="10"/>
  <c r="AR232" i="10"/>
  <c r="AT232" i="10"/>
  <c r="AV232" i="10"/>
  <c r="V232" i="10"/>
  <c r="AT49" i="10"/>
  <c r="AP215" i="10"/>
  <c r="V215" i="10"/>
  <c r="AT83" i="10"/>
  <c r="AT191" i="10"/>
  <c r="AT189" i="10"/>
  <c r="AT243" i="10"/>
  <c r="AT237" i="10"/>
  <c r="AT107" i="10"/>
  <c r="AT185" i="10"/>
  <c r="AT206" i="10"/>
  <c r="AT75" i="10"/>
  <c r="AT142" i="10"/>
  <c r="AQ110" i="10"/>
  <c r="AT110" i="10"/>
  <c r="V110" i="10"/>
  <c r="AS231" i="10"/>
  <c r="AT231" i="10"/>
  <c r="AV231" i="10"/>
  <c r="V231" i="10"/>
  <c r="AP89" i="10"/>
  <c r="V89" i="10"/>
  <c r="AQ164" i="10"/>
  <c r="AT164" i="10"/>
  <c r="AV164" i="10"/>
  <c r="V164" i="10"/>
  <c r="AS65" i="10"/>
  <c r="V65" i="10"/>
  <c r="AR135" i="10"/>
  <c r="AT135" i="10"/>
  <c r="V135" i="10"/>
  <c r="AR172" i="10"/>
  <c r="AT172" i="10"/>
  <c r="AV172" i="10"/>
  <c r="V172" i="10"/>
  <c r="AQ42" i="10"/>
  <c r="AT42" i="10"/>
  <c r="AV42" i="10"/>
  <c r="V42" i="10"/>
  <c r="V204" i="10"/>
  <c r="AT247" i="10"/>
  <c r="V237" i="10"/>
  <c r="AT116" i="10"/>
  <c r="AT165" i="10"/>
  <c r="AT74" i="10"/>
  <c r="AT213" i="10"/>
  <c r="AT174" i="10"/>
  <c r="V154" i="10"/>
  <c r="AP30" i="10"/>
  <c r="V30" i="10"/>
  <c r="V191" i="10"/>
  <c r="AT204" i="10"/>
  <c r="AT220" i="10"/>
  <c r="AV220" i="10"/>
  <c r="AP170" i="10"/>
  <c r="V170" i="10"/>
  <c r="AT171" i="10"/>
  <c r="AV171" i="10"/>
  <c r="V243" i="10"/>
  <c r="AT15" i="10"/>
  <c r="AV15" i="10"/>
  <c r="AT38" i="10"/>
  <c r="AT153" i="10"/>
  <c r="AV153" i="10"/>
  <c r="AP188" i="10"/>
  <c r="V188" i="10"/>
  <c r="AT179" i="10"/>
  <c r="AP245" i="10"/>
  <c r="V245" i="10"/>
  <c r="AP201" i="10"/>
  <c r="V201" i="10"/>
  <c r="AT29" i="10"/>
  <c r="V184" i="10"/>
  <c r="V234" i="10"/>
  <c r="AT195" i="10"/>
  <c r="AP136" i="10"/>
  <c r="V136" i="10"/>
  <c r="AT198" i="10"/>
  <c r="BU105" i="10"/>
  <c r="BV105" i="10"/>
  <c r="AT150" i="10"/>
  <c r="AT184" i="10"/>
  <c r="AT132" i="10"/>
  <c r="AV132" i="10"/>
  <c r="AT127" i="10"/>
  <c r="AT138" i="10"/>
  <c r="AV138" i="10"/>
  <c r="AT111" i="10"/>
  <c r="AT155" i="10"/>
  <c r="V185" i="10"/>
  <c r="BV169" i="10"/>
  <c r="V246" i="10"/>
  <c r="V198" i="10"/>
  <c r="AR186" i="10"/>
  <c r="AT186" i="10"/>
  <c r="V186" i="10"/>
  <c r="AT161" i="10"/>
  <c r="AV161" i="10"/>
  <c r="AP93" i="10"/>
  <c r="V93" i="10"/>
  <c r="AT199" i="10"/>
  <c r="AT217" i="10"/>
  <c r="AT178" i="10"/>
  <c r="AT43" i="10"/>
  <c r="AT139" i="10"/>
  <c r="AT163" i="10"/>
  <c r="AT44" i="10"/>
  <c r="AV44" i="10"/>
  <c r="AT104" i="10"/>
  <c r="AT149" i="10"/>
  <c r="AT235" i="10"/>
  <c r="AT99" i="10"/>
  <c r="AT144" i="10"/>
  <c r="AT91" i="10"/>
  <c r="AT148" i="10"/>
  <c r="AT131" i="10"/>
  <c r="AT207" i="10"/>
  <c r="AT216" i="10"/>
  <c r="V207" i="10"/>
  <c r="AT176" i="10"/>
  <c r="AV176" i="10"/>
  <c r="AT133" i="10"/>
  <c r="AT241" i="10"/>
  <c r="AT208" i="10"/>
  <c r="V133" i="10"/>
  <c r="V24" i="10"/>
  <c r="AT26" i="10"/>
  <c r="AT14" i="10"/>
  <c r="AT169" i="10"/>
  <c r="AT94" i="10"/>
  <c r="AT159" i="10"/>
  <c r="AT24" i="10"/>
  <c r="AT82" i="10"/>
  <c r="AT190" i="10"/>
  <c r="AT212" i="10"/>
  <c r="AT154" i="10"/>
  <c r="V144" i="10"/>
  <c r="V155" i="10"/>
  <c r="V178" i="10"/>
  <c r="AT73" i="10"/>
  <c r="AT27" i="10"/>
  <c r="AV27" i="10"/>
  <c r="BG26" i="10"/>
  <c r="BM26" i="10" a="1"/>
  <c r="BM26" i="10"/>
  <c r="AV26" i="10"/>
  <c r="BF217" i="10"/>
  <c r="BL217" i="10" a="1"/>
  <c r="BL217" i="10"/>
  <c r="AV217" i="10"/>
  <c r="BF184" i="10"/>
  <c r="BL184" i="10" a="1"/>
  <c r="BL184" i="10"/>
  <c r="AV184" i="10"/>
  <c r="BF213" i="10"/>
  <c r="BL213" i="10" a="1"/>
  <c r="BL213" i="10"/>
  <c r="AV213" i="10"/>
  <c r="BF83" i="10"/>
  <c r="BL83" i="10" a="1"/>
  <c r="BL83" i="10"/>
  <c r="AV83" i="10"/>
  <c r="BE106" i="10"/>
  <c r="BK106" i="10" a="1"/>
  <c r="BK106" i="10"/>
  <c r="AV106" i="10"/>
  <c r="BI234" i="10"/>
  <c r="BO234" i="10" a="1"/>
  <c r="BO234" i="10"/>
  <c r="AV234" i="10"/>
  <c r="BI248" i="10"/>
  <c r="BO248" i="10" a="1"/>
  <c r="BO248" i="10"/>
  <c r="AV248" i="10"/>
  <c r="BF206" i="10"/>
  <c r="BL206" i="10" a="1"/>
  <c r="BL206" i="10"/>
  <c r="AV206" i="10"/>
  <c r="BF205" i="10"/>
  <c r="BL205" i="10" a="1"/>
  <c r="BL205" i="10"/>
  <c r="AV205" i="10"/>
  <c r="BF167" i="10"/>
  <c r="BL167" i="10" a="1"/>
  <c r="BL167" i="10"/>
  <c r="AV167" i="10"/>
  <c r="BF196" i="10"/>
  <c r="BL196" i="10" a="1"/>
  <c r="BL196" i="10"/>
  <c r="AV196" i="10"/>
  <c r="BE98" i="10"/>
  <c r="BK98" i="10" a="1"/>
  <c r="BK98" i="10"/>
  <c r="AV98" i="10"/>
  <c r="BH60" i="10"/>
  <c r="BN60" i="10" a="1"/>
  <c r="BN60" i="10"/>
  <c r="AV60" i="10"/>
  <c r="BI151" i="10"/>
  <c r="BO151" i="10" a="1"/>
  <c r="BO151" i="10"/>
  <c r="AV151" i="10"/>
  <c r="BI175" i="10"/>
  <c r="BO175" i="10" a="1"/>
  <c r="BO175" i="10"/>
  <c r="AV175" i="10"/>
  <c r="BH218" i="10"/>
  <c r="BN218" i="10" a="1"/>
  <c r="BN218" i="10"/>
  <c r="AV218" i="10"/>
  <c r="BG145" i="10"/>
  <c r="BM145" i="10" a="1"/>
  <c r="BM145" i="10"/>
  <c r="AV145" i="10"/>
  <c r="BF73" i="10"/>
  <c r="BL73" i="10" a="1"/>
  <c r="BL73" i="10"/>
  <c r="AV73" i="10"/>
  <c r="BI24" i="10"/>
  <c r="BO24" i="10" a="1"/>
  <c r="BO24" i="10"/>
  <c r="AV24" i="10"/>
  <c r="BH208" i="10"/>
  <c r="BN208" i="10" a="1"/>
  <c r="BN208" i="10"/>
  <c r="AV208" i="10"/>
  <c r="BF131" i="10"/>
  <c r="BL131" i="10" a="1"/>
  <c r="BL131" i="10"/>
  <c r="AV131" i="10"/>
  <c r="BG155" i="10"/>
  <c r="BM155" i="10" a="1"/>
  <c r="BM155" i="10"/>
  <c r="AV155" i="10"/>
  <c r="BF38" i="10"/>
  <c r="BL38" i="10" a="1"/>
  <c r="BL38" i="10"/>
  <c r="AV38" i="10"/>
  <c r="BE116" i="10"/>
  <c r="BK116" i="10" a="1"/>
  <c r="BK116" i="10"/>
  <c r="AV116" i="10"/>
  <c r="BH107" i="10"/>
  <c r="BN107" i="10" a="1"/>
  <c r="BN107" i="10"/>
  <c r="AV107" i="10"/>
  <c r="BF49" i="10"/>
  <c r="BL49" i="10" a="1"/>
  <c r="BL49" i="10"/>
  <c r="AV49" i="10"/>
  <c r="BG123" i="10"/>
  <c r="BM123" i="10" a="1"/>
  <c r="BM123" i="10"/>
  <c r="AV123" i="10"/>
  <c r="BH166" i="10"/>
  <c r="BN166" i="10" a="1"/>
  <c r="BN166" i="10"/>
  <c r="AV166" i="10"/>
  <c r="BE130" i="10"/>
  <c r="BK130" i="10" a="1"/>
  <c r="BK130" i="10"/>
  <c r="AV130" i="10"/>
  <c r="BF59" i="10"/>
  <c r="BL59" i="10" a="1"/>
  <c r="BL59" i="10"/>
  <c r="AV59" i="10"/>
  <c r="BG193" i="10"/>
  <c r="BM193" i="10" a="1"/>
  <c r="BM193" i="10"/>
  <c r="AV193" i="10"/>
  <c r="BE246" i="10"/>
  <c r="BK246" i="10" a="1"/>
  <c r="BK246" i="10"/>
  <c r="AV246" i="10"/>
  <c r="BE121" i="10"/>
  <c r="BK121" i="10" a="1"/>
  <c r="BK121" i="10"/>
  <c r="AV121" i="10"/>
  <c r="BH113" i="10"/>
  <c r="BN113" i="10" a="1"/>
  <c r="BN113" i="10"/>
  <c r="AV113" i="10"/>
  <c r="BF236" i="10"/>
  <c r="BL236" i="10" a="1"/>
  <c r="BL236" i="10"/>
  <c r="AV236" i="10"/>
  <c r="BF37" i="10"/>
  <c r="BL37" i="10" a="1"/>
  <c r="BL37" i="10"/>
  <c r="AV37" i="10"/>
  <c r="BH239" i="10"/>
  <c r="BN239" i="10" a="1"/>
  <c r="BN239" i="10"/>
  <c r="AV239" i="10"/>
  <c r="BH194" i="10"/>
  <c r="BN194" i="10" a="1"/>
  <c r="BN194" i="10"/>
  <c r="AV194" i="10"/>
  <c r="BF108" i="10"/>
  <c r="BL108" i="10" a="1"/>
  <c r="BL108" i="10"/>
  <c r="AV108" i="10"/>
  <c r="BE55" i="10"/>
  <c r="BK55" i="10" a="1"/>
  <c r="BK55" i="10"/>
  <c r="AV55" i="10"/>
  <c r="BF221" i="10"/>
  <c r="BL221" i="10" a="1"/>
  <c r="BL221" i="10"/>
  <c r="AV221" i="10"/>
  <c r="BG207" i="10"/>
  <c r="BM207" i="10" a="1"/>
  <c r="BM207" i="10"/>
  <c r="AV207" i="10"/>
  <c r="BG29" i="10"/>
  <c r="BM29" i="10" a="1"/>
  <c r="BM29" i="10"/>
  <c r="AV29" i="10"/>
  <c r="BG165" i="10"/>
  <c r="BM165" i="10" a="1"/>
  <c r="BM165" i="10"/>
  <c r="AV165" i="10"/>
  <c r="BI185" i="10"/>
  <c r="BO185" i="10" a="1"/>
  <c r="BO185" i="10"/>
  <c r="AV185" i="10"/>
  <c r="BE241" i="10"/>
  <c r="BK241" i="10" a="1"/>
  <c r="BK241" i="10"/>
  <c r="AV241" i="10"/>
  <c r="BF163" i="10"/>
  <c r="BL163" i="10" a="1"/>
  <c r="BL163" i="10"/>
  <c r="AV163" i="10"/>
  <c r="BH198" i="10"/>
  <c r="BN198" i="10" a="1"/>
  <c r="BN198" i="10"/>
  <c r="AV198" i="10"/>
  <c r="BG237" i="10"/>
  <c r="BM237" i="10" a="1"/>
  <c r="BM237" i="10"/>
  <c r="AV237" i="10"/>
  <c r="BG140" i="10"/>
  <c r="BM140" i="10" a="1"/>
  <c r="BM140" i="10"/>
  <c r="AV140" i="10"/>
  <c r="BE94" i="10"/>
  <c r="BK94" i="10" a="1"/>
  <c r="BK94" i="10"/>
  <c r="AV94" i="10"/>
  <c r="BH133" i="10"/>
  <c r="BN133" i="10" a="1"/>
  <c r="BN133" i="10"/>
  <c r="AV133" i="10"/>
  <c r="BF91" i="10"/>
  <c r="BL91" i="10" a="1"/>
  <c r="BL91" i="10"/>
  <c r="AV91" i="10"/>
  <c r="BI139" i="10"/>
  <c r="BO139" i="10" a="1"/>
  <c r="BO139" i="10"/>
  <c r="AV139" i="10"/>
  <c r="BH247" i="10"/>
  <c r="BN247" i="10" a="1"/>
  <c r="BN247" i="10"/>
  <c r="AV247" i="10"/>
  <c r="BI243" i="10"/>
  <c r="BO243" i="10" a="1"/>
  <c r="BO243" i="10"/>
  <c r="AV243" i="10"/>
  <c r="BE68" i="10"/>
  <c r="BK68" i="10" a="1"/>
  <c r="BK68" i="10"/>
  <c r="AV68" i="10"/>
  <c r="BG228" i="10"/>
  <c r="BM228" i="10" a="1"/>
  <c r="BM228" i="10"/>
  <c r="AV228" i="10"/>
  <c r="BI211" i="10"/>
  <c r="BO211" i="10" a="1"/>
  <c r="BO211" i="10"/>
  <c r="AV211" i="10"/>
  <c r="BI182" i="10"/>
  <c r="BO182" i="10" a="1"/>
  <c r="BO182" i="10"/>
  <c r="AV182" i="10"/>
  <c r="BI67" i="10"/>
  <c r="BO67" i="10" a="1"/>
  <c r="BO67" i="10"/>
  <c r="AV67" i="10"/>
  <c r="BF88" i="10"/>
  <c r="BL88" i="10" a="1"/>
  <c r="BL88" i="10"/>
  <c r="AV88" i="10"/>
  <c r="BG212" i="10"/>
  <c r="BM212" i="10" a="1"/>
  <c r="BM212" i="10"/>
  <c r="AV212" i="10"/>
  <c r="BF173" i="10"/>
  <c r="BL173" i="10" a="1"/>
  <c r="BL173" i="10"/>
  <c r="AV173" i="10"/>
  <c r="BF180" i="10"/>
  <c r="BL180" i="10" a="1"/>
  <c r="BL180" i="10"/>
  <c r="AV180" i="10"/>
  <c r="BI190" i="10"/>
  <c r="BO190" i="10" a="1"/>
  <c r="BO190" i="10"/>
  <c r="AV190" i="10"/>
  <c r="BF149" i="10"/>
  <c r="BL149" i="10" a="1"/>
  <c r="BL149" i="10"/>
  <c r="AV149" i="10"/>
  <c r="BG150" i="10"/>
  <c r="BM150" i="10" a="1"/>
  <c r="BM150" i="10"/>
  <c r="AV150" i="10"/>
  <c r="BI74" i="10"/>
  <c r="BO74" i="10" a="1"/>
  <c r="BO74" i="10"/>
  <c r="AV74" i="10"/>
  <c r="BE177" i="10"/>
  <c r="BK177" i="10" a="1"/>
  <c r="BK177" i="10"/>
  <c r="AV177" i="10"/>
  <c r="BF82" i="10"/>
  <c r="BL82" i="10" a="1"/>
  <c r="BL82" i="10"/>
  <c r="AV82" i="10"/>
  <c r="BG104" i="10"/>
  <c r="BM104" i="10" a="1"/>
  <c r="BM104" i="10"/>
  <c r="AV104" i="10"/>
  <c r="BH204" i="10"/>
  <c r="BN204" i="10" a="1"/>
  <c r="BN204" i="10"/>
  <c r="AV204" i="10"/>
  <c r="BG20" i="10"/>
  <c r="BM20" i="10" a="1"/>
  <c r="BM20" i="10"/>
  <c r="AV20" i="10"/>
  <c r="BF40" i="10"/>
  <c r="BL40" i="10" a="1"/>
  <c r="BL40" i="10"/>
  <c r="AV40" i="10"/>
  <c r="BE209" i="10"/>
  <c r="BK209" i="10" a="1"/>
  <c r="BK209" i="10"/>
  <c r="AV209" i="10"/>
  <c r="BH169" i="10"/>
  <c r="BN169" i="10" a="1"/>
  <c r="BN169" i="10"/>
  <c r="AV169" i="10"/>
  <c r="BI144" i="10"/>
  <c r="BO144" i="10" a="1"/>
  <c r="BO144" i="10"/>
  <c r="AV144" i="10"/>
  <c r="BF110" i="10"/>
  <c r="BL110" i="10" a="1"/>
  <c r="BL110" i="10"/>
  <c r="AV110" i="10"/>
  <c r="BG189" i="10"/>
  <c r="BM189" i="10" a="1"/>
  <c r="BM189" i="10"/>
  <c r="AV189" i="10"/>
  <c r="BF71" i="10"/>
  <c r="BL71" i="10" a="1"/>
  <c r="BL71" i="10"/>
  <c r="AV71" i="10"/>
  <c r="BE192" i="10"/>
  <c r="BK192" i="10" a="1"/>
  <c r="BK192" i="10"/>
  <c r="AV192" i="10"/>
  <c r="BG77" i="10"/>
  <c r="BM77" i="10" a="1"/>
  <c r="BM77" i="10"/>
  <c r="AV77" i="10"/>
  <c r="BE225" i="10"/>
  <c r="BK225" i="10" a="1"/>
  <c r="BK225" i="10"/>
  <c r="AV225" i="10"/>
  <c r="BF233" i="10"/>
  <c r="BL233" i="10" a="1"/>
  <c r="BL233" i="10"/>
  <c r="AV233" i="10"/>
  <c r="BF229" i="10"/>
  <c r="BL229" i="10" a="1"/>
  <c r="BL229" i="10"/>
  <c r="AV229" i="10"/>
  <c r="BE244" i="10"/>
  <c r="BK244" i="10" a="1"/>
  <c r="BK244" i="10"/>
  <c r="AV244" i="10"/>
  <c r="BE57" i="10"/>
  <c r="BK57" i="10" a="1"/>
  <c r="BK57" i="10"/>
  <c r="AV57" i="10"/>
  <c r="BF230" i="10"/>
  <c r="BL230" i="10" a="1"/>
  <c r="BL230" i="10"/>
  <c r="AV230" i="10"/>
  <c r="BF235" i="10"/>
  <c r="BL235" i="10" a="1"/>
  <c r="BL235" i="10"/>
  <c r="AV235" i="10"/>
  <c r="BH75" i="10"/>
  <c r="BN75" i="10" a="1"/>
  <c r="BN75" i="10"/>
  <c r="AV75" i="10"/>
  <c r="BF33" i="10"/>
  <c r="BL33" i="10" a="1"/>
  <c r="BL33" i="10"/>
  <c r="AV33" i="10"/>
  <c r="BE125" i="10"/>
  <c r="BK125" i="10" a="1"/>
  <c r="BK125" i="10"/>
  <c r="AV125" i="10"/>
  <c r="BI76" i="10"/>
  <c r="BO76" i="10" a="1"/>
  <c r="BO76" i="10"/>
  <c r="AV76" i="10"/>
  <c r="BH50" i="10"/>
  <c r="BN50" i="10" a="1"/>
  <c r="BN50" i="10"/>
  <c r="AV50" i="10"/>
  <c r="BE39" i="10"/>
  <c r="BK39" i="10" a="1"/>
  <c r="BK39" i="10"/>
  <c r="AV39" i="10"/>
  <c r="BE216" i="10"/>
  <c r="BK216" i="10" a="1"/>
  <c r="BK216" i="10"/>
  <c r="AV216" i="10"/>
  <c r="BG199" i="10"/>
  <c r="BM199" i="10" a="1"/>
  <c r="BM199" i="10"/>
  <c r="AV199" i="10"/>
  <c r="BI103" i="10"/>
  <c r="BO103" i="10" a="1"/>
  <c r="BO103" i="10"/>
  <c r="AV103" i="10"/>
  <c r="BH32" i="10"/>
  <c r="BN32" i="10" a="1"/>
  <c r="BN32" i="10"/>
  <c r="AV32" i="10"/>
  <c r="BE84" i="10"/>
  <c r="BK84" i="10" a="1"/>
  <c r="BK84" i="10"/>
  <c r="AV84" i="10"/>
  <c r="BF159" i="10"/>
  <c r="BL159" i="10" a="1"/>
  <c r="BL159" i="10"/>
  <c r="AV159" i="10"/>
  <c r="BF148" i="10"/>
  <c r="BL148" i="10" a="1"/>
  <c r="BL148" i="10"/>
  <c r="AV148" i="10"/>
  <c r="BF111" i="10"/>
  <c r="BL111" i="10" a="1"/>
  <c r="BL111" i="10"/>
  <c r="AV111" i="10"/>
  <c r="BF135" i="10"/>
  <c r="BL135" i="10" a="1"/>
  <c r="BL135" i="10"/>
  <c r="AV135" i="10"/>
  <c r="BI137" i="10"/>
  <c r="BO137" i="10" a="1"/>
  <c r="BO137" i="10"/>
  <c r="AV137" i="10"/>
  <c r="BH43" i="10"/>
  <c r="BN43" i="10" a="1"/>
  <c r="BN43" i="10"/>
  <c r="AV43" i="10"/>
  <c r="BE186" i="10"/>
  <c r="BK186" i="10" a="1"/>
  <c r="BK186" i="10"/>
  <c r="AV186" i="10"/>
  <c r="BI127" i="10"/>
  <c r="BO127" i="10" a="1"/>
  <c r="BO127" i="10"/>
  <c r="AV127" i="10"/>
  <c r="BF154" i="10"/>
  <c r="BL154" i="10" a="1"/>
  <c r="BL154" i="10"/>
  <c r="AV154" i="10"/>
  <c r="BI14" i="10"/>
  <c r="BO14" i="10" a="1"/>
  <c r="BO14" i="10"/>
  <c r="AV14" i="10"/>
  <c r="BE99" i="10"/>
  <c r="BK99" i="10" a="1"/>
  <c r="BK99" i="10"/>
  <c r="AV99" i="10"/>
  <c r="BH178" i="10"/>
  <c r="BN178" i="10" a="1"/>
  <c r="BN178" i="10"/>
  <c r="AV178" i="10"/>
  <c r="BI195" i="10"/>
  <c r="BO195" i="10" a="1"/>
  <c r="BO195" i="10"/>
  <c r="AV195" i="10"/>
  <c r="BE179" i="10"/>
  <c r="BK179" i="10" a="1"/>
  <c r="BK179" i="10"/>
  <c r="AV179" i="10"/>
  <c r="BF174" i="10"/>
  <c r="BL174" i="10" a="1"/>
  <c r="BL174" i="10"/>
  <c r="AV174" i="10"/>
  <c r="BI142" i="10"/>
  <c r="BO142" i="10" a="1"/>
  <c r="BO142" i="10"/>
  <c r="AV142" i="10"/>
  <c r="BF191" i="10"/>
  <c r="BL191" i="10" a="1"/>
  <c r="BL191" i="10"/>
  <c r="AV191" i="10"/>
  <c r="BG53" i="10"/>
  <c r="BM53" i="10" a="1"/>
  <c r="BM53" i="10"/>
  <c r="AV53" i="10"/>
  <c r="BH41" i="10"/>
  <c r="BN41" i="10" a="1"/>
  <c r="BN41" i="10"/>
  <c r="AV41" i="10"/>
  <c r="BE210" i="10"/>
  <c r="BK210" i="10" a="1"/>
  <c r="BK210" i="10"/>
  <c r="AV210" i="10"/>
  <c r="BH168" i="10"/>
  <c r="BN168" i="10" a="1"/>
  <c r="BN168" i="10"/>
  <c r="AV168" i="10"/>
  <c r="BG119" i="10"/>
  <c r="BM119" i="10" a="1"/>
  <c r="BM119" i="10"/>
  <c r="AV119" i="10"/>
  <c r="BF80" i="10"/>
  <c r="BL80" i="10" a="1"/>
  <c r="BL80" i="10"/>
  <c r="AV80" i="10"/>
  <c r="BF118" i="10"/>
  <c r="BL118" i="10" a="1"/>
  <c r="BL118" i="10"/>
  <c r="AV118" i="10"/>
  <c r="BE105" i="10"/>
  <c r="BK105" i="10" a="1"/>
  <c r="BK105" i="10"/>
  <c r="AV105" i="10"/>
  <c r="BE197" i="10"/>
  <c r="BK197" i="10" a="1"/>
  <c r="BK197" i="10"/>
  <c r="AV197" i="10"/>
  <c r="BI173" i="10"/>
  <c r="BO173" i="10" a="1"/>
  <c r="BO173" i="10"/>
  <c r="BH206" i="10"/>
  <c r="BN206" i="10" a="1"/>
  <c r="BN206" i="10"/>
  <c r="BE206" i="10"/>
  <c r="BK206" i="10" a="1"/>
  <c r="BK206" i="10"/>
  <c r="BB206" i="10"/>
  <c r="BB68" i="10"/>
  <c r="BF75" i="10"/>
  <c r="BL75" i="10" a="1"/>
  <c r="BL75" i="10"/>
  <c r="BE91" i="10"/>
  <c r="BK91" i="10" a="1"/>
  <c r="BK91" i="10"/>
  <c r="BU241" i="10"/>
  <c r="BI49" i="10"/>
  <c r="BO49" i="10" a="1"/>
  <c r="BO49" i="10"/>
  <c r="BF212" i="10"/>
  <c r="BL212" i="10" a="1"/>
  <c r="BL212" i="10"/>
  <c r="BB209" i="10"/>
  <c r="BU206" i="10"/>
  <c r="BV140" i="10"/>
  <c r="BF208" i="10"/>
  <c r="BL208" i="10" a="1"/>
  <c r="BL208" i="10"/>
  <c r="BH123" i="10"/>
  <c r="BN123" i="10" a="1"/>
  <c r="BN123" i="10"/>
  <c r="BH71" i="10"/>
  <c r="BN71" i="10" a="1"/>
  <c r="BN71" i="10"/>
  <c r="BB27" i="10"/>
  <c r="BG244" i="10"/>
  <c r="BM244" i="10" a="1"/>
  <c r="BM244" i="10"/>
  <c r="BG168" i="10"/>
  <c r="BM168" i="10" a="1"/>
  <c r="BM168" i="10"/>
  <c r="BH196" i="10"/>
  <c r="BN196" i="10" a="1"/>
  <c r="BN196" i="10"/>
  <c r="BE151" i="10"/>
  <c r="BK151" i="10" a="1"/>
  <c r="BK151" i="10"/>
  <c r="BF168" i="10"/>
  <c r="BL168" i="10" a="1"/>
  <c r="BL168" i="10"/>
  <c r="BG234" i="10"/>
  <c r="BM234" i="10" a="1"/>
  <c r="BM234" i="10"/>
  <c r="BE228" i="10"/>
  <c r="BK228" i="10" a="1"/>
  <c r="BK228" i="10"/>
  <c r="BU225" i="10"/>
  <c r="BU27" i="10"/>
  <c r="BI196" i="10"/>
  <c r="BO196" i="10" a="1"/>
  <c r="BO196" i="10"/>
  <c r="BV247" i="10"/>
  <c r="BG196" i="10"/>
  <c r="BM196" i="10" a="1"/>
  <c r="BM196" i="10"/>
  <c r="BG166" i="10"/>
  <c r="BM166" i="10" a="1"/>
  <c r="BM166" i="10"/>
  <c r="BG159" i="10"/>
  <c r="BM159" i="10" a="1"/>
  <c r="BM159" i="10"/>
  <c r="BG131" i="10"/>
  <c r="BM131" i="10" a="1"/>
  <c r="BM131" i="10"/>
  <c r="BF166" i="10"/>
  <c r="BL166" i="10" a="1"/>
  <c r="BL166" i="10"/>
  <c r="BU244" i="10"/>
  <c r="BH248" i="10"/>
  <c r="BN248" i="10" a="1"/>
  <c r="BN248" i="10"/>
  <c r="BV165" i="10"/>
  <c r="BF105" i="10"/>
  <c r="BL105" i="10" a="1"/>
  <c r="BL105" i="10"/>
  <c r="BI41" i="10"/>
  <c r="BO41" i="10" a="1"/>
  <c r="BO41" i="10"/>
  <c r="BH80" i="10"/>
  <c r="BN80" i="10" a="1"/>
  <c r="BN80" i="10"/>
  <c r="BG105" i="10"/>
  <c r="BM105" i="10" a="1"/>
  <c r="BM105" i="10"/>
  <c r="BI208" i="10"/>
  <c r="BO208" i="10" a="1"/>
  <c r="BO208" i="10"/>
  <c r="BE139" i="10"/>
  <c r="BK139" i="10" a="1"/>
  <c r="BK139" i="10"/>
  <c r="BU116" i="10"/>
  <c r="BE80" i="10"/>
  <c r="BK80" i="10" a="1"/>
  <c r="BK80" i="10"/>
  <c r="BE41" i="10"/>
  <c r="BK41" i="10" a="1"/>
  <c r="BK41" i="10"/>
  <c r="BI105" i="10"/>
  <c r="BO105" i="10" a="1"/>
  <c r="BO105" i="10"/>
  <c r="BH145" i="10"/>
  <c r="BN145" i="10" a="1"/>
  <c r="BN145" i="10"/>
  <c r="BF145" i="10"/>
  <c r="BL145" i="10" a="1"/>
  <c r="BL145" i="10"/>
  <c r="BU39" i="10"/>
  <c r="BG248" i="10"/>
  <c r="BM248" i="10" a="1"/>
  <c r="BM248" i="10"/>
  <c r="BH244" i="10"/>
  <c r="BN244" i="10" a="1"/>
  <c r="BN244" i="10"/>
  <c r="BF244" i="10"/>
  <c r="BL244" i="10" a="1"/>
  <c r="BL244" i="10"/>
  <c r="BI80" i="10"/>
  <c r="BO80" i="10" a="1"/>
  <c r="BO80" i="10"/>
  <c r="BV26" i="10"/>
  <c r="BE189" i="10"/>
  <c r="BK189" i="10" a="1"/>
  <c r="BK189" i="10"/>
  <c r="BF182" i="10"/>
  <c r="BL182" i="10" a="1"/>
  <c r="BL182" i="10"/>
  <c r="BF198" i="10"/>
  <c r="BL198" i="10" a="1"/>
  <c r="BL198" i="10"/>
  <c r="BF195" i="10"/>
  <c r="BL195" i="10" a="1"/>
  <c r="BL195" i="10"/>
  <c r="BV68" i="10"/>
  <c r="BH195" i="10"/>
  <c r="BN195" i="10" a="1"/>
  <c r="BN195" i="10"/>
  <c r="BG71" i="10"/>
  <c r="BM71" i="10" a="1"/>
  <c r="BM71" i="10"/>
  <c r="BF243" i="10"/>
  <c r="BL243" i="10" a="1"/>
  <c r="BL243" i="10"/>
  <c r="BI244" i="10"/>
  <c r="BO244" i="10" a="1"/>
  <c r="BO244" i="10"/>
  <c r="BB74" i="10"/>
  <c r="BU55" i="10"/>
  <c r="BU196" i="10"/>
  <c r="BH137" i="10"/>
  <c r="BN137" i="10" a="1"/>
  <c r="BN137" i="10"/>
  <c r="BE243" i="10"/>
  <c r="BK243" i="10" a="1"/>
  <c r="BK243" i="10"/>
  <c r="BG118" i="10"/>
  <c r="BM118" i="10" a="1"/>
  <c r="BM118" i="10"/>
  <c r="BG142" i="10"/>
  <c r="BM142" i="10" a="1"/>
  <c r="BM142" i="10"/>
  <c r="BI247" i="10"/>
  <c r="BO247" i="10" a="1"/>
  <c r="BO247" i="10"/>
  <c r="BH76" i="10"/>
  <c r="BN76" i="10" a="1"/>
  <c r="BN76" i="10"/>
  <c r="BE76" i="10"/>
  <c r="BK76" i="10" a="1"/>
  <c r="BK76" i="10"/>
  <c r="BU167" i="10"/>
  <c r="BG80" i="10"/>
  <c r="BM80" i="10" a="1"/>
  <c r="BM80" i="10"/>
  <c r="BH189" i="10"/>
  <c r="BN189" i="10" a="1"/>
  <c r="BN189" i="10"/>
  <c r="BB161" i="10"/>
  <c r="BV74" i="10"/>
  <c r="BB111" i="10"/>
  <c r="BV55" i="10"/>
  <c r="BB241" i="10"/>
  <c r="BG49" i="10"/>
  <c r="BM49" i="10" a="1"/>
  <c r="BM49" i="10"/>
  <c r="BU165" i="10"/>
  <c r="BB116" i="10"/>
  <c r="BU140" i="10"/>
  <c r="BU29" i="10"/>
  <c r="BH182" i="10"/>
  <c r="BN182" i="10" a="1"/>
  <c r="BN182" i="10"/>
  <c r="BE185" i="10"/>
  <c r="BK185" i="10" a="1"/>
  <c r="BK185" i="10"/>
  <c r="BG206" i="10"/>
  <c r="BM206" i="10" a="1"/>
  <c r="BM206" i="10"/>
  <c r="BF247" i="10"/>
  <c r="BL247" i="10" a="1"/>
  <c r="BL247" i="10"/>
  <c r="BH68" i="10"/>
  <c r="BN68" i="10" a="1"/>
  <c r="BN68" i="10"/>
  <c r="BV217" i="10"/>
  <c r="BV173" i="10"/>
  <c r="BV248" i="10"/>
  <c r="BV149" i="10"/>
  <c r="BV123" i="10"/>
  <c r="BB225" i="10"/>
  <c r="BU139" i="10"/>
  <c r="BV41" i="10"/>
  <c r="BU217" i="10"/>
  <c r="BU248" i="10"/>
  <c r="BU149" i="10"/>
  <c r="BV139" i="10"/>
  <c r="BU41" i="10"/>
  <c r="BE159" i="10"/>
  <c r="BK159" i="10" a="1"/>
  <c r="BK159" i="10"/>
  <c r="BF241" i="10"/>
  <c r="BL241" i="10" a="1"/>
  <c r="BL241" i="10"/>
  <c r="BG76" i="10"/>
  <c r="BM76" i="10" a="1"/>
  <c r="BM76" i="10"/>
  <c r="Z10" i="10"/>
  <c r="Z14" i="10"/>
  <c r="Z18" i="10"/>
  <c r="Z22" i="10"/>
  <c r="Z26" i="10"/>
  <c r="Z30" i="10"/>
  <c r="Z34" i="10"/>
  <c r="Z38" i="10"/>
  <c r="Z42" i="10"/>
  <c r="Z46" i="10"/>
  <c r="Z50" i="10"/>
  <c r="Z54" i="10"/>
  <c r="Z58" i="10"/>
  <c r="Z62" i="10"/>
  <c r="Z66" i="10"/>
  <c r="Z70" i="10"/>
  <c r="Z74" i="10"/>
  <c r="Z78" i="10"/>
  <c r="Z82" i="10"/>
  <c r="Z86" i="10"/>
  <c r="Z90" i="10"/>
  <c r="Z94" i="10"/>
  <c r="Z98" i="10"/>
  <c r="Z102" i="10"/>
  <c r="Z106" i="10"/>
  <c r="Z110" i="10"/>
  <c r="Z114" i="10"/>
  <c r="Z118" i="10"/>
  <c r="Z122" i="10"/>
  <c r="Z126" i="10"/>
  <c r="Z130" i="10"/>
  <c r="Z134" i="10"/>
  <c r="Z138" i="10"/>
  <c r="Z142" i="10"/>
  <c r="Z146" i="10"/>
  <c r="Z150" i="10"/>
  <c r="Z154" i="10"/>
  <c r="Z158" i="10"/>
  <c r="Z162" i="10"/>
  <c r="Z166" i="10"/>
  <c r="Z170" i="10"/>
  <c r="Z174" i="10"/>
  <c r="Z178" i="10"/>
  <c r="Z182" i="10"/>
  <c r="Z186" i="10"/>
  <c r="Z190" i="10"/>
  <c r="Z194" i="10"/>
  <c r="Z198" i="10"/>
  <c r="Z202" i="10"/>
  <c r="Z206" i="10"/>
  <c r="Z210" i="10"/>
  <c r="Z214" i="10"/>
  <c r="Z218" i="10"/>
  <c r="Z222" i="10"/>
  <c r="Z226" i="10"/>
  <c r="Z230" i="10"/>
  <c r="Z234" i="10"/>
  <c r="Z238" i="10"/>
  <c r="Z242" i="10"/>
  <c r="Z246" i="10"/>
  <c r="Z9" i="10"/>
  <c r="Z11" i="10"/>
  <c r="Z15" i="10"/>
  <c r="Z19" i="10"/>
  <c r="Z23" i="10"/>
  <c r="Z27" i="10"/>
  <c r="Z31" i="10"/>
  <c r="Z35" i="10"/>
  <c r="Z39" i="10"/>
  <c r="Z43" i="10"/>
  <c r="Z47" i="10"/>
  <c r="Z51" i="10"/>
  <c r="Z55" i="10"/>
  <c r="Z59" i="10"/>
  <c r="Z63" i="10"/>
  <c r="Z67" i="10"/>
  <c r="Z71" i="10"/>
  <c r="Z75" i="10"/>
  <c r="Z79" i="10"/>
  <c r="Z83" i="10"/>
  <c r="Z87" i="10"/>
  <c r="Z91" i="10"/>
  <c r="Z95" i="10"/>
  <c r="Z99" i="10"/>
  <c r="Z103" i="10"/>
  <c r="Z12" i="10"/>
  <c r="Z16" i="10"/>
  <c r="Z20" i="10"/>
  <c r="Z24" i="10"/>
  <c r="Z28" i="10"/>
  <c r="Z32" i="10"/>
  <c r="Z36" i="10"/>
  <c r="Z40" i="10"/>
  <c r="Z44" i="10"/>
  <c r="Z48" i="10"/>
  <c r="Z52" i="10"/>
  <c r="Z56" i="10"/>
  <c r="Z60" i="10"/>
  <c r="Z64" i="10"/>
  <c r="Z68" i="10"/>
  <c r="Z72" i="10"/>
  <c r="Z76" i="10"/>
  <c r="Z80" i="10"/>
  <c r="Z84" i="10"/>
  <c r="Z88" i="10"/>
  <c r="Z92" i="10"/>
  <c r="Z96" i="10"/>
  <c r="Z100" i="10"/>
  <c r="Z104" i="10"/>
  <c r="Z108" i="10"/>
  <c r="Z112" i="10"/>
  <c r="Z116" i="10"/>
  <c r="Z120" i="10"/>
  <c r="Z124" i="10"/>
  <c r="Z128" i="10"/>
  <c r="Z132" i="10"/>
  <c r="Z136" i="10"/>
  <c r="Z140" i="10"/>
  <c r="Z144" i="10"/>
  <c r="Z148" i="10"/>
  <c r="Z152" i="10"/>
  <c r="Z156" i="10"/>
  <c r="Z160" i="10"/>
  <c r="Z164" i="10"/>
  <c r="Z168" i="10"/>
  <c r="Z172" i="10"/>
  <c r="Z176" i="10"/>
  <c r="Z180" i="10"/>
  <c r="Z184" i="10"/>
  <c r="Z188" i="10"/>
  <c r="Z192" i="10"/>
  <c r="Z196" i="10"/>
  <c r="Z200" i="10"/>
  <c r="Z204" i="10"/>
  <c r="Z208" i="10"/>
  <c r="Z212" i="10"/>
  <c r="Z216" i="10"/>
  <c r="Z220" i="10"/>
  <c r="Z224" i="10"/>
  <c r="Z228" i="10"/>
  <c r="Z232" i="10"/>
  <c r="Z236" i="10"/>
  <c r="Z240" i="10"/>
  <c r="Z244" i="10"/>
  <c r="Z248" i="10"/>
  <c r="CJ15" i="10"/>
  <c r="Z13" i="10"/>
  <c r="Z17" i="10"/>
  <c r="Z21" i="10"/>
  <c r="Z25" i="10"/>
  <c r="Z29" i="10"/>
  <c r="Z33" i="10"/>
  <c r="Z37" i="10"/>
  <c r="Z41" i="10"/>
  <c r="Z45" i="10"/>
  <c r="Z49" i="10"/>
  <c r="Z53" i="10"/>
  <c r="Z57" i="10"/>
  <c r="Z61" i="10"/>
  <c r="Z65" i="10"/>
  <c r="Z69" i="10"/>
  <c r="Z73" i="10"/>
  <c r="Z77" i="10"/>
  <c r="Z81" i="10"/>
  <c r="Z89" i="10"/>
  <c r="Z105" i="10"/>
  <c r="Z113" i="10"/>
  <c r="Z121" i="10"/>
  <c r="Z129" i="10"/>
  <c r="Z137" i="10"/>
  <c r="Z145" i="10"/>
  <c r="Z153" i="10"/>
  <c r="Z161" i="10"/>
  <c r="Z169" i="10"/>
  <c r="Z177" i="10"/>
  <c r="Z185" i="10"/>
  <c r="Z193" i="10"/>
  <c r="Z201" i="10"/>
  <c r="Z209" i="10"/>
  <c r="Z217" i="10"/>
  <c r="Z225" i="10"/>
  <c r="Z233" i="10"/>
  <c r="Z241" i="10"/>
  <c r="Z251" i="10"/>
  <c r="Z109" i="10"/>
  <c r="Z117" i="10"/>
  <c r="Z133" i="10"/>
  <c r="Z149" i="10"/>
  <c r="Z165" i="10"/>
  <c r="Z181" i="10"/>
  <c r="Z197" i="10"/>
  <c r="Z205" i="10"/>
  <c r="Z221" i="10"/>
  <c r="Z237" i="10"/>
  <c r="Z101" i="10"/>
  <c r="Z119" i="10"/>
  <c r="Z127" i="10"/>
  <c r="Z143" i="10"/>
  <c r="Z159" i="10"/>
  <c r="Z175" i="10"/>
  <c r="Z191" i="10"/>
  <c r="Z207" i="10"/>
  <c r="Z231" i="10"/>
  <c r="Z247" i="10"/>
  <c r="Z93" i="10"/>
  <c r="Z107" i="10"/>
  <c r="Z115" i="10"/>
  <c r="Z123" i="10"/>
  <c r="Z131" i="10"/>
  <c r="Z139" i="10"/>
  <c r="Z147" i="10"/>
  <c r="Z155" i="10"/>
  <c r="Z163" i="10"/>
  <c r="Z171" i="10"/>
  <c r="Z179" i="10"/>
  <c r="Z187" i="10"/>
  <c r="Z195" i="10"/>
  <c r="Z203" i="10"/>
  <c r="Z211" i="10"/>
  <c r="Z219" i="10"/>
  <c r="Z227" i="10"/>
  <c r="Z235" i="10"/>
  <c r="Z243" i="10"/>
  <c r="Z97" i="10"/>
  <c r="Z125" i="10"/>
  <c r="Z141" i="10"/>
  <c r="Z157" i="10"/>
  <c r="Z173" i="10"/>
  <c r="Z189" i="10"/>
  <c r="Z213" i="10"/>
  <c r="Z229" i="10"/>
  <c r="Z245" i="10"/>
  <c r="Z85" i="10"/>
  <c r="Z111" i="10"/>
  <c r="Z135" i="10"/>
  <c r="Z151" i="10"/>
  <c r="Z167" i="10"/>
  <c r="Z183" i="10"/>
  <c r="Z199" i="10"/>
  <c r="Z215" i="10"/>
  <c r="Z223" i="10"/>
  <c r="Z239" i="10"/>
  <c r="BF228" i="10"/>
  <c r="BL228" i="10" a="1"/>
  <c r="BL228" i="10"/>
  <c r="BI235" i="10"/>
  <c r="BO235" i="10" a="1"/>
  <c r="BO235" i="10"/>
  <c r="BB173" i="10"/>
  <c r="BB123" i="10"/>
  <c r="BU104" i="10"/>
  <c r="BU168" i="10"/>
  <c r="BH25" i="10"/>
  <c r="BN25" i="10" a="1"/>
  <c r="BN25" i="10"/>
  <c r="BG25" i="10"/>
  <c r="BM25" i="10" a="1"/>
  <c r="BM25" i="10"/>
  <c r="BV67" i="10"/>
  <c r="BH67" i="10"/>
  <c r="BN67" i="10" a="1"/>
  <c r="BN67" i="10"/>
  <c r="BF26" i="10"/>
  <c r="BL26" i="10" a="1"/>
  <c r="BL26" i="10"/>
  <c r="BE174" i="10"/>
  <c r="BK174" i="10" a="1"/>
  <c r="BK174" i="10"/>
  <c r="BH154" i="10"/>
  <c r="BN154" i="10" a="1"/>
  <c r="BN154" i="10"/>
  <c r="BI189" i="10"/>
  <c r="BO189" i="10" a="1"/>
  <c r="BO189" i="10"/>
  <c r="BF41" i="10"/>
  <c r="BL41" i="10" a="1"/>
  <c r="BL41" i="10"/>
  <c r="BB83" i="10"/>
  <c r="BF68" i="10"/>
  <c r="BL68" i="10" a="1"/>
  <c r="BL68" i="10"/>
  <c r="BG41" i="10"/>
  <c r="BM41" i="10" a="1"/>
  <c r="BM41" i="10"/>
  <c r="BG37" i="10"/>
  <c r="BM37" i="10" a="1"/>
  <c r="BM37" i="10"/>
  <c r="BU176" i="10"/>
  <c r="BV244" i="10"/>
  <c r="BI131" i="10"/>
  <c r="BO131" i="10" a="1"/>
  <c r="BO131" i="10"/>
  <c r="BF67" i="10"/>
  <c r="BL67" i="10" a="1"/>
  <c r="BL67" i="10"/>
  <c r="BU83" i="10"/>
  <c r="BG91" i="10"/>
  <c r="BM91" i="10" a="1"/>
  <c r="BM91" i="10"/>
  <c r="BE239" i="10"/>
  <c r="BK239" i="10" a="1"/>
  <c r="BK239" i="10"/>
  <c r="BV208" i="10"/>
  <c r="BH37" i="10"/>
  <c r="BN37" i="10" a="1"/>
  <c r="BN37" i="10"/>
  <c r="BU194" i="10"/>
  <c r="BB176" i="10"/>
  <c r="BI246" i="10"/>
  <c r="BO246" i="10" a="1"/>
  <c r="BO246" i="10"/>
  <c r="BG208" i="10"/>
  <c r="BM208" i="10" a="1"/>
  <c r="BM208" i="10"/>
  <c r="BH131" i="10"/>
  <c r="BN131" i="10" a="1"/>
  <c r="BN131" i="10"/>
  <c r="BH144" i="10"/>
  <c r="BN144" i="10" a="1"/>
  <c r="BN144" i="10"/>
  <c r="BH159" i="10"/>
  <c r="BN159" i="10" a="1"/>
  <c r="BN159" i="10"/>
  <c r="BG173" i="10"/>
  <c r="BM173" i="10" a="1"/>
  <c r="BM173" i="10"/>
  <c r="BU161" i="10"/>
  <c r="BG239" i="10"/>
  <c r="BM239" i="10" a="1"/>
  <c r="BM239" i="10"/>
  <c r="BG68" i="10"/>
  <c r="BM68" i="10" a="1"/>
  <c r="BM68" i="10"/>
  <c r="BV77" i="10"/>
  <c r="BU208" i="10"/>
  <c r="BB194" i="10"/>
  <c r="BV106" i="10"/>
  <c r="BI178" i="10"/>
  <c r="BO178" i="10" a="1"/>
  <c r="BO178" i="10"/>
  <c r="BI55" i="10"/>
  <c r="BO55" i="10" a="1"/>
  <c r="BO55" i="10"/>
  <c r="BI213" i="10"/>
  <c r="BO213" i="10" a="1"/>
  <c r="BO213" i="10"/>
  <c r="BU138" i="10"/>
  <c r="BH91" i="10"/>
  <c r="BN91" i="10" a="1"/>
  <c r="BN91" i="10"/>
  <c r="BF239" i="10"/>
  <c r="BL239" i="10" a="1"/>
  <c r="BL239" i="10"/>
  <c r="BU26" i="10"/>
  <c r="BE131" i="10"/>
  <c r="BK131" i="10" a="1"/>
  <c r="BK131" i="10"/>
  <c r="BI165" i="10"/>
  <c r="BO165" i="10" a="1"/>
  <c r="BO165" i="10"/>
  <c r="BB73" i="10"/>
  <c r="BH236" i="10"/>
  <c r="BN236" i="10" a="1"/>
  <c r="BN236" i="10"/>
  <c r="BU169" i="10"/>
  <c r="BG167" i="10"/>
  <c r="BM167" i="10" a="1"/>
  <c r="BM167" i="10"/>
  <c r="BH234" i="10"/>
  <c r="BN234" i="10" a="1"/>
  <c r="BN234" i="10"/>
  <c r="BF211" i="10"/>
  <c r="BL211" i="10" a="1"/>
  <c r="BL211" i="10"/>
  <c r="BB49" i="10"/>
  <c r="BG75" i="10"/>
  <c r="BM75" i="10" a="1"/>
  <c r="BM75" i="10"/>
  <c r="BI198" i="10"/>
  <c r="BO198" i="10" a="1"/>
  <c r="BO198" i="10"/>
  <c r="BV104" i="10"/>
  <c r="BH40" i="10"/>
  <c r="BN40" i="10" a="1"/>
  <c r="BN40" i="10"/>
  <c r="BF14" i="10"/>
  <c r="BL14" i="10" a="1"/>
  <c r="BL14" i="10"/>
  <c r="BG216" i="10"/>
  <c r="BM216" i="10" a="1"/>
  <c r="BM216" i="10"/>
  <c r="BI68" i="10"/>
  <c r="BO68" i="10" a="1"/>
  <c r="BO68" i="10"/>
  <c r="BE103" i="10"/>
  <c r="BK103" i="10" a="1"/>
  <c r="BK103" i="10"/>
  <c r="BF55" i="10"/>
  <c r="BL55" i="10" a="1"/>
  <c r="BL55" i="10"/>
  <c r="BH246" i="10"/>
  <c r="BN246" i="10" a="1"/>
  <c r="BN246" i="10"/>
  <c r="BV111" i="10"/>
  <c r="BG40" i="10"/>
  <c r="BM40" i="10" a="1"/>
  <c r="BM40" i="10"/>
  <c r="BI239" i="10"/>
  <c r="BO239" i="10" a="1"/>
  <c r="BO239" i="10"/>
  <c r="BV168" i="10"/>
  <c r="BB247" i="10"/>
  <c r="BH62" i="10"/>
  <c r="BN62" i="10" a="1"/>
  <c r="BN62" i="10"/>
  <c r="BE62" i="10"/>
  <c r="BK62" i="10" a="1"/>
  <c r="BK62" i="10"/>
  <c r="BG62" i="10"/>
  <c r="BM62" i="10" a="1"/>
  <c r="BM62" i="10"/>
  <c r="BG242" i="10"/>
  <c r="BM242" i="10" a="1"/>
  <c r="BM242" i="10"/>
  <c r="BF242" i="10"/>
  <c r="BL242" i="10" a="1"/>
  <c r="BL242" i="10"/>
  <c r="BI172" i="10"/>
  <c r="BO172" i="10" a="1"/>
  <c r="BO172" i="10"/>
  <c r="BF172" i="10"/>
  <c r="BL172" i="10" a="1"/>
  <c r="BL172" i="10"/>
  <c r="BG172" i="10"/>
  <c r="BM172" i="10" a="1"/>
  <c r="BM172" i="10"/>
  <c r="BE101" i="10"/>
  <c r="BK101" i="10" a="1"/>
  <c r="BK101" i="10"/>
  <c r="BF101" i="10"/>
  <c r="BL101" i="10" a="1"/>
  <c r="BL101" i="10"/>
  <c r="BG101" i="10"/>
  <c r="BM101" i="10" a="1"/>
  <c r="BM101" i="10"/>
  <c r="BE237" i="10"/>
  <c r="BK237" i="10" a="1"/>
  <c r="BK237" i="10"/>
  <c r="BU80" i="10"/>
  <c r="BB53" i="10"/>
  <c r="BI57" i="10"/>
  <c r="BO57" i="10" a="1"/>
  <c r="BO57" i="10"/>
  <c r="BE173" i="10"/>
  <c r="BK173" i="10" a="1"/>
  <c r="BK173" i="10"/>
  <c r="BI207" i="10"/>
  <c r="BO207" i="10" a="1"/>
  <c r="BO207" i="10"/>
  <c r="BH212" i="10"/>
  <c r="BN212" i="10" a="1"/>
  <c r="BN212" i="10"/>
  <c r="BF190" i="10"/>
  <c r="BL190" i="10" a="1"/>
  <c r="BL190" i="10"/>
  <c r="BG139" i="10"/>
  <c r="BM139" i="10" a="1"/>
  <c r="BM139" i="10"/>
  <c r="BE110" i="10"/>
  <c r="BK110" i="10" a="1"/>
  <c r="BK110" i="10"/>
  <c r="BI110" i="10"/>
  <c r="BO110" i="10" a="1"/>
  <c r="BO110" i="10"/>
  <c r="BF144" i="10"/>
  <c r="BL144" i="10" a="1"/>
  <c r="BL144" i="10"/>
  <c r="BI167" i="10"/>
  <c r="BO167" i="10" a="1"/>
  <c r="BO167" i="10"/>
  <c r="BF116" i="10"/>
  <c r="BL116" i="10" a="1"/>
  <c r="BL116" i="10"/>
  <c r="BF237" i="10"/>
  <c r="BL237" i="10" a="1"/>
  <c r="BL237" i="10"/>
  <c r="BF246" i="10"/>
  <c r="BL246" i="10" a="1"/>
  <c r="BL246" i="10"/>
  <c r="BB80" i="10"/>
  <c r="BV196" i="10"/>
  <c r="BG221" i="10"/>
  <c r="BM221" i="10" a="1"/>
  <c r="BM221" i="10"/>
  <c r="BI155" i="10"/>
  <c r="BO155" i="10" a="1"/>
  <c r="BO155" i="10"/>
  <c r="BV29" i="10"/>
  <c r="BB190" i="10"/>
  <c r="BI221" i="10"/>
  <c r="BO221" i="10" a="1"/>
  <c r="BO221" i="10"/>
  <c r="BH139" i="10"/>
  <c r="BN139" i="10" a="1"/>
  <c r="BN139" i="10"/>
  <c r="BE208" i="10"/>
  <c r="BK208" i="10" a="1"/>
  <c r="BK208" i="10"/>
  <c r="BI118" i="10"/>
  <c r="BO118" i="10" a="1"/>
  <c r="BO118" i="10"/>
  <c r="BG14" i="10"/>
  <c r="BM14" i="10" a="1"/>
  <c r="BM14" i="10"/>
  <c r="BF94" i="10"/>
  <c r="BL94" i="10" a="1"/>
  <c r="BL94" i="10"/>
  <c r="BH49" i="10"/>
  <c r="BN49" i="10" a="1"/>
  <c r="BN49" i="10"/>
  <c r="BU159" i="10"/>
  <c r="BE49" i="10"/>
  <c r="BK49" i="10" a="1"/>
  <c r="BK49" i="10"/>
  <c r="BE235" i="10"/>
  <c r="BK235" i="10" a="1"/>
  <c r="BK235" i="10"/>
  <c r="BE118" i="10"/>
  <c r="BK118" i="10" a="1"/>
  <c r="BK118" i="10"/>
  <c r="BE43" i="10"/>
  <c r="BK43" i="10" a="1"/>
  <c r="BK43" i="10"/>
  <c r="BU174" i="10"/>
  <c r="BI43" i="10"/>
  <c r="BO43" i="10" a="1"/>
  <c r="BO43" i="10"/>
  <c r="BV142" i="10"/>
  <c r="BE168" i="10"/>
  <c r="BK168" i="10" a="1"/>
  <c r="BK168" i="10"/>
  <c r="BE137" i="10"/>
  <c r="BK137" i="10" a="1"/>
  <c r="BK137" i="10"/>
  <c r="BU76" i="10"/>
  <c r="BE221" i="10"/>
  <c r="BK221" i="10" a="1"/>
  <c r="BK221" i="10"/>
  <c r="BU67" i="10"/>
  <c r="BG144" i="10"/>
  <c r="BM144" i="10" a="1"/>
  <c r="BM144" i="10"/>
  <c r="BH167" i="10"/>
  <c r="BN167" i="10" a="1"/>
  <c r="BN167" i="10"/>
  <c r="BH165" i="10"/>
  <c r="BN165" i="10" a="1"/>
  <c r="BN165" i="10"/>
  <c r="BG182" i="10"/>
  <c r="BM182" i="10" a="1"/>
  <c r="BM182" i="10"/>
  <c r="BG211" i="10"/>
  <c r="BM211" i="10" a="1"/>
  <c r="BM211" i="10"/>
  <c r="BI20" i="10"/>
  <c r="BO20" i="10" a="1"/>
  <c r="BO20" i="10"/>
  <c r="BV159" i="10"/>
  <c r="BV131" i="10"/>
  <c r="BU73" i="10"/>
  <c r="BE165" i="10"/>
  <c r="BK165" i="10" a="1"/>
  <c r="BK165" i="10"/>
  <c r="BV174" i="10"/>
  <c r="BU142" i="10"/>
  <c r="BF76" i="10"/>
  <c r="BL76" i="10" a="1"/>
  <c r="BL76" i="10"/>
  <c r="BU75" i="10"/>
  <c r="BU53" i="10"/>
  <c r="BF139" i="10"/>
  <c r="BL139" i="10" a="1"/>
  <c r="BL139" i="10"/>
  <c r="BU209" i="10"/>
  <c r="BE14" i="10"/>
  <c r="BK14" i="10" a="1"/>
  <c r="BK14" i="10"/>
  <c r="BV76" i="10"/>
  <c r="BH221" i="10"/>
  <c r="BN221" i="10" a="1"/>
  <c r="BN221" i="10"/>
  <c r="BB39" i="10"/>
  <c r="BE133" i="10"/>
  <c r="BK133" i="10" a="1"/>
  <c r="BK133" i="10"/>
  <c r="BI159" i="10"/>
  <c r="BO159" i="10" a="1"/>
  <c r="BO159" i="10"/>
  <c r="BF207" i="10"/>
  <c r="BL207" i="10" a="1"/>
  <c r="BL207" i="10"/>
  <c r="BU131" i="10"/>
  <c r="BF43" i="10"/>
  <c r="BL43" i="10" a="1"/>
  <c r="BL43" i="10"/>
  <c r="BF165" i="10"/>
  <c r="BL165" i="10" a="1"/>
  <c r="BL165" i="10"/>
  <c r="BE236" i="10"/>
  <c r="BK236" i="10" a="1"/>
  <c r="BK236" i="10"/>
  <c r="BE211" i="10"/>
  <c r="BK211" i="10" a="1"/>
  <c r="BK211" i="10"/>
  <c r="BF57" i="10"/>
  <c r="BL57" i="10" a="1"/>
  <c r="BL57" i="10"/>
  <c r="BF103" i="10"/>
  <c r="BL103" i="10" a="1"/>
  <c r="BL103" i="10"/>
  <c r="BV91" i="10"/>
  <c r="BI56" i="10"/>
  <c r="BO56" i="10" a="1"/>
  <c r="BO56" i="10"/>
  <c r="BH56" i="10"/>
  <c r="BN56" i="10" a="1"/>
  <c r="BN56" i="10"/>
  <c r="BF48" i="10"/>
  <c r="BL48" i="10" a="1"/>
  <c r="BL48" i="10"/>
  <c r="BH48" i="10"/>
  <c r="BN48" i="10" a="1"/>
  <c r="BN48" i="10"/>
  <c r="BG202" i="10"/>
  <c r="BM202" i="10" a="1"/>
  <c r="BM202" i="10"/>
  <c r="BI202" i="10"/>
  <c r="BO202" i="10" a="1"/>
  <c r="BO202" i="10"/>
  <c r="BH231" i="10"/>
  <c r="BN231" i="10" a="1"/>
  <c r="BN231" i="10"/>
  <c r="BE231" i="10"/>
  <c r="BK231" i="10" a="1"/>
  <c r="BK231" i="10"/>
  <c r="BF231" i="10"/>
  <c r="BL231" i="10" a="1"/>
  <c r="BL231" i="10"/>
  <c r="BG231" i="10"/>
  <c r="BM231" i="10" a="1"/>
  <c r="BM231" i="10"/>
  <c r="BI146" i="10"/>
  <c r="BO146" i="10" a="1"/>
  <c r="BO146" i="10"/>
  <c r="BF146" i="10"/>
  <c r="BL146" i="10" a="1"/>
  <c r="BL146" i="10"/>
  <c r="BI36" i="10"/>
  <c r="BO36" i="10" a="1"/>
  <c r="BO36" i="10"/>
  <c r="BG36" i="10"/>
  <c r="BM36" i="10" a="1"/>
  <c r="BM36" i="10"/>
  <c r="BF36" i="10"/>
  <c r="BL36" i="10" a="1"/>
  <c r="BL36" i="10"/>
  <c r="BG120" i="10"/>
  <c r="BM120" i="10" a="1"/>
  <c r="BM120" i="10"/>
  <c r="BE120" i="10"/>
  <c r="BK120" i="10" a="1"/>
  <c r="BK120" i="10"/>
  <c r="BE129" i="10"/>
  <c r="BK129" i="10" a="1"/>
  <c r="BK129" i="10"/>
  <c r="BG129" i="10"/>
  <c r="BM129" i="10" a="1"/>
  <c r="BM129" i="10"/>
  <c r="BF129" i="10"/>
  <c r="BL129" i="10" a="1"/>
  <c r="BL129" i="10"/>
  <c r="BI129" i="10"/>
  <c r="BO129" i="10" a="1"/>
  <c r="BO129" i="10"/>
  <c r="BI126" i="10"/>
  <c r="BO126" i="10" a="1"/>
  <c r="BO126" i="10"/>
  <c r="BE126" i="10"/>
  <c r="BK126" i="10" a="1"/>
  <c r="BK126" i="10"/>
  <c r="BF126" i="10"/>
  <c r="BL126" i="10" a="1"/>
  <c r="BL126" i="10"/>
  <c r="BH74" i="10"/>
  <c r="BN74" i="10" a="1"/>
  <c r="BN74" i="10"/>
  <c r="BU163" i="10"/>
  <c r="BU213" i="10"/>
  <c r="BI205" i="10"/>
  <c r="BO205" i="10" a="1"/>
  <c r="BO205" i="10"/>
  <c r="BI180" i="10"/>
  <c r="BO180" i="10" a="1"/>
  <c r="BO180" i="10"/>
  <c r="BV199" i="10"/>
  <c r="BU132" i="10"/>
  <c r="BV163" i="10"/>
  <c r="BH207" i="10"/>
  <c r="BN207" i="10" a="1"/>
  <c r="BN207" i="10"/>
  <c r="BH242" i="10"/>
  <c r="BN242" i="10" a="1"/>
  <c r="BN242" i="10"/>
  <c r="BI82" i="10"/>
  <c r="BO82" i="10" a="1"/>
  <c r="BO82" i="10"/>
  <c r="BH26" i="10"/>
  <c r="BN26" i="10" a="1"/>
  <c r="BN26" i="10"/>
  <c r="BG135" i="10"/>
  <c r="BM135" i="10" a="1"/>
  <c r="BM135" i="10"/>
  <c r="BE198" i="10"/>
  <c r="BK198" i="10" a="1"/>
  <c r="BK198" i="10"/>
  <c r="BU82" i="10"/>
  <c r="BG74" i="10"/>
  <c r="BM74" i="10" a="1"/>
  <c r="BM74" i="10"/>
  <c r="BG194" i="10"/>
  <c r="BM194" i="10" a="1"/>
  <c r="BM194" i="10"/>
  <c r="BH173" i="10"/>
  <c r="BN173" i="10" a="1"/>
  <c r="BN173" i="10"/>
  <c r="BE20" i="10"/>
  <c r="BK20" i="10" a="1"/>
  <c r="BK20" i="10"/>
  <c r="BE242" i="10"/>
  <c r="BK242" i="10" a="1"/>
  <c r="BK242" i="10"/>
  <c r="BI166" i="10"/>
  <c r="BO166" i="10" a="1"/>
  <c r="BO166" i="10"/>
  <c r="BF107" i="10"/>
  <c r="BL107" i="10" a="1"/>
  <c r="BL107" i="10"/>
  <c r="BE178" i="10"/>
  <c r="BK178" i="10" a="1"/>
  <c r="BK178" i="10"/>
  <c r="BV213" i="10"/>
  <c r="BH237" i="10"/>
  <c r="BN237" i="10" a="1"/>
  <c r="BN237" i="10"/>
  <c r="BU77" i="10"/>
  <c r="BG233" i="10"/>
  <c r="BM233" i="10" a="1"/>
  <c r="BM233" i="10"/>
  <c r="BF194" i="10"/>
  <c r="BL194" i="10" a="1"/>
  <c r="BL194" i="10"/>
  <c r="BE205" i="10"/>
  <c r="BK205" i="10" a="1"/>
  <c r="BK205" i="10"/>
  <c r="BV75" i="10"/>
  <c r="BI37" i="10"/>
  <c r="BO37" i="10" a="1"/>
  <c r="BO37" i="10"/>
  <c r="BE67" i="10"/>
  <c r="BK67" i="10" a="1"/>
  <c r="BK67" i="10"/>
  <c r="BG246" i="10"/>
  <c r="BM246" i="10" a="1"/>
  <c r="BM246" i="10"/>
  <c r="BE248" i="10"/>
  <c r="BK248" i="10" a="1"/>
  <c r="BK248" i="10"/>
  <c r="BG55" i="10"/>
  <c r="BM55" i="10" a="1"/>
  <c r="BM55" i="10"/>
  <c r="BU199" i="10"/>
  <c r="BB132" i="10"/>
  <c r="BE123" i="10"/>
  <c r="BK123" i="10" a="1"/>
  <c r="BK123" i="10"/>
  <c r="BU212" i="10"/>
  <c r="BI94" i="10"/>
  <c r="BO94" i="10" a="1"/>
  <c r="BO94" i="10"/>
  <c r="BH213" i="10"/>
  <c r="BN213" i="10" a="1"/>
  <c r="BN213" i="10"/>
  <c r="BU148" i="10"/>
  <c r="BU182" i="10"/>
  <c r="BG151" i="10"/>
  <c r="BM151" i="10" a="1"/>
  <c r="BM151" i="10"/>
  <c r="BV212" i="10"/>
  <c r="BH177" i="10"/>
  <c r="BN177" i="10" a="1"/>
  <c r="BN177" i="10"/>
  <c r="BI26" i="10"/>
  <c r="BO26" i="10" a="1"/>
  <c r="BO26" i="10"/>
  <c r="BI83" i="10"/>
  <c r="BO83" i="10" a="1"/>
  <c r="BO83" i="10"/>
  <c r="BG94" i="10"/>
  <c r="BM94" i="10" a="1"/>
  <c r="BM94" i="10"/>
  <c r="BH83" i="10"/>
  <c r="BN83" i="10" a="1"/>
  <c r="BN83" i="10"/>
  <c r="BB82" i="10"/>
  <c r="BG83" i="10"/>
  <c r="BM83" i="10" a="1"/>
  <c r="BM83" i="10"/>
  <c r="BE154" i="10"/>
  <c r="BK154" i="10" a="1"/>
  <c r="BK154" i="10"/>
  <c r="BG205" i="10"/>
  <c r="BM205" i="10" a="1"/>
  <c r="BM205" i="10"/>
  <c r="BI145" i="10"/>
  <c r="BO145" i="10" a="1"/>
  <c r="BO145" i="10"/>
  <c r="BE88" i="10"/>
  <c r="BK88" i="10" a="1"/>
  <c r="BK88" i="10"/>
  <c r="BF248" i="10"/>
  <c r="BL248" i="10" a="1"/>
  <c r="BL248" i="10"/>
  <c r="BV148" i="10"/>
  <c r="BI212" i="10"/>
  <c r="BO212" i="10" a="1"/>
  <c r="BO212" i="10"/>
  <c r="BI228" i="10"/>
  <c r="BO228" i="10" a="1"/>
  <c r="BO228" i="10"/>
  <c r="BU71" i="10"/>
  <c r="BU127" i="10"/>
  <c r="BV216" i="10"/>
  <c r="BI53" i="10"/>
  <c r="BO53" i="10" a="1"/>
  <c r="BO53" i="10"/>
  <c r="BV182" i="10"/>
  <c r="BV150" i="10"/>
  <c r="BU91" i="10"/>
  <c r="BH94" i="10"/>
  <c r="BN94" i="10" a="1"/>
  <c r="BN94" i="10"/>
  <c r="BV138" i="10"/>
  <c r="BV137" i="10"/>
  <c r="BE26" i="10"/>
  <c r="BK26" i="10" a="1"/>
  <c r="BK26" i="10"/>
  <c r="BG213" i="10"/>
  <c r="BM213" i="10" a="1"/>
  <c r="BM213" i="10"/>
  <c r="BH39" i="10"/>
  <c r="BN39" i="10" a="1"/>
  <c r="BN39" i="10"/>
  <c r="BE247" i="10"/>
  <c r="BK247" i="10" a="1"/>
  <c r="BK247" i="10"/>
  <c r="BE145" i="10"/>
  <c r="BK145" i="10" a="1"/>
  <c r="BK145" i="10"/>
  <c r="BE135" i="10"/>
  <c r="BK135" i="10" a="1"/>
  <c r="BK135" i="10"/>
  <c r="BG67" i="10"/>
  <c r="BM67" i="10" a="1"/>
  <c r="BM67" i="10"/>
  <c r="BF189" i="10"/>
  <c r="BL189" i="10" a="1"/>
  <c r="BL189" i="10"/>
  <c r="BH151" i="10"/>
  <c r="BN151" i="10" a="1"/>
  <c r="BN151" i="10"/>
  <c r="BV71" i="10"/>
  <c r="BV127" i="10"/>
  <c r="BU216" i="10"/>
  <c r="BU150" i="10"/>
  <c r="BV190" i="10"/>
  <c r="BU137" i="10"/>
  <c r="BE212" i="10"/>
  <c r="BK212" i="10" a="1"/>
  <c r="BK212" i="10"/>
  <c r="BE59" i="10"/>
  <c r="BK59" i="10" a="1"/>
  <c r="BK59" i="10"/>
  <c r="BG180" i="10"/>
  <c r="BM180" i="10" a="1"/>
  <c r="BM180" i="10"/>
  <c r="BH191" i="10"/>
  <c r="BN191" i="10" a="1"/>
  <c r="BN191" i="10"/>
  <c r="BH205" i="10"/>
  <c r="BN205" i="10" a="1"/>
  <c r="BN205" i="10"/>
  <c r="BI241" i="10"/>
  <c r="BO241" i="10" a="1"/>
  <c r="BO241" i="10"/>
  <c r="BI39" i="10"/>
  <c r="BO39" i="10" a="1"/>
  <c r="BO39" i="10"/>
  <c r="BH101" i="10"/>
  <c r="BN101" i="10" a="1"/>
  <c r="BN101" i="10"/>
  <c r="BG59" i="10"/>
  <c r="BM59" i="10" a="1"/>
  <c r="BM59" i="10"/>
  <c r="BF155" i="10"/>
  <c r="BL155" i="10" a="1"/>
  <c r="BL155" i="10"/>
  <c r="BF39" i="10"/>
  <c r="BL39" i="10" a="1"/>
  <c r="BL39" i="10"/>
  <c r="BE207" i="10"/>
  <c r="BK207" i="10" a="1"/>
  <c r="BK207" i="10"/>
  <c r="BG39" i="10"/>
  <c r="BM39" i="10" a="1"/>
  <c r="BM39" i="10"/>
  <c r="BG169" i="10"/>
  <c r="BM169" i="10" a="1"/>
  <c r="BM169" i="10"/>
  <c r="BF137" i="10"/>
  <c r="BL137" i="10" a="1"/>
  <c r="BL137" i="10"/>
  <c r="BH241" i="10"/>
  <c r="BN241" i="10" a="1"/>
  <c r="BN241" i="10"/>
  <c r="BE166" i="10"/>
  <c r="BK166" i="10" a="1"/>
  <c r="BK166" i="10"/>
  <c r="BE218" i="10"/>
  <c r="BK218" i="10" a="1"/>
  <c r="BK218" i="10"/>
  <c r="BE33" i="10"/>
  <c r="BK33" i="10" a="1"/>
  <c r="BK33" i="10"/>
  <c r="BF106" i="10"/>
  <c r="BL106" i="10" a="1"/>
  <c r="BL106" i="10"/>
  <c r="BI106" i="10"/>
  <c r="BO106" i="10" a="1"/>
  <c r="BO106" i="10"/>
  <c r="BH130" i="10"/>
  <c r="BN130" i="10" a="1"/>
  <c r="BN130" i="10"/>
  <c r="BG178" i="10"/>
  <c r="BM178" i="10" a="1"/>
  <c r="BM178" i="10"/>
  <c r="BD115" i="10"/>
  <c r="BJ115" i="10" a="1"/>
  <c r="BJ115" i="10"/>
  <c r="BI115" i="10"/>
  <c r="BO115" i="10" a="1"/>
  <c r="BO115" i="10"/>
  <c r="BE115" i="10"/>
  <c r="BK115" i="10" a="1"/>
  <c r="BK115" i="10"/>
  <c r="BH115" i="10"/>
  <c r="BN115" i="10" a="1"/>
  <c r="BN115" i="10"/>
  <c r="BG115" i="10"/>
  <c r="BM115" i="10" a="1"/>
  <c r="BM115" i="10"/>
  <c r="BD122" i="10"/>
  <c r="BJ122" i="10" a="1"/>
  <c r="BJ122" i="10"/>
  <c r="BG122" i="10"/>
  <c r="BM122" i="10" a="1"/>
  <c r="BM122" i="10"/>
  <c r="BI122" i="10"/>
  <c r="BO122" i="10" a="1"/>
  <c r="BO122" i="10"/>
  <c r="BF122" i="10"/>
  <c r="BL122" i="10" a="1"/>
  <c r="BL122" i="10"/>
  <c r="BE122" i="10"/>
  <c r="BK122" i="10" a="1"/>
  <c r="BK122" i="10"/>
  <c r="BD27" i="10"/>
  <c r="BJ27" i="10" a="1"/>
  <c r="BJ27" i="10"/>
  <c r="BG27" i="10"/>
  <c r="BM27" i="10" a="1"/>
  <c r="BM27" i="10"/>
  <c r="BE27" i="10"/>
  <c r="BK27" i="10" a="1"/>
  <c r="BK27" i="10"/>
  <c r="BD232" i="10"/>
  <c r="BJ232" i="10" a="1"/>
  <c r="BJ232" i="10"/>
  <c r="BV133" i="10"/>
  <c r="BB133" i="10"/>
  <c r="BU133" i="10"/>
  <c r="BD176" i="10"/>
  <c r="BJ176" i="10" a="1"/>
  <c r="BJ176" i="10"/>
  <c r="BH176" i="10"/>
  <c r="BN176" i="10" a="1"/>
  <c r="BN176" i="10"/>
  <c r="BG176" i="10"/>
  <c r="BM176" i="10" a="1"/>
  <c r="BM176" i="10"/>
  <c r="BE176" i="10"/>
  <c r="BK176" i="10" a="1"/>
  <c r="BK176" i="10"/>
  <c r="BD219" i="10"/>
  <c r="BJ219" i="10" a="1"/>
  <c r="BJ219" i="10"/>
  <c r="BE219" i="10"/>
  <c r="BK219" i="10" a="1"/>
  <c r="BK219" i="10"/>
  <c r="BF219" i="10"/>
  <c r="BL219" i="10" a="1"/>
  <c r="BL219" i="10"/>
  <c r="BG219" i="10"/>
  <c r="BM219" i="10" a="1"/>
  <c r="BM219" i="10"/>
  <c r="BD161" i="10"/>
  <c r="BJ161" i="10" a="1"/>
  <c r="BJ161" i="10"/>
  <c r="BH161" i="10"/>
  <c r="BN161" i="10" a="1"/>
  <c r="BN161" i="10"/>
  <c r="BI161" i="10"/>
  <c r="BO161" i="10" a="1"/>
  <c r="BO161" i="10"/>
  <c r="BD132" i="10"/>
  <c r="BJ132" i="10" a="1"/>
  <c r="BJ132" i="10"/>
  <c r="BI132" i="10"/>
  <c r="BO132" i="10" a="1"/>
  <c r="BO132" i="10"/>
  <c r="BF132" i="10"/>
  <c r="BL132" i="10" a="1"/>
  <c r="BL132" i="10"/>
  <c r="AT170" i="10"/>
  <c r="AV170" i="10"/>
  <c r="AT30" i="10"/>
  <c r="BH132" i="10"/>
  <c r="BN132" i="10" a="1"/>
  <c r="BN132" i="10"/>
  <c r="BB178" i="10"/>
  <c r="BU178" i="10"/>
  <c r="BV178" i="10"/>
  <c r="BG161" i="10"/>
  <c r="BM161" i="10" a="1"/>
  <c r="BM161" i="10"/>
  <c r="BD98" i="10"/>
  <c r="BJ98" i="10" a="1"/>
  <c r="BJ98" i="10"/>
  <c r="BF98" i="10"/>
  <c r="BL98" i="10" a="1"/>
  <c r="BL98" i="10"/>
  <c r="BG98" i="10"/>
  <c r="BM98" i="10" a="1"/>
  <c r="BM98" i="10"/>
  <c r="BD135" i="10"/>
  <c r="BJ135" i="10" a="1"/>
  <c r="BJ135" i="10"/>
  <c r="BI135" i="10"/>
  <c r="BO135" i="10" a="1"/>
  <c r="BO135" i="10"/>
  <c r="BD217" i="10"/>
  <c r="BJ217" i="10" a="1"/>
  <c r="BJ217" i="10"/>
  <c r="BI217" i="10"/>
  <c r="BO217" i="10" a="1"/>
  <c r="BO217" i="10"/>
  <c r="BE217" i="10"/>
  <c r="BK217" i="10" a="1"/>
  <c r="BK217" i="10"/>
  <c r="BB186" i="10"/>
  <c r="BU186" i="10"/>
  <c r="BV186" i="10"/>
  <c r="BE161" i="10"/>
  <c r="BK161" i="10" a="1"/>
  <c r="BK161" i="10"/>
  <c r="AT245" i="10"/>
  <c r="AV245" i="10"/>
  <c r="BE127" i="10"/>
  <c r="BK127" i="10" a="1"/>
  <c r="BK127" i="10"/>
  <c r="BD116" i="10"/>
  <c r="BJ116" i="10" a="1"/>
  <c r="BJ116" i="10"/>
  <c r="BH116" i="10"/>
  <c r="BN116" i="10" a="1"/>
  <c r="BN116" i="10"/>
  <c r="BI116" i="10"/>
  <c r="BO116" i="10" a="1"/>
  <c r="BO116" i="10"/>
  <c r="BD88" i="10"/>
  <c r="BJ88" i="10" a="1"/>
  <c r="BJ88" i="10"/>
  <c r="BB231" i="10"/>
  <c r="BU231" i="10"/>
  <c r="BV231" i="10"/>
  <c r="BB143" i="10"/>
  <c r="BU143" i="10"/>
  <c r="BV143" i="10"/>
  <c r="BI60" i="10"/>
  <c r="BO60" i="10" a="1"/>
  <c r="BO60" i="10"/>
  <c r="BH235" i="10"/>
  <c r="BN235" i="10" a="1"/>
  <c r="BN235" i="10"/>
  <c r="BE229" i="10"/>
  <c r="BK229" i="10" a="1"/>
  <c r="BK229" i="10"/>
  <c r="BB151" i="10"/>
  <c r="BU151" i="10"/>
  <c r="BV151" i="10"/>
  <c r="BE142" i="10"/>
  <c r="BK142" i="10" a="1"/>
  <c r="BK142" i="10"/>
  <c r="BB31" i="10"/>
  <c r="BU31" i="10"/>
  <c r="BV31" i="10"/>
  <c r="BB118" i="10"/>
  <c r="BU118" i="10"/>
  <c r="BV118" i="10"/>
  <c r="BB124" i="10"/>
  <c r="BU124" i="10"/>
  <c r="BV124" i="10"/>
  <c r="AT16" i="10"/>
  <c r="AT181" i="10"/>
  <c r="AT96" i="10"/>
  <c r="AV96" i="10"/>
  <c r="BB197" i="10"/>
  <c r="BU197" i="10"/>
  <c r="BV197" i="10"/>
  <c r="AT100" i="10"/>
  <c r="BB171" i="10"/>
  <c r="BU171" i="10"/>
  <c r="BV171" i="10"/>
  <c r="BD172" i="10"/>
  <c r="BJ172" i="10" a="1"/>
  <c r="BJ172" i="10"/>
  <c r="BF232" i="10"/>
  <c r="BL232" i="10" a="1"/>
  <c r="BL232" i="10"/>
  <c r="BD129" i="10"/>
  <c r="BJ129" i="10" a="1"/>
  <c r="BJ129" i="10"/>
  <c r="BF169" i="10"/>
  <c r="BL169" i="10" a="1"/>
  <c r="BL169" i="10"/>
  <c r="BD146" i="10"/>
  <c r="BJ146" i="10" a="1"/>
  <c r="BJ146" i="10"/>
  <c r="BH146" i="10"/>
  <c r="BN146" i="10" a="1"/>
  <c r="BN146" i="10"/>
  <c r="BE146" i="10"/>
  <c r="BK146" i="10" a="1"/>
  <c r="BK146" i="10"/>
  <c r="BD84" i="10"/>
  <c r="BJ84" i="10" a="1"/>
  <c r="BJ84" i="10"/>
  <c r="BI84" i="10"/>
  <c r="BO84" i="10" a="1"/>
  <c r="BO84" i="10"/>
  <c r="BH84" i="10"/>
  <c r="BN84" i="10" a="1"/>
  <c r="BN84" i="10"/>
  <c r="BG84" i="10"/>
  <c r="BM84" i="10" a="1"/>
  <c r="BM84" i="10"/>
  <c r="BE36" i="10"/>
  <c r="BK36" i="10" a="1"/>
  <c r="BK36" i="10"/>
  <c r="BD120" i="10"/>
  <c r="BJ120" i="10" a="1"/>
  <c r="BJ120" i="10"/>
  <c r="BF120" i="10"/>
  <c r="BL120" i="10" a="1"/>
  <c r="BL120" i="10"/>
  <c r="BH120" i="10"/>
  <c r="BN120" i="10" a="1"/>
  <c r="BN120" i="10"/>
  <c r="BE191" i="10"/>
  <c r="BK191" i="10" a="1"/>
  <c r="BK191" i="10"/>
  <c r="BG133" i="10"/>
  <c r="BM133" i="10" a="1"/>
  <c r="BM133" i="10"/>
  <c r="BD197" i="10"/>
  <c r="BJ197" i="10" a="1"/>
  <c r="BJ197" i="10"/>
  <c r="BH197" i="10"/>
  <c r="BN197" i="10" a="1"/>
  <c r="BN197" i="10"/>
  <c r="BI197" i="10"/>
  <c r="BO197" i="10" a="1"/>
  <c r="BO197" i="10"/>
  <c r="BI177" i="10"/>
  <c r="BO177" i="10" a="1"/>
  <c r="BO177" i="10"/>
  <c r="BD110" i="10"/>
  <c r="BJ110" i="10" a="1"/>
  <c r="BJ110" i="10"/>
  <c r="BH110" i="10"/>
  <c r="BN110" i="10" a="1"/>
  <c r="BN110" i="10"/>
  <c r="BH186" i="10"/>
  <c r="BN186" i="10" a="1"/>
  <c r="BN186" i="10"/>
  <c r="BB246" i="10"/>
  <c r="BU246" i="10"/>
  <c r="BV246" i="10"/>
  <c r="BI140" i="10"/>
  <c r="BO140" i="10" a="1"/>
  <c r="BO140" i="10"/>
  <c r="BF29" i="10"/>
  <c r="BL29" i="10" a="1"/>
  <c r="BL29" i="10"/>
  <c r="BH193" i="10"/>
  <c r="BN193" i="10" a="1"/>
  <c r="BN193" i="10"/>
  <c r="BD15" i="10"/>
  <c r="BJ15" i="10" a="1"/>
  <c r="BJ15" i="10"/>
  <c r="BI15" i="10"/>
  <c r="BO15" i="10" a="1"/>
  <c r="BO15" i="10"/>
  <c r="BG15" i="10"/>
  <c r="BM15" i="10" a="1"/>
  <c r="BM15" i="10"/>
  <c r="BE15" i="10"/>
  <c r="BK15" i="10" a="1"/>
  <c r="BK15" i="10"/>
  <c r="BF15" i="10"/>
  <c r="BL15" i="10" a="1"/>
  <c r="BL15" i="10"/>
  <c r="BH15" i="10"/>
  <c r="BN15" i="10" a="1"/>
  <c r="BN15" i="10"/>
  <c r="BD220" i="10"/>
  <c r="BJ220" i="10" a="1"/>
  <c r="BJ220" i="10"/>
  <c r="BF220" i="10"/>
  <c r="BL220" i="10" a="1"/>
  <c r="BL220" i="10"/>
  <c r="BH220" i="10"/>
  <c r="BN220" i="10" a="1"/>
  <c r="BN220" i="10"/>
  <c r="BE220" i="10"/>
  <c r="BK220" i="10" a="1"/>
  <c r="BK220" i="10"/>
  <c r="BF60" i="10"/>
  <c r="BL60" i="10" a="1"/>
  <c r="BL60" i="10"/>
  <c r="BD175" i="10"/>
  <c r="BJ175" i="10" a="1"/>
  <c r="BJ175" i="10"/>
  <c r="BE175" i="10"/>
  <c r="BK175" i="10" a="1"/>
  <c r="BK175" i="10"/>
  <c r="BF175" i="10"/>
  <c r="BL175" i="10" a="1"/>
  <c r="BL175" i="10"/>
  <c r="BH175" i="10"/>
  <c r="BN175" i="10" a="1"/>
  <c r="BN175" i="10"/>
  <c r="BF185" i="10"/>
  <c r="BL185" i="10" a="1"/>
  <c r="BL185" i="10"/>
  <c r="BF84" i="10"/>
  <c r="BL84" i="10" a="1"/>
  <c r="BL84" i="10"/>
  <c r="BB20" i="10"/>
  <c r="BV20" i="10"/>
  <c r="BU20" i="10"/>
  <c r="AT102" i="10"/>
  <c r="AV102" i="10"/>
  <c r="BB166" i="10"/>
  <c r="BV166" i="10"/>
  <c r="BU166" i="10"/>
  <c r="BB220" i="10"/>
  <c r="BV220" i="10"/>
  <c r="BU220" i="10"/>
  <c r="BB115" i="10"/>
  <c r="BU115" i="10"/>
  <c r="BV115" i="10"/>
  <c r="BD233" i="10"/>
  <c r="BJ233" i="10" a="1"/>
  <c r="BJ233" i="10"/>
  <c r="BI233" i="10"/>
  <c r="BO233" i="10" a="1"/>
  <c r="BO233" i="10"/>
  <c r="BH233" i="10"/>
  <c r="BN233" i="10" a="1"/>
  <c r="BN233" i="10"/>
  <c r="BE233" i="10"/>
  <c r="BK233" i="10" a="1"/>
  <c r="BK233" i="10"/>
  <c r="AT31" i="10"/>
  <c r="BF177" i="10"/>
  <c r="BL177" i="10" a="1"/>
  <c r="BL177" i="10"/>
  <c r="AT124" i="10"/>
  <c r="AV124" i="10"/>
  <c r="AT78" i="10"/>
  <c r="BB226" i="10"/>
  <c r="BV226" i="10"/>
  <c r="BU226" i="10"/>
  <c r="BU64" i="10"/>
  <c r="BB64" i="10"/>
  <c r="BV64" i="10"/>
  <c r="BB156" i="10"/>
  <c r="BV156" i="10"/>
  <c r="BU156" i="10"/>
  <c r="BH126" i="10"/>
  <c r="BN126" i="10" a="1"/>
  <c r="BN126" i="10"/>
  <c r="BB179" i="10"/>
  <c r="BV179" i="10"/>
  <c r="BU179" i="10"/>
  <c r="BD193" i="10"/>
  <c r="BJ193" i="10" a="1"/>
  <c r="BJ193" i="10"/>
  <c r="BD35" i="10"/>
  <c r="BJ35" i="10" a="1"/>
  <c r="BJ35" i="10"/>
  <c r="BE35" i="10"/>
  <c r="BK35" i="10" a="1"/>
  <c r="BK35" i="10"/>
  <c r="BB191" i="10"/>
  <c r="BV191" i="10"/>
  <c r="BU191" i="10"/>
  <c r="BD77" i="10"/>
  <c r="BJ77" i="10" a="1"/>
  <c r="BJ77" i="10"/>
  <c r="BF77" i="10"/>
  <c r="BL77" i="10" a="1"/>
  <c r="BL77" i="10"/>
  <c r="BH77" i="10"/>
  <c r="BN77" i="10" a="1"/>
  <c r="BN77" i="10"/>
  <c r="BB15" i="10"/>
  <c r="BV15" i="10"/>
  <c r="BU15" i="10"/>
  <c r="BB223" i="10"/>
  <c r="BV223" i="10"/>
  <c r="BU223" i="10"/>
  <c r="AT152" i="10"/>
  <c r="BD230" i="10"/>
  <c r="BJ230" i="10" a="1"/>
  <c r="BJ230" i="10"/>
  <c r="BH230" i="10"/>
  <c r="BN230" i="10" a="1"/>
  <c r="BN230" i="10"/>
  <c r="BI230" i="10"/>
  <c r="BO230" i="10" a="1"/>
  <c r="BO230" i="10"/>
  <c r="BD73" i="10"/>
  <c r="BJ73" i="10" a="1"/>
  <c r="BJ73" i="10"/>
  <c r="BG73" i="10"/>
  <c r="BM73" i="10" a="1"/>
  <c r="BM73" i="10"/>
  <c r="BE73" i="10"/>
  <c r="BK73" i="10" a="1"/>
  <c r="BK73" i="10"/>
  <c r="BD164" i="10"/>
  <c r="BJ164" i="10" a="1"/>
  <c r="BJ164" i="10"/>
  <c r="BE164" i="10"/>
  <c r="BK164" i="10" a="1"/>
  <c r="BK164" i="10"/>
  <c r="BD82" i="10"/>
  <c r="BJ82" i="10" a="1"/>
  <c r="BJ82" i="10"/>
  <c r="BE82" i="10"/>
  <c r="BK82" i="10" a="1"/>
  <c r="BK82" i="10"/>
  <c r="BG82" i="10"/>
  <c r="BM82" i="10" a="1"/>
  <c r="BM82" i="10"/>
  <c r="BD36" i="10"/>
  <c r="BJ36" i="10" a="1"/>
  <c r="BJ36" i="10"/>
  <c r="BD179" i="10"/>
  <c r="BJ179" i="10" a="1"/>
  <c r="BJ179" i="10"/>
  <c r="BF179" i="10"/>
  <c r="BL179" i="10" a="1"/>
  <c r="BL179" i="10"/>
  <c r="BG179" i="10"/>
  <c r="BM179" i="10" a="1"/>
  <c r="BM179" i="10"/>
  <c r="BH179" i="10"/>
  <c r="BN179" i="10" a="1"/>
  <c r="BN179" i="10"/>
  <c r="BB243" i="10"/>
  <c r="BU243" i="10"/>
  <c r="BV243" i="10"/>
  <c r="BD142" i="10"/>
  <c r="BJ142" i="10" a="1"/>
  <c r="BJ142" i="10"/>
  <c r="BF142" i="10"/>
  <c r="BL142" i="10" a="1"/>
  <c r="BL142" i="10"/>
  <c r="BD185" i="10"/>
  <c r="BJ185" i="10" a="1"/>
  <c r="BJ185" i="10"/>
  <c r="BH185" i="10"/>
  <c r="BN185" i="10" a="1"/>
  <c r="BN185" i="10"/>
  <c r="BG185" i="10"/>
  <c r="BM185" i="10" a="1"/>
  <c r="BM185" i="10"/>
  <c r="BB63" i="10"/>
  <c r="BV63" i="10"/>
  <c r="BU63" i="10"/>
  <c r="BD225" i="10"/>
  <c r="BJ225" i="10" a="1"/>
  <c r="BJ225" i="10"/>
  <c r="BH225" i="10"/>
  <c r="BN225" i="10" a="1"/>
  <c r="BN225" i="10"/>
  <c r="BI225" i="10"/>
  <c r="BO225" i="10" a="1"/>
  <c r="BO225" i="10"/>
  <c r="BB62" i="10"/>
  <c r="BV62" i="10"/>
  <c r="BU62" i="10"/>
  <c r="BB50" i="10"/>
  <c r="BV50" i="10"/>
  <c r="BU50" i="10"/>
  <c r="AT200" i="10"/>
  <c r="BB193" i="10"/>
  <c r="BU193" i="10"/>
  <c r="BV193" i="10"/>
  <c r="BB195" i="10"/>
  <c r="BV195" i="10"/>
  <c r="BU195" i="10"/>
  <c r="AT226" i="10"/>
  <c r="BB28" i="10"/>
  <c r="BV28" i="10"/>
  <c r="BU28" i="10"/>
  <c r="BB81" i="10"/>
  <c r="BV81" i="10"/>
  <c r="BU81" i="10"/>
  <c r="BD210" i="10"/>
  <c r="BJ210" i="10" a="1"/>
  <c r="BJ210" i="10"/>
  <c r="BH210" i="10"/>
  <c r="BN210" i="10" a="1"/>
  <c r="BN210" i="10"/>
  <c r="BB144" i="10"/>
  <c r="BV144" i="10"/>
  <c r="BU144" i="10"/>
  <c r="BE56" i="10"/>
  <c r="BK56" i="10" a="1"/>
  <c r="BK56" i="10"/>
  <c r="BD159" i="10"/>
  <c r="BJ159" i="10" a="1"/>
  <c r="BJ159" i="10"/>
  <c r="BB207" i="10"/>
  <c r="BV207" i="10"/>
  <c r="BU207" i="10"/>
  <c r="BD186" i="10"/>
  <c r="BJ186" i="10" a="1"/>
  <c r="BJ186" i="10"/>
  <c r="BF186" i="10"/>
  <c r="BL186" i="10" a="1"/>
  <c r="BL186" i="10"/>
  <c r="BH164" i="10"/>
  <c r="BN164" i="10" a="1"/>
  <c r="BN164" i="10"/>
  <c r="BG186" i="10"/>
  <c r="BM186" i="10" a="1"/>
  <c r="BM186" i="10"/>
  <c r="BD163" i="10"/>
  <c r="BJ163" i="10" a="1"/>
  <c r="BJ163" i="10"/>
  <c r="BI163" i="10"/>
  <c r="BO163" i="10" a="1"/>
  <c r="BO163" i="10"/>
  <c r="BG163" i="10"/>
  <c r="BM163" i="10" a="1"/>
  <c r="BM163" i="10"/>
  <c r="BH163" i="10"/>
  <c r="BN163" i="10" a="1"/>
  <c r="BN163" i="10"/>
  <c r="BD184" i="10"/>
  <c r="BJ184" i="10" a="1"/>
  <c r="BJ184" i="10"/>
  <c r="BE184" i="10"/>
  <c r="BK184" i="10" a="1"/>
  <c r="BK184" i="10"/>
  <c r="BG184" i="10"/>
  <c r="BM184" i="10" a="1"/>
  <c r="BM184" i="10"/>
  <c r="BH184" i="10"/>
  <c r="BN184" i="10" a="1"/>
  <c r="BN184" i="10"/>
  <c r="BB201" i="10"/>
  <c r="BV201" i="10"/>
  <c r="BU201" i="10"/>
  <c r="BD171" i="10"/>
  <c r="BJ171" i="10" a="1"/>
  <c r="BJ171" i="10"/>
  <c r="BF171" i="10"/>
  <c r="BL171" i="10" a="1"/>
  <c r="BL171" i="10"/>
  <c r="BG171" i="10"/>
  <c r="BM171" i="10" a="1"/>
  <c r="BM171" i="10"/>
  <c r="BE171" i="10"/>
  <c r="BK171" i="10" a="1"/>
  <c r="BK171" i="10"/>
  <c r="BD213" i="10"/>
  <c r="BJ213" i="10" a="1"/>
  <c r="BJ213" i="10"/>
  <c r="BE213" i="10"/>
  <c r="BK213" i="10" a="1"/>
  <c r="BK213" i="10"/>
  <c r="BB237" i="10"/>
  <c r="BU237" i="10"/>
  <c r="BV237" i="10"/>
  <c r="BI184" i="10"/>
  <c r="BO184" i="10" a="1"/>
  <c r="BO184" i="10"/>
  <c r="BI35" i="10"/>
  <c r="BO35" i="10" a="1"/>
  <c r="BO35" i="10"/>
  <c r="BG42" i="10"/>
  <c r="BM42" i="10" a="1"/>
  <c r="BM42" i="10"/>
  <c r="BB164" i="10"/>
  <c r="BV164" i="10"/>
  <c r="BU164" i="10"/>
  <c r="BI232" i="10"/>
  <c r="BO232" i="10" a="1"/>
  <c r="BO232" i="10"/>
  <c r="BH217" i="10"/>
  <c r="BN217" i="10" a="1"/>
  <c r="BN217" i="10"/>
  <c r="BG217" i="10"/>
  <c r="BM217" i="10" a="1"/>
  <c r="BM217" i="10"/>
  <c r="BB192" i="10"/>
  <c r="BV192" i="10"/>
  <c r="BU192" i="10"/>
  <c r="BH127" i="10"/>
  <c r="BN127" i="10" a="1"/>
  <c r="BN127" i="10"/>
  <c r="BH119" i="10"/>
  <c r="BN119" i="10" a="1"/>
  <c r="BN119" i="10"/>
  <c r="BB97" i="10"/>
  <c r="BV97" i="10"/>
  <c r="BU97" i="10"/>
  <c r="BB61" i="10"/>
  <c r="BV61" i="10"/>
  <c r="BU61" i="10"/>
  <c r="BG175" i="10"/>
  <c r="BM175" i="10" a="1"/>
  <c r="BM175" i="10"/>
  <c r="BI88" i="10"/>
  <c r="BO88" i="10" a="1"/>
  <c r="BO88" i="10"/>
  <c r="BG210" i="10"/>
  <c r="BM210" i="10" a="1"/>
  <c r="BM210" i="10"/>
  <c r="BI164" i="10"/>
  <c r="BO164" i="10" a="1"/>
  <c r="BO164" i="10"/>
  <c r="BI179" i="10"/>
  <c r="BO179" i="10" a="1"/>
  <c r="BO179" i="10"/>
  <c r="BD180" i="10"/>
  <c r="BJ180" i="10" a="1"/>
  <c r="BJ180" i="10"/>
  <c r="BH180" i="10"/>
  <c r="BN180" i="10" a="1"/>
  <c r="BN180" i="10"/>
  <c r="BE180" i="10"/>
  <c r="BK180" i="10" a="1"/>
  <c r="BK180" i="10"/>
  <c r="BD202" i="10"/>
  <c r="BJ202" i="10" a="1"/>
  <c r="BJ202" i="10"/>
  <c r="BE202" i="10"/>
  <c r="BK202" i="10" a="1"/>
  <c r="BK202" i="10"/>
  <c r="BH202" i="10"/>
  <c r="BN202" i="10" a="1"/>
  <c r="BN202" i="10"/>
  <c r="BB240" i="10"/>
  <c r="BU240" i="10"/>
  <c r="BV240" i="10"/>
  <c r="AT28" i="10"/>
  <c r="AT109" i="10"/>
  <c r="AV109" i="10"/>
  <c r="BH73" i="10"/>
  <c r="BN73" i="10" a="1"/>
  <c r="BN73" i="10"/>
  <c r="BE77" i="10"/>
  <c r="BK77" i="10" a="1"/>
  <c r="BK77" i="10"/>
  <c r="BD50" i="10"/>
  <c r="BJ50" i="10" a="1"/>
  <c r="BJ50" i="10"/>
  <c r="BE50" i="10"/>
  <c r="BK50" i="10" a="1"/>
  <c r="BK50" i="10"/>
  <c r="BI50" i="10"/>
  <c r="BO50" i="10" a="1"/>
  <c r="BO50" i="10"/>
  <c r="BF50" i="10"/>
  <c r="BL50" i="10" a="1"/>
  <c r="BL50" i="10"/>
  <c r="BD140" i="10"/>
  <c r="BJ140" i="10" a="1"/>
  <c r="BJ140" i="10"/>
  <c r="BF140" i="10"/>
  <c r="BL140" i="10" a="1"/>
  <c r="BL140" i="10"/>
  <c r="BE140" i="10"/>
  <c r="BK140" i="10" a="1"/>
  <c r="BK140" i="10"/>
  <c r="BH140" i="10"/>
  <c r="BN140" i="10" a="1"/>
  <c r="BN140" i="10"/>
  <c r="BF115" i="10"/>
  <c r="BL115" i="10" a="1"/>
  <c r="BL115" i="10"/>
  <c r="BD154" i="10"/>
  <c r="BJ154" i="10" a="1"/>
  <c r="BJ154" i="10"/>
  <c r="BG154" i="10"/>
  <c r="BM154" i="10" a="1"/>
  <c r="BM154" i="10"/>
  <c r="BD216" i="10"/>
  <c r="BJ216" i="10" a="1"/>
  <c r="BJ216" i="10"/>
  <c r="BH216" i="10"/>
  <c r="BN216" i="10" a="1"/>
  <c r="BN216" i="10"/>
  <c r="BF216" i="10"/>
  <c r="BL216" i="10" a="1"/>
  <c r="BL216" i="10"/>
  <c r="BD148" i="10"/>
  <c r="BJ148" i="10" a="1"/>
  <c r="BJ148" i="10"/>
  <c r="BI148" i="10"/>
  <c r="BO148" i="10" a="1"/>
  <c r="BO148" i="10"/>
  <c r="BG148" i="10"/>
  <c r="BM148" i="10" a="1"/>
  <c r="BM148" i="10"/>
  <c r="BE148" i="10"/>
  <c r="BK148" i="10" a="1"/>
  <c r="BK148" i="10"/>
  <c r="BH142" i="10"/>
  <c r="BN142" i="10" a="1"/>
  <c r="BN142" i="10"/>
  <c r="BD99" i="10"/>
  <c r="BJ99" i="10" a="1"/>
  <c r="BJ99" i="10"/>
  <c r="BI99" i="10"/>
  <c r="BO99" i="10" a="1"/>
  <c r="BO99" i="10"/>
  <c r="BF99" i="10"/>
  <c r="BL99" i="10" a="1"/>
  <c r="BL99" i="10"/>
  <c r="BH99" i="10"/>
  <c r="BN99" i="10" a="1"/>
  <c r="BN99" i="10"/>
  <c r="BG99" i="10"/>
  <c r="BM99" i="10" a="1"/>
  <c r="BM99" i="10"/>
  <c r="BI216" i="10"/>
  <c r="BO216" i="10" a="1"/>
  <c r="BO216" i="10"/>
  <c r="BD149" i="10"/>
  <c r="BJ149" i="10" a="1"/>
  <c r="BJ149" i="10"/>
  <c r="BE149" i="10"/>
  <c r="BK149" i="10" a="1"/>
  <c r="BK149" i="10"/>
  <c r="BI149" i="10"/>
  <c r="BO149" i="10" a="1"/>
  <c r="BO149" i="10"/>
  <c r="BH149" i="10"/>
  <c r="BN149" i="10" a="1"/>
  <c r="BN149" i="10"/>
  <c r="BD113" i="10"/>
  <c r="BJ113" i="10" a="1"/>
  <c r="BJ113" i="10"/>
  <c r="BF113" i="10"/>
  <c r="BL113" i="10" a="1"/>
  <c r="BL113" i="10"/>
  <c r="BI113" i="10"/>
  <c r="BO113" i="10" a="1"/>
  <c r="BO113" i="10"/>
  <c r="BB93" i="10"/>
  <c r="BU93" i="10"/>
  <c r="BV93" i="10"/>
  <c r="BD218" i="10"/>
  <c r="BJ218" i="10" a="1"/>
  <c r="BJ218" i="10"/>
  <c r="BF218" i="10"/>
  <c r="BL218" i="10" a="1"/>
  <c r="BL218" i="10"/>
  <c r="BB234" i="10"/>
  <c r="BU234" i="10"/>
  <c r="BV234" i="10"/>
  <c r="AT201" i="10"/>
  <c r="BB188" i="10"/>
  <c r="BV188" i="10"/>
  <c r="BU188" i="10"/>
  <c r="BD204" i="10"/>
  <c r="BJ204" i="10" a="1"/>
  <c r="BJ204" i="10"/>
  <c r="BI204" i="10"/>
  <c r="BO204" i="10" a="1"/>
  <c r="BO204" i="10"/>
  <c r="BE204" i="10"/>
  <c r="BK204" i="10" a="1"/>
  <c r="BK204" i="10"/>
  <c r="BF204" i="10"/>
  <c r="BL204" i="10" a="1"/>
  <c r="BL204" i="10"/>
  <c r="BD174" i="10"/>
  <c r="BJ174" i="10" a="1"/>
  <c r="BJ174" i="10"/>
  <c r="BH174" i="10"/>
  <c r="BN174" i="10" a="1"/>
  <c r="BN174" i="10"/>
  <c r="BG174" i="10"/>
  <c r="BM174" i="10" a="1"/>
  <c r="BM174" i="10"/>
  <c r="BD74" i="10"/>
  <c r="BJ74" i="10" a="1"/>
  <c r="BJ74" i="10"/>
  <c r="BE74" i="10"/>
  <c r="BK74" i="10" a="1"/>
  <c r="BK74" i="10"/>
  <c r="BF74" i="10"/>
  <c r="BL74" i="10" a="1"/>
  <c r="BL74" i="10"/>
  <c r="BI150" i="10"/>
  <c r="BO150" i="10" a="1"/>
  <c r="BO150" i="10"/>
  <c r="BI29" i="10"/>
  <c r="BO29" i="10" a="1"/>
  <c r="BO29" i="10"/>
  <c r="BB172" i="10"/>
  <c r="BU172" i="10"/>
  <c r="BV172" i="10"/>
  <c r="BI154" i="10"/>
  <c r="BO154" i="10" a="1"/>
  <c r="BO154" i="10"/>
  <c r="BH232" i="10"/>
  <c r="BN232" i="10" a="1"/>
  <c r="BN232" i="10"/>
  <c r="BE113" i="10"/>
  <c r="BK113" i="10" a="1"/>
  <c r="BK113" i="10"/>
  <c r="BB9" i="10"/>
  <c r="BV9" i="10"/>
  <c r="BU9" i="10"/>
  <c r="BH219" i="10"/>
  <c r="BN219" i="10" a="1"/>
  <c r="BN219" i="10"/>
  <c r="BB141" i="10"/>
  <c r="BU141" i="10"/>
  <c r="BV141" i="10"/>
  <c r="BB69" i="10"/>
  <c r="BV69" i="10"/>
  <c r="BU69" i="10"/>
  <c r="BH55" i="10"/>
  <c r="BN55" i="10" a="1"/>
  <c r="BN55" i="10"/>
  <c r="BB14" i="10"/>
  <c r="BU14" i="10"/>
  <c r="BV14" i="10"/>
  <c r="BG132" i="10"/>
  <c r="BM132" i="10" a="1"/>
  <c r="BM132" i="10"/>
  <c r="BG204" i="10"/>
  <c r="BM204" i="10" a="1"/>
  <c r="BM204" i="10"/>
  <c r="AT85" i="10"/>
  <c r="BB87" i="10"/>
  <c r="BV87" i="10"/>
  <c r="BU87" i="10"/>
  <c r="BD209" i="10"/>
  <c r="BJ209" i="10" a="1"/>
  <c r="BJ209" i="10"/>
  <c r="BF209" i="10"/>
  <c r="BL209" i="10" a="1"/>
  <c r="BL209" i="10"/>
  <c r="BG209" i="10"/>
  <c r="BM209" i="10" a="1"/>
  <c r="BM209" i="10"/>
  <c r="BI209" i="10"/>
  <c r="BO209" i="10" a="1"/>
  <c r="BO209" i="10"/>
  <c r="BH209" i="10"/>
  <c r="BN209" i="10" a="1"/>
  <c r="BN209" i="10"/>
  <c r="BB70" i="10"/>
  <c r="BV70" i="10"/>
  <c r="BU70" i="10"/>
  <c r="BB228" i="10"/>
  <c r="BV228" i="10"/>
  <c r="BU228" i="10"/>
  <c r="BU117" i="10"/>
  <c r="BV117" i="10"/>
  <c r="BB117" i="10"/>
  <c r="BB18" i="10"/>
  <c r="BU18" i="10"/>
  <c r="BV18" i="10"/>
  <c r="BG220" i="10"/>
  <c r="BM220" i="10" a="1"/>
  <c r="BM220" i="10"/>
  <c r="BB202" i="10"/>
  <c r="BU202" i="10"/>
  <c r="BV202" i="10"/>
  <c r="BI27" i="10"/>
  <c r="BO27" i="10" a="1"/>
  <c r="BO27" i="10"/>
  <c r="BD192" i="10"/>
  <c r="BJ192" i="10" a="1"/>
  <c r="BJ192" i="10"/>
  <c r="BH192" i="10"/>
  <c r="BN192" i="10" a="1"/>
  <c r="BN192" i="10"/>
  <c r="BD24" i="10"/>
  <c r="BJ24" i="10" a="1"/>
  <c r="BJ24" i="10"/>
  <c r="BI176" i="10"/>
  <c r="BO176" i="10" a="1"/>
  <c r="BO176" i="10"/>
  <c r="BE132" i="10"/>
  <c r="BK132" i="10" a="1"/>
  <c r="BK132" i="10"/>
  <c r="AT183" i="10"/>
  <c r="BG232" i="10"/>
  <c r="BM232" i="10" a="1"/>
  <c r="BM232" i="10"/>
  <c r="BD190" i="10"/>
  <c r="BJ190" i="10" a="1"/>
  <c r="BJ190" i="10"/>
  <c r="BE190" i="10"/>
  <c r="BK190" i="10" a="1"/>
  <c r="BK190" i="10"/>
  <c r="BG190" i="10"/>
  <c r="BM190" i="10" a="1"/>
  <c r="BM190" i="10"/>
  <c r="BH190" i="10"/>
  <c r="BN190" i="10" a="1"/>
  <c r="BN190" i="10"/>
  <c r="BD133" i="10"/>
  <c r="BJ133" i="10" a="1"/>
  <c r="BJ133" i="10"/>
  <c r="BF133" i="10"/>
  <c r="BL133" i="10" a="1"/>
  <c r="BL133" i="10"/>
  <c r="BD229" i="10"/>
  <c r="BJ229" i="10" a="1"/>
  <c r="BJ229" i="10"/>
  <c r="BG229" i="10"/>
  <c r="BM229" i="10" a="1"/>
  <c r="BM229" i="10"/>
  <c r="BI229" i="10"/>
  <c r="BO229" i="10" a="1"/>
  <c r="BO229" i="10"/>
  <c r="BG116" i="10"/>
  <c r="BM116" i="10" a="1"/>
  <c r="BM116" i="10"/>
  <c r="AT21" i="10"/>
  <c r="AV21" i="10"/>
  <c r="BD56" i="10"/>
  <c r="BJ56" i="10" a="1"/>
  <c r="BJ56" i="10"/>
  <c r="BG56" i="10"/>
  <c r="BM56" i="10" a="1"/>
  <c r="BM56" i="10"/>
  <c r="BF164" i="10"/>
  <c r="BL164" i="10" a="1"/>
  <c r="BL164" i="10"/>
  <c r="BD62" i="10"/>
  <c r="BJ62" i="10" a="1"/>
  <c r="BJ62" i="10"/>
  <c r="BI62" i="10"/>
  <c r="BO62" i="10" a="1"/>
  <c r="BO62" i="10"/>
  <c r="AT93" i="10"/>
  <c r="BD177" i="10"/>
  <c r="BJ177" i="10" a="1"/>
  <c r="BJ177" i="10"/>
  <c r="BG177" i="10"/>
  <c r="BM177" i="10" a="1"/>
  <c r="BM177" i="10"/>
  <c r="BB185" i="10"/>
  <c r="BV185" i="10"/>
  <c r="BU185" i="10"/>
  <c r="BD138" i="10"/>
  <c r="BJ138" i="10" a="1"/>
  <c r="BJ138" i="10"/>
  <c r="BG138" i="10"/>
  <c r="BM138" i="10" a="1"/>
  <c r="BM138" i="10"/>
  <c r="BI138" i="10"/>
  <c r="BO138" i="10" a="1"/>
  <c r="BO138" i="10"/>
  <c r="BF138" i="10"/>
  <c r="BL138" i="10" a="1"/>
  <c r="BL138" i="10"/>
  <c r="BE138" i="10"/>
  <c r="BK138" i="10" a="1"/>
  <c r="BK138" i="10"/>
  <c r="BH138" i="10"/>
  <c r="BN138" i="10" a="1"/>
  <c r="BN138" i="10"/>
  <c r="BH88" i="10"/>
  <c r="BN88" i="10" a="1"/>
  <c r="BN88" i="10"/>
  <c r="BD150" i="10"/>
  <c r="BJ150" i="10" a="1"/>
  <c r="BJ150" i="10"/>
  <c r="BE150" i="10"/>
  <c r="BK150" i="10" a="1"/>
  <c r="BK150" i="10"/>
  <c r="BF150" i="10"/>
  <c r="BL150" i="10" a="1"/>
  <c r="BL150" i="10"/>
  <c r="BH150" i="10"/>
  <c r="BN150" i="10" a="1"/>
  <c r="BN150" i="10"/>
  <c r="BD153" i="10"/>
  <c r="BJ153" i="10" a="1"/>
  <c r="BJ153" i="10"/>
  <c r="BG153" i="10"/>
  <c r="BM153" i="10" a="1"/>
  <c r="BM153" i="10"/>
  <c r="BF153" i="10"/>
  <c r="BL153" i="10" a="1"/>
  <c r="BL153" i="10"/>
  <c r="BH153" i="10"/>
  <c r="BN153" i="10" a="1"/>
  <c r="BN153" i="10"/>
  <c r="BI153" i="10"/>
  <c r="BO153" i="10" a="1"/>
  <c r="BO153" i="10"/>
  <c r="BE153" i="10"/>
  <c r="BK153" i="10" a="1"/>
  <c r="BK153" i="10"/>
  <c r="BE29" i="10"/>
  <c r="BK29" i="10" a="1"/>
  <c r="BK29" i="10"/>
  <c r="BF225" i="10"/>
  <c r="BL225" i="10" a="1"/>
  <c r="BL225" i="10"/>
  <c r="BB204" i="10"/>
  <c r="BV204" i="10"/>
  <c r="BU204" i="10"/>
  <c r="BG110" i="10"/>
  <c r="BM110" i="10" a="1"/>
  <c r="BM110" i="10"/>
  <c r="BI174" i="10"/>
  <c r="BO174" i="10" a="1"/>
  <c r="BO174" i="10"/>
  <c r="AT9" i="10"/>
  <c r="BH27" i="10"/>
  <c r="BN27" i="10" a="1"/>
  <c r="BN27" i="10"/>
  <c r="BI193" i="10"/>
  <c r="BO193" i="10" a="1"/>
  <c r="BO193" i="10"/>
  <c r="BE230" i="10"/>
  <c r="BK230" i="10" a="1"/>
  <c r="BK230" i="10"/>
  <c r="BB146" i="10"/>
  <c r="BV146" i="10"/>
  <c r="BU146" i="10"/>
  <c r="AT141" i="10"/>
  <c r="AV141" i="10"/>
  <c r="BD130" i="10"/>
  <c r="BJ130" i="10" a="1"/>
  <c r="BJ130" i="10"/>
  <c r="BI130" i="10"/>
  <c r="BO130" i="10" a="1"/>
  <c r="BO130" i="10"/>
  <c r="BG130" i="10"/>
  <c r="BM130" i="10" a="1"/>
  <c r="BM130" i="10"/>
  <c r="BF130" i="10"/>
  <c r="BL130" i="10" a="1"/>
  <c r="BL130" i="10"/>
  <c r="BI220" i="10"/>
  <c r="BO220" i="10" a="1"/>
  <c r="BO220" i="10"/>
  <c r="BB92" i="10"/>
  <c r="BV92" i="10"/>
  <c r="BU92" i="10"/>
  <c r="BB224" i="10"/>
  <c r="BV224" i="10"/>
  <c r="BU224" i="10"/>
  <c r="AT87" i="10"/>
  <c r="AV87" i="10"/>
  <c r="BI218" i="10"/>
  <c r="BO218" i="10" a="1"/>
  <c r="BO218" i="10"/>
  <c r="AT160" i="10"/>
  <c r="AV160" i="10"/>
  <c r="BD37" i="10"/>
  <c r="BJ37" i="10" a="1"/>
  <c r="BJ37" i="10"/>
  <c r="BE37" i="10"/>
  <c r="BK37" i="10" a="1"/>
  <c r="BK37" i="10"/>
  <c r="AT10" i="10"/>
  <c r="BB230" i="10"/>
  <c r="BU230" i="10"/>
  <c r="BV230" i="10"/>
  <c r="BB11" i="10"/>
  <c r="BV11" i="10"/>
  <c r="BU11" i="10"/>
  <c r="BB158" i="10"/>
  <c r="BV158" i="10"/>
  <c r="BU158" i="10"/>
  <c r="BH129" i="10"/>
  <c r="BN129" i="10" a="1"/>
  <c r="BN129" i="10"/>
  <c r="AT18" i="10"/>
  <c r="BI171" i="10"/>
  <c r="BO171" i="10" a="1"/>
  <c r="BO171" i="10"/>
  <c r="BD127" i="10"/>
  <c r="BJ127" i="10" a="1"/>
  <c r="BJ127" i="10"/>
  <c r="BF127" i="10"/>
  <c r="BL127" i="10" a="1"/>
  <c r="BL127" i="10"/>
  <c r="BG127" i="10"/>
  <c r="BM127" i="10" a="1"/>
  <c r="BM127" i="10"/>
  <c r="AT136" i="10"/>
  <c r="AT187" i="10"/>
  <c r="AV187" i="10"/>
  <c r="BH122" i="10"/>
  <c r="BN122" i="10" a="1"/>
  <c r="BN122" i="10"/>
  <c r="BD235" i="10"/>
  <c r="BJ235" i="10" a="1"/>
  <c r="BJ235" i="10"/>
  <c r="BG235" i="10"/>
  <c r="BM235" i="10" a="1"/>
  <c r="BM235" i="10"/>
  <c r="AT227" i="10"/>
  <c r="AV227" i="10"/>
  <c r="BB155" i="10"/>
  <c r="BU155" i="10"/>
  <c r="BV155" i="10"/>
  <c r="BD169" i="10"/>
  <c r="BJ169" i="10" a="1"/>
  <c r="BJ169" i="10"/>
  <c r="BE169" i="10"/>
  <c r="BK169" i="10" a="1"/>
  <c r="BK169" i="10"/>
  <c r="BI169" i="10"/>
  <c r="BO169" i="10" a="1"/>
  <c r="BO169" i="10"/>
  <c r="BD104" i="10"/>
  <c r="BJ104" i="10" a="1"/>
  <c r="BJ104" i="10"/>
  <c r="BE104" i="10"/>
  <c r="BK104" i="10" a="1"/>
  <c r="BK104" i="10"/>
  <c r="BF104" i="10"/>
  <c r="BL104" i="10" a="1"/>
  <c r="BL104" i="10"/>
  <c r="BI104" i="10"/>
  <c r="BO104" i="10" a="1"/>
  <c r="BO104" i="10"/>
  <c r="BH104" i="10"/>
  <c r="BN104" i="10" a="1"/>
  <c r="BN104" i="10"/>
  <c r="BD199" i="10"/>
  <c r="BJ199" i="10" a="1"/>
  <c r="BJ199" i="10"/>
  <c r="BE199" i="10"/>
  <c r="BK199" i="10" a="1"/>
  <c r="BK199" i="10"/>
  <c r="BF199" i="10"/>
  <c r="BL199" i="10" a="1"/>
  <c r="BL199" i="10"/>
  <c r="BH199" i="10"/>
  <c r="BN199" i="10" a="1"/>
  <c r="BN199" i="10"/>
  <c r="BI199" i="10"/>
  <c r="BO199" i="10" a="1"/>
  <c r="BO199" i="10"/>
  <c r="BD111" i="10"/>
  <c r="BJ111" i="10" a="1"/>
  <c r="BJ111" i="10"/>
  <c r="BI111" i="10"/>
  <c r="BO111" i="10" a="1"/>
  <c r="BO111" i="10"/>
  <c r="BG111" i="10"/>
  <c r="BM111" i="10" a="1"/>
  <c r="BM111" i="10"/>
  <c r="BE111" i="10"/>
  <c r="BK111" i="10" a="1"/>
  <c r="BK111" i="10"/>
  <c r="BD29" i="10"/>
  <c r="BJ29" i="10" a="1"/>
  <c r="BJ29" i="10"/>
  <c r="BD60" i="10"/>
  <c r="BJ60" i="10" a="1"/>
  <c r="BJ60" i="10"/>
  <c r="BG60" i="10"/>
  <c r="BM60" i="10" a="1"/>
  <c r="BM60" i="10"/>
  <c r="BE60" i="10"/>
  <c r="BK60" i="10" a="1"/>
  <c r="BK60" i="10"/>
  <c r="BG35" i="10"/>
  <c r="BM35" i="10" a="1"/>
  <c r="BM35" i="10"/>
  <c r="BD191" i="10"/>
  <c r="BJ191" i="10" a="1"/>
  <c r="BJ191" i="10"/>
  <c r="BG191" i="10"/>
  <c r="BM191" i="10" a="1"/>
  <c r="BM191" i="10"/>
  <c r="BI191" i="10"/>
  <c r="BO191" i="10" a="1"/>
  <c r="BO191" i="10"/>
  <c r="AT17" i="10"/>
  <c r="BD119" i="10"/>
  <c r="BJ119" i="10" a="1"/>
  <c r="BJ119" i="10"/>
  <c r="BI119" i="10"/>
  <c r="BO119" i="10" a="1"/>
  <c r="BO119" i="10"/>
  <c r="BE119" i="10"/>
  <c r="BK119" i="10" a="1"/>
  <c r="BK119" i="10"/>
  <c r="AT34" i="10"/>
  <c r="AV34" i="10"/>
  <c r="BB24" i="10"/>
  <c r="BV24" i="10"/>
  <c r="BU24" i="10"/>
  <c r="BG24" i="10"/>
  <c r="BM24" i="10" a="1"/>
  <c r="BM24" i="10"/>
  <c r="BI133" i="10"/>
  <c r="BO133" i="10" a="1"/>
  <c r="BO133" i="10"/>
  <c r="BI98" i="10"/>
  <c r="BO98" i="10" a="1"/>
  <c r="BO98" i="10"/>
  <c r="BH24" i="10"/>
  <c r="BN24" i="10" a="1"/>
  <c r="BN24" i="10"/>
  <c r="BD59" i="10"/>
  <c r="BJ59" i="10" a="1"/>
  <c r="BJ59" i="10"/>
  <c r="BH59" i="10"/>
  <c r="BN59" i="10" a="1"/>
  <c r="BN59" i="10"/>
  <c r="BD126" i="10"/>
  <c r="BJ126" i="10" a="1"/>
  <c r="BJ126" i="10"/>
  <c r="BH148" i="10"/>
  <c r="BN148" i="10" a="1"/>
  <c r="BN148" i="10"/>
  <c r="BI73" i="10"/>
  <c r="BO73" i="10" a="1"/>
  <c r="BO73" i="10"/>
  <c r="BD241" i="10"/>
  <c r="BJ241" i="10" a="1"/>
  <c r="BJ241" i="10"/>
  <c r="BG241" i="10"/>
  <c r="BM241" i="10" a="1"/>
  <c r="BM241" i="10"/>
  <c r="BI77" i="10"/>
  <c r="BO77" i="10" a="1"/>
  <c r="BO77" i="10"/>
  <c r="BF27" i="10"/>
  <c r="BL27" i="10" a="1"/>
  <c r="BL27" i="10"/>
  <c r="BG192" i="10"/>
  <c r="BM192" i="10" a="1"/>
  <c r="BM192" i="10"/>
  <c r="BE232" i="10"/>
  <c r="BK232" i="10" a="1"/>
  <c r="BK232" i="10"/>
  <c r="BF192" i="10"/>
  <c r="BL192" i="10" a="1"/>
  <c r="BL192" i="10"/>
  <c r="AT65" i="10"/>
  <c r="AV65" i="10"/>
  <c r="BE24" i="10"/>
  <c r="BK24" i="10" a="1"/>
  <c r="BK24" i="10"/>
  <c r="BD121" i="10"/>
  <c r="BJ121" i="10" a="1"/>
  <c r="BJ121" i="10"/>
  <c r="BI121" i="10"/>
  <c r="BO121" i="10" a="1"/>
  <c r="BO121" i="10"/>
  <c r="BH121" i="10"/>
  <c r="BN121" i="10" a="1"/>
  <c r="BN121" i="10"/>
  <c r="BG121" i="10"/>
  <c r="BM121" i="10" a="1"/>
  <c r="BM121" i="10"/>
  <c r="BD14" i="10"/>
  <c r="BJ14" i="10" a="1"/>
  <c r="BJ14" i="10"/>
  <c r="BH14" i="10"/>
  <c r="BN14" i="10" a="1"/>
  <c r="BN14" i="10"/>
  <c r="BI186" i="10"/>
  <c r="BO186" i="10" a="1"/>
  <c r="BO186" i="10"/>
  <c r="BF24" i="10"/>
  <c r="BL24" i="10" a="1"/>
  <c r="BL24" i="10"/>
  <c r="BF176" i="10"/>
  <c r="BL176" i="10" a="1"/>
  <c r="BL176" i="10"/>
  <c r="BD42" i="10"/>
  <c r="BJ42" i="10" a="1"/>
  <c r="BJ42" i="10"/>
  <c r="BF42" i="10"/>
  <c r="BL42" i="10" a="1"/>
  <c r="BL42" i="10"/>
  <c r="BH42" i="10"/>
  <c r="BN42" i="10" a="1"/>
  <c r="BN42" i="10"/>
  <c r="BE42" i="10"/>
  <c r="BK42" i="10" a="1"/>
  <c r="BK42" i="10"/>
  <c r="BH82" i="10"/>
  <c r="BN82" i="10" a="1"/>
  <c r="BN82" i="10"/>
  <c r="BD91" i="10"/>
  <c r="BJ91" i="10" a="1"/>
  <c r="BJ91" i="10"/>
  <c r="BI91" i="10"/>
  <c r="BO91" i="10" a="1"/>
  <c r="BO91" i="10"/>
  <c r="BD48" i="10"/>
  <c r="BJ48" i="10" a="1"/>
  <c r="BJ48" i="10"/>
  <c r="BE48" i="10"/>
  <c r="BK48" i="10" a="1"/>
  <c r="BK48" i="10"/>
  <c r="BI48" i="10"/>
  <c r="BO48" i="10" a="1"/>
  <c r="BO48" i="10"/>
  <c r="BH111" i="10"/>
  <c r="BN111" i="10" a="1"/>
  <c r="BN111" i="10"/>
  <c r="BD20" i="10"/>
  <c r="BJ20" i="10" a="1"/>
  <c r="BJ20" i="10"/>
  <c r="BF20" i="10"/>
  <c r="BL20" i="10" a="1"/>
  <c r="BL20" i="10"/>
  <c r="BD44" i="10"/>
  <c r="BJ44" i="10" a="1"/>
  <c r="BJ44" i="10"/>
  <c r="BI44" i="10"/>
  <c r="BO44" i="10" a="1"/>
  <c r="BO44" i="10"/>
  <c r="BF44" i="10"/>
  <c r="BL44" i="10" a="1"/>
  <c r="BL44" i="10"/>
  <c r="BG44" i="10"/>
  <c r="BM44" i="10" a="1"/>
  <c r="BM44" i="10"/>
  <c r="BH44" i="10"/>
  <c r="BN44" i="10" a="1"/>
  <c r="BN44" i="10"/>
  <c r="BE44" i="10"/>
  <c r="BK44" i="10" a="1"/>
  <c r="BK44" i="10"/>
  <c r="BE193" i="10"/>
  <c r="BK193" i="10" a="1"/>
  <c r="BK193" i="10"/>
  <c r="BE163" i="10"/>
  <c r="BK163" i="10" a="1"/>
  <c r="BK163" i="10"/>
  <c r="BD178" i="10"/>
  <c r="BJ178" i="10" a="1"/>
  <c r="BJ178" i="10"/>
  <c r="BF178" i="10"/>
  <c r="BL178" i="10" a="1"/>
  <c r="BL178" i="10"/>
  <c r="BF161" i="10"/>
  <c r="BL161" i="10" a="1"/>
  <c r="BL161" i="10"/>
  <c r="BD155" i="10"/>
  <c r="BJ155" i="10" a="1"/>
  <c r="BJ155" i="10"/>
  <c r="BH155" i="10"/>
  <c r="BN155" i="10" a="1"/>
  <c r="BN155" i="10"/>
  <c r="BE155" i="10"/>
  <c r="BK155" i="10" a="1"/>
  <c r="BK155" i="10"/>
  <c r="BG225" i="10"/>
  <c r="BM225" i="10" a="1"/>
  <c r="BM225" i="10"/>
  <c r="BF35" i="10"/>
  <c r="BL35" i="10" a="1"/>
  <c r="BL35" i="10"/>
  <c r="BG149" i="10"/>
  <c r="BM149" i="10" a="1"/>
  <c r="BM149" i="10"/>
  <c r="BD165" i="10"/>
  <c r="BJ165" i="10" a="1"/>
  <c r="BJ165" i="10"/>
  <c r="BB135" i="10"/>
  <c r="BV135" i="10"/>
  <c r="BU135" i="10"/>
  <c r="BE172" i="10"/>
  <c r="BK172" i="10" a="1"/>
  <c r="BK172" i="10"/>
  <c r="BD107" i="10"/>
  <c r="BJ107" i="10" a="1"/>
  <c r="BJ107" i="10"/>
  <c r="BE107" i="10"/>
  <c r="BK107" i="10" a="1"/>
  <c r="BK107" i="10"/>
  <c r="BI107" i="10"/>
  <c r="BO107" i="10" a="1"/>
  <c r="BO107" i="10"/>
  <c r="BG107" i="10"/>
  <c r="BM107" i="10" a="1"/>
  <c r="BM107" i="10"/>
  <c r="BH29" i="10"/>
  <c r="BN29" i="10" a="1"/>
  <c r="BN29" i="10"/>
  <c r="AT215" i="10"/>
  <c r="BD32" i="10"/>
  <c r="BJ32" i="10" a="1"/>
  <c r="BJ32" i="10"/>
  <c r="BE32" i="10"/>
  <c r="BK32" i="10" a="1"/>
  <c r="BK32" i="10"/>
  <c r="BI32" i="10"/>
  <c r="BO32" i="10" a="1"/>
  <c r="BO32" i="10"/>
  <c r="BF32" i="10"/>
  <c r="BL32" i="10" a="1"/>
  <c r="BL32" i="10"/>
  <c r="BU34" i="10"/>
  <c r="BB34" i="10"/>
  <c r="BV34" i="10"/>
  <c r="BD55" i="10"/>
  <c r="BJ55" i="10" a="1"/>
  <c r="BJ55" i="10"/>
  <c r="BD196" i="10"/>
  <c r="BJ196" i="10" a="1"/>
  <c r="BJ196" i="10"/>
  <c r="BE196" i="10"/>
  <c r="BK196" i="10" a="1"/>
  <c r="BK196" i="10"/>
  <c r="BD125" i="10"/>
  <c r="BJ125" i="10" a="1"/>
  <c r="BJ125" i="10"/>
  <c r="BF125" i="10"/>
  <c r="BL125" i="10" a="1"/>
  <c r="BL125" i="10"/>
  <c r="BH125" i="10"/>
  <c r="BN125" i="10" a="1"/>
  <c r="BN125" i="10"/>
  <c r="BG125" i="10"/>
  <c r="BM125" i="10" a="1"/>
  <c r="BM125" i="10"/>
  <c r="BI125" i="10"/>
  <c r="BO125" i="10" a="1"/>
  <c r="BO125" i="10"/>
  <c r="BG197" i="10"/>
  <c r="BM197" i="10" a="1"/>
  <c r="BM197" i="10"/>
  <c r="BI210" i="10"/>
  <c r="BO210" i="10" a="1"/>
  <c r="BO210" i="10"/>
  <c r="BG146" i="10"/>
  <c r="BM146" i="10" a="1"/>
  <c r="BM146" i="10"/>
  <c r="BD151" i="10"/>
  <c r="BJ151" i="10" a="1"/>
  <c r="BJ151" i="10"/>
  <c r="BF151" i="10"/>
  <c r="BL151" i="10" a="1"/>
  <c r="BL151" i="10"/>
  <c r="BH171" i="10"/>
  <c r="BN171" i="10" a="1"/>
  <c r="BN171" i="10"/>
  <c r="BB211" i="10"/>
  <c r="BV211" i="10"/>
  <c r="BU211" i="10"/>
  <c r="AT162" i="10"/>
  <c r="BB229" i="10"/>
  <c r="BU229" i="10"/>
  <c r="BV229" i="10"/>
  <c r="BB152" i="10"/>
  <c r="BV152" i="10"/>
  <c r="BU152" i="10"/>
  <c r="BD234" i="10"/>
  <c r="BJ234" i="10" a="1"/>
  <c r="BJ234" i="10"/>
  <c r="BF234" i="10"/>
  <c r="BL234" i="10" a="1"/>
  <c r="BL234" i="10"/>
  <c r="BE234" i="10"/>
  <c r="BK234" i="10" a="1"/>
  <c r="BK234" i="10"/>
  <c r="AT114" i="10"/>
  <c r="BB218" i="10"/>
  <c r="BU218" i="10"/>
  <c r="BV218" i="10"/>
  <c r="BF119" i="10"/>
  <c r="BL119" i="10" a="1"/>
  <c r="BL119" i="10"/>
  <c r="BI42" i="10"/>
  <c r="BO42" i="10" a="1"/>
  <c r="BO42" i="10"/>
  <c r="AT90" i="10"/>
  <c r="BV57" i="10"/>
  <c r="BB57" i="10"/>
  <c r="BU57" i="10"/>
  <c r="BB125" i="10"/>
  <c r="BV125" i="10"/>
  <c r="BU125" i="10"/>
  <c r="BG230" i="10"/>
  <c r="BM230" i="10" a="1"/>
  <c r="BM230" i="10"/>
  <c r="AT158" i="10"/>
  <c r="BB32" i="10"/>
  <c r="BU32" i="10"/>
  <c r="BV32" i="10"/>
  <c r="BD195" i="10"/>
  <c r="BJ195" i="10" a="1"/>
  <c r="BJ195" i="10"/>
  <c r="BD38" i="10"/>
  <c r="BJ38" i="10" a="1"/>
  <c r="BJ38" i="10"/>
  <c r="BB30" i="10"/>
  <c r="BV30" i="10"/>
  <c r="BU30" i="10"/>
  <c r="BH172" i="10"/>
  <c r="BN172" i="10" a="1"/>
  <c r="BN172" i="10"/>
  <c r="BG164" i="10"/>
  <c r="BM164" i="10" a="1"/>
  <c r="BM164" i="10"/>
  <c r="BB110" i="10"/>
  <c r="BU110" i="10"/>
  <c r="BV110" i="10"/>
  <c r="BG195" i="10"/>
  <c r="BM195" i="10" a="1"/>
  <c r="BM195" i="10"/>
  <c r="BD243" i="10"/>
  <c r="BJ243" i="10" a="1"/>
  <c r="BJ243" i="10"/>
  <c r="BE38" i="10"/>
  <c r="BK38" i="10" a="1"/>
  <c r="BK38" i="10"/>
  <c r="BD49" i="10"/>
  <c r="BJ49" i="10" a="1"/>
  <c r="BJ49" i="10"/>
  <c r="BB187" i="10"/>
  <c r="BU187" i="10"/>
  <c r="BV187" i="10"/>
  <c r="BD41" i="10"/>
  <c r="BJ41" i="10" a="1"/>
  <c r="BJ41" i="10"/>
  <c r="AT63" i="10"/>
  <c r="BH20" i="10"/>
  <c r="BN20" i="10" a="1"/>
  <c r="BN20" i="10"/>
  <c r="BB102" i="10"/>
  <c r="BV102" i="10"/>
  <c r="BU102" i="10"/>
  <c r="BI123" i="10"/>
  <c r="BO123" i="10" a="1"/>
  <c r="BO123" i="10"/>
  <c r="BH53" i="10"/>
  <c r="BN53" i="10" a="1"/>
  <c r="BN53" i="10"/>
  <c r="BD137" i="10"/>
  <c r="BJ137" i="10" a="1"/>
  <c r="BJ137" i="10"/>
  <c r="BB189" i="10"/>
  <c r="BV189" i="10"/>
  <c r="BU189" i="10"/>
  <c r="BD194" i="10"/>
  <c r="BJ194" i="10" a="1"/>
  <c r="BJ194" i="10"/>
  <c r="AT143" i="10"/>
  <c r="AV143" i="10"/>
  <c r="BB99" i="10"/>
  <c r="BU99" i="10"/>
  <c r="BV99" i="10"/>
  <c r="BB60" i="10"/>
  <c r="BU60" i="10"/>
  <c r="BV60" i="10"/>
  <c r="BB233" i="10"/>
  <c r="BU233" i="10"/>
  <c r="BV233" i="10"/>
  <c r="BD103" i="10"/>
  <c r="BJ103" i="10" a="1"/>
  <c r="BJ103" i="10"/>
  <c r="AT61" i="10"/>
  <c r="AV61" i="10"/>
  <c r="BG50" i="10"/>
  <c r="BM50" i="10" a="1"/>
  <c r="BM50" i="10"/>
  <c r="BB162" i="10"/>
  <c r="BV162" i="10"/>
  <c r="BU162" i="10"/>
  <c r="BB37" i="10"/>
  <c r="BV37" i="10"/>
  <c r="BU37" i="10"/>
  <c r="BB235" i="10"/>
  <c r="BV235" i="10"/>
  <c r="BU235" i="10"/>
  <c r="AT92" i="10"/>
  <c r="AV92" i="10"/>
  <c r="BG103" i="10"/>
  <c r="BM103" i="10" a="1"/>
  <c r="BM103" i="10"/>
  <c r="AT224" i="10"/>
  <c r="AV224" i="10"/>
  <c r="BG218" i="10"/>
  <c r="BM218" i="10" a="1"/>
  <c r="BM218" i="10"/>
  <c r="BE108" i="10"/>
  <c r="BK108" i="10" a="1"/>
  <c r="BK108" i="10"/>
  <c r="BD246" i="10"/>
  <c r="BJ246" i="10" a="1"/>
  <c r="BJ246" i="10"/>
  <c r="BI33" i="10"/>
  <c r="BO33" i="10" a="1"/>
  <c r="BO33" i="10"/>
  <c r="BD248" i="10"/>
  <c r="BJ248" i="10" a="1"/>
  <c r="BJ248" i="10"/>
  <c r="BD40" i="10"/>
  <c r="BJ40" i="10" a="1"/>
  <c r="BJ40" i="10"/>
  <c r="BH118" i="10"/>
  <c r="BN118" i="10" a="1"/>
  <c r="BN118" i="10"/>
  <c r="BB78" i="10"/>
  <c r="BV78" i="10"/>
  <c r="BU78" i="10"/>
  <c r="BH228" i="10"/>
  <c r="BN228" i="10" a="1"/>
  <c r="BN228" i="10"/>
  <c r="BD145" i="10"/>
  <c r="BJ145" i="10" a="1"/>
  <c r="BJ145" i="10"/>
  <c r="BH108" i="10"/>
  <c r="BN108" i="10" a="1"/>
  <c r="BN108" i="10"/>
  <c r="BB10" i="10"/>
  <c r="BV10" i="10"/>
  <c r="BU10" i="10"/>
  <c r="AT64" i="10"/>
  <c r="AV64" i="10"/>
  <c r="AT156" i="10"/>
  <c r="BB96" i="10"/>
  <c r="BU96" i="10"/>
  <c r="BV96" i="10"/>
  <c r="BV129" i="10"/>
  <c r="BB129" i="10"/>
  <c r="BU129" i="10"/>
  <c r="BB109" i="10"/>
  <c r="BV109" i="10"/>
  <c r="BU109" i="10"/>
  <c r="BF197" i="10"/>
  <c r="BL197" i="10" a="1"/>
  <c r="BL197" i="10"/>
  <c r="BB239" i="10"/>
  <c r="BV239" i="10"/>
  <c r="BU239" i="10"/>
  <c r="BH33" i="10"/>
  <c r="BN33" i="10" a="1"/>
  <c r="BN33" i="10"/>
  <c r="BH103" i="10"/>
  <c r="BN103" i="10" a="1"/>
  <c r="BN103" i="10"/>
  <c r="BG32" i="10"/>
  <c r="BM32" i="10" a="1"/>
  <c r="BM32" i="10"/>
  <c r="BF202" i="10"/>
  <c r="BL202" i="10" a="1"/>
  <c r="BL202" i="10"/>
  <c r="BD131" i="10"/>
  <c r="BJ131" i="10" a="1"/>
  <c r="BJ131" i="10"/>
  <c r="BD144" i="10"/>
  <c r="BJ144" i="10" a="1"/>
  <c r="BJ144" i="10"/>
  <c r="BE195" i="10"/>
  <c r="BK195" i="10" a="1"/>
  <c r="BK195" i="10"/>
  <c r="BD231" i="10"/>
  <c r="BJ231" i="10" a="1"/>
  <c r="BJ231" i="10"/>
  <c r="BD198" i="10"/>
  <c r="BJ198" i="10" a="1"/>
  <c r="BJ198" i="10"/>
  <c r="BG243" i="10"/>
  <c r="BM243" i="10" a="1"/>
  <c r="BM243" i="10"/>
  <c r="BB245" i="10"/>
  <c r="BV245" i="10"/>
  <c r="BU245" i="10"/>
  <c r="AT188" i="10"/>
  <c r="BB170" i="10"/>
  <c r="BV170" i="10"/>
  <c r="BU170" i="10"/>
  <c r="BB154" i="10"/>
  <c r="BU154" i="10"/>
  <c r="BV154" i="10"/>
  <c r="BD236" i="10"/>
  <c r="BJ236" i="10" a="1"/>
  <c r="BJ236" i="10"/>
  <c r="BD247" i="10"/>
  <c r="BJ247" i="10" a="1"/>
  <c r="BJ247" i="10"/>
  <c r="BH135" i="10"/>
  <c r="BN135" i="10" a="1"/>
  <c r="BN135" i="10"/>
  <c r="BB89" i="10"/>
  <c r="BU89" i="10"/>
  <c r="BV89" i="10"/>
  <c r="BD211" i="10"/>
  <c r="BJ211" i="10" a="1"/>
  <c r="BJ211" i="10"/>
  <c r="BG198" i="10"/>
  <c r="BM198" i="10" a="1"/>
  <c r="BM198" i="10"/>
  <c r="BD237" i="10"/>
  <c r="BJ237" i="10" a="1"/>
  <c r="BJ237" i="10"/>
  <c r="BU36" i="10"/>
  <c r="BV36" i="10"/>
  <c r="BB36" i="10"/>
  <c r="BD167" i="10"/>
  <c r="BJ167" i="10" a="1"/>
  <c r="BJ167" i="10"/>
  <c r="BD68" i="10"/>
  <c r="BJ68" i="10" a="1"/>
  <c r="BJ68" i="10"/>
  <c r="BF53" i="10"/>
  <c r="BL53" i="10" a="1"/>
  <c r="BL53" i="10"/>
  <c r="BB153" i="10"/>
  <c r="BU153" i="10"/>
  <c r="BV153" i="10"/>
  <c r="BD166" i="10"/>
  <c r="BJ166" i="10" a="1"/>
  <c r="BJ166" i="10"/>
  <c r="BE75" i="10"/>
  <c r="BK75" i="10" a="1"/>
  <c r="BK75" i="10"/>
  <c r="BD106" i="10"/>
  <c r="BJ106" i="10" a="1"/>
  <c r="BJ106" i="10"/>
  <c r="BB56" i="10"/>
  <c r="BV56" i="10"/>
  <c r="BU56" i="10"/>
  <c r="BI192" i="10"/>
  <c r="BO192" i="10" a="1"/>
  <c r="BO192" i="10"/>
  <c r="BI71" i="10"/>
  <c r="BO71" i="10" a="1"/>
  <c r="BO71" i="10"/>
  <c r="BD168" i="10"/>
  <c r="BJ168" i="10" a="1"/>
  <c r="BJ168" i="10"/>
  <c r="BB180" i="10"/>
  <c r="BU180" i="10"/>
  <c r="BV180" i="10"/>
  <c r="BF62" i="10"/>
  <c r="BL62" i="10" a="1"/>
  <c r="BL62" i="10"/>
  <c r="BB66" i="10"/>
  <c r="BU66" i="10"/>
  <c r="BV66" i="10"/>
  <c r="BB128" i="10"/>
  <c r="BV128" i="10"/>
  <c r="BU128" i="10"/>
  <c r="AT97" i="10"/>
  <c r="AV97" i="10"/>
  <c r="AT223" i="10"/>
  <c r="BH211" i="10"/>
  <c r="BN211" i="10" a="1"/>
  <c r="BN211" i="10"/>
  <c r="BB47" i="10"/>
  <c r="BU47" i="10"/>
  <c r="BV47" i="10"/>
  <c r="BB147" i="10"/>
  <c r="BU147" i="10"/>
  <c r="BV147" i="10"/>
  <c r="BH229" i="10"/>
  <c r="BN229" i="10" a="1"/>
  <c r="BN229" i="10"/>
  <c r="AT69" i="10"/>
  <c r="AV69" i="10"/>
  <c r="BE182" i="10"/>
  <c r="BK182" i="10" a="1"/>
  <c r="BK182" i="10"/>
  <c r="BI40" i="10"/>
  <c r="BO40" i="10" a="1"/>
  <c r="BO40" i="10"/>
  <c r="BF193" i="10"/>
  <c r="BL193" i="10" a="1"/>
  <c r="BL193" i="10"/>
  <c r="BD244" i="10"/>
  <c r="BJ244" i="10" a="1"/>
  <c r="BJ244" i="10"/>
  <c r="BB95" i="10"/>
  <c r="BV95" i="10"/>
  <c r="BU95" i="10"/>
  <c r="BV44" i="10"/>
  <c r="BU44" i="10"/>
  <c r="BB44" i="10"/>
  <c r="BD67" i="10"/>
  <c r="BJ67" i="10" a="1"/>
  <c r="BJ67" i="10"/>
  <c r="BB79" i="10"/>
  <c r="BV79" i="10"/>
  <c r="BU79" i="10"/>
  <c r="BB113" i="10"/>
  <c r="BV113" i="10"/>
  <c r="BU113" i="10"/>
  <c r="BD205" i="10"/>
  <c r="BJ205" i="10" a="1"/>
  <c r="BJ205" i="10"/>
  <c r="BB88" i="10"/>
  <c r="BV88" i="10"/>
  <c r="BU88" i="10"/>
  <c r="BI168" i="10"/>
  <c r="BO168" i="10" a="1"/>
  <c r="BO168" i="10"/>
  <c r="BG57" i="10"/>
  <c r="BM57" i="10" a="1"/>
  <c r="BM57" i="10"/>
  <c r="AT70" i="10"/>
  <c r="AV70" i="10"/>
  <c r="BB222" i="10"/>
  <c r="BU222" i="10"/>
  <c r="BV222" i="10"/>
  <c r="BB203" i="10"/>
  <c r="BU203" i="10"/>
  <c r="BV203" i="10"/>
  <c r="BB72" i="10"/>
  <c r="BU72" i="10"/>
  <c r="BV72" i="10"/>
  <c r="BB23" i="10"/>
  <c r="BU23" i="10"/>
  <c r="BV23" i="10"/>
  <c r="BG137" i="10"/>
  <c r="BM137" i="10" a="1"/>
  <c r="BM137" i="10"/>
  <c r="BE144" i="10"/>
  <c r="BK144" i="10" a="1"/>
  <c r="BK144" i="10"/>
  <c r="AT11" i="10"/>
  <c r="AT240" i="10"/>
  <c r="AV240" i="10"/>
  <c r="BE40" i="10"/>
  <c r="BK40" i="10" a="1"/>
  <c r="BK40" i="10"/>
  <c r="AT117" i="10"/>
  <c r="AT81" i="10"/>
  <c r="AV81" i="10"/>
  <c r="BB54" i="10"/>
  <c r="BV54" i="10"/>
  <c r="BU54" i="10"/>
  <c r="BB112" i="10"/>
  <c r="BU112" i="10"/>
  <c r="BV112" i="10"/>
  <c r="AT89" i="10"/>
  <c r="AV89" i="10"/>
  <c r="BD118" i="10"/>
  <c r="BJ118" i="10" a="1"/>
  <c r="BJ118" i="10"/>
  <c r="BH36" i="10"/>
  <c r="BN36" i="10" a="1"/>
  <c r="BN36" i="10"/>
  <c r="BF123" i="10"/>
  <c r="BL123" i="10" a="1"/>
  <c r="BL123" i="10"/>
  <c r="BD53" i="10"/>
  <c r="BJ53" i="10" a="1"/>
  <c r="BJ53" i="10"/>
  <c r="BB210" i="10"/>
  <c r="BU210" i="10"/>
  <c r="BV210" i="10"/>
  <c r="BF56" i="10"/>
  <c r="BL56" i="10" a="1"/>
  <c r="BL56" i="10"/>
  <c r="BD173" i="10"/>
  <c r="BJ173" i="10" a="1"/>
  <c r="BJ173" i="10"/>
  <c r="BE53" i="10"/>
  <c r="BK53" i="10" a="1"/>
  <c r="BK53" i="10"/>
  <c r="BB214" i="10"/>
  <c r="BU214" i="10"/>
  <c r="BV214" i="10"/>
  <c r="BB126" i="10"/>
  <c r="BV126" i="10"/>
  <c r="BU126" i="10"/>
  <c r="BB98" i="10"/>
  <c r="BV98" i="10"/>
  <c r="BU98" i="10"/>
  <c r="AT66" i="10"/>
  <c r="AT128" i="10"/>
  <c r="AV128" i="10"/>
  <c r="BD108" i="10"/>
  <c r="BJ108" i="10" a="1"/>
  <c r="BJ108" i="10"/>
  <c r="BD25" i="10"/>
  <c r="BJ25" i="10" a="1"/>
  <c r="BJ25" i="10"/>
  <c r="AT47" i="10"/>
  <c r="AT147" i="10"/>
  <c r="AV147" i="10"/>
  <c r="BD182" i="10"/>
  <c r="BJ182" i="10" a="1"/>
  <c r="BJ182" i="10"/>
  <c r="BB33" i="10"/>
  <c r="BV33" i="10"/>
  <c r="BU33" i="10"/>
  <c r="BB52" i="10"/>
  <c r="BU52" i="10"/>
  <c r="BV52" i="10"/>
  <c r="AT95" i="10"/>
  <c r="BB221" i="10"/>
  <c r="BV221" i="10"/>
  <c r="BU221" i="10"/>
  <c r="AT79" i="10"/>
  <c r="BB238" i="10"/>
  <c r="BU238" i="10"/>
  <c r="BV238" i="10"/>
  <c r="BD221" i="10"/>
  <c r="BJ221" i="10" a="1"/>
  <c r="BJ221" i="10"/>
  <c r="BI38" i="10"/>
  <c r="BO38" i="10" a="1"/>
  <c r="BO38" i="10"/>
  <c r="BD80" i="10"/>
  <c r="BJ80" i="10" a="1"/>
  <c r="BJ80" i="10"/>
  <c r="BG113" i="10"/>
  <c r="BM113" i="10" a="1"/>
  <c r="BM113" i="10"/>
  <c r="BB236" i="10"/>
  <c r="BU236" i="10"/>
  <c r="BV236" i="10"/>
  <c r="BG88" i="10"/>
  <c r="BM88" i="10" a="1"/>
  <c r="BM88" i="10"/>
  <c r="BB58" i="10"/>
  <c r="BV58" i="10"/>
  <c r="BU58" i="10"/>
  <c r="BG247" i="10"/>
  <c r="BM247" i="10" a="1"/>
  <c r="BM247" i="10"/>
  <c r="AT222" i="10"/>
  <c r="AV222" i="10"/>
  <c r="AT203" i="10"/>
  <c r="AT72" i="10"/>
  <c r="AT23" i="10"/>
  <c r="BB130" i="10"/>
  <c r="BV130" i="10"/>
  <c r="BU130" i="10"/>
  <c r="BU22" i="10"/>
  <c r="BB22" i="10"/>
  <c r="BV22" i="10"/>
  <c r="BB101" i="10"/>
  <c r="BU101" i="10"/>
  <c r="BV101" i="10"/>
  <c r="BB19" i="10"/>
  <c r="BU19" i="10"/>
  <c r="BV19" i="10"/>
  <c r="AT54" i="10"/>
  <c r="AV54" i="10"/>
  <c r="BB51" i="10"/>
  <c r="BV51" i="10"/>
  <c r="BU51" i="10"/>
  <c r="AT112" i="10"/>
  <c r="BD83" i="10"/>
  <c r="BJ83" i="10" a="1"/>
  <c r="BJ83" i="10"/>
  <c r="BD123" i="10"/>
  <c r="BJ123" i="10" a="1"/>
  <c r="BJ123" i="10"/>
  <c r="BD71" i="10"/>
  <c r="BJ71" i="10" a="1"/>
  <c r="BJ71" i="10"/>
  <c r="BD228" i="10"/>
  <c r="BJ228" i="10" a="1"/>
  <c r="BJ228" i="10"/>
  <c r="BF210" i="10"/>
  <c r="BL210" i="10" a="1"/>
  <c r="BL210" i="10"/>
  <c r="BB120" i="10"/>
  <c r="BV120" i="10"/>
  <c r="BU120" i="10"/>
  <c r="BD57" i="10"/>
  <c r="BJ57" i="10" a="1"/>
  <c r="BJ57" i="10"/>
  <c r="AT214" i="10"/>
  <c r="AV214" i="10"/>
  <c r="BG38" i="10"/>
  <c r="BM38" i="10" a="1"/>
  <c r="BM38" i="10"/>
  <c r="BG126" i="10"/>
  <c r="BM126" i="10" a="1"/>
  <c r="BM126" i="10"/>
  <c r="BH98" i="10"/>
  <c r="BN98" i="10" a="1"/>
  <c r="BN98" i="10"/>
  <c r="BH57" i="10"/>
  <c r="BN57" i="10" a="1"/>
  <c r="BN57" i="10"/>
  <c r="BB86" i="10"/>
  <c r="BU86" i="10"/>
  <c r="BV86" i="10"/>
  <c r="BB157" i="10"/>
  <c r="BV157" i="10"/>
  <c r="BU157" i="10"/>
  <c r="BG106" i="10"/>
  <c r="BM106" i="10" a="1"/>
  <c r="BM106" i="10"/>
  <c r="BI108" i="10"/>
  <c r="BO108" i="10" a="1"/>
  <c r="BO108" i="10"/>
  <c r="BB45" i="10"/>
  <c r="BU45" i="10"/>
  <c r="BV45" i="10"/>
  <c r="BG108" i="10"/>
  <c r="BM108" i="10" a="1"/>
  <c r="BM108" i="10"/>
  <c r="BE25" i="10"/>
  <c r="BK25" i="10" a="1"/>
  <c r="BK25" i="10"/>
  <c r="BB59" i="10"/>
  <c r="BU59" i="10"/>
  <c r="BV59" i="10"/>
  <c r="BI25" i="10"/>
  <c r="BO25" i="10" a="1"/>
  <c r="BO25" i="10"/>
  <c r="AT52" i="10"/>
  <c r="BB219" i="10"/>
  <c r="BU219" i="10"/>
  <c r="BV219" i="10"/>
  <c r="BB48" i="10"/>
  <c r="BV48" i="10"/>
  <c r="BU48" i="10"/>
  <c r="BB35" i="10"/>
  <c r="BU35" i="10"/>
  <c r="BV35" i="10"/>
  <c r="BB25" i="10"/>
  <c r="BU25" i="10"/>
  <c r="BV25" i="10"/>
  <c r="BH106" i="10"/>
  <c r="BN106" i="10" a="1"/>
  <c r="BN106" i="10"/>
  <c r="AT238" i="10"/>
  <c r="BB121" i="10"/>
  <c r="BU121" i="10"/>
  <c r="BV121" i="10"/>
  <c r="BG33" i="10"/>
  <c r="BM33" i="10" a="1"/>
  <c r="BM33" i="10"/>
  <c r="BI236" i="10"/>
  <c r="BO236" i="10" a="1"/>
  <c r="BO236" i="10"/>
  <c r="BB242" i="10"/>
  <c r="BU242" i="10"/>
  <c r="BV242" i="10"/>
  <c r="AT58" i="10"/>
  <c r="BD105" i="10"/>
  <c r="BJ105" i="10" a="1"/>
  <c r="BJ105" i="10"/>
  <c r="BB145" i="10"/>
  <c r="BV145" i="10"/>
  <c r="BU145" i="10"/>
  <c r="BB46" i="10"/>
  <c r="BU46" i="10"/>
  <c r="BV46" i="10"/>
  <c r="BB13" i="10"/>
  <c r="BU13" i="10"/>
  <c r="BV13" i="10"/>
  <c r="BB38" i="10"/>
  <c r="BU38" i="10"/>
  <c r="BV38" i="10"/>
  <c r="BD239" i="10"/>
  <c r="BJ239" i="10" a="1"/>
  <c r="BJ239" i="10"/>
  <c r="BB103" i="10"/>
  <c r="BV103" i="10"/>
  <c r="BU103" i="10"/>
  <c r="BB134" i="10"/>
  <c r="BU134" i="10"/>
  <c r="BV134" i="10"/>
  <c r="BB12" i="10"/>
  <c r="BV12" i="10"/>
  <c r="BU12" i="10"/>
  <c r="BH38" i="10"/>
  <c r="BN38" i="10" a="1"/>
  <c r="BN38" i="10"/>
  <c r="AT22" i="10"/>
  <c r="BI101" i="10"/>
  <c r="BO101" i="10" a="1"/>
  <c r="BO101" i="10"/>
  <c r="AT19" i="10"/>
  <c r="AT51" i="10"/>
  <c r="BD212" i="10"/>
  <c r="BJ212" i="10" a="1"/>
  <c r="BJ212" i="10"/>
  <c r="BD94" i="10"/>
  <c r="BJ94" i="10" a="1"/>
  <c r="BJ94" i="10"/>
  <c r="BD26" i="10"/>
  <c r="BJ26" i="10" a="1"/>
  <c r="BJ26" i="10"/>
  <c r="BD208" i="10"/>
  <c r="BJ208" i="10" a="1"/>
  <c r="BJ208" i="10"/>
  <c r="BD207" i="10"/>
  <c r="BJ207" i="10" a="1"/>
  <c r="BJ207" i="10"/>
  <c r="BE83" i="10"/>
  <c r="BK83" i="10" a="1"/>
  <c r="BK83" i="10"/>
  <c r="BD101" i="10"/>
  <c r="BJ101" i="10" a="1"/>
  <c r="BJ101" i="10"/>
  <c r="BD139" i="10"/>
  <c r="BJ139" i="10" a="1"/>
  <c r="BJ139" i="10"/>
  <c r="BD43" i="10"/>
  <c r="BJ43" i="10" a="1"/>
  <c r="BJ43" i="10"/>
  <c r="BB198" i="10"/>
  <c r="BU198" i="10"/>
  <c r="BV198" i="10"/>
  <c r="BB136" i="10"/>
  <c r="BU136" i="10"/>
  <c r="BV136" i="10"/>
  <c r="BD242" i="10"/>
  <c r="BJ242" i="10" a="1"/>
  <c r="BJ242" i="10"/>
  <c r="BB184" i="10"/>
  <c r="BV184" i="10"/>
  <c r="BU184" i="10"/>
  <c r="BI237" i="10"/>
  <c r="BO237" i="10" a="1"/>
  <c r="BO237" i="10"/>
  <c r="BH243" i="10"/>
  <c r="BN243" i="10" a="1"/>
  <c r="BN243" i="10"/>
  <c r="BB42" i="10"/>
  <c r="BU42" i="10"/>
  <c r="BV42" i="10"/>
  <c r="BB65" i="10"/>
  <c r="BV65" i="10"/>
  <c r="BU65" i="10"/>
  <c r="BI231" i="10"/>
  <c r="BO231" i="10" a="1"/>
  <c r="BO231" i="10"/>
  <c r="BG236" i="10"/>
  <c r="BM236" i="10" a="1"/>
  <c r="BM236" i="10"/>
  <c r="BD75" i="10"/>
  <c r="BJ75" i="10" a="1"/>
  <c r="BJ75" i="10"/>
  <c r="BD206" i="10"/>
  <c r="BJ206" i="10" a="1"/>
  <c r="BJ206" i="10"/>
  <c r="BD189" i="10"/>
  <c r="BJ189" i="10" a="1"/>
  <c r="BJ189" i="10"/>
  <c r="BB215" i="10"/>
  <c r="BU215" i="10"/>
  <c r="BV215" i="10"/>
  <c r="BB232" i="10"/>
  <c r="BV232" i="10"/>
  <c r="BU232" i="10"/>
  <c r="BI75" i="10"/>
  <c r="BO75" i="10" a="1"/>
  <c r="BO75" i="10"/>
  <c r="BI206" i="10"/>
  <c r="BO206" i="10" a="1"/>
  <c r="BO206" i="10"/>
  <c r="BE71" i="10"/>
  <c r="BK71" i="10" a="1"/>
  <c r="BK71" i="10"/>
  <c r="BD33" i="10"/>
  <c r="BJ33" i="10" a="1"/>
  <c r="BJ33" i="10"/>
  <c r="BB84" i="10"/>
  <c r="BV84" i="10"/>
  <c r="BU84" i="10"/>
  <c r="BI120" i="10"/>
  <c r="BO120" i="10" a="1"/>
  <c r="BO120" i="10"/>
  <c r="BB17" i="10"/>
  <c r="BV17" i="10"/>
  <c r="BU17" i="10"/>
  <c r="BB227" i="10"/>
  <c r="BU227" i="10"/>
  <c r="BV227" i="10"/>
  <c r="BG43" i="10"/>
  <c r="BM43" i="10" a="1"/>
  <c r="BM43" i="10"/>
  <c r="BD76" i="10"/>
  <c r="BJ76" i="10" a="1"/>
  <c r="BJ76" i="10"/>
  <c r="AT86" i="10"/>
  <c r="AT157" i="10"/>
  <c r="AV157" i="10"/>
  <c r="BB21" i="10"/>
  <c r="BV21" i="10"/>
  <c r="BU21" i="10"/>
  <c r="AT45" i="10"/>
  <c r="BI59" i="10"/>
  <c r="BO59" i="10" a="1"/>
  <c r="BO59" i="10"/>
  <c r="BB200" i="10"/>
  <c r="BV200" i="10"/>
  <c r="BU200" i="10"/>
  <c r="BB114" i="10"/>
  <c r="BU114" i="10"/>
  <c r="BV114" i="10"/>
  <c r="BB175" i="10"/>
  <c r="BU175" i="10"/>
  <c r="BV175" i="10"/>
  <c r="BE167" i="10"/>
  <c r="BK167" i="10" a="1"/>
  <c r="BK167" i="10"/>
  <c r="BI219" i="10"/>
  <c r="BO219" i="10" a="1"/>
  <c r="BO219" i="10"/>
  <c r="BG48" i="10"/>
  <c r="BM48" i="10" a="1"/>
  <c r="BM48" i="10"/>
  <c r="BH35" i="10"/>
  <c r="BN35" i="10" a="1"/>
  <c r="BN35" i="10"/>
  <c r="BF25" i="10"/>
  <c r="BL25" i="10" a="1"/>
  <c r="BL25" i="10"/>
  <c r="BB119" i="10"/>
  <c r="BU119" i="10"/>
  <c r="BV119" i="10"/>
  <c r="BF121" i="10"/>
  <c r="BL121" i="10" a="1"/>
  <c r="BL121" i="10"/>
  <c r="BB85" i="10"/>
  <c r="BU85" i="10"/>
  <c r="BV85" i="10"/>
  <c r="BB177" i="10"/>
  <c r="BV177" i="10"/>
  <c r="BU177" i="10"/>
  <c r="BB122" i="10"/>
  <c r="BV122" i="10"/>
  <c r="BU122" i="10"/>
  <c r="BD39" i="10"/>
  <c r="BJ39" i="10" a="1"/>
  <c r="BJ39" i="10"/>
  <c r="BB94" i="10"/>
  <c r="BV94" i="10"/>
  <c r="BU94" i="10"/>
  <c r="BI242" i="10"/>
  <c r="BO242" i="10" a="1"/>
  <c r="BO242" i="10"/>
  <c r="BB90" i="10"/>
  <c r="BV90" i="10"/>
  <c r="BU90" i="10"/>
  <c r="BE194" i="10"/>
  <c r="BK194" i="10" a="1"/>
  <c r="BK194" i="10"/>
  <c r="BB108" i="10"/>
  <c r="BU108" i="10"/>
  <c r="BV108" i="10"/>
  <c r="BB160" i="10"/>
  <c r="BV160" i="10"/>
  <c r="BU160" i="10"/>
  <c r="AT46" i="10"/>
  <c r="AT13" i="10"/>
  <c r="BB16" i="10"/>
  <c r="BU16" i="10"/>
  <c r="BV16" i="10"/>
  <c r="BB181" i="10"/>
  <c r="BU181" i="10"/>
  <c r="BV181" i="10"/>
  <c r="AT134" i="10"/>
  <c r="AT12" i="10"/>
  <c r="BI194" i="10"/>
  <c r="BO194" i="10" a="1"/>
  <c r="BO194" i="10"/>
  <c r="BB183" i="10"/>
  <c r="BV183" i="10"/>
  <c r="BU183" i="10"/>
  <c r="BB100" i="10"/>
  <c r="BU100" i="10"/>
  <c r="BV100" i="10"/>
  <c r="BB40" i="10"/>
  <c r="BV40" i="10"/>
  <c r="BU40" i="10"/>
  <c r="BF31" i="10"/>
  <c r="BL31" i="10" a="1"/>
  <c r="BL31" i="10"/>
  <c r="AV31" i="10"/>
  <c r="BF181" i="10"/>
  <c r="BL181" i="10" a="1"/>
  <c r="BL181" i="10"/>
  <c r="AV181" i="10"/>
  <c r="BF158" i="10"/>
  <c r="BL158" i="10" a="1"/>
  <c r="BL158" i="10"/>
  <c r="AV158" i="10"/>
  <c r="BF90" i="10"/>
  <c r="BL90" i="10" a="1"/>
  <c r="BL90" i="10"/>
  <c r="AV90" i="10"/>
  <c r="BF45" i="10"/>
  <c r="BL45" i="10" a="1"/>
  <c r="BL45" i="10"/>
  <c r="AV45" i="10"/>
  <c r="BF58" i="10"/>
  <c r="BL58" i="10" a="1"/>
  <c r="BL58" i="10"/>
  <c r="AV58" i="10"/>
  <c r="BF23" i="10"/>
  <c r="BL23" i="10" a="1"/>
  <c r="BL23" i="10"/>
  <c r="AV23" i="10"/>
  <c r="BF47" i="10"/>
  <c r="BL47" i="10" a="1"/>
  <c r="BL47" i="10"/>
  <c r="AV47" i="10"/>
  <c r="BF117" i="10"/>
  <c r="BL117" i="10" a="1"/>
  <c r="BL117" i="10"/>
  <c r="AV117" i="10"/>
  <c r="BF188" i="10"/>
  <c r="BL188" i="10" a="1"/>
  <c r="BL188" i="10"/>
  <c r="AV188" i="10"/>
  <c r="BF215" i="10"/>
  <c r="BL215" i="10" a="1"/>
  <c r="BL215" i="10"/>
  <c r="AV215" i="10"/>
  <c r="BF200" i="10"/>
  <c r="BL200" i="10" a="1"/>
  <c r="BL200" i="10"/>
  <c r="AV200" i="10"/>
  <c r="BF86" i="10"/>
  <c r="BL86" i="10" a="1"/>
  <c r="BL86" i="10"/>
  <c r="AV86" i="10"/>
  <c r="BF19" i="10"/>
  <c r="BL19" i="10" a="1"/>
  <c r="BL19" i="10"/>
  <c r="AV19" i="10"/>
  <c r="BF136" i="10"/>
  <c r="BL136" i="10" a="1"/>
  <c r="BL136" i="10"/>
  <c r="AV136" i="10"/>
  <c r="BF10" i="10"/>
  <c r="BL10" i="10" a="1"/>
  <c r="BL10" i="10"/>
  <c r="AV10" i="10"/>
  <c r="BF9" i="10"/>
  <c r="BL9" i="10" a="1"/>
  <c r="BL9" i="10"/>
  <c r="AV9" i="10"/>
  <c r="BF183" i="10"/>
  <c r="BL183" i="10" a="1"/>
  <c r="BL183" i="10"/>
  <c r="AV183" i="10"/>
  <c r="BF30" i="10"/>
  <c r="BL30" i="10" a="1"/>
  <c r="BL30" i="10"/>
  <c r="AV30" i="10"/>
  <c r="BF162" i="10"/>
  <c r="BL162" i="10" a="1"/>
  <c r="BL162" i="10"/>
  <c r="AV162" i="10"/>
  <c r="BF16" i="10"/>
  <c r="BL16" i="10" a="1"/>
  <c r="BL16" i="10"/>
  <c r="AV16" i="10"/>
  <c r="BF238" i="10"/>
  <c r="BL238" i="10" a="1"/>
  <c r="BL238" i="10"/>
  <c r="AV238" i="10"/>
  <c r="BF63" i="10"/>
  <c r="BL63" i="10" a="1"/>
  <c r="BL63" i="10"/>
  <c r="AV63" i="10"/>
  <c r="BF203" i="10"/>
  <c r="BL203" i="10" a="1"/>
  <c r="BL203" i="10"/>
  <c r="AV203" i="10"/>
  <c r="BF18" i="10"/>
  <c r="BL18" i="10" a="1"/>
  <c r="BL18" i="10"/>
  <c r="AV18" i="10"/>
  <c r="BF201" i="10"/>
  <c r="BL201" i="10" a="1"/>
  <c r="BL201" i="10"/>
  <c r="AV201" i="10"/>
  <c r="BF78" i="10"/>
  <c r="BL78" i="10" a="1"/>
  <c r="BL78" i="10"/>
  <c r="AV78" i="10"/>
  <c r="BF114" i="10"/>
  <c r="BL114" i="10" a="1"/>
  <c r="BL114" i="10"/>
  <c r="AV114" i="10"/>
  <c r="BF72" i="10"/>
  <c r="BL72" i="10" a="1"/>
  <c r="BL72" i="10"/>
  <c r="AV72" i="10"/>
  <c r="BF12" i="10"/>
  <c r="BL12" i="10" a="1"/>
  <c r="BL12" i="10"/>
  <c r="AV12" i="10"/>
  <c r="BF13" i="10"/>
  <c r="BL13" i="10" a="1"/>
  <c r="BL13" i="10"/>
  <c r="AV13" i="10"/>
  <c r="BF79" i="10"/>
  <c r="BL79" i="10" a="1"/>
  <c r="BL79" i="10"/>
  <c r="AV79" i="10"/>
  <c r="BF11" i="10"/>
  <c r="BL11" i="10" a="1"/>
  <c r="BL11" i="10"/>
  <c r="AV11" i="10"/>
  <c r="BF223" i="10"/>
  <c r="BL223" i="10" a="1"/>
  <c r="BL223" i="10"/>
  <c r="AV223" i="10"/>
  <c r="BF156" i="10"/>
  <c r="BL156" i="10" a="1"/>
  <c r="BL156" i="10"/>
  <c r="AV156" i="10"/>
  <c r="BF17" i="10"/>
  <c r="BL17" i="10" a="1"/>
  <c r="BL17" i="10"/>
  <c r="AV17" i="10"/>
  <c r="BF93" i="10"/>
  <c r="BL93" i="10" a="1"/>
  <c r="BL93" i="10"/>
  <c r="AV93" i="10"/>
  <c r="BF152" i="10"/>
  <c r="BL152" i="10" a="1"/>
  <c r="BL152" i="10"/>
  <c r="AV152" i="10"/>
  <c r="BF28" i="10"/>
  <c r="BL28" i="10" a="1"/>
  <c r="BL28" i="10"/>
  <c r="AV28" i="10"/>
  <c r="BF22" i="10"/>
  <c r="BL22" i="10" a="1"/>
  <c r="BL22" i="10"/>
  <c r="AV22" i="10"/>
  <c r="BF52" i="10"/>
  <c r="BL52" i="10" a="1"/>
  <c r="BL52" i="10"/>
  <c r="AV52" i="10"/>
  <c r="BF112" i="10"/>
  <c r="BL112" i="10" a="1"/>
  <c r="BL112" i="10"/>
  <c r="AV112" i="10"/>
  <c r="BF95" i="10"/>
  <c r="BL95" i="10" a="1"/>
  <c r="BL95" i="10"/>
  <c r="AV95" i="10"/>
  <c r="BF226" i="10"/>
  <c r="BL226" i="10" a="1"/>
  <c r="BL226" i="10"/>
  <c r="AV226" i="10"/>
  <c r="BF100" i="10"/>
  <c r="BL100" i="10" a="1"/>
  <c r="BL100" i="10"/>
  <c r="AV100" i="10"/>
  <c r="BF134" i="10"/>
  <c r="BL134" i="10" a="1"/>
  <c r="BL134" i="10"/>
  <c r="AV134" i="10"/>
  <c r="BF46" i="10"/>
  <c r="BL46" i="10" a="1"/>
  <c r="BL46" i="10"/>
  <c r="AV46" i="10"/>
  <c r="BF51" i="10"/>
  <c r="BL51" i="10" a="1"/>
  <c r="BL51" i="10"/>
  <c r="AV51" i="10"/>
  <c r="BF66" i="10"/>
  <c r="BL66" i="10" a="1"/>
  <c r="BL66" i="10"/>
  <c r="AV66" i="10"/>
  <c r="BF85" i="10"/>
  <c r="BL85" i="10" a="1"/>
  <c r="BL85" i="10"/>
  <c r="AV85" i="10"/>
  <c r="BP105" i="10"/>
  <c r="BP244" i="10"/>
  <c r="BP41" i="10"/>
  <c r="BP91" i="10"/>
  <c r="BP68" i="10"/>
  <c r="BP159" i="10"/>
  <c r="BP76" i="10"/>
  <c r="BP209" i="10"/>
  <c r="BP208" i="10"/>
  <c r="BP80" i="10"/>
  <c r="BP137" i="10"/>
  <c r="BP139" i="10"/>
  <c r="BP131" i="10"/>
  <c r="BP67" i="10"/>
  <c r="BP116" i="10"/>
  <c r="BP168" i="10"/>
  <c r="BP177" i="10"/>
  <c r="BP247" i="10"/>
  <c r="BP150" i="10"/>
  <c r="BP213" i="10"/>
  <c r="BP206" i="10"/>
  <c r="BP77" i="10"/>
  <c r="BP216" i="10"/>
  <c r="BP127" i="10"/>
  <c r="BP194" i="10"/>
  <c r="BP165" i="10"/>
  <c r="BP27" i="10"/>
  <c r="BP174" i="10"/>
  <c r="BP49" i="10"/>
  <c r="BP225" i="10"/>
  <c r="BP161" i="10"/>
  <c r="BP74" i="10"/>
  <c r="BP42" i="10"/>
  <c r="BP71" i="10"/>
  <c r="BP199" i="10"/>
  <c r="BP132" i="10"/>
  <c r="BP140" i="10"/>
  <c r="BP39" i="10"/>
  <c r="BP43" i="10"/>
  <c r="BP212" i="10"/>
  <c r="BP173" i="10"/>
  <c r="BP196" i="10"/>
  <c r="BP148" i="10"/>
  <c r="BP50" i="10"/>
  <c r="BP35" i="10"/>
  <c r="BP123" i="10"/>
  <c r="BP135" i="10"/>
  <c r="BP73" i="10"/>
  <c r="BP176" i="10"/>
  <c r="BP175" i="10"/>
  <c r="BP83" i="10"/>
  <c r="BP182" i="10"/>
  <c r="BP53" i="10"/>
  <c r="BP129" i="10"/>
  <c r="BP235" i="10"/>
  <c r="BP60" i="10"/>
  <c r="BP241" i="10"/>
  <c r="BP191" i="10"/>
  <c r="BP75" i="10"/>
  <c r="BP163" i="10"/>
  <c r="BP82" i="10"/>
  <c r="BP15" i="10"/>
  <c r="BP145" i="10"/>
  <c r="BP99" i="10"/>
  <c r="BP130" i="10"/>
  <c r="BP169" i="10"/>
  <c r="BP149" i="10"/>
  <c r="BP153" i="10"/>
  <c r="BP29" i="10"/>
  <c r="BP48" i="10"/>
  <c r="BP204" i="10"/>
  <c r="BP26" i="10"/>
  <c r="BP167" i="10"/>
  <c r="BP248" i="10"/>
  <c r="BP110" i="10"/>
  <c r="BP230" i="10"/>
  <c r="BP190" i="10"/>
  <c r="BP55" i="10"/>
  <c r="BP217" i="10"/>
  <c r="BP106" i="10"/>
  <c r="BP37" i="10"/>
  <c r="BP126" i="10"/>
  <c r="BP205" i="10"/>
  <c r="BP180" i="10"/>
  <c r="BP138" i="10"/>
  <c r="BP142" i="10"/>
  <c r="BP115" i="10"/>
  <c r="BD214" i="10"/>
  <c r="BJ214" i="10" a="1"/>
  <c r="BJ214" i="10"/>
  <c r="BH214" i="10"/>
  <c r="BN214" i="10" a="1"/>
  <c r="BN214" i="10"/>
  <c r="BG214" i="10"/>
  <c r="BM214" i="10" a="1"/>
  <c r="BM214" i="10"/>
  <c r="BI214" i="10"/>
  <c r="BO214" i="10" a="1"/>
  <c r="BO214" i="10"/>
  <c r="BE214" i="10"/>
  <c r="BK214" i="10" a="1"/>
  <c r="BK214" i="10"/>
  <c r="BF214" i="10"/>
  <c r="BL214" i="10" a="1"/>
  <c r="BL214" i="10"/>
  <c r="BD54" i="10"/>
  <c r="BJ54" i="10" a="1"/>
  <c r="BJ54" i="10"/>
  <c r="BG54" i="10"/>
  <c r="BM54" i="10" a="1"/>
  <c r="BM54" i="10"/>
  <c r="BE54" i="10"/>
  <c r="BK54" i="10" a="1"/>
  <c r="BK54" i="10"/>
  <c r="BH54" i="10"/>
  <c r="BN54" i="10" a="1"/>
  <c r="BN54" i="10"/>
  <c r="BI54" i="10"/>
  <c r="BO54" i="10" a="1"/>
  <c r="BO54" i="10"/>
  <c r="BF54" i="10"/>
  <c r="BL54" i="10" a="1"/>
  <c r="BL54" i="10"/>
  <c r="BD70" i="10"/>
  <c r="BJ70" i="10" a="1"/>
  <c r="BJ70" i="10"/>
  <c r="BG70" i="10"/>
  <c r="BM70" i="10" a="1"/>
  <c r="BM70" i="10"/>
  <c r="BH70" i="10"/>
  <c r="BN70" i="10" a="1"/>
  <c r="BN70" i="10"/>
  <c r="BI70" i="10"/>
  <c r="BO70" i="10" a="1"/>
  <c r="BO70" i="10"/>
  <c r="BE70" i="10"/>
  <c r="BK70" i="10" a="1"/>
  <c r="BK70" i="10"/>
  <c r="BF70" i="10"/>
  <c r="BL70" i="10" a="1"/>
  <c r="BL70" i="10"/>
  <c r="BD97" i="10"/>
  <c r="BJ97" i="10" a="1"/>
  <c r="BJ97" i="10"/>
  <c r="BG97" i="10"/>
  <c r="BM97" i="10" a="1"/>
  <c r="BM97" i="10"/>
  <c r="BH97" i="10"/>
  <c r="BN97" i="10" a="1"/>
  <c r="BN97" i="10"/>
  <c r="BI97" i="10"/>
  <c r="BO97" i="10" a="1"/>
  <c r="BO97" i="10"/>
  <c r="BE97" i="10"/>
  <c r="BK97" i="10" a="1"/>
  <c r="BK97" i="10"/>
  <c r="BF97" i="10"/>
  <c r="BL97" i="10" a="1"/>
  <c r="BL97" i="10"/>
  <c r="BD141" i="10"/>
  <c r="BJ141" i="10" a="1"/>
  <c r="BJ141" i="10"/>
  <c r="BE141" i="10"/>
  <c r="BK141" i="10" a="1"/>
  <c r="BK141" i="10"/>
  <c r="BG141" i="10"/>
  <c r="BM141" i="10" a="1"/>
  <c r="BM141" i="10"/>
  <c r="BI141" i="10"/>
  <c r="BO141" i="10" a="1"/>
  <c r="BO141" i="10"/>
  <c r="BH141" i="10"/>
  <c r="BN141" i="10" a="1"/>
  <c r="BN141" i="10"/>
  <c r="BD72" i="10"/>
  <c r="BJ72" i="10" a="1"/>
  <c r="BJ72" i="10"/>
  <c r="BG72" i="10"/>
  <c r="BM72" i="10" a="1"/>
  <c r="BM72" i="10"/>
  <c r="BH72" i="10"/>
  <c r="BN72" i="10" a="1"/>
  <c r="BN72" i="10"/>
  <c r="BE72" i="10"/>
  <c r="BK72" i="10" a="1"/>
  <c r="BK72" i="10"/>
  <c r="BI72" i="10"/>
  <c r="BO72" i="10" a="1"/>
  <c r="BO72" i="10"/>
  <c r="BD128" i="10"/>
  <c r="BJ128" i="10" a="1"/>
  <c r="BJ128" i="10"/>
  <c r="BG128" i="10"/>
  <c r="BM128" i="10" a="1"/>
  <c r="BM128" i="10"/>
  <c r="BH128" i="10"/>
  <c r="BN128" i="10" a="1"/>
  <c r="BN128" i="10"/>
  <c r="BI128" i="10"/>
  <c r="BO128" i="10" a="1"/>
  <c r="BO128" i="10"/>
  <c r="BE128" i="10"/>
  <c r="BK128" i="10" a="1"/>
  <c r="BK128" i="10"/>
  <c r="BF128" i="10"/>
  <c r="BL128" i="10" a="1"/>
  <c r="BL128" i="10"/>
  <c r="BD160" i="10"/>
  <c r="BJ160" i="10" a="1"/>
  <c r="BJ160" i="10"/>
  <c r="BE160" i="10"/>
  <c r="BK160" i="10" a="1"/>
  <c r="BK160" i="10"/>
  <c r="BG160" i="10"/>
  <c r="BM160" i="10" a="1"/>
  <c r="BM160" i="10"/>
  <c r="BH160" i="10"/>
  <c r="BN160" i="10" a="1"/>
  <c r="BN160" i="10"/>
  <c r="BI160" i="10"/>
  <c r="BO160" i="10" a="1"/>
  <c r="BO160" i="10"/>
  <c r="BF160" i="10"/>
  <c r="BL160" i="10" a="1"/>
  <c r="BL160" i="10"/>
  <c r="BD109" i="10"/>
  <c r="BJ109" i="10" a="1"/>
  <c r="BJ109" i="10"/>
  <c r="BE109" i="10"/>
  <c r="BK109" i="10" a="1"/>
  <c r="BK109" i="10"/>
  <c r="BG109" i="10"/>
  <c r="BM109" i="10" a="1"/>
  <c r="BM109" i="10"/>
  <c r="BH109" i="10"/>
  <c r="BN109" i="10" a="1"/>
  <c r="BN109" i="10"/>
  <c r="BI109" i="10"/>
  <c r="BO109" i="10" a="1"/>
  <c r="BO109" i="10"/>
  <c r="BF109" i="10"/>
  <c r="BL109" i="10" a="1"/>
  <c r="BL109" i="10"/>
  <c r="BD187" i="10"/>
  <c r="BJ187" i="10" a="1"/>
  <c r="BJ187" i="10"/>
  <c r="BG187" i="10"/>
  <c r="BM187" i="10" a="1"/>
  <c r="BM187" i="10"/>
  <c r="BF187" i="10"/>
  <c r="BL187" i="10" a="1"/>
  <c r="BL187" i="10"/>
  <c r="BH187" i="10"/>
  <c r="BN187" i="10" a="1"/>
  <c r="BN187" i="10"/>
  <c r="BE187" i="10"/>
  <c r="BK187" i="10" a="1"/>
  <c r="BK187" i="10"/>
  <c r="BI187" i="10"/>
  <c r="BO187" i="10" a="1"/>
  <c r="BO187" i="10"/>
  <c r="BP103" i="10"/>
  <c r="BD89" i="10"/>
  <c r="BJ89" i="10" a="1"/>
  <c r="BJ89" i="10"/>
  <c r="BH89" i="10"/>
  <c r="BN89" i="10" a="1"/>
  <c r="BN89" i="10"/>
  <c r="BG89" i="10"/>
  <c r="BM89" i="10" a="1"/>
  <c r="BM89" i="10"/>
  <c r="BE89" i="10"/>
  <c r="BK89" i="10" a="1"/>
  <c r="BK89" i="10"/>
  <c r="BI89" i="10"/>
  <c r="BO89" i="10" a="1"/>
  <c r="BO89" i="10"/>
  <c r="BF89" i="10"/>
  <c r="BL89" i="10" a="1"/>
  <c r="BL89" i="10"/>
  <c r="BD92" i="10"/>
  <c r="BJ92" i="10" a="1"/>
  <c r="BJ92" i="10"/>
  <c r="BG92" i="10"/>
  <c r="BM92" i="10" a="1"/>
  <c r="BM92" i="10"/>
  <c r="BE92" i="10"/>
  <c r="BK92" i="10" a="1"/>
  <c r="BK92" i="10"/>
  <c r="BI92" i="10"/>
  <c r="BO92" i="10" a="1"/>
  <c r="BO92" i="10"/>
  <c r="BH92" i="10"/>
  <c r="BN92" i="10" a="1"/>
  <c r="BN92" i="10"/>
  <c r="BF92" i="10"/>
  <c r="BL92" i="10" a="1"/>
  <c r="BL92" i="10"/>
  <c r="BP229" i="10"/>
  <c r="BD87" i="10"/>
  <c r="BJ87" i="10" a="1"/>
  <c r="BJ87" i="10"/>
  <c r="BF87" i="10"/>
  <c r="BL87" i="10" a="1"/>
  <c r="BL87" i="10"/>
  <c r="BI87" i="10"/>
  <c r="BO87" i="10" a="1"/>
  <c r="BO87" i="10"/>
  <c r="BE87" i="10"/>
  <c r="BK87" i="10" a="1"/>
  <c r="BK87" i="10"/>
  <c r="BH87" i="10"/>
  <c r="BN87" i="10" a="1"/>
  <c r="BN87" i="10"/>
  <c r="BG87" i="10"/>
  <c r="BM87" i="10" a="1"/>
  <c r="BM87" i="10"/>
  <c r="BD21" i="10"/>
  <c r="BJ21" i="10" a="1"/>
  <c r="BJ21" i="10"/>
  <c r="BH21" i="10"/>
  <c r="BN21" i="10" a="1"/>
  <c r="BN21" i="10"/>
  <c r="BI21" i="10"/>
  <c r="BO21" i="10" a="1"/>
  <c r="BO21" i="10"/>
  <c r="BE21" i="10"/>
  <c r="BK21" i="10" a="1"/>
  <c r="BK21" i="10"/>
  <c r="BG21" i="10"/>
  <c r="BM21" i="10" a="1"/>
  <c r="BM21" i="10"/>
  <c r="BF21" i="10"/>
  <c r="BL21" i="10" a="1"/>
  <c r="BL21" i="10"/>
  <c r="BD28" i="10"/>
  <c r="BJ28" i="10" a="1"/>
  <c r="BJ28" i="10"/>
  <c r="BG28" i="10"/>
  <c r="BM28" i="10" a="1"/>
  <c r="BM28" i="10"/>
  <c r="BH28" i="10"/>
  <c r="BN28" i="10" a="1"/>
  <c r="BN28" i="10"/>
  <c r="BI28" i="10"/>
  <c r="BO28" i="10" a="1"/>
  <c r="BO28" i="10"/>
  <c r="BE28" i="10"/>
  <c r="BK28" i="10" a="1"/>
  <c r="BK28" i="10"/>
  <c r="BP195" i="10"/>
  <c r="BD147" i="10"/>
  <c r="BJ147" i="10" a="1"/>
  <c r="BJ147" i="10"/>
  <c r="BI147" i="10"/>
  <c r="BO147" i="10" a="1"/>
  <c r="BO147" i="10"/>
  <c r="BG147" i="10"/>
  <c r="BM147" i="10" a="1"/>
  <c r="BM147" i="10"/>
  <c r="BH147" i="10"/>
  <c r="BN147" i="10" a="1"/>
  <c r="BN147" i="10"/>
  <c r="BE147" i="10"/>
  <c r="BK147" i="10" a="1"/>
  <c r="BK147" i="10"/>
  <c r="BF147" i="10"/>
  <c r="BL147" i="10" a="1"/>
  <c r="BL147" i="10"/>
  <c r="BP111" i="10"/>
  <c r="BD64" i="10"/>
  <c r="BJ64" i="10" a="1"/>
  <c r="BJ64" i="10"/>
  <c r="BG64" i="10"/>
  <c r="BM64" i="10" a="1"/>
  <c r="BM64" i="10"/>
  <c r="BI64" i="10"/>
  <c r="BO64" i="10" a="1"/>
  <c r="BO64" i="10"/>
  <c r="BH64" i="10"/>
  <c r="BN64" i="10" a="1"/>
  <c r="BN64" i="10"/>
  <c r="BE64" i="10"/>
  <c r="BK64" i="10" a="1"/>
  <c r="BK64" i="10"/>
  <c r="BF64" i="10"/>
  <c r="BL64" i="10" a="1"/>
  <c r="BL64" i="10"/>
  <c r="BD222" i="10"/>
  <c r="BJ222" i="10" a="1"/>
  <c r="BJ222" i="10"/>
  <c r="BG222" i="10"/>
  <c r="BM222" i="10" a="1"/>
  <c r="BM222" i="10"/>
  <c r="BI222" i="10"/>
  <c r="BO222" i="10" a="1"/>
  <c r="BO222" i="10"/>
  <c r="BH222" i="10"/>
  <c r="BN222" i="10" a="1"/>
  <c r="BN222" i="10"/>
  <c r="BE222" i="10"/>
  <c r="BK222" i="10" a="1"/>
  <c r="BK222" i="10"/>
  <c r="BF222" i="10"/>
  <c r="BL222" i="10" a="1"/>
  <c r="BL222" i="10"/>
  <c r="BP236" i="10"/>
  <c r="BP33" i="10"/>
  <c r="BD117" i="10"/>
  <c r="BJ117" i="10" a="1"/>
  <c r="BJ117" i="10"/>
  <c r="BI117" i="10"/>
  <c r="BO117" i="10" a="1"/>
  <c r="BO117" i="10"/>
  <c r="BG117" i="10"/>
  <c r="BM117" i="10" a="1"/>
  <c r="BM117" i="10"/>
  <c r="BH117" i="10"/>
  <c r="BN117" i="10" a="1"/>
  <c r="BN117" i="10"/>
  <c r="BE117" i="10"/>
  <c r="BK117" i="10" a="1"/>
  <c r="BK117" i="10"/>
  <c r="BD69" i="10"/>
  <c r="BJ69" i="10" a="1"/>
  <c r="BJ69" i="10"/>
  <c r="BI69" i="10"/>
  <c r="BO69" i="10" a="1"/>
  <c r="BO69" i="10"/>
  <c r="BG69" i="10"/>
  <c r="BM69" i="10" a="1"/>
  <c r="BM69" i="10"/>
  <c r="BH69" i="10"/>
  <c r="BN69" i="10" a="1"/>
  <c r="BN69" i="10"/>
  <c r="BE69" i="10"/>
  <c r="BK69" i="10" a="1"/>
  <c r="BK69" i="10"/>
  <c r="BF69" i="10"/>
  <c r="BL69" i="10" a="1"/>
  <c r="BL69" i="10"/>
  <c r="BP239" i="10"/>
  <c r="BD143" i="10"/>
  <c r="BJ143" i="10" a="1"/>
  <c r="BJ143" i="10"/>
  <c r="BH143" i="10"/>
  <c r="BN143" i="10" a="1"/>
  <c r="BN143" i="10"/>
  <c r="BG143" i="10"/>
  <c r="BM143" i="10" a="1"/>
  <c r="BM143" i="10"/>
  <c r="BI143" i="10"/>
  <c r="BO143" i="10" a="1"/>
  <c r="BO143" i="10"/>
  <c r="BE143" i="10"/>
  <c r="BK143" i="10" a="1"/>
  <c r="BK143" i="10"/>
  <c r="BF143" i="10"/>
  <c r="BL143" i="10" a="1"/>
  <c r="BL143" i="10"/>
  <c r="BP107" i="10"/>
  <c r="BP155" i="10"/>
  <c r="BD152" i="10"/>
  <c r="BJ152" i="10" a="1"/>
  <c r="BJ152" i="10"/>
  <c r="BE152" i="10"/>
  <c r="BK152" i="10" a="1"/>
  <c r="BK152" i="10"/>
  <c r="BI152" i="10"/>
  <c r="BO152" i="10" a="1"/>
  <c r="BO152" i="10"/>
  <c r="BH152" i="10"/>
  <c r="BN152" i="10" a="1"/>
  <c r="BN152" i="10"/>
  <c r="BG152" i="10"/>
  <c r="BM152" i="10" a="1"/>
  <c r="BM152" i="10"/>
  <c r="BD78" i="10"/>
  <c r="BJ78" i="10" a="1"/>
  <c r="BJ78" i="10"/>
  <c r="BI78" i="10"/>
  <c r="BO78" i="10" a="1"/>
  <c r="BO78" i="10"/>
  <c r="BG78" i="10"/>
  <c r="BM78" i="10" a="1"/>
  <c r="BM78" i="10"/>
  <c r="BE78" i="10"/>
  <c r="BK78" i="10" a="1"/>
  <c r="BK78" i="10"/>
  <c r="BH78" i="10"/>
  <c r="BN78" i="10" a="1"/>
  <c r="BN78" i="10"/>
  <c r="BP14" i="10"/>
  <c r="BP122" i="10"/>
  <c r="BD51" i="10"/>
  <c r="BJ51" i="10" a="1"/>
  <c r="BJ51" i="10"/>
  <c r="BH51" i="10"/>
  <c r="BN51" i="10" a="1"/>
  <c r="BN51" i="10"/>
  <c r="BG51" i="10"/>
  <c r="BM51" i="10" a="1"/>
  <c r="BM51" i="10"/>
  <c r="BE51" i="10"/>
  <c r="BK51" i="10" a="1"/>
  <c r="BK51" i="10"/>
  <c r="BI51" i="10"/>
  <c r="BO51" i="10" a="1"/>
  <c r="BO51" i="10"/>
  <c r="BP154" i="10"/>
  <c r="BP233" i="10"/>
  <c r="BP104" i="10"/>
  <c r="BP202" i="10"/>
  <c r="BP144" i="10"/>
  <c r="BP243" i="10"/>
  <c r="BD124" i="10"/>
  <c r="BJ124" i="10" a="1"/>
  <c r="BJ124" i="10"/>
  <c r="BG124" i="10"/>
  <c r="BM124" i="10" a="1"/>
  <c r="BM124" i="10"/>
  <c r="BF124" i="10"/>
  <c r="BL124" i="10" a="1"/>
  <c r="BL124" i="10"/>
  <c r="BH124" i="10"/>
  <c r="BN124" i="10" a="1"/>
  <c r="BN124" i="10"/>
  <c r="BE124" i="10"/>
  <c r="BK124" i="10" a="1"/>
  <c r="BK124" i="10"/>
  <c r="BI124" i="10"/>
  <c r="BO124" i="10" a="1"/>
  <c r="BO124" i="10"/>
  <c r="BP197" i="10"/>
  <c r="BD170" i="10"/>
  <c r="BJ170" i="10" a="1"/>
  <c r="BJ170" i="10"/>
  <c r="BI170" i="10"/>
  <c r="BO170" i="10" a="1"/>
  <c r="BO170" i="10"/>
  <c r="BH170" i="10"/>
  <c r="BN170" i="10" a="1"/>
  <c r="BN170" i="10"/>
  <c r="BG170" i="10"/>
  <c r="BM170" i="10" a="1"/>
  <c r="BM170" i="10"/>
  <c r="BE170" i="10"/>
  <c r="BK170" i="10" a="1"/>
  <c r="BK170" i="10"/>
  <c r="BF170" i="10"/>
  <c r="BL170" i="10" a="1"/>
  <c r="BL170" i="10"/>
  <c r="BD86" i="10"/>
  <c r="BJ86" i="10" a="1"/>
  <c r="BJ86" i="10"/>
  <c r="BH86" i="10"/>
  <c r="BN86" i="10" a="1"/>
  <c r="BN86" i="10"/>
  <c r="BI86" i="10"/>
  <c r="BO86" i="10" a="1"/>
  <c r="BO86" i="10"/>
  <c r="BG86" i="10"/>
  <c r="BM86" i="10" a="1"/>
  <c r="BM86" i="10"/>
  <c r="BE86" i="10"/>
  <c r="BK86" i="10" a="1"/>
  <c r="BK86" i="10"/>
  <c r="BD224" i="10"/>
  <c r="BJ224" i="10" a="1"/>
  <c r="BJ224" i="10"/>
  <c r="BH224" i="10"/>
  <c r="BN224" i="10" a="1"/>
  <c r="BN224" i="10"/>
  <c r="BG224" i="10"/>
  <c r="BM224" i="10" a="1"/>
  <c r="BM224" i="10"/>
  <c r="BE224" i="10"/>
  <c r="BK224" i="10" a="1"/>
  <c r="BK224" i="10"/>
  <c r="BI224" i="10"/>
  <c r="BO224" i="10" a="1"/>
  <c r="BO224" i="10"/>
  <c r="BF224" i="10"/>
  <c r="BL224" i="10" a="1"/>
  <c r="BL224" i="10"/>
  <c r="BD158" i="10"/>
  <c r="BJ158" i="10" a="1"/>
  <c r="BJ158" i="10"/>
  <c r="BG158" i="10"/>
  <c r="BM158" i="10" a="1"/>
  <c r="BM158" i="10"/>
  <c r="BH158" i="10"/>
  <c r="BN158" i="10" a="1"/>
  <c r="BN158" i="10"/>
  <c r="BE158" i="10"/>
  <c r="BK158" i="10" a="1"/>
  <c r="BK158" i="10"/>
  <c r="BI158" i="10"/>
  <c r="BO158" i="10" a="1"/>
  <c r="BO158" i="10"/>
  <c r="BD114" i="10"/>
  <c r="BJ114" i="10" a="1"/>
  <c r="BJ114" i="10"/>
  <c r="BE114" i="10"/>
  <c r="BK114" i="10" a="1"/>
  <c r="BK114" i="10"/>
  <c r="BI114" i="10"/>
  <c r="BO114" i="10" a="1"/>
  <c r="BO114" i="10"/>
  <c r="BG114" i="10"/>
  <c r="BM114" i="10" a="1"/>
  <c r="BM114" i="10"/>
  <c r="BH114" i="10"/>
  <c r="BN114" i="10" a="1"/>
  <c r="BN114" i="10"/>
  <c r="BP59" i="10"/>
  <c r="BD134" i="10"/>
  <c r="BJ134" i="10" a="1"/>
  <c r="BJ134" i="10"/>
  <c r="BG134" i="10"/>
  <c r="BM134" i="10" a="1"/>
  <c r="BM134" i="10"/>
  <c r="BH134" i="10"/>
  <c r="BN134" i="10" a="1"/>
  <c r="BN134" i="10"/>
  <c r="BI134" i="10"/>
  <c r="BO134" i="10" a="1"/>
  <c r="BO134" i="10"/>
  <c r="BE134" i="10"/>
  <c r="BK134" i="10" a="1"/>
  <c r="BK134" i="10"/>
  <c r="BP84" i="10"/>
  <c r="BD95" i="10"/>
  <c r="BJ95" i="10" a="1"/>
  <c r="BJ95" i="10"/>
  <c r="BI95" i="10"/>
  <c r="BO95" i="10" a="1"/>
  <c r="BO95" i="10"/>
  <c r="BG95" i="10"/>
  <c r="BM95" i="10" a="1"/>
  <c r="BM95" i="10"/>
  <c r="BE95" i="10"/>
  <c r="BK95" i="10" a="1"/>
  <c r="BK95" i="10"/>
  <c r="BH95" i="10"/>
  <c r="BN95" i="10" a="1"/>
  <c r="BN95" i="10"/>
  <c r="BD10" i="10"/>
  <c r="BJ10" i="10" a="1"/>
  <c r="BJ10" i="10"/>
  <c r="BH10" i="10"/>
  <c r="BN10" i="10" a="1"/>
  <c r="BN10" i="10"/>
  <c r="BI10" i="10"/>
  <c r="BO10" i="10" a="1"/>
  <c r="BO10" i="10"/>
  <c r="BG10" i="10"/>
  <c r="BM10" i="10" a="1"/>
  <c r="BM10" i="10"/>
  <c r="BE10" i="10"/>
  <c r="BK10" i="10" a="1"/>
  <c r="BK10" i="10"/>
  <c r="BP192" i="10"/>
  <c r="BD102" i="10"/>
  <c r="BJ102" i="10" a="1"/>
  <c r="BJ102" i="10"/>
  <c r="BE102" i="10"/>
  <c r="BK102" i="10" a="1"/>
  <c r="BK102" i="10"/>
  <c r="BI102" i="10"/>
  <c r="BO102" i="10" a="1"/>
  <c r="BO102" i="10"/>
  <c r="BG102" i="10"/>
  <c r="BM102" i="10" a="1"/>
  <c r="BM102" i="10"/>
  <c r="BH102" i="10"/>
  <c r="BN102" i="10" a="1"/>
  <c r="BN102" i="10"/>
  <c r="BF102" i="10"/>
  <c r="BL102" i="10" a="1"/>
  <c r="BL102" i="10"/>
  <c r="BP246" i="10"/>
  <c r="BD96" i="10"/>
  <c r="BJ96" i="10" a="1"/>
  <c r="BJ96" i="10"/>
  <c r="BE96" i="10"/>
  <c r="BK96" i="10" a="1"/>
  <c r="BK96" i="10"/>
  <c r="BH96" i="10"/>
  <c r="BN96" i="10" a="1"/>
  <c r="BN96" i="10"/>
  <c r="BI96" i="10"/>
  <c r="BO96" i="10" a="1"/>
  <c r="BO96" i="10"/>
  <c r="BG96" i="10"/>
  <c r="BM96" i="10" a="1"/>
  <c r="BM96" i="10"/>
  <c r="BF96" i="10"/>
  <c r="BL96" i="10" a="1"/>
  <c r="BL96" i="10"/>
  <c r="BD245" i="10"/>
  <c r="BJ245" i="10" a="1"/>
  <c r="BJ245" i="10"/>
  <c r="BI245" i="10"/>
  <c r="BO245" i="10" a="1"/>
  <c r="BO245" i="10"/>
  <c r="BH245" i="10"/>
  <c r="BN245" i="10" a="1"/>
  <c r="BN245" i="10"/>
  <c r="BE245" i="10"/>
  <c r="BK245" i="10" a="1"/>
  <c r="BK245" i="10"/>
  <c r="BG245" i="10"/>
  <c r="BM245" i="10" a="1"/>
  <c r="BM245" i="10"/>
  <c r="BD46" i="10"/>
  <c r="BJ46" i="10" a="1"/>
  <c r="BJ46" i="10"/>
  <c r="BH46" i="10"/>
  <c r="BN46" i="10" a="1"/>
  <c r="BN46" i="10"/>
  <c r="BG46" i="10"/>
  <c r="BM46" i="10" a="1"/>
  <c r="BM46" i="10"/>
  <c r="BE46" i="10"/>
  <c r="BK46" i="10" a="1"/>
  <c r="BK46" i="10"/>
  <c r="BI46" i="10"/>
  <c r="BO46" i="10" a="1"/>
  <c r="BO46" i="10"/>
  <c r="BP242" i="10"/>
  <c r="BD238" i="10"/>
  <c r="BJ238" i="10" a="1"/>
  <c r="BJ238" i="10"/>
  <c r="BG238" i="10"/>
  <c r="BM238" i="10" a="1"/>
  <c r="BM238" i="10"/>
  <c r="BI238" i="10"/>
  <c r="BO238" i="10" a="1"/>
  <c r="BO238" i="10"/>
  <c r="BE238" i="10"/>
  <c r="BK238" i="10" a="1"/>
  <c r="BK238" i="10"/>
  <c r="BH238" i="10"/>
  <c r="BN238" i="10" a="1"/>
  <c r="BN238" i="10"/>
  <c r="BD52" i="10"/>
  <c r="BJ52" i="10" a="1"/>
  <c r="BJ52" i="10"/>
  <c r="BI52" i="10"/>
  <c r="BO52" i="10" a="1"/>
  <c r="BO52" i="10"/>
  <c r="BG52" i="10"/>
  <c r="BM52" i="10" a="1"/>
  <c r="BM52" i="10"/>
  <c r="BH52" i="10"/>
  <c r="BN52" i="10" a="1"/>
  <c r="BN52" i="10"/>
  <c r="BE52" i="10"/>
  <c r="BK52" i="10" a="1"/>
  <c r="BK52" i="10"/>
  <c r="BD81" i="10"/>
  <c r="BJ81" i="10" a="1"/>
  <c r="BJ81" i="10"/>
  <c r="BI81" i="10"/>
  <c r="BO81" i="10" a="1"/>
  <c r="BO81" i="10"/>
  <c r="BH81" i="10"/>
  <c r="BN81" i="10" a="1"/>
  <c r="BN81" i="10"/>
  <c r="BE81" i="10"/>
  <c r="BK81" i="10" a="1"/>
  <c r="BK81" i="10"/>
  <c r="BG81" i="10"/>
  <c r="BM81" i="10" a="1"/>
  <c r="BM81" i="10"/>
  <c r="BF81" i="10"/>
  <c r="BL81" i="10" a="1"/>
  <c r="BL81" i="10"/>
  <c r="BP25" i="10"/>
  <c r="BP88" i="10"/>
  <c r="BD240" i="10"/>
  <c r="BJ240" i="10" a="1"/>
  <c r="BJ240" i="10"/>
  <c r="BI240" i="10"/>
  <c r="BO240" i="10" a="1"/>
  <c r="BO240" i="10"/>
  <c r="BH240" i="10"/>
  <c r="BN240" i="10" a="1"/>
  <c r="BN240" i="10"/>
  <c r="BG240" i="10"/>
  <c r="BM240" i="10" a="1"/>
  <c r="BM240" i="10"/>
  <c r="BE240" i="10"/>
  <c r="BK240" i="10" a="1"/>
  <c r="BK240" i="10"/>
  <c r="BF240" i="10"/>
  <c r="BL240" i="10" a="1"/>
  <c r="BL240" i="10"/>
  <c r="BD157" i="10"/>
  <c r="BJ157" i="10" a="1"/>
  <c r="BJ157" i="10"/>
  <c r="BI157" i="10"/>
  <c r="BO157" i="10" a="1"/>
  <c r="BO157" i="10"/>
  <c r="BG157" i="10"/>
  <c r="BM157" i="10" a="1"/>
  <c r="BM157" i="10"/>
  <c r="BE157" i="10"/>
  <c r="BK157" i="10" a="1"/>
  <c r="BK157" i="10"/>
  <c r="BH157" i="10"/>
  <c r="BN157" i="10" a="1"/>
  <c r="BN157" i="10"/>
  <c r="BF157" i="10"/>
  <c r="BL157" i="10" a="1"/>
  <c r="BL157" i="10"/>
  <c r="BP184" i="10"/>
  <c r="BD19" i="10"/>
  <c r="BJ19" i="10" a="1"/>
  <c r="BJ19" i="10"/>
  <c r="BI19" i="10"/>
  <c r="BO19" i="10" a="1"/>
  <c r="BO19" i="10"/>
  <c r="BG19" i="10"/>
  <c r="BM19" i="10" a="1"/>
  <c r="BM19" i="10"/>
  <c r="BH19" i="10"/>
  <c r="BN19" i="10" a="1"/>
  <c r="BN19" i="10"/>
  <c r="BE19" i="10"/>
  <c r="BK19" i="10" a="1"/>
  <c r="BK19" i="10"/>
  <c r="BP120" i="10"/>
  <c r="BD61" i="10"/>
  <c r="BJ61" i="10" a="1"/>
  <c r="BJ61" i="10"/>
  <c r="BG61" i="10"/>
  <c r="BM61" i="10" a="1"/>
  <c r="BM61" i="10"/>
  <c r="BH61" i="10"/>
  <c r="BN61" i="10" a="1"/>
  <c r="BN61" i="10"/>
  <c r="BI61" i="10"/>
  <c r="BO61" i="10" a="1"/>
  <c r="BO61" i="10"/>
  <c r="BE61" i="10"/>
  <c r="BK61" i="10" a="1"/>
  <c r="BK61" i="10"/>
  <c r="BF61" i="10"/>
  <c r="BL61" i="10" a="1"/>
  <c r="BL61" i="10"/>
  <c r="BP32" i="10"/>
  <c r="BP57" i="10"/>
  <c r="BP218" i="10"/>
  <c r="BF141" i="10"/>
  <c r="BL141" i="10" a="1"/>
  <c r="BL141" i="10"/>
  <c r="BP207" i="10"/>
  <c r="BF245" i="10"/>
  <c r="BL245" i="10" a="1"/>
  <c r="BL245" i="10"/>
  <c r="BP133" i="10"/>
  <c r="BP178" i="10"/>
  <c r="BP40" i="10"/>
  <c r="BD45" i="10"/>
  <c r="BJ45" i="10" a="1"/>
  <c r="BJ45" i="10"/>
  <c r="BI45" i="10"/>
  <c r="BO45" i="10" a="1"/>
  <c r="BO45" i="10"/>
  <c r="BG45" i="10"/>
  <c r="BM45" i="10" a="1"/>
  <c r="BM45" i="10"/>
  <c r="BE45" i="10"/>
  <c r="BK45" i="10" a="1"/>
  <c r="BK45" i="10"/>
  <c r="BH45" i="10"/>
  <c r="BN45" i="10" a="1"/>
  <c r="BN45" i="10"/>
  <c r="BD58" i="10"/>
  <c r="BJ58" i="10" a="1"/>
  <c r="BJ58" i="10"/>
  <c r="BI58" i="10"/>
  <c r="BO58" i="10" a="1"/>
  <c r="BO58" i="10"/>
  <c r="BE58" i="10"/>
  <c r="BK58" i="10" a="1"/>
  <c r="BK58" i="10"/>
  <c r="BG58" i="10"/>
  <c r="BM58" i="10" a="1"/>
  <c r="BM58" i="10"/>
  <c r="BH58" i="10"/>
  <c r="BN58" i="10" a="1"/>
  <c r="BN58" i="10"/>
  <c r="BD112" i="10"/>
  <c r="BJ112" i="10" a="1"/>
  <c r="BJ112" i="10"/>
  <c r="BI112" i="10"/>
  <c r="BO112" i="10" a="1"/>
  <c r="BO112" i="10"/>
  <c r="BG112" i="10"/>
  <c r="BM112" i="10" a="1"/>
  <c r="BM112" i="10"/>
  <c r="BH112" i="10"/>
  <c r="BN112" i="10" a="1"/>
  <c r="BN112" i="10"/>
  <c r="BE112" i="10"/>
  <c r="BK112" i="10" a="1"/>
  <c r="BK112" i="10"/>
  <c r="BD203" i="10"/>
  <c r="BJ203" i="10" a="1"/>
  <c r="BJ203" i="10"/>
  <c r="BE203" i="10"/>
  <c r="BK203" i="10" a="1"/>
  <c r="BK203" i="10"/>
  <c r="BG203" i="10"/>
  <c r="BM203" i="10" a="1"/>
  <c r="BM203" i="10"/>
  <c r="BH203" i="10"/>
  <c r="BN203" i="10" a="1"/>
  <c r="BN203" i="10"/>
  <c r="BI203" i="10"/>
  <c r="BO203" i="10" a="1"/>
  <c r="BO203" i="10"/>
  <c r="BD66" i="10"/>
  <c r="BJ66" i="10" a="1"/>
  <c r="BJ66" i="10"/>
  <c r="BI66" i="10"/>
  <c r="BO66" i="10" a="1"/>
  <c r="BO66" i="10"/>
  <c r="BE66" i="10"/>
  <c r="BK66" i="10" a="1"/>
  <c r="BK66" i="10"/>
  <c r="BH66" i="10"/>
  <c r="BN66" i="10" a="1"/>
  <c r="BN66" i="10"/>
  <c r="BG66" i="10"/>
  <c r="BM66" i="10" a="1"/>
  <c r="BM66" i="10"/>
  <c r="BP113" i="10"/>
  <c r="BP44" i="10"/>
  <c r="BD223" i="10"/>
  <c r="BJ223" i="10" a="1"/>
  <c r="BJ223" i="10"/>
  <c r="BG223" i="10"/>
  <c r="BM223" i="10" a="1"/>
  <c r="BM223" i="10"/>
  <c r="BH223" i="10"/>
  <c r="BN223" i="10" a="1"/>
  <c r="BN223" i="10"/>
  <c r="BI223" i="10"/>
  <c r="BO223" i="10" a="1"/>
  <c r="BO223" i="10"/>
  <c r="BE223" i="10"/>
  <c r="BK223" i="10" a="1"/>
  <c r="BK223" i="10"/>
  <c r="BP36" i="10"/>
  <c r="BP189" i="10"/>
  <c r="BD90" i="10"/>
  <c r="BJ90" i="10" a="1"/>
  <c r="BJ90" i="10"/>
  <c r="BH90" i="10"/>
  <c r="BN90" i="10" a="1"/>
  <c r="BN90" i="10"/>
  <c r="BE90" i="10"/>
  <c r="BK90" i="10" a="1"/>
  <c r="BK90" i="10"/>
  <c r="BI90" i="10"/>
  <c r="BO90" i="10" a="1"/>
  <c r="BO90" i="10"/>
  <c r="BG90" i="10"/>
  <c r="BM90" i="10" a="1"/>
  <c r="BM90" i="10"/>
  <c r="BP211" i="10"/>
  <c r="BD65" i="10"/>
  <c r="BJ65" i="10" a="1"/>
  <c r="BJ65" i="10"/>
  <c r="BH65" i="10"/>
  <c r="BN65" i="10" a="1"/>
  <c r="BN65" i="10"/>
  <c r="BE65" i="10"/>
  <c r="BK65" i="10" a="1"/>
  <c r="BK65" i="10"/>
  <c r="BG65" i="10"/>
  <c r="BM65" i="10" a="1"/>
  <c r="BM65" i="10"/>
  <c r="BF65" i="10"/>
  <c r="BL65" i="10" a="1"/>
  <c r="BL65" i="10"/>
  <c r="BD227" i="10"/>
  <c r="BJ227" i="10" a="1"/>
  <c r="BJ227" i="10"/>
  <c r="BE227" i="10"/>
  <c r="BK227" i="10" a="1"/>
  <c r="BK227" i="10"/>
  <c r="BH227" i="10"/>
  <c r="BN227" i="10" a="1"/>
  <c r="BN227" i="10"/>
  <c r="BF227" i="10"/>
  <c r="BL227" i="10" a="1"/>
  <c r="BL227" i="10"/>
  <c r="BI227" i="10"/>
  <c r="BO227" i="10" a="1"/>
  <c r="BO227" i="10"/>
  <c r="BD93" i="10"/>
  <c r="BJ93" i="10" a="1"/>
  <c r="BJ93" i="10"/>
  <c r="BG93" i="10"/>
  <c r="BM93" i="10" a="1"/>
  <c r="BM93" i="10"/>
  <c r="BI93" i="10"/>
  <c r="BO93" i="10" a="1"/>
  <c r="BO93" i="10"/>
  <c r="BH93" i="10"/>
  <c r="BN93" i="10" a="1"/>
  <c r="BN93" i="10"/>
  <c r="BE93" i="10"/>
  <c r="BK93" i="10" a="1"/>
  <c r="BK93" i="10"/>
  <c r="BP228" i="10"/>
  <c r="BD85" i="10"/>
  <c r="BJ85" i="10" a="1"/>
  <c r="BJ85" i="10"/>
  <c r="BE85" i="10"/>
  <c r="BK85" i="10" a="1"/>
  <c r="BK85" i="10"/>
  <c r="BG85" i="10"/>
  <c r="BM85" i="10" a="1"/>
  <c r="BM85" i="10"/>
  <c r="BH85" i="10"/>
  <c r="BN85" i="10" a="1"/>
  <c r="BN85" i="10"/>
  <c r="BI85" i="10"/>
  <c r="BO85" i="10" a="1"/>
  <c r="BO85" i="10"/>
  <c r="BP220" i="10"/>
  <c r="BP20" i="10"/>
  <c r="BD12" i="10"/>
  <c r="BJ12" i="10" a="1"/>
  <c r="BJ12" i="10"/>
  <c r="BG12" i="10"/>
  <c r="BM12" i="10" a="1"/>
  <c r="BM12" i="10"/>
  <c r="BH12" i="10"/>
  <c r="BN12" i="10" a="1"/>
  <c r="BN12" i="10"/>
  <c r="BI12" i="10"/>
  <c r="BO12" i="10" a="1"/>
  <c r="BO12" i="10"/>
  <c r="BE12" i="10"/>
  <c r="BK12" i="10" a="1"/>
  <c r="BK12" i="10"/>
  <c r="BP232" i="10"/>
  <c r="BD22" i="10"/>
  <c r="BJ22" i="10" a="1"/>
  <c r="BJ22" i="10"/>
  <c r="BI22" i="10"/>
  <c r="BO22" i="10" a="1"/>
  <c r="BO22" i="10"/>
  <c r="BG22" i="10"/>
  <c r="BM22" i="10" a="1"/>
  <c r="BM22" i="10"/>
  <c r="BH22" i="10"/>
  <c r="BN22" i="10" a="1"/>
  <c r="BN22" i="10"/>
  <c r="BE22" i="10"/>
  <c r="BK22" i="10" a="1"/>
  <c r="BK22" i="10"/>
  <c r="BP38" i="10"/>
  <c r="BP121" i="10"/>
  <c r="BP219" i="10"/>
  <c r="BD79" i="10"/>
  <c r="BJ79" i="10" a="1"/>
  <c r="BJ79" i="10"/>
  <c r="BI79" i="10"/>
  <c r="BO79" i="10" a="1"/>
  <c r="BO79" i="10"/>
  <c r="BH79" i="10"/>
  <c r="BN79" i="10" a="1"/>
  <c r="BN79" i="10"/>
  <c r="BE79" i="10"/>
  <c r="BK79" i="10" a="1"/>
  <c r="BK79" i="10"/>
  <c r="BG79" i="10"/>
  <c r="BM79" i="10" a="1"/>
  <c r="BM79" i="10"/>
  <c r="BP210" i="10"/>
  <c r="AU19" i="10"/>
  <c r="AU27" i="10"/>
  <c r="AU14" i="10"/>
  <c r="AU23" i="10"/>
  <c r="AU15" i="10"/>
  <c r="AU28" i="10"/>
  <c r="AU24" i="10"/>
  <c r="AU18" i="10"/>
  <c r="AU9" i="10"/>
  <c r="AU29" i="10"/>
  <c r="BD9" i="10"/>
  <c r="BJ9" i="10" a="1"/>
  <c r="BJ9" i="10"/>
  <c r="AU32" i="10"/>
  <c r="AU25" i="10"/>
  <c r="AU20" i="10"/>
  <c r="AU12" i="10"/>
  <c r="AU10" i="10"/>
  <c r="AU16" i="10"/>
  <c r="AU26" i="10"/>
  <c r="AU31" i="10"/>
  <c r="AU11" i="10"/>
  <c r="AU13" i="10"/>
  <c r="AU22" i="10"/>
  <c r="AU17" i="10"/>
  <c r="AU21" i="10"/>
  <c r="AU30" i="10"/>
  <c r="AU33" i="10"/>
  <c r="AU35" i="10"/>
  <c r="AU34" i="10"/>
  <c r="AU45" i="10"/>
  <c r="AU55" i="10"/>
  <c r="AU49" i="10"/>
  <c r="AU41" i="10"/>
  <c r="AU54" i="10"/>
  <c r="AU40" i="10"/>
  <c r="AU47" i="10"/>
  <c r="AU37" i="10"/>
  <c r="AU46" i="10"/>
  <c r="AU43" i="10"/>
  <c r="AU44" i="10"/>
  <c r="AU38" i="10"/>
  <c r="AU50" i="10"/>
  <c r="AU53" i="10"/>
  <c r="AU52" i="10"/>
  <c r="AU42" i="10"/>
  <c r="AU39" i="10"/>
  <c r="AU48" i="10"/>
  <c r="AU36" i="10"/>
  <c r="AU51" i="10"/>
  <c r="AU58" i="10"/>
  <c r="AU60" i="10"/>
  <c r="AU59" i="10"/>
  <c r="AU61" i="10"/>
  <c r="AU56" i="10"/>
  <c r="AU57" i="10"/>
  <c r="AU73" i="10"/>
  <c r="AU65" i="10"/>
  <c r="AU74" i="10"/>
  <c r="AU71" i="10"/>
  <c r="AU69" i="10"/>
  <c r="AU63" i="10"/>
  <c r="AU62" i="10"/>
  <c r="AU77" i="10"/>
  <c r="AU78" i="10"/>
  <c r="AU79" i="10"/>
  <c r="AU76" i="10"/>
  <c r="AU72" i="10"/>
  <c r="AU68" i="10"/>
  <c r="AU67" i="10"/>
  <c r="AU64" i="10"/>
  <c r="AU66" i="10"/>
  <c r="AU70" i="10"/>
  <c r="AU75" i="10"/>
  <c r="AU80" i="10"/>
  <c r="AU82" i="10"/>
  <c r="AU83" i="10"/>
  <c r="AU81" i="10"/>
  <c r="AU86" i="10"/>
  <c r="AU94" i="10"/>
  <c r="AU85" i="10"/>
  <c r="AU95" i="10"/>
  <c r="AU90" i="10"/>
  <c r="AU93" i="10"/>
  <c r="AU84" i="10"/>
  <c r="AU89" i="10"/>
  <c r="AU91" i="10"/>
  <c r="AU92" i="10"/>
  <c r="AU88" i="10"/>
  <c r="AU87" i="10"/>
  <c r="AU104" i="10"/>
  <c r="AU98" i="10"/>
  <c r="AU102" i="10"/>
  <c r="AU101" i="10"/>
  <c r="AU100" i="10"/>
  <c r="AU97" i="10"/>
  <c r="AU99" i="10"/>
  <c r="AU103" i="10"/>
  <c r="AU96" i="10"/>
  <c r="AU105" i="10"/>
  <c r="AU110" i="10"/>
  <c r="AU113" i="10"/>
  <c r="AU106" i="10"/>
  <c r="AU109" i="10"/>
  <c r="AU118" i="10"/>
  <c r="AU112" i="10"/>
  <c r="AU117" i="10"/>
  <c r="AU115" i="10"/>
  <c r="AU114" i="10"/>
  <c r="AU108" i="10"/>
  <c r="AU116" i="10"/>
  <c r="AU107" i="10"/>
  <c r="AU111" i="10"/>
  <c r="AU123" i="10"/>
  <c r="AU129" i="10"/>
  <c r="AU132" i="10"/>
  <c r="AU135" i="10"/>
  <c r="AU126" i="10"/>
  <c r="AU127" i="10"/>
  <c r="AU122" i="10"/>
  <c r="AU131" i="10"/>
  <c r="AU119" i="10"/>
  <c r="AU121" i="10"/>
  <c r="AU133" i="10"/>
  <c r="AU136" i="10"/>
  <c r="AU130" i="10"/>
  <c r="AU124" i="10"/>
  <c r="AU125" i="10"/>
  <c r="AU120" i="10"/>
  <c r="AU128" i="10"/>
  <c r="AU134" i="10"/>
  <c r="AU149" i="10"/>
  <c r="AU148" i="10"/>
  <c r="AU146" i="10"/>
  <c r="AU137" i="10"/>
  <c r="AU141" i="10"/>
  <c r="AU152" i="10"/>
  <c r="AU151" i="10"/>
  <c r="AU138" i="10"/>
  <c r="AU144" i="10"/>
  <c r="AU145" i="10"/>
  <c r="AU139" i="10"/>
  <c r="AU150" i="10"/>
  <c r="AU147" i="10"/>
  <c r="AU143" i="10"/>
  <c r="AU140" i="10"/>
  <c r="AU142" i="10"/>
  <c r="AU153" i="10"/>
  <c r="AU154" i="10"/>
  <c r="AU158" i="10"/>
  <c r="AU160" i="10"/>
  <c r="AU175" i="10"/>
  <c r="AU159" i="10"/>
  <c r="AU173" i="10"/>
  <c r="AU166" i="10"/>
  <c r="AU157" i="10"/>
  <c r="AU156" i="10"/>
  <c r="AU171" i="10"/>
  <c r="AU170" i="10"/>
  <c r="AU165" i="10"/>
  <c r="AU174" i="10"/>
  <c r="AU167" i="10"/>
  <c r="AU163" i="10"/>
  <c r="AU161" i="10"/>
  <c r="AU155" i="10"/>
  <c r="AU172" i="10"/>
  <c r="AU168" i="10"/>
  <c r="AU176" i="10"/>
  <c r="AU164" i="10"/>
  <c r="AU169" i="10"/>
  <c r="AU162" i="10"/>
  <c r="AU191" i="10"/>
  <c r="AU181" i="10"/>
  <c r="AU186" i="10"/>
  <c r="AU183" i="10"/>
  <c r="AU188" i="10"/>
  <c r="AU189" i="10"/>
  <c r="AU190" i="10"/>
  <c r="AU185" i="10"/>
  <c r="AU182" i="10"/>
  <c r="AU187" i="10"/>
  <c r="AU184" i="10"/>
  <c r="AU178" i="10"/>
  <c r="AU192" i="10"/>
  <c r="AU179" i="10"/>
  <c r="AU177" i="10"/>
  <c r="AU180" i="10"/>
  <c r="AU195" i="10"/>
  <c r="AU196" i="10"/>
  <c r="AU207" i="10"/>
  <c r="AU203" i="10"/>
  <c r="AU212" i="10"/>
  <c r="AU209" i="10"/>
  <c r="AU201" i="10"/>
  <c r="AU204" i="10"/>
  <c r="AU194" i="10"/>
  <c r="AU210" i="10"/>
  <c r="AU205" i="10"/>
  <c r="AU193" i="10"/>
  <c r="AU197" i="10"/>
  <c r="AU206" i="10"/>
  <c r="AU202" i="10"/>
  <c r="AU200" i="10"/>
  <c r="AU211" i="10"/>
  <c r="AU198" i="10"/>
  <c r="AU199" i="10"/>
  <c r="AU208" i="10"/>
  <c r="AU221" i="10"/>
  <c r="AU224" i="10"/>
  <c r="AU218" i="10"/>
  <c r="AU216" i="10"/>
  <c r="AU220" i="10"/>
  <c r="AU217" i="10"/>
  <c r="AU214" i="10"/>
  <c r="AU219" i="10"/>
  <c r="AU223" i="10"/>
  <c r="AU213" i="10"/>
  <c r="AU215" i="10"/>
  <c r="AU222" i="10"/>
  <c r="AU225" i="10"/>
  <c r="AU245" i="10"/>
  <c r="AU234" i="10"/>
  <c r="AU244" i="10"/>
  <c r="AU228" i="10"/>
  <c r="AU230" i="10"/>
  <c r="AU236" i="10"/>
  <c r="AU240" i="10"/>
  <c r="AU243" i="10"/>
  <c r="AU237" i="10"/>
  <c r="AU235" i="10"/>
  <c r="AU246" i="10"/>
  <c r="AU229" i="10"/>
  <c r="AU231" i="10"/>
  <c r="AU241" i="10"/>
  <c r="AU242" i="10"/>
  <c r="AU247" i="10"/>
  <c r="AU238" i="10"/>
  <c r="AU226" i="10"/>
  <c r="AU239" i="10"/>
  <c r="AU232" i="10"/>
  <c r="AU227" i="10"/>
  <c r="AU248" i="10"/>
  <c r="V4" i="10"/>
  <c r="H34" i="12"/>
  <c r="AU233" i="10"/>
  <c r="AX9" i="10"/>
  <c r="AZ9" i="10"/>
  <c r="BG9" i="10"/>
  <c r="BM9" i="10" a="1"/>
  <c r="BM9" i="10"/>
  <c r="BE9" i="10"/>
  <c r="BK9" i="10" a="1"/>
  <c r="BK9" i="10"/>
  <c r="BH9" i="10"/>
  <c r="BN9" i="10" a="1"/>
  <c r="BN9" i="10"/>
  <c r="BI9" i="10"/>
  <c r="BO9" i="10" a="1"/>
  <c r="BO9" i="10"/>
  <c r="BD183" i="10"/>
  <c r="BJ183" i="10" a="1"/>
  <c r="BJ183" i="10"/>
  <c r="BI183" i="10"/>
  <c r="BO183" i="10" a="1"/>
  <c r="BO183" i="10"/>
  <c r="BG183" i="10"/>
  <c r="BM183" i="10" a="1"/>
  <c r="BM183" i="10"/>
  <c r="BH183" i="10"/>
  <c r="BN183" i="10" a="1"/>
  <c r="BN183" i="10"/>
  <c r="BE183" i="10"/>
  <c r="BK183" i="10" a="1"/>
  <c r="BK183" i="10"/>
  <c r="BP172" i="10"/>
  <c r="BD201" i="10"/>
  <c r="BJ201" i="10" a="1"/>
  <c r="BJ201" i="10"/>
  <c r="BI201" i="10"/>
  <c r="BO201" i="10" a="1"/>
  <c r="BO201" i="10"/>
  <c r="BG201" i="10"/>
  <c r="BM201" i="10" a="1"/>
  <c r="BM201" i="10"/>
  <c r="BH201" i="10"/>
  <c r="BN201" i="10" a="1"/>
  <c r="BN201" i="10"/>
  <c r="BE201" i="10"/>
  <c r="BK201" i="10" a="1"/>
  <c r="BK201" i="10"/>
  <c r="BP193" i="10"/>
  <c r="BP62" i="10"/>
  <c r="BP171" i="10"/>
  <c r="BP151" i="10"/>
  <c r="BP24" i="10"/>
  <c r="BD17" i="10"/>
  <c r="BJ17" i="10" a="1"/>
  <c r="BJ17" i="10"/>
  <c r="BI17" i="10"/>
  <c r="BO17" i="10" a="1"/>
  <c r="BO17" i="10"/>
  <c r="BH17" i="10"/>
  <c r="BN17" i="10" a="1"/>
  <c r="BN17" i="10"/>
  <c r="BG17" i="10"/>
  <c r="BM17" i="10" a="1"/>
  <c r="BM17" i="10"/>
  <c r="BE17" i="10"/>
  <c r="BK17" i="10" a="1"/>
  <c r="BK17" i="10"/>
  <c r="BD136" i="10"/>
  <c r="BJ136" i="10" a="1"/>
  <c r="BJ136" i="10"/>
  <c r="BE136" i="10"/>
  <c r="BK136" i="10" a="1"/>
  <c r="BK136" i="10"/>
  <c r="BI136" i="10"/>
  <c r="BO136" i="10" a="1"/>
  <c r="BO136" i="10"/>
  <c r="BH136" i="10"/>
  <c r="BN136" i="10" a="1"/>
  <c r="BN136" i="10"/>
  <c r="BG136" i="10"/>
  <c r="BM136" i="10" a="1"/>
  <c r="BM136" i="10"/>
  <c r="BP185" i="10"/>
  <c r="BP237" i="10"/>
  <c r="BG227" i="10"/>
  <c r="BM227" i="10" a="1"/>
  <c r="BM227" i="10"/>
  <c r="BP179" i="10"/>
  <c r="BD181" i="10"/>
  <c r="BJ181" i="10" a="1"/>
  <c r="BJ181" i="10"/>
  <c r="BH181" i="10"/>
  <c r="BN181" i="10" a="1"/>
  <c r="BN181" i="10"/>
  <c r="BI181" i="10"/>
  <c r="BO181" i="10" a="1"/>
  <c r="BO181" i="10"/>
  <c r="BE181" i="10"/>
  <c r="BK181" i="10" a="1"/>
  <c r="BK181" i="10"/>
  <c r="BG181" i="10"/>
  <c r="BM181" i="10" a="1"/>
  <c r="BM181" i="10"/>
  <c r="BP118" i="10"/>
  <c r="BP231" i="10"/>
  <c r="BP98" i="10"/>
  <c r="BP125" i="10"/>
  <c r="BD215" i="10"/>
  <c r="BJ215" i="10" a="1"/>
  <c r="BJ215" i="10"/>
  <c r="BG215" i="10"/>
  <c r="BM215" i="10" a="1"/>
  <c r="BM215" i="10"/>
  <c r="BE215" i="10"/>
  <c r="BK215" i="10" a="1"/>
  <c r="BK215" i="10"/>
  <c r="BI215" i="10"/>
  <c r="BO215" i="10" a="1"/>
  <c r="BO215" i="10"/>
  <c r="BH215" i="10"/>
  <c r="BN215" i="10" a="1"/>
  <c r="BN215" i="10"/>
  <c r="BD34" i="10"/>
  <c r="BJ34" i="10" a="1"/>
  <c r="BJ34" i="10"/>
  <c r="BF34" i="10"/>
  <c r="BL34" i="10" a="1"/>
  <c r="BL34" i="10"/>
  <c r="BI34" i="10"/>
  <c r="BO34" i="10" a="1"/>
  <c r="BO34" i="10"/>
  <c r="BG34" i="10"/>
  <c r="BM34" i="10" a="1"/>
  <c r="BM34" i="10"/>
  <c r="BE34" i="10"/>
  <c r="BK34" i="10" a="1"/>
  <c r="BK34" i="10"/>
  <c r="BD18" i="10"/>
  <c r="BJ18" i="10" a="1"/>
  <c r="BJ18" i="10"/>
  <c r="BI18" i="10"/>
  <c r="BO18" i="10" a="1"/>
  <c r="BO18" i="10"/>
  <c r="BE18" i="10"/>
  <c r="BK18" i="10" a="1"/>
  <c r="BK18" i="10"/>
  <c r="BG18" i="10"/>
  <c r="BM18" i="10" a="1"/>
  <c r="BM18" i="10"/>
  <c r="BH18" i="10"/>
  <c r="BN18" i="10" a="1"/>
  <c r="BN18" i="10"/>
  <c r="BP146" i="10"/>
  <c r="BP164" i="10"/>
  <c r="BD226" i="10"/>
  <c r="BJ226" i="10" a="1"/>
  <c r="BJ226" i="10"/>
  <c r="BG226" i="10"/>
  <c r="BM226" i="10" a="1"/>
  <c r="BM226" i="10"/>
  <c r="BE226" i="10"/>
  <c r="BK226" i="10" a="1"/>
  <c r="BK226" i="10"/>
  <c r="BH226" i="10"/>
  <c r="BN226" i="10" a="1"/>
  <c r="BN226" i="10"/>
  <c r="BI226" i="10"/>
  <c r="BO226" i="10" a="1"/>
  <c r="BO226" i="10"/>
  <c r="BD200" i="10"/>
  <c r="BJ200" i="10" a="1"/>
  <c r="BJ200" i="10"/>
  <c r="BH200" i="10"/>
  <c r="BN200" i="10" a="1"/>
  <c r="BN200" i="10"/>
  <c r="BG200" i="10"/>
  <c r="BM200" i="10" a="1"/>
  <c r="BM200" i="10"/>
  <c r="BE200" i="10"/>
  <c r="BK200" i="10" a="1"/>
  <c r="BK200" i="10"/>
  <c r="BI200" i="10"/>
  <c r="BO200" i="10" a="1"/>
  <c r="BO200" i="10"/>
  <c r="BI65" i="10"/>
  <c r="BO65" i="10" a="1"/>
  <c r="BO65" i="10"/>
  <c r="BD31" i="10"/>
  <c r="BJ31" i="10" a="1"/>
  <c r="BJ31" i="10"/>
  <c r="BI31" i="10"/>
  <c r="BO31" i="10" a="1"/>
  <c r="BO31" i="10"/>
  <c r="BH31" i="10"/>
  <c r="BN31" i="10" a="1"/>
  <c r="BN31" i="10"/>
  <c r="BG31" i="10"/>
  <c r="BM31" i="10" a="1"/>
  <c r="BM31" i="10"/>
  <c r="BE31" i="10"/>
  <c r="BK31" i="10" a="1"/>
  <c r="BK31" i="10"/>
  <c r="BP166" i="10"/>
  <c r="BD100" i="10"/>
  <c r="BJ100" i="10" a="1"/>
  <c r="BJ100" i="10"/>
  <c r="BH100" i="10"/>
  <c r="BN100" i="10" a="1"/>
  <c r="BN100" i="10"/>
  <c r="BG100" i="10"/>
  <c r="BM100" i="10" a="1"/>
  <c r="BM100" i="10"/>
  <c r="BI100" i="10"/>
  <c r="BO100" i="10" a="1"/>
  <c r="BO100" i="10"/>
  <c r="BE100" i="10"/>
  <c r="BK100" i="10" a="1"/>
  <c r="BK100" i="10"/>
  <c r="BD30" i="10"/>
  <c r="BJ30" i="10" a="1"/>
  <c r="BJ30" i="10"/>
  <c r="BE30" i="10"/>
  <c r="BK30" i="10" a="1"/>
  <c r="BK30" i="10"/>
  <c r="BG30" i="10"/>
  <c r="BM30" i="10" a="1"/>
  <c r="BM30" i="10"/>
  <c r="BH30" i="10"/>
  <c r="BN30" i="10" a="1"/>
  <c r="BN30" i="10"/>
  <c r="BI30" i="10"/>
  <c r="BO30" i="10" a="1"/>
  <c r="BO30" i="10"/>
  <c r="BD188" i="10"/>
  <c r="BJ188" i="10" a="1"/>
  <c r="BJ188" i="10"/>
  <c r="BH188" i="10"/>
  <c r="BN188" i="10" a="1"/>
  <c r="BN188" i="10"/>
  <c r="BI188" i="10"/>
  <c r="BO188" i="10" a="1"/>
  <c r="BO188" i="10"/>
  <c r="BE188" i="10"/>
  <c r="BK188" i="10" a="1"/>
  <c r="BK188" i="10"/>
  <c r="BG188" i="10"/>
  <c r="BM188" i="10" a="1"/>
  <c r="BM188" i="10"/>
  <c r="BD156" i="10"/>
  <c r="BJ156" i="10" a="1"/>
  <c r="BJ156" i="10"/>
  <c r="BI156" i="10"/>
  <c r="BO156" i="10" a="1"/>
  <c r="BO156" i="10"/>
  <c r="BH156" i="10"/>
  <c r="BN156" i="10" a="1"/>
  <c r="BN156" i="10"/>
  <c r="BE156" i="10"/>
  <c r="BK156" i="10" a="1"/>
  <c r="BK156" i="10"/>
  <c r="BG156" i="10"/>
  <c r="BM156" i="10" a="1"/>
  <c r="BM156" i="10"/>
  <c r="BD13" i="10"/>
  <c r="BJ13" i="10" a="1"/>
  <c r="BJ13" i="10"/>
  <c r="BI13" i="10"/>
  <c r="BO13" i="10" a="1"/>
  <c r="BO13" i="10"/>
  <c r="BH13" i="10"/>
  <c r="BN13" i="10" a="1"/>
  <c r="BN13" i="10"/>
  <c r="BE13" i="10"/>
  <c r="BK13" i="10" a="1"/>
  <c r="BK13" i="10"/>
  <c r="BG13" i="10"/>
  <c r="BM13" i="10" a="1"/>
  <c r="BM13" i="10"/>
  <c r="BP108" i="10"/>
  <c r="BP94" i="10"/>
  <c r="BP119" i="10"/>
  <c r="BP198" i="10"/>
  <c r="BP101" i="10"/>
  <c r="BD23" i="10"/>
  <c r="BJ23" i="10" a="1"/>
  <c r="BJ23" i="10"/>
  <c r="BH23" i="10"/>
  <c r="BN23" i="10" a="1"/>
  <c r="BN23" i="10"/>
  <c r="BI23" i="10"/>
  <c r="BO23" i="10" a="1"/>
  <c r="BO23" i="10"/>
  <c r="BE23" i="10"/>
  <c r="BK23" i="10" a="1"/>
  <c r="BK23" i="10"/>
  <c r="BG23" i="10"/>
  <c r="BM23" i="10" a="1"/>
  <c r="BM23" i="10"/>
  <c r="BP221" i="10"/>
  <c r="BD47" i="10"/>
  <c r="BJ47" i="10" a="1"/>
  <c r="BJ47" i="10"/>
  <c r="BH47" i="10"/>
  <c r="BN47" i="10" a="1"/>
  <c r="BN47" i="10"/>
  <c r="BG47" i="10"/>
  <c r="BM47" i="10" a="1"/>
  <c r="BM47" i="10"/>
  <c r="BI47" i="10"/>
  <c r="BO47" i="10" a="1"/>
  <c r="BO47" i="10"/>
  <c r="BE47" i="10"/>
  <c r="BK47" i="10" a="1"/>
  <c r="BK47" i="10"/>
  <c r="BD11" i="10"/>
  <c r="BJ11" i="10" a="1"/>
  <c r="BJ11" i="10"/>
  <c r="BI11" i="10"/>
  <c r="BO11" i="10" a="1"/>
  <c r="BO11" i="10"/>
  <c r="BH11" i="10"/>
  <c r="BN11" i="10" a="1"/>
  <c r="BN11" i="10"/>
  <c r="BE11" i="10"/>
  <c r="BK11" i="10" a="1"/>
  <c r="BK11" i="10"/>
  <c r="BG11" i="10"/>
  <c r="BM11" i="10" a="1"/>
  <c r="BM11" i="10"/>
  <c r="BP56" i="10"/>
  <c r="BD63" i="10"/>
  <c r="BJ63" i="10" a="1"/>
  <c r="BJ63" i="10"/>
  <c r="BG63" i="10"/>
  <c r="BM63" i="10" a="1"/>
  <c r="BM63" i="10"/>
  <c r="BI63" i="10"/>
  <c r="BO63" i="10" a="1"/>
  <c r="BO63" i="10"/>
  <c r="BH63" i="10"/>
  <c r="BN63" i="10" a="1"/>
  <c r="BN63" i="10"/>
  <c r="BE63" i="10"/>
  <c r="BK63" i="10" a="1"/>
  <c r="BK63" i="10"/>
  <c r="BD162" i="10"/>
  <c r="BJ162" i="10" a="1"/>
  <c r="BJ162" i="10"/>
  <c r="BG162" i="10"/>
  <c r="BM162" i="10" a="1"/>
  <c r="BM162" i="10"/>
  <c r="BH162" i="10"/>
  <c r="BN162" i="10" a="1"/>
  <c r="BN162" i="10"/>
  <c r="BE162" i="10"/>
  <c r="BK162" i="10" a="1"/>
  <c r="BK162" i="10"/>
  <c r="BI162" i="10"/>
  <c r="BO162" i="10" a="1"/>
  <c r="BO162" i="10"/>
  <c r="BP234" i="10"/>
  <c r="BH34" i="10"/>
  <c r="BN34" i="10" a="1"/>
  <c r="BN34" i="10"/>
  <c r="BD16" i="10"/>
  <c r="BJ16" i="10" a="1"/>
  <c r="BJ16" i="10"/>
  <c r="BH16" i="10"/>
  <c r="BN16" i="10" a="1"/>
  <c r="BN16" i="10"/>
  <c r="BG16" i="10"/>
  <c r="BM16" i="10" a="1"/>
  <c r="BM16" i="10"/>
  <c r="BI16" i="10"/>
  <c r="BO16" i="10" a="1"/>
  <c r="BO16" i="10"/>
  <c r="BE16" i="10"/>
  <c r="BK16" i="10" a="1"/>
  <c r="BK16" i="10"/>
  <c r="BP186" i="10"/>
  <c r="AV6" i="10"/>
  <c r="AV5" i="10"/>
  <c r="BP109" i="10"/>
  <c r="BP54" i="10"/>
  <c r="BP152" i="10"/>
  <c r="BP70" i="10"/>
  <c r="BP30" i="10"/>
  <c r="BP64" i="10"/>
  <c r="BP160" i="10"/>
  <c r="BP9" i="10"/>
  <c r="BA9" i="10"/>
  <c r="BP170" i="10"/>
  <c r="BP21" i="10"/>
  <c r="BP117" i="10"/>
  <c r="BP97" i="10"/>
  <c r="BP92" i="10"/>
  <c r="BP18" i="10"/>
  <c r="BP66" i="10"/>
  <c r="BP58" i="10"/>
  <c r="BP61" i="10"/>
  <c r="BP81" i="10"/>
  <c r="BP10" i="10"/>
  <c r="BP78" i="10"/>
  <c r="BP188" i="10"/>
  <c r="BP22" i="10"/>
  <c r="BP215" i="10"/>
  <c r="BP128" i="10"/>
  <c r="BP47" i="10"/>
  <c r="BP13" i="10"/>
  <c r="BP200" i="10"/>
  <c r="BP31" i="10"/>
  <c r="BP124" i="10"/>
  <c r="BP69" i="10"/>
  <c r="BP227" i="10"/>
  <c r="BP46" i="10"/>
  <c r="BP134" i="10"/>
  <c r="BP51" i="10"/>
  <c r="BP89" i="10"/>
  <c r="BP214" i="10"/>
  <c r="BP11" i="10"/>
  <c r="BP181" i="10"/>
  <c r="BP157" i="10"/>
  <c r="BP86" i="10"/>
  <c r="BP93" i="10"/>
  <c r="BP223" i="10"/>
  <c r="BP19" i="10"/>
  <c r="BP224" i="10"/>
  <c r="BP141" i="10"/>
  <c r="BP156" i="10"/>
  <c r="BP34" i="10"/>
  <c r="BP79" i="10"/>
  <c r="BP90" i="10"/>
  <c r="BP112" i="10"/>
  <c r="BP240" i="10"/>
  <c r="BP222" i="10"/>
  <c r="BP28" i="10"/>
  <c r="BP87" i="10"/>
  <c r="BP187" i="10"/>
  <c r="BP72" i="10"/>
  <c r="BP136" i="10"/>
  <c r="BP102" i="10"/>
  <c r="BP63" i="10"/>
  <c r="BP23" i="10"/>
  <c r="BP100" i="10"/>
  <c r="BP147" i="10"/>
  <c r="BP201" i="10"/>
  <c r="BP238" i="10"/>
  <c r="BP114" i="10"/>
  <c r="BP96" i="10"/>
  <c r="BP16" i="10"/>
  <c r="BP162" i="10"/>
  <c r="BP226" i="10"/>
  <c r="BP17" i="10"/>
  <c r="BP183" i="10"/>
  <c r="BP12" i="10"/>
  <c r="BP85" i="10"/>
  <c r="BP65" i="10"/>
  <c r="BP203" i="10"/>
  <c r="BP45" i="10"/>
  <c r="BP52" i="10"/>
  <c r="BP245" i="10"/>
  <c r="BP95" i="10"/>
  <c r="BP158" i="10"/>
  <c r="BP143" i="10"/>
  <c r="AY9" i="10"/>
  <c r="AW10" i="10"/>
  <c r="BQ6" i="10"/>
  <c r="BT9" i="10"/>
  <c r="AX10" i="10"/>
  <c r="AW11" i="10"/>
  <c r="BY9" i="10"/>
  <c r="BZ9" i="10"/>
  <c r="AX11" i="10"/>
  <c r="AY10" i="10"/>
  <c r="AZ10" i="10"/>
  <c r="BA10" i="10"/>
  <c r="CA9" i="10"/>
  <c r="CB9" i="10"/>
  <c r="CC9" i="10"/>
  <c r="CD9" i="10"/>
  <c r="CE9" i="10"/>
  <c r="CG9" i="10"/>
  <c r="BT10" i="10"/>
  <c r="BY10" i="10"/>
  <c r="CA10" i="10"/>
  <c r="AY11" i="10"/>
  <c r="AZ11" i="10"/>
  <c r="BA11" i="10"/>
  <c r="AW12" i="10"/>
  <c r="CB10" i="10"/>
  <c r="CC10" i="10"/>
  <c r="CD10" i="10"/>
  <c r="BZ10" i="10"/>
  <c r="AX12" i="10"/>
  <c r="AW13" i="10"/>
  <c r="BT11" i="10"/>
  <c r="BY11" i="10"/>
  <c r="CE10" i="10"/>
  <c r="CG10" i="10"/>
  <c r="AX13" i="10"/>
  <c r="AW14" i="10"/>
  <c r="CA11" i="10"/>
  <c r="AY12" i="10"/>
  <c r="AZ12" i="10"/>
  <c r="BA12" i="10"/>
  <c r="BZ11" i="10"/>
  <c r="CB11" i="10"/>
  <c r="CC11" i="10"/>
  <c r="CD11" i="10"/>
  <c r="CE11" i="10"/>
  <c r="CG11" i="10"/>
  <c r="BT12" i="10"/>
  <c r="BY12" i="10"/>
  <c r="AX14" i="10"/>
  <c r="AW15" i="10"/>
  <c r="AY13" i="10"/>
  <c r="AZ13" i="10"/>
  <c r="BA13" i="10"/>
  <c r="BT13" i="10"/>
  <c r="BY13" i="10"/>
  <c r="CA12" i="10"/>
  <c r="AX15" i="10"/>
  <c r="AW16" i="10"/>
  <c r="AY14" i="10"/>
  <c r="AZ14" i="10"/>
  <c r="BA14" i="10"/>
  <c r="BZ12" i="10"/>
  <c r="CB12" i="10"/>
  <c r="CC12" i="10"/>
  <c r="CD12" i="10"/>
  <c r="CE12" i="10"/>
  <c r="CG12" i="10"/>
  <c r="BZ13" i="10"/>
  <c r="AX16" i="10"/>
  <c r="AW17" i="10"/>
  <c r="BT14" i="10"/>
  <c r="BY14" i="10"/>
  <c r="AY15" i="10"/>
  <c r="AZ15" i="10"/>
  <c r="BA15" i="10"/>
  <c r="CA13" i="10"/>
  <c r="CB13" i="10"/>
  <c r="CC13" i="10"/>
  <c r="CD13" i="10"/>
  <c r="CE13" i="10"/>
  <c r="CG13" i="10"/>
  <c r="AX17" i="10"/>
  <c r="AW18" i="10"/>
  <c r="CA14" i="10"/>
  <c r="BT15" i="10"/>
  <c r="BY15" i="10"/>
  <c r="AY16" i="10"/>
  <c r="AZ16" i="10"/>
  <c r="BA16" i="10"/>
  <c r="BZ14" i="10"/>
  <c r="BT16" i="10"/>
  <c r="BY16" i="10"/>
  <c r="CB14" i="10"/>
  <c r="CC14" i="10"/>
  <c r="CD14" i="10"/>
  <c r="CE14" i="10"/>
  <c r="CG14" i="10"/>
  <c r="BZ15" i="10"/>
  <c r="CA15" i="10"/>
  <c r="AX18" i="10"/>
  <c r="AW19" i="10"/>
  <c r="AY17" i="10"/>
  <c r="AZ17" i="10"/>
  <c r="BA17" i="10"/>
  <c r="BZ16" i="10"/>
  <c r="CB15" i="10"/>
  <c r="CC15" i="10"/>
  <c r="CD15" i="10"/>
  <c r="CA16" i="10"/>
  <c r="BT17" i="10"/>
  <c r="BY17" i="10"/>
  <c r="AX19" i="10"/>
  <c r="AW20" i="10"/>
  <c r="AY18" i="10"/>
  <c r="AZ18" i="10"/>
  <c r="BA18" i="10"/>
  <c r="CE15" i="10"/>
  <c r="CG15" i="10"/>
  <c r="CB16" i="10"/>
  <c r="CC16" i="10"/>
  <c r="CD16" i="10"/>
  <c r="CA17" i="10"/>
  <c r="BZ17" i="10"/>
  <c r="BT18" i="10"/>
  <c r="BY18" i="10"/>
  <c r="AX20" i="10"/>
  <c r="AY19" i="10"/>
  <c r="AZ19" i="10"/>
  <c r="BA19" i="10"/>
  <c r="CE16" i="10"/>
  <c r="CG16" i="10"/>
  <c r="CB17" i="10"/>
  <c r="CC17" i="10"/>
  <c r="CD17" i="10"/>
  <c r="CE17" i="10"/>
  <c r="CG17" i="10"/>
  <c r="BZ18" i="10"/>
  <c r="AY20" i="10"/>
  <c r="AZ20" i="10"/>
  <c r="BA20" i="10"/>
  <c r="AW21" i="10"/>
  <c r="BT19" i="10"/>
  <c r="BY19" i="10"/>
  <c r="CA18" i="10"/>
  <c r="CB18" i="10"/>
  <c r="CC18" i="10"/>
  <c r="CD18" i="10"/>
  <c r="CE18" i="10"/>
  <c r="CG18" i="10"/>
  <c r="CA19" i="10"/>
  <c r="BZ19" i="10"/>
  <c r="AX21" i="10"/>
  <c r="BT20" i="10"/>
  <c r="BY20" i="10"/>
  <c r="CB19" i="10"/>
  <c r="CC19" i="10"/>
  <c r="CD19" i="10"/>
  <c r="CE19" i="10"/>
  <c r="CG19" i="10"/>
  <c r="AY21" i="10"/>
  <c r="AZ21" i="10"/>
  <c r="BA21" i="10"/>
  <c r="BZ20" i="10"/>
  <c r="CA20" i="10"/>
  <c r="AW22" i="10"/>
  <c r="CB20" i="10"/>
  <c r="CC20" i="10"/>
  <c r="CD20" i="10"/>
  <c r="CE20" i="10"/>
  <c r="CG20" i="10"/>
  <c r="AX22" i="10"/>
  <c r="AW23" i="10"/>
  <c r="BT21" i="10"/>
  <c r="BY21" i="10"/>
  <c r="CA21" i="10"/>
  <c r="BZ21" i="10"/>
  <c r="AX23" i="10"/>
  <c r="AY22" i="10"/>
  <c r="AZ22" i="10"/>
  <c r="BA22" i="10"/>
  <c r="CB21" i="10"/>
  <c r="CC21" i="10"/>
  <c r="CD21" i="10"/>
  <c r="CE21" i="10"/>
  <c r="CG21" i="10"/>
  <c r="AY23" i="10"/>
  <c r="AZ23" i="10"/>
  <c r="BA23" i="10"/>
  <c r="BT22" i="10"/>
  <c r="BY22" i="10"/>
  <c r="AW24" i="10"/>
  <c r="BT23" i="10"/>
  <c r="BY23" i="10"/>
  <c r="AX24" i="10"/>
  <c r="AW25" i="10"/>
  <c r="CA22" i="10"/>
  <c r="BZ22" i="10"/>
  <c r="CB22" i="10"/>
  <c r="CC22" i="10"/>
  <c r="CD22" i="10"/>
  <c r="CE22" i="10"/>
  <c r="CG22" i="10"/>
  <c r="BZ23" i="10"/>
  <c r="AX25" i="10"/>
  <c r="AW26" i="10"/>
  <c r="AY24" i="10"/>
  <c r="AZ24" i="10"/>
  <c r="BA24" i="10"/>
  <c r="CA23" i="10"/>
  <c r="CB23" i="10"/>
  <c r="CC23" i="10"/>
  <c r="CD23" i="10"/>
  <c r="CE23" i="10"/>
  <c r="CG23" i="10"/>
  <c r="BT24" i="10"/>
  <c r="BY24" i="10"/>
  <c r="AX26" i="10"/>
  <c r="AW27" i="10"/>
  <c r="AY25" i="10"/>
  <c r="AZ25" i="10"/>
  <c r="BA25" i="10"/>
  <c r="BT25" i="10"/>
  <c r="BY25" i="10"/>
  <c r="AX27" i="10"/>
  <c r="AW28" i="10"/>
  <c r="AY26" i="10"/>
  <c r="AZ26" i="10"/>
  <c r="BA26" i="10"/>
  <c r="CA24" i="10"/>
  <c r="BZ24" i="10"/>
  <c r="CB24" i="10"/>
  <c r="CC24" i="10"/>
  <c r="CD24" i="10"/>
  <c r="CE24" i="10"/>
  <c r="CG24" i="10"/>
  <c r="BZ25" i="10"/>
  <c r="AX28" i="10"/>
  <c r="AW29" i="10"/>
  <c r="BT26" i="10"/>
  <c r="BY26" i="10"/>
  <c r="AY27" i="10"/>
  <c r="AZ27" i="10"/>
  <c r="BA27" i="10"/>
  <c r="CA25" i="10"/>
  <c r="CB25" i="10"/>
  <c r="CC25" i="10"/>
  <c r="CD25" i="10"/>
  <c r="CE25" i="10"/>
  <c r="CG25" i="10"/>
  <c r="BZ26" i="10"/>
  <c r="BT27" i="10"/>
  <c r="BY27" i="10"/>
  <c r="CA26" i="10"/>
  <c r="AX29" i="10"/>
  <c r="AY28" i="10"/>
  <c r="AZ28" i="10"/>
  <c r="BA28" i="10"/>
  <c r="CB26" i="10"/>
  <c r="CC26" i="10"/>
  <c r="CD26" i="10"/>
  <c r="CE26" i="10"/>
  <c r="CG26" i="10"/>
  <c r="AY29" i="10"/>
  <c r="AZ29" i="10"/>
  <c r="BA29" i="10"/>
  <c r="BT28" i="10"/>
  <c r="BY28" i="10"/>
  <c r="AW30" i="10"/>
  <c r="CA27" i="10"/>
  <c r="BZ27" i="10"/>
  <c r="CB27" i="10"/>
  <c r="CC27" i="10"/>
  <c r="CD27" i="10"/>
  <c r="CE27" i="10"/>
  <c r="CG27" i="10"/>
  <c r="BZ28" i="10"/>
  <c r="CA28" i="10"/>
  <c r="AX30" i="10"/>
  <c r="BT29" i="10"/>
  <c r="BY29" i="10"/>
  <c r="CB28" i="10"/>
  <c r="CC28" i="10"/>
  <c r="CD28" i="10"/>
  <c r="CE28" i="10"/>
  <c r="CG28" i="10"/>
  <c r="CA29" i="10"/>
  <c r="BZ29" i="10"/>
  <c r="AY30" i="10"/>
  <c r="AZ30" i="10"/>
  <c r="BA30" i="10"/>
  <c r="AW31" i="10"/>
  <c r="CB29" i="10"/>
  <c r="CC29" i="10"/>
  <c r="CD29" i="10"/>
  <c r="CE29" i="10"/>
  <c r="CG29" i="10"/>
  <c r="AX31" i="10"/>
  <c r="AW32" i="10"/>
  <c r="BT30" i="10"/>
  <c r="BY30" i="10"/>
  <c r="CA30" i="10"/>
  <c r="BZ30" i="10"/>
  <c r="AX32" i="10"/>
  <c r="AW33" i="10"/>
  <c r="AY31" i="10"/>
  <c r="AZ31" i="10"/>
  <c r="BA31" i="10"/>
  <c r="CB30" i="10"/>
  <c r="CC30" i="10"/>
  <c r="CD30" i="10"/>
  <c r="CE30" i="10"/>
  <c r="CG30" i="10"/>
  <c r="AX33" i="10"/>
  <c r="AW34" i="10"/>
  <c r="BT31" i="10"/>
  <c r="BY31" i="10"/>
  <c r="AY32" i="10"/>
  <c r="AZ32" i="10"/>
  <c r="BA32" i="10"/>
  <c r="AX34" i="10"/>
  <c r="AW35" i="10"/>
  <c r="CA31" i="10"/>
  <c r="BT32" i="10"/>
  <c r="BY32" i="10"/>
  <c r="AY33" i="10"/>
  <c r="AZ33" i="10"/>
  <c r="BA33" i="10"/>
  <c r="BZ31" i="10"/>
  <c r="CB31" i="10"/>
  <c r="CC31" i="10"/>
  <c r="CD31" i="10"/>
  <c r="CE31" i="10"/>
  <c r="CG31" i="10"/>
  <c r="BZ32" i="10"/>
  <c r="BT33" i="10"/>
  <c r="BY33" i="10"/>
  <c r="CA32" i="10"/>
  <c r="AX35" i="10"/>
  <c r="AW36" i="10"/>
  <c r="AY34" i="10"/>
  <c r="AZ34" i="10"/>
  <c r="BA34" i="10"/>
  <c r="BZ33" i="10"/>
  <c r="CB32" i="10"/>
  <c r="CC32" i="10"/>
  <c r="CD32" i="10"/>
  <c r="CE32" i="10"/>
  <c r="CG32" i="10"/>
  <c r="AX36" i="10"/>
  <c r="AW37" i="10"/>
  <c r="BT34" i="10"/>
  <c r="BY34" i="10"/>
  <c r="AY35" i="10"/>
  <c r="AZ35" i="10"/>
  <c r="BA35" i="10"/>
  <c r="CA33" i="10"/>
  <c r="BZ34" i="10"/>
  <c r="CB33" i="10"/>
  <c r="CC33" i="10"/>
  <c r="CD33" i="10"/>
  <c r="CE33" i="10"/>
  <c r="CG33" i="10"/>
  <c r="BT35" i="10"/>
  <c r="BY35" i="10"/>
  <c r="CA34" i="10"/>
  <c r="AX37" i="10"/>
  <c r="AW38" i="10"/>
  <c r="AY36" i="10"/>
  <c r="AZ36" i="10"/>
  <c r="BA36" i="10"/>
  <c r="BZ35" i="10"/>
  <c r="CB34" i="10"/>
  <c r="CC34" i="10"/>
  <c r="CD34" i="10"/>
  <c r="CE34" i="10"/>
  <c r="CG34" i="10"/>
  <c r="CA35" i="10"/>
  <c r="BT36" i="10"/>
  <c r="BY36" i="10"/>
  <c r="AX38" i="10"/>
  <c r="AY37" i="10"/>
  <c r="AZ37" i="10"/>
  <c r="BA37" i="10"/>
  <c r="CB35" i="10"/>
  <c r="CC35" i="10"/>
  <c r="CD35" i="10"/>
  <c r="CE35" i="10"/>
  <c r="CG35" i="10"/>
  <c r="BZ36" i="10"/>
  <c r="CA36" i="10"/>
  <c r="BT37" i="10"/>
  <c r="BY37" i="10"/>
  <c r="AY38" i="10"/>
  <c r="AZ38" i="10"/>
  <c r="BA38" i="10"/>
  <c r="AW39" i="10"/>
  <c r="CB36" i="10"/>
  <c r="CC36" i="10"/>
  <c r="CD36" i="10"/>
  <c r="CE36" i="10"/>
  <c r="CG36" i="10"/>
  <c r="BZ37" i="10"/>
  <c r="AX39" i="10"/>
  <c r="AW40" i="10"/>
  <c r="BT38" i="10"/>
  <c r="BY38" i="10"/>
  <c r="CA37" i="10"/>
  <c r="CB37" i="10"/>
  <c r="CC37" i="10"/>
  <c r="CD37" i="10"/>
  <c r="CE37" i="10"/>
  <c r="CG37" i="10"/>
  <c r="CA38" i="10"/>
  <c r="AX40" i="10"/>
  <c r="AY39" i="10"/>
  <c r="AZ39" i="10"/>
  <c r="BA39" i="10"/>
  <c r="BZ38" i="10"/>
  <c r="CB38" i="10"/>
  <c r="CC38" i="10"/>
  <c r="CD38" i="10"/>
  <c r="CE38" i="10"/>
  <c r="CG38" i="10"/>
  <c r="BT39" i="10"/>
  <c r="BY39" i="10"/>
  <c r="BZ39" i="10"/>
  <c r="AY40" i="10"/>
  <c r="AZ40" i="10"/>
  <c r="BA40" i="10"/>
  <c r="AW41" i="10"/>
  <c r="CA39" i="10"/>
  <c r="AX41" i="10"/>
  <c r="AW42" i="10"/>
  <c r="BT40" i="10"/>
  <c r="BY40" i="10"/>
  <c r="BZ40" i="10"/>
  <c r="CB39" i="10"/>
  <c r="CC39" i="10"/>
  <c r="CD39" i="10"/>
  <c r="CE39" i="10"/>
  <c r="CG39" i="10"/>
  <c r="CA40" i="10"/>
  <c r="AX42" i="10"/>
  <c r="AY41" i="10"/>
  <c r="AZ41" i="10"/>
  <c r="BA41" i="10"/>
  <c r="CB40" i="10"/>
  <c r="CC40" i="10"/>
  <c r="CD40" i="10"/>
  <c r="CE40" i="10"/>
  <c r="CG40" i="10"/>
  <c r="BT41" i="10"/>
  <c r="BY41" i="10"/>
  <c r="AY42" i="10"/>
  <c r="AZ42" i="10"/>
  <c r="BA42" i="10"/>
  <c r="AW43" i="10"/>
  <c r="BZ41" i="10"/>
  <c r="CA41" i="10"/>
  <c r="AX43" i="10"/>
  <c r="AW44" i="10"/>
  <c r="BT42" i="10"/>
  <c r="BY42" i="10"/>
  <c r="CB41" i="10"/>
  <c r="CC41" i="10"/>
  <c r="CD41" i="10"/>
  <c r="CE41" i="10"/>
  <c r="CG41" i="10"/>
  <c r="CA42" i="10"/>
  <c r="AX44" i="10"/>
  <c r="AY43" i="10"/>
  <c r="AZ43" i="10"/>
  <c r="BA43" i="10"/>
  <c r="BZ42" i="10"/>
  <c r="CB42" i="10"/>
  <c r="CC42" i="10"/>
  <c r="CD42" i="10"/>
  <c r="CE42" i="10"/>
  <c r="CG42" i="10"/>
  <c r="BT43" i="10"/>
  <c r="BY43" i="10"/>
  <c r="BZ43" i="10"/>
  <c r="AY44" i="10"/>
  <c r="AZ44" i="10"/>
  <c r="BA44" i="10"/>
  <c r="AW45" i="10"/>
  <c r="AX45" i="10"/>
  <c r="AW46" i="10"/>
  <c r="AX46" i="10"/>
  <c r="AY45" i="10"/>
  <c r="AZ45" i="10"/>
  <c r="BA45" i="10"/>
  <c r="BT44" i="10"/>
  <c r="BY44" i="10"/>
  <c r="CA43" i="10"/>
  <c r="CB43" i="10"/>
  <c r="CC43" i="10"/>
  <c r="CD43" i="10"/>
  <c r="CE43" i="10"/>
  <c r="CG43" i="10"/>
  <c r="CA44" i="10"/>
  <c r="BT45" i="10"/>
  <c r="BY45" i="10"/>
  <c r="AW47" i="10"/>
  <c r="AX47" i="10"/>
  <c r="AY46" i="10"/>
  <c r="AZ46" i="10"/>
  <c r="BA46" i="10"/>
  <c r="BZ44" i="10"/>
  <c r="CB44" i="10"/>
  <c r="CC44" i="10"/>
  <c r="CD44" i="10"/>
  <c r="CE44" i="10"/>
  <c r="CG44" i="10"/>
  <c r="BZ45" i="10"/>
  <c r="CA45" i="10"/>
  <c r="AW48" i="10"/>
  <c r="AX48" i="10"/>
  <c r="AY47" i="10"/>
  <c r="AZ47" i="10"/>
  <c r="BA47" i="10"/>
  <c r="BT46" i="10"/>
  <c r="BY46" i="10"/>
  <c r="CB45" i="10"/>
  <c r="CC45" i="10"/>
  <c r="CD45" i="10"/>
  <c r="CE45" i="10"/>
  <c r="CG45" i="10"/>
  <c r="BZ46" i="10"/>
  <c r="AW49" i="10"/>
  <c r="AX49" i="10"/>
  <c r="AY48" i="10"/>
  <c r="AZ48" i="10"/>
  <c r="BA48" i="10"/>
  <c r="CA46" i="10"/>
  <c r="BT47" i="10"/>
  <c r="BY47" i="10"/>
  <c r="CB46" i="10"/>
  <c r="CC46" i="10"/>
  <c r="CD46" i="10"/>
  <c r="CE46" i="10"/>
  <c r="CG46" i="10"/>
  <c r="CA47" i="10"/>
  <c r="BT48" i="10"/>
  <c r="BY48" i="10"/>
  <c r="AW50" i="10"/>
  <c r="AX50" i="10"/>
  <c r="AY49" i="10"/>
  <c r="AZ49" i="10"/>
  <c r="BA49" i="10"/>
  <c r="BZ47" i="10"/>
  <c r="CB47" i="10"/>
  <c r="CC47" i="10"/>
  <c r="CD47" i="10"/>
  <c r="CE47" i="10"/>
  <c r="CG47" i="10"/>
  <c r="BZ48" i="10"/>
  <c r="AW51" i="10"/>
  <c r="AX51" i="10"/>
  <c r="AY50" i="10"/>
  <c r="AZ50" i="10"/>
  <c r="BA50" i="10"/>
  <c r="BT49" i="10"/>
  <c r="BY49" i="10"/>
  <c r="CA48" i="10"/>
  <c r="CB48" i="10"/>
  <c r="CC48" i="10"/>
  <c r="CD48" i="10"/>
  <c r="CE48" i="10"/>
  <c r="CG48" i="10"/>
  <c r="BZ49" i="10"/>
  <c r="CA49" i="10"/>
  <c r="BT50" i="10"/>
  <c r="BY50" i="10"/>
  <c r="AW52" i="10"/>
  <c r="AX52" i="10"/>
  <c r="AY51" i="10"/>
  <c r="AZ51" i="10"/>
  <c r="BA51" i="10"/>
  <c r="CB49" i="10"/>
  <c r="CC49" i="10"/>
  <c r="CD49" i="10"/>
  <c r="CE49" i="10"/>
  <c r="CG49" i="10"/>
  <c r="CA50" i="10"/>
  <c r="AW53" i="10"/>
  <c r="AX53" i="10"/>
  <c r="AY52" i="10"/>
  <c r="AZ52" i="10"/>
  <c r="BA52" i="10"/>
  <c r="BT51" i="10"/>
  <c r="BY51" i="10"/>
  <c r="BZ50" i="10"/>
  <c r="CB50" i="10"/>
  <c r="CC50" i="10"/>
  <c r="CD50" i="10"/>
  <c r="CE50" i="10"/>
  <c r="CG50" i="10"/>
  <c r="BZ51" i="10"/>
  <c r="AW54" i="10"/>
  <c r="AX54" i="10"/>
  <c r="AY53" i="10"/>
  <c r="AZ53" i="10"/>
  <c r="BA53" i="10"/>
  <c r="CA51" i="10"/>
  <c r="BT52" i="10"/>
  <c r="BY52" i="10"/>
  <c r="CB51" i="10"/>
  <c r="CC51" i="10"/>
  <c r="CD51" i="10"/>
  <c r="CE51" i="10"/>
  <c r="CG51" i="10"/>
  <c r="BT53" i="10"/>
  <c r="BY53" i="10"/>
  <c r="CA52" i="10"/>
  <c r="AW55" i="10"/>
  <c r="AX55" i="10"/>
  <c r="AY54" i="10"/>
  <c r="AZ54" i="10"/>
  <c r="BA54" i="10"/>
  <c r="BZ52" i="10"/>
  <c r="CB52" i="10"/>
  <c r="CC52" i="10"/>
  <c r="CD52" i="10"/>
  <c r="CE52" i="10"/>
  <c r="CG52" i="10"/>
  <c r="BZ53" i="10"/>
  <c r="BT54" i="10"/>
  <c r="BY54" i="10"/>
  <c r="AW56" i="10"/>
  <c r="AX56" i="10"/>
  <c r="AY55" i="10"/>
  <c r="AZ55" i="10"/>
  <c r="BA55" i="10"/>
  <c r="CA53" i="10"/>
  <c r="CB53" i="10"/>
  <c r="CC53" i="10"/>
  <c r="CD53" i="10"/>
  <c r="CE53" i="10"/>
  <c r="CG53" i="10"/>
  <c r="BZ54" i="10"/>
  <c r="AW57" i="10"/>
  <c r="AX57" i="10"/>
  <c r="AY56" i="10"/>
  <c r="AZ56" i="10"/>
  <c r="BA56" i="10"/>
  <c r="BT55" i="10"/>
  <c r="BY55" i="10"/>
  <c r="CA54" i="10"/>
  <c r="BZ55" i="10"/>
  <c r="CB54" i="10"/>
  <c r="CC54" i="10"/>
  <c r="CD54" i="10"/>
  <c r="CE54" i="10"/>
  <c r="CG54" i="10"/>
  <c r="CA55" i="10"/>
  <c r="BT56" i="10"/>
  <c r="BY56" i="10"/>
  <c r="AW58" i="10"/>
  <c r="AX58" i="10"/>
  <c r="AY57" i="10"/>
  <c r="AZ57" i="10"/>
  <c r="BA57" i="10"/>
  <c r="CB55" i="10"/>
  <c r="CC55" i="10"/>
  <c r="CD55" i="10"/>
  <c r="CE55" i="10"/>
  <c r="CG55" i="10"/>
  <c r="AW59" i="10"/>
  <c r="AX59" i="10"/>
  <c r="AY58" i="10"/>
  <c r="AZ58" i="10"/>
  <c r="BA58" i="10"/>
  <c r="BT57" i="10"/>
  <c r="BY57" i="10"/>
  <c r="CA56" i="10"/>
  <c r="BZ56" i="10"/>
  <c r="CB56" i="10"/>
  <c r="CC56" i="10"/>
  <c r="CD56" i="10"/>
  <c r="CE56" i="10"/>
  <c r="CG56" i="10"/>
  <c r="CA57" i="10"/>
  <c r="BZ57" i="10"/>
  <c r="BT58" i="10"/>
  <c r="BY58" i="10"/>
  <c r="AW60" i="10"/>
  <c r="AX60" i="10"/>
  <c r="AY59" i="10"/>
  <c r="AZ59" i="10"/>
  <c r="BA59" i="10"/>
  <c r="CB57" i="10"/>
  <c r="CC57" i="10"/>
  <c r="CD57" i="10"/>
  <c r="CE57" i="10"/>
  <c r="CG57" i="10"/>
  <c r="BZ58" i="10"/>
  <c r="BT59" i="10"/>
  <c r="BY59" i="10"/>
  <c r="AW61" i="10"/>
  <c r="AX61" i="10"/>
  <c r="AY60" i="10"/>
  <c r="AZ60" i="10"/>
  <c r="BA60" i="10"/>
  <c r="CA58" i="10"/>
  <c r="CB58" i="10"/>
  <c r="CC58" i="10"/>
  <c r="CD58" i="10"/>
  <c r="CE58" i="10"/>
  <c r="CG58" i="10"/>
  <c r="BZ59" i="10"/>
  <c r="AW62" i="10"/>
  <c r="AX62" i="10"/>
  <c r="AY61" i="10"/>
  <c r="AZ61" i="10"/>
  <c r="BA61" i="10"/>
  <c r="BT60" i="10"/>
  <c r="BY60" i="10"/>
  <c r="CA59" i="10"/>
  <c r="CB59" i="10"/>
  <c r="CC59" i="10"/>
  <c r="CD59" i="10"/>
  <c r="CE59" i="10"/>
  <c r="CG59" i="10"/>
  <c r="CA60" i="10"/>
  <c r="BZ60" i="10"/>
  <c r="BT61" i="10"/>
  <c r="BY61" i="10"/>
  <c r="AW63" i="10"/>
  <c r="AX63" i="10"/>
  <c r="AY62" i="10"/>
  <c r="AZ62" i="10"/>
  <c r="BA62" i="10"/>
  <c r="CB60" i="10"/>
  <c r="CC60" i="10"/>
  <c r="CD60" i="10"/>
  <c r="CE60" i="10"/>
  <c r="CG60" i="10"/>
  <c r="BT62" i="10"/>
  <c r="BY62" i="10"/>
  <c r="BZ61" i="10"/>
  <c r="AW64" i="10"/>
  <c r="AX64" i="10"/>
  <c r="AY63" i="10"/>
  <c r="AZ63" i="10"/>
  <c r="BA63" i="10"/>
  <c r="CA61" i="10"/>
  <c r="CB61" i="10"/>
  <c r="CC61" i="10"/>
  <c r="CD61" i="10"/>
  <c r="CE61" i="10"/>
  <c r="CG61" i="10"/>
  <c r="BZ62" i="10"/>
  <c r="CA62" i="10"/>
  <c r="BT63" i="10"/>
  <c r="BY63" i="10"/>
  <c r="AW65" i="10"/>
  <c r="AX65" i="10"/>
  <c r="AY64" i="10"/>
  <c r="AZ64" i="10"/>
  <c r="BA64" i="10"/>
  <c r="CB62" i="10"/>
  <c r="CC62" i="10"/>
  <c r="CD62" i="10"/>
  <c r="CE62" i="10"/>
  <c r="CG62" i="10"/>
  <c r="BZ63" i="10"/>
  <c r="AW66" i="10"/>
  <c r="AX66" i="10"/>
  <c r="AY65" i="10"/>
  <c r="AZ65" i="10"/>
  <c r="BA65" i="10"/>
  <c r="BT64" i="10"/>
  <c r="BY64" i="10"/>
  <c r="CA63" i="10"/>
  <c r="CB63" i="10"/>
  <c r="CC63" i="10"/>
  <c r="CD63" i="10"/>
  <c r="CE63" i="10"/>
  <c r="CG63" i="10"/>
  <c r="CA64" i="10"/>
  <c r="BZ64" i="10"/>
  <c r="BT65" i="10"/>
  <c r="BY65" i="10"/>
  <c r="AW67" i="10"/>
  <c r="AX67" i="10"/>
  <c r="AY66" i="10"/>
  <c r="AZ66" i="10"/>
  <c r="BA66" i="10"/>
  <c r="CB64" i="10"/>
  <c r="CC64" i="10"/>
  <c r="CD64" i="10"/>
  <c r="CE64" i="10"/>
  <c r="CG64" i="10"/>
  <c r="BT66" i="10"/>
  <c r="BY66" i="10"/>
  <c r="CA65" i="10"/>
  <c r="BZ65" i="10"/>
  <c r="AW68" i="10"/>
  <c r="AX68" i="10"/>
  <c r="AY67" i="10"/>
  <c r="AZ67" i="10"/>
  <c r="BA67" i="10"/>
  <c r="CB65" i="10"/>
  <c r="CC65" i="10"/>
  <c r="CD65" i="10"/>
  <c r="CE65" i="10"/>
  <c r="CG65" i="10"/>
  <c r="BZ66" i="10"/>
  <c r="AW69" i="10"/>
  <c r="AX69" i="10"/>
  <c r="AY68" i="10"/>
  <c r="AZ68" i="10"/>
  <c r="BA68" i="10"/>
  <c r="BT67" i="10"/>
  <c r="BY67" i="10"/>
  <c r="CA66" i="10"/>
  <c r="CB66" i="10"/>
  <c r="CC66" i="10"/>
  <c r="CD66" i="10"/>
  <c r="CE66" i="10"/>
  <c r="CG66" i="10"/>
  <c r="CA67" i="10"/>
  <c r="BT68" i="10"/>
  <c r="BY68" i="10"/>
  <c r="AW70" i="10"/>
  <c r="AX70" i="10"/>
  <c r="AY69" i="10"/>
  <c r="AZ69" i="10"/>
  <c r="BA69" i="10"/>
  <c r="BZ67" i="10"/>
  <c r="CB67" i="10"/>
  <c r="CC67" i="10"/>
  <c r="CD67" i="10"/>
  <c r="CE67" i="10"/>
  <c r="CG67" i="10"/>
  <c r="BZ68" i="10"/>
  <c r="BT69" i="10"/>
  <c r="BY69" i="10"/>
  <c r="CA68" i="10"/>
  <c r="AW71" i="10"/>
  <c r="AX71" i="10"/>
  <c r="AY70" i="10"/>
  <c r="AZ70" i="10"/>
  <c r="BA70" i="10"/>
  <c r="BZ69" i="10"/>
  <c r="CB68" i="10"/>
  <c r="CC68" i="10"/>
  <c r="CD68" i="10"/>
  <c r="CE68" i="10"/>
  <c r="CG68" i="10"/>
  <c r="CA69" i="10"/>
  <c r="AW72" i="10"/>
  <c r="AX72" i="10"/>
  <c r="AY71" i="10"/>
  <c r="AZ71" i="10"/>
  <c r="BA71" i="10"/>
  <c r="BT70" i="10"/>
  <c r="BY70" i="10"/>
  <c r="CB69" i="10"/>
  <c r="CC69" i="10"/>
  <c r="CD69" i="10"/>
  <c r="CE69" i="10"/>
  <c r="CG69" i="10"/>
  <c r="CA70" i="10"/>
  <c r="BZ70" i="10"/>
  <c r="BT71" i="10"/>
  <c r="BY71" i="10"/>
  <c r="AW73" i="10"/>
  <c r="AX73" i="10"/>
  <c r="AY72" i="10"/>
  <c r="AZ72" i="10"/>
  <c r="BA72" i="10"/>
  <c r="CB70" i="10"/>
  <c r="CC70" i="10"/>
  <c r="CD70" i="10"/>
  <c r="CE70" i="10"/>
  <c r="CG70" i="10"/>
  <c r="AW74" i="10"/>
  <c r="AX74" i="10"/>
  <c r="AY73" i="10"/>
  <c r="AZ73" i="10"/>
  <c r="BA73" i="10"/>
  <c r="BZ71" i="10"/>
  <c r="BT72" i="10"/>
  <c r="BY72" i="10"/>
  <c r="CA71" i="10"/>
  <c r="CB71" i="10"/>
  <c r="CC71" i="10"/>
  <c r="CD71" i="10"/>
  <c r="CE71" i="10"/>
  <c r="CG71" i="10"/>
  <c r="CA72" i="10"/>
  <c r="BZ72" i="10"/>
  <c r="BT73" i="10"/>
  <c r="BY73" i="10"/>
  <c r="AW75" i="10"/>
  <c r="AX75" i="10"/>
  <c r="AY74" i="10"/>
  <c r="AZ74" i="10"/>
  <c r="BA74" i="10"/>
  <c r="CB72" i="10"/>
  <c r="CC72" i="10"/>
  <c r="CD72" i="10"/>
  <c r="CE72" i="10"/>
  <c r="CG72" i="10"/>
  <c r="BZ73" i="10"/>
  <c r="BT74" i="10"/>
  <c r="BY74" i="10"/>
  <c r="AW76" i="10"/>
  <c r="AX76" i="10"/>
  <c r="AY75" i="10"/>
  <c r="AZ75" i="10"/>
  <c r="BA75" i="10"/>
  <c r="CA73" i="10"/>
  <c r="CB73" i="10"/>
  <c r="CC73" i="10"/>
  <c r="CD73" i="10"/>
  <c r="CE73" i="10"/>
  <c r="CG73" i="10"/>
  <c r="BZ74" i="10"/>
  <c r="AW77" i="10"/>
  <c r="AX77" i="10"/>
  <c r="AY76" i="10"/>
  <c r="AZ76" i="10"/>
  <c r="BA76" i="10"/>
  <c r="BT75" i="10"/>
  <c r="BY75" i="10"/>
  <c r="CA74" i="10"/>
  <c r="CB74" i="10"/>
  <c r="CC74" i="10"/>
  <c r="CD74" i="10"/>
  <c r="CE74" i="10"/>
  <c r="CG74" i="10"/>
  <c r="CA75" i="10"/>
  <c r="BT76" i="10"/>
  <c r="BY76" i="10"/>
  <c r="BZ75" i="10"/>
  <c r="AW78" i="10"/>
  <c r="AX78" i="10"/>
  <c r="AY77" i="10"/>
  <c r="AZ77" i="10"/>
  <c r="BA77" i="10"/>
  <c r="CB75" i="10"/>
  <c r="CC75" i="10"/>
  <c r="CD75" i="10"/>
  <c r="CE75" i="10"/>
  <c r="CG75" i="10"/>
  <c r="AW79" i="10"/>
  <c r="AX79" i="10"/>
  <c r="AY78" i="10"/>
  <c r="AZ78" i="10"/>
  <c r="BA78" i="10"/>
  <c r="CA76" i="10"/>
  <c r="BT77" i="10"/>
  <c r="BY77" i="10"/>
  <c r="BZ76" i="10"/>
  <c r="CB76" i="10"/>
  <c r="CC76" i="10"/>
  <c r="CD76" i="10"/>
  <c r="CE76" i="10"/>
  <c r="CG76" i="10"/>
  <c r="BZ77" i="10"/>
  <c r="CA77" i="10"/>
  <c r="BT78" i="10"/>
  <c r="BY78" i="10"/>
  <c r="AW80" i="10"/>
  <c r="AX80" i="10"/>
  <c r="AY79" i="10"/>
  <c r="AZ79" i="10"/>
  <c r="BA79" i="10"/>
  <c r="CB77" i="10"/>
  <c r="CC77" i="10"/>
  <c r="CD77" i="10"/>
  <c r="CE77" i="10"/>
  <c r="CG77" i="10"/>
  <c r="BT79" i="10"/>
  <c r="BY79" i="10"/>
  <c r="CA78" i="10"/>
  <c r="AW81" i="10"/>
  <c r="AX81" i="10"/>
  <c r="AY80" i="10"/>
  <c r="AZ80" i="10"/>
  <c r="BA80" i="10"/>
  <c r="BZ78" i="10"/>
  <c r="CB78" i="10"/>
  <c r="CC78" i="10"/>
  <c r="CD78" i="10"/>
  <c r="CE78" i="10"/>
  <c r="CG78" i="10"/>
  <c r="BZ79" i="10"/>
  <c r="BT80" i="10"/>
  <c r="BY80" i="10"/>
  <c r="AW82" i="10"/>
  <c r="AX82" i="10"/>
  <c r="AY81" i="10"/>
  <c r="AZ81" i="10"/>
  <c r="BA81" i="10"/>
  <c r="CA79" i="10"/>
  <c r="CB79" i="10"/>
  <c r="CC79" i="10"/>
  <c r="CD79" i="10"/>
  <c r="CE79" i="10"/>
  <c r="CG79" i="10"/>
  <c r="BT81" i="10"/>
  <c r="BY81" i="10"/>
  <c r="AW83" i="10"/>
  <c r="AX83" i="10"/>
  <c r="AY82" i="10"/>
  <c r="AZ82" i="10"/>
  <c r="BA82" i="10"/>
  <c r="CA80" i="10"/>
  <c r="BZ80" i="10"/>
  <c r="CB80" i="10"/>
  <c r="CC80" i="10"/>
  <c r="CD80" i="10"/>
  <c r="CE80" i="10"/>
  <c r="CG80" i="10"/>
  <c r="BZ81" i="10"/>
  <c r="BT82" i="10"/>
  <c r="BY82" i="10"/>
  <c r="AW84" i="10"/>
  <c r="AX84" i="10"/>
  <c r="AY83" i="10"/>
  <c r="AZ83" i="10"/>
  <c r="BA83" i="10"/>
  <c r="CA81" i="10"/>
  <c r="CB81" i="10"/>
  <c r="CC81" i="10"/>
  <c r="CD81" i="10"/>
  <c r="CE81" i="10"/>
  <c r="CG81" i="10"/>
  <c r="AW85" i="10"/>
  <c r="AX85" i="10"/>
  <c r="AY84" i="10"/>
  <c r="AZ84" i="10"/>
  <c r="BA84" i="10"/>
  <c r="BT83" i="10"/>
  <c r="BY83" i="10"/>
  <c r="CA82" i="10"/>
  <c r="BZ82" i="10"/>
  <c r="CB82" i="10"/>
  <c r="CC82" i="10"/>
  <c r="CD82" i="10"/>
  <c r="CE82" i="10"/>
  <c r="CG82" i="10"/>
  <c r="BZ83" i="10"/>
  <c r="CA83" i="10"/>
  <c r="BT84" i="10"/>
  <c r="BY84" i="10"/>
  <c r="AW86" i="10"/>
  <c r="AX86" i="10"/>
  <c r="AY85" i="10"/>
  <c r="AZ85" i="10"/>
  <c r="BA85" i="10"/>
  <c r="CB83" i="10"/>
  <c r="CC83" i="10"/>
  <c r="CD83" i="10"/>
  <c r="CE83" i="10"/>
  <c r="CG83" i="10"/>
  <c r="CA84" i="10"/>
  <c r="BT85" i="10"/>
  <c r="BY85" i="10"/>
  <c r="AW87" i="10"/>
  <c r="AX87" i="10"/>
  <c r="AY86" i="10"/>
  <c r="AZ86" i="10"/>
  <c r="BA86" i="10"/>
  <c r="BZ84" i="10"/>
  <c r="CB84" i="10"/>
  <c r="CC84" i="10"/>
  <c r="CD84" i="10"/>
  <c r="CE84" i="10"/>
  <c r="CG84" i="10"/>
  <c r="BZ85" i="10"/>
  <c r="AW88" i="10"/>
  <c r="AX88" i="10"/>
  <c r="AY87" i="10"/>
  <c r="AZ87" i="10"/>
  <c r="BA87" i="10"/>
  <c r="BT86" i="10"/>
  <c r="BY86" i="10"/>
  <c r="CA85" i="10"/>
  <c r="CB85" i="10"/>
  <c r="CC85" i="10"/>
  <c r="CD85" i="10"/>
  <c r="CE85" i="10"/>
  <c r="CG85" i="10"/>
  <c r="CA86" i="10"/>
  <c r="BZ86" i="10"/>
  <c r="BT87" i="10"/>
  <c r="BY87" i="10"/>
  <c r="AW89" i="10"/>
  <c r="AX89" i="10"/>
  <c r="AY88" i="10"/>
  <c r="AZ88" i="10"/>
  <c r="BA88" i="10"/>
  <c r="CB86" i="10"/>
  <c r="CC86" i="10"/>
  <c r="CD86" i="10"/>
  <c r="CE86" i="10"/>
  <c r="CG86" i="10"/>
  <c r="CA87" i="10"/>
  <c r="BZ87" i="10"/>
  <c r="BT88" i="10"/>
  <c r="BY88" i="10"/>
  <c r="AW90" i="10"/>
  <c r="AX90" i="10"/>
  <c r="AY89" i="10"/>
  <c r="AZ89" i="10"/>
  <c r="BA89" i="10"/>
  <c r="CB87" i="10"/>
  <c r="CC87" i="10"/>
  <c r="CD87" i="10"/>
  <c r="CE87" i="10"/>
  <c r="CG87" i="10"/>
  <c r="CA88" i="10"/>
  <c r="BT89" i="10"/>
  <c r="BY89" i="10"/>
  <c r="AW91" i="10"/>
  <c r="AX91" i="10"/>
  <c r="AY90" i="10"/>
  <c r="AZ90" i="10"/>
  <c r="BA90" i="10"/>
  <c r="BZ88" i="10"/>
  <c r="CB88" i="10"/>
  <c r="CC88" i="10"/>
  <c r="CD88" i="10"/>
  <c r="CE88" i="10"/>
  <c r="CG88" i="10"/>
  <c r="BZ89" i="10"/>
  <c r="BT90" i="10"/>
  <c r="BY90" i="10"/>
  <c r="AW92" i="10"/>
  <c r="AX92" i="10"/>
  <c r="AY91" i="10"/>
  <c r="AZ91" i="10"/>
  <c r="BA91" i="10"/>
  <c r="CA89" i="10"/>
  <c r="CB89" i="10"/>
  <c r="CC89" i="10"/>
  <c r="CD89" i="10"/>
  <c r="BZ90" i="10"/>
  <c r="CA90" i="10"/>
  <c r="BT91" i="10"/>
  <c r="BY91" i="10"/>
  <c r="AW93" i="10"/>
  <c r="AX93" i="10"/>
  <c r="AY92" i="10"/>
  <c r="AZ92" i="10"/>
  <c r="BA92" i="10"/>
  <c r="CE89" i="10"/>
  <c r="CG89" i="10"/>
  <c r="CB90" i="10"/>
  <c r="CC90" i="10"/>
  <c r="CD90" i="10"/>
  <c r="CE90" i="10"/>
  <c r="CG90" i="10"/>
  <c r="BZ91" i="10"/>
  <c r="BT92" i="10"/>
  <c r="BY92" i="10"/>
  <c r="AW94" i="10"/>
  <c r="AX94" i="10"/>
  <c r="AY93" i="10"/>
  <c r="AZ93" i="10"/>
  <c r="BA93" i="10"/>
  <c r="CA91" i="10"/>
  <c r="CB91" i="10"/>
  <c r="CC91" i="10"/>
  <c r="CD91" i="10"/>
  <c r="CE91" i="10"/>
  <c r="CG91" i="10"/>
  <c r="BT93" i="10"/>
  <c r="BY93" i="10"/>
  <c r="AW95" i="10"/>
  <c r="AX95" i="10"/>
  <c r="AY94" i="10"/>
  <c r="AZ94" i="10"/>
  <c r="BA94" i="10"/>
  <c r="CA92" i="10"/>
  <c r="BZ92" i="10"/>
  <c r="CB92" i="10"/>
  <c r="CC92" i="10"/>
  <c r="CD92" i="10"/>
  <c r="CE92" i="10"/>
  <c r="CG92" i="10"/>
  <c r="BZ93" i="10"/>
  <c r="AW96" i="10"/>
  <c r="AX96" i="10"/>
  <c r="AY95" i="10"/>
  <c r="AZ95" i="10"/>
  <c r="BA95" i="10"/>
  <c r="BT94" i="10"/>
  <c r="BY94" i="10"/>
  <c r="CA93" i="10"/>
  <c r="CB93" i="10"/>
  <c r="CC93" i="10"/>
  <c r="CD93" i="10"/>
  <c r="CE93" i="10"/>
  <c r="CG93" i="10"/>
  <c r="CA94" i="10"/>
  <c r="BZ94" i="10"/>
  <c r="BT95" i="10"/>
  <c r="BY95" i="10"/>
  <c r="AW97" i="10"/>
  <c r="AX97" i="10"/>
  <c r="AY96" i="10"/>
  <c r="AZ96" i="10"/>
  <c r="BA96" i="10"/>
  <c r="CB94" i="10"/>
  <c r="CC94" i="10"/>
  <c r="CD94" i="10"/>
  <c r="CE94" i="10"/>
  <c r="CG94" i="10"/>
  <c r="AW98" i="10"/>
  <c r="AX98" i="10"/>
  <c r="AY97" i="10"/>
  <c r="AZ97" i="10"/>
  <c r="BA97" i="10"/>
  <c r="BZ95" i="10"/>
  <c r="BT96" i="10"/>
  <c r="BY96" i="10"/>
  <c r="CA95" i="10"/>
  <c r="CB95" i="10"/>
  <c r="CC95" i="10"/>
  <c r="CD95" i="10"/>
  <c r="CE95" i="10"/>
  <c r="CG95" i="10"/>
  <c r="CA96" i="10"/>
  <c r="BZ96" i="10"/>
  <c r="BT97" i="10"/>
  <c r="BY97" i="10"/>
  <c r="AW99" i="10"/>
  <c r="AX99" i="10"/>
  <c r="AY98" i="10"/>
  <c r="AZ98" i="10"/>
  <c r="BA98" i="10"/>
  <c r="CB96" i="10"/>
  <c r="CC96" i="10"/>
  <c r="CD96" i="10"/>
  <c r="CE96" i="10"/>
  <c r="CG96" i="10"/>
  <c r="AW100" i="10"/>
  <c r="AX100" i="10"/>
  <c r="AY99" i="10"/>
  <c r="AZ99" i="10"/>
  <c r="BA99" i="10"/>
  <c r="BZ97" i="10"/>
  <c r="BT98" i="10"/>
  <c r="BY98" i="10"/>
  <c r="CA97" i="10"/>
  <c r="CB97" i="10"/>
  <c r="CC97" i="10"/>
  <c r="CD97" i="10"/>
  <c r="CE97" i="10"/>
  <c r="CG97" i="10"/>
  <c r="CA98" i="10"/>
  <c r="BZ98" i="10"/>
  <c r="BT99" i="10"/>
  <c r="BY99" i="10"/>
  <c r="AW101" i="10"/>
  <c r="AX101" i="10"/>
  <c r="AY100" i="10"/>
  <c r="AZ100" i="10"/>
  <c r="BA100" i="10"/>
  <c r="CB98" i="10"/>
  <c r="CC98" i="10"/>
  <c r="CD98" i="10"/>
  <c r="CE98" i="10"/>
  <c r="CG98" i="10"/>
  <c r="AW102" i="10"/>
  <c r="AX102" i="10"/>
  <c r="AY101" i="10"/>
  <c r="AZ101" i="10"/>
  <c r="BA101" i="10"/>
  <c r="BZ99" i="10"/>
  <c r="BT100" i="10"/>
  <c r="BY100" i="10"/>
  <c r="CA99" i="10"/>
  <c r="CB99" i="10"/>
  <c r="CC99" i="10"/>
  <c r="CD99" i="10"/>
  <c r="CE99" i="10"/>
  <c r="CG99" i="10"/>
  <c r="CA100" i="10"/>
  <c r="BZ100" i="10"/>
  <c r="BT101" i="10"/>
  <c r="BY101" i="10"/>
  <c r="AW103" i="10"/>
  <c r="AX103" i="10"/>
  <c r="AY102" i="10"/>
  <c r="AZ102" i="10"/>
  <c r="BA102" i="10"/>
  <c r="CB100" i="10"/>
  <c r="CC100" i="10"/>
  <c r="CD100" i="10"/>
  <c r="CE100" i="10"/>
  <c r="CG100" i="10"/>
  <c r="AW104" i="10"/>
  <c r="AX104" i="10"/>
  <c r="AY103" i="10"/>
  <c r="AZ103" i="10"/>
  <c r="BA103" i="10"/>
  <c r="BZ101" i="10"/>
  <c r="BT102" i="10"/>
  <c r="BY102" i="10"/>
  <c r="CA101" i="10"/>
  <c r="CB101" i="10"/>
  <c r="CC101" i="10"/>
  <c r="CD101" i="10"/>
  <c r="CE101" i="10"/>
  <c r="CG101" i="10"/>
  <c r="CA102" i="10"/>
  <c r="BZ102" i="10"/>
  <c r="BT103" i="10"/>
  <c r="BY103" i="10"/>
  <c r="AW105" i="10"/>
  <c r="AX105" i="10"/>
  <c r="AY104" i="10"/>
  <c r="AZ104" i="10"/>
  <c r="BA104" i="10"/>
  <c r="CB102" i="10"/>
  <c r="CC102" i="10"/>
  <c r="CD102" i="10"/>
  <c r="CE102" i="10"/>
  <c r="CG102" i="10"/>
  <c r="AW106" i="10"/>
  <c r="AX106" i="10"/>
  <c r="AY105" i="10"/>
  <c r="AZ105" i="10"/>
  <c r="BA105" i="10"/>
  <c r="BZ103" i="10"/>
  <c r="BT104" i="10"/>
  <c r="BY104" i="10"/>
  <c r="CA103" i="10"/>
  <c r="CB103" i="10"/>
  <c r="CC103" i="10"/>
  <c r="CD103" i="10"/>
  <c r="CE103" i="10"/>
  <c r="CG103" i="10"/>
  <c r="CA104" i="10"/>
  <c r="BZ104" i="10"/>
  <c r="BT105" i="10"/>
  <c r="BY105" i="10"/>
  <c r="AW107" i="10"/>
  <c r="AY106" i="10"/>
  <c r="AZ106" i="10"/>
  <c r="BA106" i="10"/>
  <c r="CB104" i="10"/>
  <c r="CC104" i="10"/>
  <c r="CD104" i="10"/>
  <c r="CE104" i="10"/>
  <c r="CG104" i="10"/>
  <c r="BT106" i="10"/>
  <c r="BY106" i="10"/>
  <c r="AX107" i="10"/>
  <c r="AW108" i="10"/>
  <c r="BZ105" i="10"/>
  <c r="CA105" i="10"/>
  <c r="CB105" i="10"/>
  <c r="CC105" i="10"/>
  <c r="CD105" i="10"/>
  <c r="CE105" i="10"/>
  <c r="CG105" i="10"/>
  <c r="BZ106" i="10"/>
  <c r="AX108" i="10"/>
  <c r="AW109" i="10"/>
  <c r="AY107" i="10"/>
  <c r="AZ107" i="10"/>
  <c r="BA107" i="10"/>
  <c r="CA106" i="10"/>
  <c r="BT107" i="10"/>
  <c r="BY107" i="10"/>
  <c r="BZ107" i="10"/>
  <c r="CB106" i="10"/>
  <c r="CC106" i="10"/>
  <c r="CD106" i="10"/>
  <c r="CE106" i="10"/>
  <c r="CG106" i="10"/>
  <c r="AX109" i="10"/>
  <c r="AW110" i="10"/>
  <c r="AY108" i="10"/>
  <c r="AZ108" i="10"/>
  <c r="BA108" i="10"/>
  <c r="CA107" i="10"/>
  <c r="CB107" i="10"/>
  <c r="CC107" i="10"/>
  <c r="CD107" i="10"/>
  <c r="CE107" i="10"/>
  <c r="CG107" i="10"/>
  <c r="BT108" i="10"/>
  <c r="BY108" i="10"/>
  <c r="CA108" i="10"/>
  <c r="AX110" i="10"/>
  <c r="AY109" i="10"/>
  <c r="AZ109" i="10"/>
  <c r="BA109" i="10"/>
  <c r="BZ108" i="10"/>
  <c r="CB108" i="10"/>
  <c r="CC108" i="10"/>
  <c r="CD108" i="10"/>
  <c r="CE108" i="10"/>
  <c r="CG108" i="10"/>
  <c r="BT109" i="10"/>
  <c r="BY109" i="10"/>
  <c r="AY110" i="10"/>
  <c r="AZ110" i="10"/>
  <c r="BA110" i="10"/>
  <c r="AW111" i="10"/>
  <c r="BT110" i="10"/>
  <c r="BY110" i="10"/>
  <c r="BZ109" i="10"/>
  <c r="CA109" i="10"/>
  <c r="AX111" i="10"/>
  <c r="AW112" i="10"/>
  <c r="BZ110" i="10"/>
  <c r="CB109" i="10"/>
  <c r="CC109" i="10"/>
  <c r="CD109" i="10"/>
  <c r="CE109" i="10"/>
  <c r="CG109" i="10"/>
  <c r="CA110" i="10"/>
  <c r="AX112" i="10"/>
  <c r="AW113" i="10"/>
  <c r="AY111" i="10"/>
  <c r="AZ111" i="10"/>
  <c r="BA111" i="10"/>
  <c r="BT111" i="10"/>
  <c r="BY111" i="10"/>
  <c r="CA111" i="10"/>
  <c r="CB110" i="10"/>
  <c r="CC110" i="10"/>
  <c r="CD110" i="10"/>
  <c r="CE110" i="10"/>
  <c r="CG110" i="10"/>
  <c r="AX113" i="10"/>
  <c r="AW114" i="10"/>
  <c r="AY112" i="10"/>
  <c r="AZ112" i="10"/>
  <c r="BA112" i="10"/>
  <c r="BT112" i="10"/>
  <c r="BY112" i="10"/>
  <c r="BZ111" i="10"/>
  <c r="CB111" i="10"/>
  <c r="CC111" i="10"/>
  <c r="CD111" i="10"/>
  <c r="CE111" i="10"/>
  <c r="CG111" i="10"/>
  <c r="AX114" i="10"/>
  <c r="AW115" i="10"/>
  <c r="AY113" i="10"/>
  <c r="AZ113" i="10"/>
  <c r="BA113" i="10"/>
  <c r="CA112" i="10"/>
  <c r="CB112" i="10"/>
  <c r="CC112" i="10"/>
  <c r="CD112" i="10"/>
  <c r="CE112" i="10"/>
  <c r="CG112" i="10"/>
  <c r="BZ112" i="10"/>
  <c r="BT113" i="10"/>
  <c r="BY113" i="10"/>
  <c r="AY114" i="10"/>
  <c r="AZ114" i="10"/>
  <c r="BA114" i="10"/>
  <c r="AX115" i="10"/>
  <c r="AW116" i="10"/>
  <c r="CA113" i="10"/>
  <c r="CB113" i="10"/>
  <c r="CC113" i="10"/>
  <c r="CD113" i="10"/>
  <c r="CE113" i="10"/>
  <c r="CG113" i="10"/>
  <c r="BZ113" i="10"/>
  <c r="BT114" i="10"/>
  <c r="BY114" i="10"/>
  <c r="AX116" i="10"/>
  <c r="AW117" i="10"/>
  <c r="AY115" i="10"/>
  <c r="AZ115" i="10"/>
  <c r="BA115" i="10"/>
  <c r="CA114" i="10"/>
  <c r="CB114" i="10"/>
  <c r="CC114" i="10"/>
  <c r="CD114" i="10"/>
  <c r="CE114" i="10"/>
  <c r="CG114" i="10"/>
  <c r="BZ114" i="10"/>
  <c r="BT115" i="10"/>
  <c r="BY115" i="10"/>
  <c r="AX117" i="10"/>
  <c r="AW118" i="10"/>
  <c r="AY116" i="10"/>
  <c r="AZ116" i="10"/>
  <c r="BA116" i="10"/>
  <c r="BZ115" i="10"/>
  <c r="CA115" i="10"/>
  <c r="CB115" i="10"/>
  <c r="CC115" i="10"/>
  <c r="CD115" i="10"/>
  <c r="CE115" i="10"/>
  <c r="CG115" i="10"/>
  <c r="BT116" i="10"/>
  <c r="BY116" i="10"/>
  <c r="AX118" i="10"/>
  <c r="AW119" i="10"/>
  <c r="AY117" i="10"/>
  <c r="AZ117" i="10"/>
  <c r="BA117" i="10"/>
  <c r="CA116" i="10"/>
  <c r="CB116" i="10"/>
  <c r="CC116" i="10"/>
  <c r="CD116" i="10"/>
  <c r="CE116" i="10"/>
  <c r="CG116" i="10"/>
  <c r="BZ116" i="10"/>
  <c r="BT117" i="10"/>
  <c r="BY117" i="10"/>
  <c r="AY118" i="10"/>
  <c r="AZ118" i="10"/>
  <c r="BA118" i="10"/>
  <c r="AX119" i="10"/>
  <c r="AW120" i="10"/>
  <c r="BT118" i="10"/>
  <c r="BY118" i="10"/>
  <c r="AX120" i="10"/>
  <c r="AW121" i="10"/>
  <c r="AY119" i="10"/>
  <c r="AZ119" i="10"/>
  <c r="BA119" i="10"/>
  <c r="CA117" i="10"/>
  <c r="BZ117" i="10"/>
  <c r="BZ118" i="10"/>
  <c r="BT119" i="10"/>
  <c r="BY119" i="10"/>
  <c r="CB117" i="10"/>
  <c r="CC117" i="10"/>
  <c r="CD117" i="10"/>
  <c r="CE117" i="10"/>
  <c r="CG117" i="10"/>
  <c r="CA118" i="10"/>
  <c r="AX121" i="10"/>
  <c r="AW122" i="10"/>
  <c r="AY120" i="10"/>
  <c r="AZ120" i="10"/>
  <c r="BA120" i="10"/>
  <c r="CA119" i="10"/>
  <c r="CB119" i="10"/>
  <c r="CC119" i="10"/>
  <c r="CD119" i="10"/>
  <c r="BZ119" i="10"/>
  <c r="BT120" i="10"/>
  <c r="BY120" i="10"/>
  <c r="CB118" i="10"/>
  <c r="CC118" i="10"/>
  <c r="CD118" i="10"/>
  <c r="CE118" i="10"/>
  <c r="CG118" i="10"/>
  <c r="AX122" i="10"/>
  <c r="AW123" i="10"/>
  <c r="AY121" i="10"/>
  <c r="AZ121" i="10"/>
  <c r="BA121" i="10"/>
  <c r="CA120" i="10"/>
  <c r="CB120" i="10"/>
  <c r="CC120" i="10"/>
  <c r="CD120" i="10"/>
  <c r="CE120" i="10"/>
  <c r="CG120" i="10"/>
  <c r="BZ120" i="10"/>
  <c r="CE119" i="10"/>
  <c r="CG119" i="10"/>
  <c r="BT121" i="10"/>
  <c r="BY121" i="10"/>
  <c r="AX123" i="10"/>
  <c r="AW124" i="10"/>
  <c r="AY122" i="10"/>
  <c r="AZ122" i="10"/>
  <c r="BA122" i="10"/>
  <c r="CA121" i="10"/>
  <c r="CB121" i="10"/>
  <c r="CC121" i="10"/>
  <c r="CD121" i="10"/>
  <c r="CE121" i="10"/>
  <c r="CG121" i="10"/>
  <c r="BZ121" i="10"/>
  <c r="BT122" i="10"/>
  <c r="BY122" i="10"/>
  <c r="AX124" i="10"/>
  <c r="AW125" i="10"/>
  <c r="AY123" i="10"/>
  <c r="AZ123" i="10"/>
  <c r="BA123" i="10"/>
  <c r="BT123" i="10"/>
  <c r="BY123" i="10"/>
  <c r="BZ122" i="10"/>
  <c r="CA122" i="10"/>
  <c r="CB122" i="10"/>
  <c r="CC122" i="10"/>
  <c r="CD122" i="10"/>
  <c r="CE122" i="10"/>
  <c r="CG122" i="10"/>
  <c r="AX125" i="10"/>
  <c r="AW126" i="10"/>
  <c r="AY124" i="10"/>
  <c r="AZ124" i="10"/>
  <c r="BA124" i="10"/>
  <c r="CA123" i="10"/>
  <c r="CB123" i="10"/>
  <c r="CC123" i="10"/>
  <c r="CD123" i="10"/>
  <c r="CE123" i="10"/>
  <c r="CG123" i="10"/>
  <c r="BZ123" i="10"/>
  <c r="BT124" i="10"/>
  <c r="BY124" i="10"/>
  <c r="AX126" i="10"/>
  <c r="AY125" i="10"/>
  <c r="AZ125" i="10"/>
  <c r="BA125" i="10"/>
  <c r="BT125" i="10"/>
  <c r="BY125" i="10"/>
  <c r="AY126" i="10"/>
  <c r="AZ126" i="10"/>
  <c r="BA126" i="10"/>
  <c r="AW127" i="10"/>
  <c r="CA124" i="10"/>
  <c r="BZ124" i="10"/>
  <c r="BZ125" i="10"/>
  <c r="CB124" i="10"/>
  <c r="CC124" i="10"/>
  <c r="CD124" i="10"/>
  <c r="CE124" i="10"/>
  <c r="CG124" i="10"/>
  <c r="BT126" i="10"/>
  <c r="BY126" i="10"/>
  <c r="AX127" i="10"/>
  <c r="AW128" i="10"/>
  <c r="CA125" i="10"/>
  <c r="BZ126" i="10"/>
  <c r="CA126" i="10"/>
  <c r="CB126" i="10"/>
  <c r="CC126" i="10"/>
  <c r="CD126" i="10"/>
  <c r="CB125" i="10"/>
  <c r="CC125" i="10"/>
  <c r="CD125" i="10"/>
  <c r="CE125" i="10"/>
  <c r="CG125" i="10"/>
  <c r="AX128" i="10"/>
  <c r="AW129" i="10"/>
  <c r="AY127" i="10"/>
  <c r="AZ127" i="10"/>
  <c r="BA127" i="10"/>
  <c r="BT127" i="10"/>
  <c r="BY127" i="10"/>
  <c r="CA127" i="10"/>
  <c r="CE126" i="10"/>
  <c r="CG126" i="10"/>
  <c r="AX129" i="10"/>
  <c r="AW130" i="10"/>
  <c r="AY128" i="10"/>
  <c r="AZ128" i="10"/>
  <c r="BA128" i="10"/>
  <c r="BT128" i="10"/>
  <c r="BY128" i="10"/>
  <c r="BZ127" i="10"/>
  <c r="CB127" i="10"/>
  <c r="CC127" i="10"/>
  <c r="CD127" i="10"/>
  <c r="CE127" i="10"/>
  <c r="CG127" i="10"/>
  <c r="AX130" i="10"/>
  <c r="AW131" i="10"/>
  <c r="AY129" i="10"/>
  <c r="AZ129" i="10"/>
  <c r="BA129" i="10"/>
  <c r="CA128" i="10"/>
  <c r="CB128" i="10"/>
  <c r="CC128" i="10"/>
  <c r="CD128" i="10"/>
  <c r="CE128" i="10"/>
  <c r="CG128" i="10"/>
  <c r="BZ128" i="10"/>
  <c r="BT129" i="10"/>
  <c r="BY129" i="10"/>
  <c r="AX131" i="10"/>
  <c r="AW132" i="10"/>
  <c r="AY130" i="10"/>
  <c r="AZ130" i="10"/>
  <c r="BA130" i="10"/>
  <c r="CA129" i="10"/>
  <c r="CB129" i="10"/>
  <c r="CC129" i="10"/>
  <c r="CD129" i="10"/>
  <c r="CE129" i="10"/>
  <c r="CG129" i="10"/>
  <c r="BZ129" i="10"/>
  <c r="BT130" i="10"/>
  <c r="BY130" i="10"/>
  <c r="AX132" i="10"/>
  <c r="AW133" i="10"/>
  <c r="AY131" i="10"/>
  <c r="AZ131" i="10"/>
  <c r="BA131" i="10"/>
  <c r="BZ130" i="10"/>
  <c r="BT131" i="10"/>
  <c r="BY131" i="10"/>
  <c r="CA130" i="10"/>
  <c r="AY132" i="10"/>
  <c r="AZ132" i="10"/>
  <c r="BA132" i="10"/>
  <c r="AX133" i="10"/>
  <c r="AW134" i="10"/>
  <c r="BZ131" i="10"/>
  <c r="CA131" i="10"/>
  <c r="CB131" i="10"/>
  <c r="CC131" i="10"/>
  <c r="CD131" i="10"/>
  <c r="CB130" i="10"/>
  <c r="CC130" i="10"/>
  <c r="CD130" i="10"/>
  <c r="CE130" i="10"/>
  <c r="CG130" i="10"/>
  <c r="BT132" i="10"/>
  <c r="BY132" i="10"/>
  <c r="AX134" i="10"/>
  <c r="AW135" i="10"/>
  <c r="AY133" i="10"/>
  <c r="AZ133" i="10"/>
  <c r="BA133" i="10"/>
  <c r="CA132" i="10"/>
  <c r="CB132" i="10"/>
  <c r="CC132" i="10"/>
  <c r="CD132" i="10"/>
  <c r="CE132" i="10"/>
  <c r="CG132" i="10"/>
  <c r="BT133" i="10"/>
  <c r="BY133" i="10"/>
  <c r="CE131" i="10"/>
  <c r="CG131" i="10"/>
  <c r="BZ132" i="10"/>
  <c r="AX135" i="10"/>
  <c r="AW136" i="10"/>
  <c r="AY134" i="10"/>
  <c r="AZ134" i="10"/>
  <c r="BA134" i="10"/>
  <c r="BZ133" i="10"/>
  <c r="BT134" i="10"/>
  <c r="BY134" i="10"/>
  <c r="CA133" i="10"/>
  <c r="CB133" i="10"/>
  <c r="CC133" i="10"/>
  <c r="CD133" i="10"/>
  <c r="CE133" i="10"/>
  <c r="CG133" i="10"/>
  <c r="AX136" i="10"/>
  <c r="AW137" i="10"/>
  <c r="AY135" i="10"/>
  <c r="AZ135" i="10"/>
  <c r="BA135" i="10"/>
  <c r="BZ134" i="10"/>
  <c r="CA134" i="10"/>
  <c r="CB134" i="10"/>
  <c r="CC134" i="10"/>
  <c r="CD134" i="10"/>
  <c r="CE134" i="10"/>
  <c r="CG134" i="10"/>
  <c r="BT135" i="10"/>
  <c r="BY135" i="10"/>
  <c r="AX137" i="10"/>
  <c r="AW138" i="10"/>
  <c r="AY136" i="10"/>
  <c r="AZ136" i="10"/>
  <c r="BA136" i="10"/>
  <c r="CA135" i="10"/>
  <c r="CB135" i="10"/>
  <c r="CC135" i="10"/>
  <c r="CD135" i="10"/>
  <c r="CE135" i="10"/>
  <c r="CG135" i="10"/>
  <c r="BT136" i="10"/>
  <c r="BY136" i="10"/>
  <c r="BZ135" i="10"/>
  <c r="AX138" i="10"/>
  <c r="AW139" i="10"/>
  <c r="AY137" i="10"/>
  <c r="AZ137" i="10"/>
  <c r="BA137" i="10"/>
  <c r="CA136" i="10"/>
  <c r="CB136" i="10"/>
  <c r="CC136" i="10"/>
  <c r="CD136" i="10"/>
  <c r="CE136" i="10"/>
  <c r="CG136" i="10"/>
  <c r="BT137" i="10"/>
  <c r="BY137" i="10"/>
  <c r="BZ136" i="10"/>
  <c r="AX139" i="10"/>
  <c r="AW140" i="10"/>
  <c r="AY138" i="10"/>
  <c r="AZ138" i="10"/>
  <c r="BA138" i="10"/>
  <c r="CA137" i="10"/>
  <c r="CB137" i="10"/>
  <c r="CC137" i="10"/>
  <c r="CD137" i="10"/>
  <c r="CE137" i="10"/>
  <c r="CG137" i="10"/>
  <c r="BZ137" i="10"/>
  <c r="BT138" i="10"/>
  <c r="BY138" i="10"/>
  <c r="AX140" i="10"/>
  <c r="AW141" i="10"/>
  <c r="AY139" i="10"/>
  <c r="AZ139" i="10"/>
  <c r="BA139" i="10"/>
  <c r="BZ138" i="10"/>
  <c r="CA138" i="10"/>
  <c r="CB138" i="10"/>
  <c r="CC138" i="10"/>
  <c r="CD138" i="10"/>
  <c r="CE138" i="10"/>
  <c r="CG138" i="10"/>
  <c r="BT139" i="10"/>
  <c r="BY139" i="10"/>
  <c r="AX141" i="10"/>
  <c r="AW142" i="10"/>
  <c r="AY140" i="10"/>
  <c r="AZ140" i="10"/>
  <c r="BA140" i="10"/>
  <c r="BZ139" i="10"/>
  <c r="CA139" i="10"/>
  <c r="CB139" i="10"/>
  <c r="CC139" i="10"/>
  <c r="CD139" i="10"/>
  <c r="CE139" i="10"/>
  <c r="CG139" i="10"/>
  <c r="BT140" i="10"/>
  <c r="BY140" i="10"/>
  <c r="AY141" i="10"/>
  <c r="AZ141" i="10"/>
  <c r="BA141" i="10"/>
  <c r="AX142" i="10"/>
  <c r="AW143" i="10"/>
  <c r="BZ140" i="10"/>
  <c r="CA140" i="10"/>
  <c r="CB140" i="10"/>
  <c r="CC140" i="10"/>
  <c r="CD140" i="10"/>
  <c r="CE140" i="10"/>
  <c r="CG140" i="10"/>
  <c r="BT141" i="10"/>
  <c r="BY141" i="10"/>
  <c r="AX143" i="10"/>
  <c r="AW144" i="10"/>
  <c r="AY142" i="10"/>
  <c r="AZ142" i="10"/>
  <c r="BA142" i="10"/>
  <c r="BT142" i="10"/>
  <c r="BY142" i="10"/>
  <c r="CA141" i="10"/>
  <c r="BZ141" i="10"/>
  <c r="AX144" i="10"/>
  <c r="AW145" i="10"/>
  <c r="AY143" i="10"/>
  <c r="AZ143" i="10"/>
  <c r="BA143" i="10"/>
  <c r="BZ142" i="10"/>
  <c r="CA142" i="10"/>
  <c r="CB142" i="10"/>
  <c r="CC142" i="10"/>
  <c r="CD142" i="10"/>
  <c r="CB141" i="10"/>
  <c r="CC141" i="10"/>
  <c r="CD141" i="10"/>
  <c r="CE141" i="10"/>
  <c r="CG141" i="10"/>
  <c r="BT143" i="10"/>
  <c r="BY143" i="10"/>
  <c r="AX145" i="10"/>
  <c r="AY144" i="10"/>
  <c r="AZ144" i="10"/>
  <c r="BA144" i="10"/>
  <c r="BT144" i="10"/>
  <c r="BY144" i="10"/>
  <c r="CE142" i="10"/>
  <c r="CG142" i="10"/>
  <c r="AY145" i="10"/>
  <c r="AZ145" i="10"/>
  <c r="BA145" i="10"/>
  <c r="AW146" i="10"/>
  <c r="CA143" i="10"/>
  <c r="BZ143" i="10"/>
  <c r="BZ144" i="10"/>
  <c r="CB143" i="10"/>
  <c r="CC143" i="10"/>
  <c r="CD143" i="10"/>
  <c r="CE143" i="10"/>
  <c r="CG143" i="10"/>
  <c r="AX146" i="10"/>
  <c r="AW147" i="10"/>
  <c r="CA144" i="10"/>
  <c r="BT145" i="10"/>
  <c r="BY145" i="10"/>
  <c r="CB144" i="10"/>
  <c r="CC144" i="10"/>
  <c r="CD144" i="10"/>
  <c r="CE144" i="10"/>
  <c r="CG144" i="10"/>
  <c r="CA145" i="10"/>
  <c r="AX147" i="10"/>
  <c r="AW148" i="10"/>
  <c r="AY146" i="10"/>
  <c r="AZ146" i="10"/>
  <c r="BA146" i="10"/>
  <c r="BZ145" i="10"/>
  <c r="CB145" i="10"/>
  <c r="CC145" i="10"/>
  <c r="CD145" i="10"/>
  <c r="CE145" i="10"/>
  <c r="CG145" i="10"/>
  <c r="BT146" i="10"/>
  <c r="BY146" i="10"/>
  <c r="CA146" i="10"/>
  <c r="AX148" i="10"/>
  <c r="AW149" i="10"/>
  <c r="AY147" i="10"/>
  <c r="AZ147" i="10"/>
  <c r="BA147" i="10"/>
  <c r="BT147" i="10"/>
  <c r="BY147" i="10"/>
  <c r="BZ146" i="10"/>
  <c r="CB146" i="10"/>
  <c r="CC146" i="10"/>
  <c r="CD146" i="10"/>
  <c r="CE146" i="10"/>
  <c r="CG146" i="10"/>
  <c r="AX149" i="10"/>
  <c r="AW150" i="10"/>
  <c r="AY148" i="10"/>
  <c r="AZ148" i="10"/>
  <c r="BA148" i="10"/>
  <c r="CA147" i="10"/>
  <c r="CB147" i="10"/>
  <c r="CC147" i="10"/>
  <c r="CD147" i="10"/>
  <c r="CE147" i="10"/>
  <c r="CG147" i="10"/>
  <c r="BZ147" i="10"/>
  <c r="BT148" i="10"/>
  <c r="BY148" i="10"/>
  <c r="AX150" i="10"/>
  <c r="AW151" i="10"/>
  <c r="AY149" i="10"/>
  <c r="AZ149" i="10"/>
  <c r="BA149" i="10"/>
  <c r="BZ148" i="10"/>
  <c r="CA148" i="10"/>
  <c r="CB148" i="10"/>
  <c r="CC148" i="10"/>
  <c r="CD148" i="10"/>
  <c r="CE148" i="10"/>
  <c r="CG148" i="10"/>
  <c r="BT149" i="10"/>
  <c r="BY149" i="10"/>
  <c r="AX151" i="10"/>
  <c r="AW152" i="10"/>
  <c r="AY150" i="10"/>
  <c r="AZ150" i="10"/>
  <c r="BA150" i="10"/>
  <c r="BZ149" i="10"/>
  <c r="BT150" i="10"/>
  <c r="BY150" i="10"/>
  <c r="CA149" i="10"/>
  <c r="CB149" i="10"/>
  <c r="CC149" i="10"/>
  <c r="CD149" i="10"/>
  <c r="CE149" i="10"/>
  <c r="CG149" i="10"/>
  <c r="AX152" i="10"/>
  <c r="AW153" i="10"/>
  <c r="AY151" i="10"/>
  <c r="AZ151" i="10"/>
  <c r="BA151" i="10"/>
  <c r="CA150" i="10"/>
  <c r="CB150" i="10"/>
  <c r="CC150" i="10"/>
  <c r="CD150" i="10"/>
  <c r="CE150" i="10"/>
  <c r="CG150" i="10"/>
  <c r="BZ150" i="10"/>
  <c r="AX153" i="10"/>
  <c r="AW154" i="10"/>
  <c r="BT151" i="10"/>
  <c r="BY151" i="10"/>
  <c r="AY152" i="10"/>
  <c r="AZ152" i="10"/>
  <c r="BA152" i="10"/>
  <c r="BT152" i="10"/>
  <c r="BY152" i="10"/>
  <c r="CA151" i="10"/>
  <c r="BZ151" i="10"/>
  <c r="AX154" i="10"/>
  <c r="AY153" i="10"/>
  <c r="AZ153" i="10"/>
  <c r="BA153" i="10"/>
  <c r="BZ152" i="10"/>
  <c r="CB151" i="10"/>
  <c r="CC151" i="10"/>
  <c r="CD151" i="10"/>
  <c r="CE151" i="10"/>
  <c r="CG151" i="10"/>
  <c r="AY154" i="10"/>
  <c r="AZ154" i="10"/>
  <c r="BA154" i="10"/>
  <c r="AW155" i="10"/>
  <c r="CA152" i="10"/>
  <c r="BT153" i="10"/>
  <c r="BY153" i="10"/>
  <c r="CB152" i="10"/>
  <c r="CC152" i="10"/>
  <c r="CD152" i="10"/>
  <c r="CE152" i="10"/>
  <c r="CG152" i="10"/>
  <c r="BT154" i="10"/>
  <c r="BY154" i="10"/>
  <c r="CA153" i="10"/>
  <c r="AX155" i="10"/>
  <c r="AW156" i="10"/>
  <c r="BZ153" i="10"/>
  <c r="BZ154" i="10"/>
  <c r="CB153" i="10"/>
  <c r="CC153" i="10"/>
  <c r="CD153" i="10"/>
  <c r="CE153" i="10"/>
  <c r="CG153" i="10"/>
  <c r="AY155" i="10"/>
  <c r="AZ155" i="10"/>
  <c r="BA155" i="10"/>
  <c r="AX156" i="10"/>
  <c r="AW157" i="10"/>
  <c r="CA154" i="10"/>
  <c r="BT155" i="10"/>
  <c r="BY155" i="10"/>
  <c r="CA155" i="10"/>
  <c r="CB154" i="10"/>
  <c r="CC154" i="10"/>
  <c r="CD154" i="10"/>
  <c r="CE154" i="10"/>
  <c r="CG154" i="10"/>
  <c r="AY156" i="10"/>
  <c r="AZ156" i="10"/>
  <c r="BA156" i="10"/>
  <c r="AX157" i="10"/>
  <c r="AW158" i="10"/>
  <c r="BZ155" i="10"/>
  <c r="BT156" i="10"/>
  <c r="BY156" i="10"/>
  <c r="CB155" i="10"/>
  <c r="CC155" i="10"/>
  <c r="CD155" i="10"/>
  <c r="CE155" i="10"/>
  <c r="CG155" i="10"/>
  <c r="AX158" i="10"/>
  <c r="AW159" i="10"/>
  <c r="AY157" i="10"/>
  <c r="AZ157" i="10"/>
  <c r="BA157" i="10"/>
  <c r="BZ156" i="10"/>
  <c r="BT157" i="10"/>
  <c r="BY157" i="10"/>
  <c r="CA156" i="10"/>
  <c r="CB156" i="10"/>
  <c r="CC156" i="10"/>
  <c r="CD156" i="10"/>
  <c r="CE156" i="10"/>
  <c r="CG156" i="10"/>
  <c r="AX159" i="10"/>
  <c r="AW160" i="10"/>
  <c r="AY158" i="10"/>
  <c r="AZ158" i="10"/>
  <c r="BA158" i="10"/>
  <c r="BT158" i="10"/>
  <c r="BY158" i="10"/>
  <c r="CA157" i="10"/>
  <c r="BZ157" i="10"/>
  <c r="AX160" i="10"/>
  <c r="AW161" i="10"/>
  <c r="AY159" i="10"/>
  <c r="AZ159" i="10"/>
  <c r="BA159" i="10"/>
  <c r="BZ158" i="10"/>
  <c r="BT159" i="10"/>
  <c r="BY159" i="10"/>
  <c r="CB157" i="10"/>
  <c r="CC157" i="10"/>
  <c r="CD157" i="10"/>
  <c r="CE157" i="10"/>
  <c r="CG157" i="10"/>
  <c r="CA158" i="10"/>
  <c r="CB158" i="10"/>
  <c r="CC158" i="10"/>
  <c r="CD158" i="10"/>
  <c r="AX161" i="10"/>
  <c r="AW162" i="10"/>
  <c r="AY160" i="10"/>
  <c r="AZ160" i="10"/>
  <c r="BA160" i="10"/>
  <c r="CA159" i="10"/>
  <c r="CB159" i="10"/>
  <c r="CC159" i="10"/>
  <c r="CD159" i="10"/>
  <c r="CE159" i="10"/>
  <c r="CG159" i="10"/>
  <c r="BZ159" i="10"/>
  <c r="CE158" i="10"/>
  <c r="CG158" i="10"/>
  <c r="BT160" i="10"/>
  <c r="BY160" i="10"/>
  <c r="AX162" i="10"/>
  <c r="AW163" i="10"/>
  <c r="AY161" i="10"/>
  <c r="AZ161" i="10"/>
  <c r="BA161" i="10"/>
  <c r="BZ160" i="10"/>
  <c r="CA160" i="10"/>
  <c r="CB160" i="10"/>
  <c r="CC160" i="10"/>
  <c r="CD160" i="10"/>
  <c r="CE160" i="10"/>
  <c r="CG160" i="10"/>
  <c r="BT161" i="10"/>
  <c r="BY161" i="10"/>
  <c r="AX163" i="10"/>
  <c r="AW164" i="10"/>
  <c r="AY162" i="10"/>
  <c r="AZ162" i="10"/>
  <c r="BA162" i="10"/>
  <c r="CA161" i="10"/>
  <c r="CB161" i="10"/>
  <c r="CC161" i="10"/>
  <c r="CD161" i="10"/>
  <c r="CE161" i="10"/>
  <c r="CG161" i="10"/>
  <c r="BZ161" i="10"/>
  <c r="BT162" i="10"/>
  <c r="BY162" i="10"/>
  <c r="AX164" i="10"/>
  <c r="AW165" i="10"/>
  <c r="AY163" i="10"/>
  <c r="AZ163" i="10"/>
  <c r="BA163" i="10"/>
  <c r="CA162" i="10"/>
  <c r="CB162" i="10"/>
  <c r="CC162" i="10"/>
  <c r="CD162" i="10"/>
  <c r="CE162" i="10"/>
  <c r="CG162" i="10"/>
  <c r="BZ162" i="10"/>
  <c r="BT163" i="10"/>
  <c r="BY163" i="10"/>
  <c r="AX165" i="10"/>
  <c r="AW166" i="10"/>
  <c r="AY164" i="10"/>
  <c r="AZ164" i="10"/>
  <c r="BA164" i="10"/>
  <c r="BT164" i="10"/>
  <c r="BY164" i="10"/>
  <c r="CA163" i="10"/>
  <c r="CB163" i="10"/>
  <c r="BZ163" i="10"/>
  <c r="AY165" i="10"/>
  <c r="AZ165" i="10"/>
  <c r="BA165" i="10"/>
  <c r="AX166" i="10"/>
  <c r="BZ164" i="10"/>
  <c r="CC163" i="10"/>
  <c r="CD163" i="10"/>
  <c r="CE163" i="10"/>
  <c r="CG163" i="10"/>
  <c r="CA164" i="10"/>
  <c r="CB164" i="10"/>
  <c r="BT165" i="10"/>
  <c r="BY165" i="10"/>
  <c r="AY166" i="10"/>
  <c r="AZ166" i="10"/>
  <c r="BA166" i="10"/>
  <c r="AW167" i="10"/>
  <c r="CA165" i="10"/>
  <c r="CB165" i="10"/>
  <c r="CC165" i="10"/>
  <c r="CD165" i="10"/>
  <c r="CC164" i="10"/>
  <c r="CD164" i="10"/>
  <c r="CE164" i="10"/>
  <c r="CG164" i="10"/>
  <c r="BZ165" i="10"/>
  <c r="AX167" i="10"/>
  <c r="AW168" i="10"/>
  <c r="BT166" i="10"/>
  <c r="BY166" i="10"/>
  <c r="CE165" i="10"/>
  <c r="CG165" i="10"/>
  <c r="AX168" i="10"/>
  <c r="AW169" i="10"/>
  <c r="CA166" i="10"/>
  <c r="AY167" i="10"/>
  <c r="AZ167" i="10"/>
  <c r="BA167" i="10"/>
  <c r="BZ166" i="10"/>
  <c r="BT167" i="10"/>
  <c r="BY167" i="10"/>
  <c r="CA167" i="10"/>
  <c r="CB166" i="10"/>
  <c r="CC166" i="10"/>
  <c r="CD166" i="10"/>
  <c r="CE166" i="10"/>
  <c r="CG166" i="10"/>
  <c r="AX169" i="10"/>
  <c r="AY168" i="10"/>
  <c r="AZ168" i="10"/>
  <c r="BA168" i="10"/>
  <c r="BZ167" i="10"/>
  <c r="CB167" i="10"/>
  <c r="CC167" i="10"/>
  <c r="CD167" i="10"/>
  <c r="CE167" i="10"/>
  <c r="CG167" i="10"/>
  <c r="AY169" i="10"/>
  <c r="AZ169" i="10"/>
  <c r="BA169" i="10"/>
  <c r="BT168" i="10"/>
  <c r="BY168" i="10"/>
  <c r="AW170" i="10"/>
  <c r="CA168" i="10"/>
  <c r="BZ168" i="10"/>
  <c r="AX170" i="10"/>
  <c r="AW171" i="10"/>
  <c r="BT169" i="10"/>
  <c r="BY169" i="10"/>
  <c r="CB168" i="10"/>
  <c r="CC168" i="10"/>
  <c r="CD168" i="10"/>
  <c r="CE168" i="10"/>
  <c r="CG168" i="10"/>
  <c r="AX171" i="10"/>
  <c r="AW172" i="10"/>
  <c r="CA169" i="10"/>
  <c r="AY170" i="10"/>
  <c r="AZ170" i="10"/>
  <c r="BA170" i="10"/>
  <c r="BZ169" i="10"/>
  <c r="CB169" i="10"/>
  <c r="CC169" i="10"/>
  <c r="CD169" i="10"/>
  <c r="CE169" i="10"/>
  <c r="CG169" i="10"/>
  <c r="BT170" i="10"/>
  <c r="BY170" i="10"/>
  <c r="AX172" i="10"/>
  <c r="AY171" i="10"/>
  <c r="AZ171" i="10"/>
  <c r="BA171" i="10"/>
  <c r="AY172" i="10"/>
  <c r="AZ172" i="10"/>
  <c r="BA172" i="10"/>
  <c r="BT171" i="10"/>
  <c r="BY171" i="10"/>
  <c r="AW173" i="10"/>
  <c r="CA170" i="10"/>
  <c r="BZ170" i="10"/>
  <c r="BZ171" i="10"/>
  <c r="CB170" i="10"/>
  <c r="CC170" i="10"/>
  <c r="CD170" i="10"/>
  <c r="CE170" i="10"/>
  <c r="CG170" i="10"/>
  <c r="CA171" i="10"/>
  <c r="AX173" i="10"/>
  <c r="AW174" i="10"/>
  <c r="BT172" i="10"/>
  <c r="BY172" i="10"/>
  <c r="CB171" i="10"/>
  <c r="CC171" i="10"/>
  <c r="CD171" i="10"/>
  <c r="CE171" i="10"/>
  <c r="CG171" i="10"/>
  <c r="CA172" i="10"/>
  <c r="AX174" i="10"/>
  <c r="AW175" i="10"/>
  <c r="AY173" i="10"/>
  <c r="AZ173" i="10"/>
  <c r="BA173" i="10"/>
  <c r="BZ172" i="10"/>
  <c r="CB172" i="10"/>
  <c r="CC172" i="10"/>
  <c r="CD172" i="10"/>
  <c r="CE172" i="10"/>
  <c r="CG172" i="10"/>
  <c r="BT173" i="10"/>
  <c r="BY173" i="10"/>
  <c r="BZ173" i="10"/>
  <c r="AX175" i="10"/>
  <c r="AW176" i="10"/>
  <c r="AY174" i="10"/>
  <c r="AZ174" i="10"/>
  <c r="BA174" i="10"/>
  <c r="BT174" i="10"/>
  <c r="BY174" i="10"/>
  <c r="CA174" i="10"/>
  <c r="CA173" i="10"/>
  <c r="AX176" i="10"/>
  <c r="AW177" i="10"/>
  <c r="AY175" i="10"/>
  <c r="AZ175" i="10"/>
  <c r="BA175" i="10"/>
  <c r="BZ174" i="10"/>
  <c r="BT175" i="10"/>
  <c r="BY175" i="10"/>
  <c r="CB173" i="10"/>
  <c r="CC173" i="10"/>
  <c r="CD173" i="10"/>
  <c r="CE173" i="10"/>
  <c r="CG173" i="10"/>
  <c r="CB174" i="10"/>
  <c r="CC174" i="10"/>
  <c r="CD174" i="10"/>
  <c r="AX177" i="10"/>
  <c r="AW178" i="10"/>
  <c r="AY176" i="10"/>
  <c r="AZ176" i="10"/>
  <c r="BA176" i="10"/>
  <c r="CA175" i="10"/>
  <c r="CB175" i="10"/>
  <c r="CC175" i="10"/>
  <c r="CD175" i="10"/>
  <c r="CE175" i="10"/>
  <c r="CG175" i="10"/>
  <c r="BZ175" i="10"/>
  <c r="CE174" i="10"/>
  <c r="CG174" i="10"/>
  <c r="BT176" i="10"/>
  <c r="BY176" i="10"/>
  <c r="AX178" i="10"/>
  <c r="AW179" i="10"/>
  <c r="AY177" i="10"/>
  <c r="AZ177" i="10"/>
  <c r="BA177" i="10"/>
  <c r="BT177" i="10"/>
  <c r="BY177" i="10"/>
  <c r="BZ176" i="10"/>
  <c r="CA176" i="10"/>
  <c r="CB176" i="10"/>
  <c r="CC176" i="10"/>
  <c r="CD176" i="10"/>
  <c r="CE176" i="10"/>
  <c r="CG176" i="10"/>
  <c r="AX179" i="10"/>
  <c r="AW180" i="10"/>
  <c r="AY178" i="10"/>
  <c r="AZ178" i="10"/>
  <c r="BA178" i="10"/>
  <c r="CA177" i="10"/>
  <c r="CB177" i="10"/>
  <c r="CC177" i="10"/>
  <c r="CD177" i="10"/>
  <c r="CE177" i="10"/>
  <c r="CG177" i="10"/>
  <c r="BZ177" i="10"/>
  <c r="BT178" i="10"/>
  <c r="BY178" i="10"/>
  <c r="AX180" i="10"/>
  <c r="AW181" i="10"/>
  <c r="AY179" i="10"/>
  <c r="AZ179" i="10"/>
  <c r="BA179" i="10"/>
  <c r="BZ178" i="10"/>
  <c r="CA178" i="10"/>
  <c r="CB178" i="10"/>
  <c r="CC178" i="10"/>
  <c r="CD178" i="10"/>
  <c r="CE178" i="10"/>
  <c r="CG178" i="10"/>
  <c r="BT179" i="10"/>
  <c r="BY179" i="10"/>
  <c r="AX181" i="10"/>
  <c r="AW182" i="10"/>
  <c r="AY180" i="10"/>
  <c r="AZ180" i="10"/>
  <c r="BA180" i="10"/>
  <c r="CA179" i="10"/>
  <c r="CB179" i="10"/>
  <c r="CC179" i="10"/>
  <c r="CD179" i="10"/>
  <c r="CE179" i="10"/>
  <c r="CG179" i="10"/>
  <c r="BZ179" i="10"/>
  <c r="BT180" i="10"/>
  <c r="BY180" i="10"/>
  <c r="AX182" i="10"/>
  <c r="AW183" i="10"/>
  <c r="AY181" i="10"/>
  <c r="AZ181" i="10"/>
  <c r="BA181" i="10"/>
  <c r="BZ180" i="10"/>
  <c r="CA180" i="10"/>
  <c r="CB180" i="10"/>
  <c r="CC180" i="10"/>
  <c r="CD180" i="10"/>
  <c r="CE180" i="10"/>
  <c r="CG180" i="10"/>
  <c r="BT181" i="10"/>
  <c r="BY181" i="10"/>
  <c r="AX183" i="10"/>
  <c r="AW184" i="10"/>
  <c r="AY182" i="10"/>
  <c r="AZ182" i="10"/>
  <c r="BA182" i="10"/>
  <c r="BZ181" i="10"/>
  <c r="BT182" i="10"/>
  <c r="BY182" i="10"/>
  <c r="CA181" i="10"/>
  <c r="AY183" i="10"/>
  <c r="AZ183" i="10"/>
  <c r="BA183" i="10"/>
  <c r="AX184" i="10"/>
  <c r="AW185" i="10"/>
  <c r="CA182" i="10"/>
  <c r="CB182" i="10"/>
  <c r="CC182" i="10"/>
  <c r="CD182" i="10"/>
  <c r="BZ182" i="10"/>
  <c r="BT183" i="10"/>
  <c r="BY183" i="10"/>
  <c r="CB181" i="10"/>
  <c r="CC181" i="10"/>
  <c r="CD181" i="10"/>
  <c r="CE181" i="10"/>
  <c r="CG181" i="10"/>
  <c r="AX185" i="10"/>
  <c r="AW186" i="10"/>
  <c r="AY184" i="10"/>
  <c r="AZ184" i="10"/>
  <c r="BA184" i="10"/>
  <c r="CA183" i="10"/>
  <c r="CB183" i="10"/>
  <c r="CC183" i="10"/>
  <c r="CD183" i="10"/>
  <c r="CE183" i="10"/>
  <c r="CG183" i="10"/>
  <c r="BZ183" i="10"/>
  <c r="CE182" i="10"/>
  <c r="CG182" i="10"/>
  <c r="BT184" i="10"/>
  <c r="BY184" i="10"/>
  <c r="AX186" i="10"/>
  <c r="AW187" i="10"/>
  <c r="AY185" i="10"/>
  <c r="AZ185" i="10"/>
  <c r="BA185" i="10"/>
  <c r="BT185" i="10"/>
  <c r="BY185" i="10"/>
  <c r="BZ184" i="10"/>
  <c r="CA184" i="10"/>
  <c r="CB184" i="10"/>
  <c r="CC184" i="10"/>
  <c r="CD184" i="10"/>
  <c r="CE184" i="10"/>
  <c r="CG184" i="10"/>
  <c r="AX187" i="10"/>
  <c r="AW188" i="10"/>
  <c r="AY186" i="10"/>
  <c r="AZ186" i="10"/>
  <c r="BA186" i="10"/>
  <c r="CA185" i="10"/>
  <c r="CB185" i="10"/>
  <c r="CC185" i="10"/>
  <c r="CD185" i="10"/>
  <c r="CE185" i="10"/>
  <c r="CG185" i="10"/>
  <c r="BZ185" i="10"/>
  <c r="BT186" i="10"/>
  <c r="BY186" i="10"/>
  <c r="AX188" i="10"/>
  <c r="AW189" i="10"/>
  <c r="AY187" i="10"/>
  <c r="AZ187" i="10"/>
  <c r="BA187" i="10"/>
  <c r="CA186" i="10"/>
  <c r="CB186" i="10"/>
  <c r="CC186" i="10"/>
  <c r="CD186" i="10"/>
  <c r="CE186" i="10"/>
  <c r="CG186" i="10"/>
  <c r="BZ186" i="10"/>
  <c r="BT187" i="10"/>
  <c r="BY187" i="10"/>
  <c r="AX189" i="10"/>
  <c r="AW190" i="10"/>
  <c r="AY188" i="10"/>
  <c r="AZ188" i="10"/>
  <c r="BA188" i="10"/>
  <c r="CA187" i="10"/>
  <c r="CB187" i="10"/>
  <c r="CC187" i="10"/>
  <c r="CD187" i="10"/>
  <c r="CE187" i="10"/>
  <c r="CG187" i="10"/>
  <c r="BZ187" i="10"/>
  <c r="BT188" i="10"/>
  <c r="BY188" i="10"/>
  <c r="AX190" i="10"/>
  <c r="AW191" i="10"/>
  <c r="AY189" i="10"/>
  <c r="AZ189" i="10"/>
  <c r="BA189" i="10"/>
  <c r="BT189" i="10"/>
  <c r="BY189" i="10"/>
  <c r="CA188" i="10"/>
  <c r="CB188" i="10"/>
  <c r="CC188" i="10"/>
  <c r="CD188" i="10"/>
  <c r="CE188" i="10"/>
  <c r="CG188" i="10"/>
  <c r="BZ188" i="10"/>
  <c r="AY190" i="10"/>
  <c r="AZ190" i="10"/>
  <c r="BA190" i="10"/>
  <c r="AX191" i="10"/>
  <c r="AW192" i="10"/>
  <c r="CA189" i="10"/>
  <c r="CB189" i="10"/>
  <c r="CC189" i="10"/>
  <c r="CD189" i="10"/>
  <c r="CE189" i="10"/>
  <c r="CG189" i="10"/>
  <c r="BZ189" i="10"/>
  <c r="BT190" i="10"/>
  <c r="BY190" i="10"/>
  <c r="AX192" i="10"/>
  <c r="AW193" i="10"/>
  <c r="AY191" i="10"/>
  <c r="AZ191" i="10"/>
  <c r="BA191" i="10"/>
  <c r="BZ190" i="10"/>
  <c r="BT191" i="10"/>
  <c r="BY191" i="10"/>
  <c r="CA190" i="10"/>
  <c r="CB190" i="10"/>
  <c r="CC190" i="10"/>
  <c r="CD190" i="10"/>
  <c r="CE190" i="10"/>
  <c r="CG190" i="10"/>
  <c r="AX193" i="10"/>
  <c r="AW194" i="10"/>
  <c r="AY192" i="10"/>
  <c r="AZ192" i="10"/>
  <c r="BA192" i="10"/>
  <c r="CA191" i="10"/>
  <c r="CB191" i="10"/>
  <c r="CC191" i="10"/>
  <c r="CD191" i="10"/>
  <c r="CE191" i="10"/>
  <c r="CG191" i="10"/>
  <c r="BZ191" i="10"/>
  <c r="BT192" i="10"/>
  <c r="BY192" i="10"/>
  <c r="AX194" i="10"/>
  <c r="AW195" i="10"/>
  <c r="AY193" i="10"/>
  <c r="AZ193" i="10"/>
  <c r="BA193" i="10"/>
  <c r="BT193" i="10"/>
  <c r="BY193" i="10"/>
  <c r="CA192" i="10"/>
  <c r="CB192" i="10"/>
  <c r="CC192" i="10"/>
  <c r="CD192" i="10"/>
  <c r="CE192" i="10"/>
  <c r="CG192" i="10"/>
  <c r="BZ192" i="10"/>
  <c r="AX195" i="10"/>
  <c r="AW196" i="10"/>
  <c r="AY194" i="10"/>
  <c r="AZ194" i="10"/>
  <c r="BA194" i="10"/>
  <c r="CA193" i="10"/>
  <c r="CB193" i="10"/>
  <c r="CC193" i="10"/>
  <c r="CD193" i="10"/>
  <c r="CE193" i="10"/>
  <c r="CG193" i="10"/>
  <c r="BT194" i="10"/>
  <c r="BY194" i="10"/>
  <c r="BZ193" i="10"/>
  <c r="AX196" i="10"/>
  <c r="AW197" i="10"/>
  <c r="AY195" i="10"/>
  <c r="AZ195" i="10"/>
  <c r="BA195" i="10"/>
  <c r="BT195" i="10"/>
  <c r="BY195" i="10"/>
  <c r="CA194" i="10"/>
  <c r="CB194" i="10"/>
  <c r="CC194" i="10"/>
  <c r="CD194" i="10"/>
  <c r="CE194" i="10"/>
  <c r="CG194" i="10"/>
  <c r="BZ194" i="10"/>
  <c r="AX197" i="10"/>
  <c r="AW198" i="10"/>
  <c r="AY196" i="10"/>
  <c r="AZ196" i="10"/>
  <c r="BA196" i="10"/>
  <c r="BZ195" i="10"/>
  <c r="CA195" i="10"/>
  <c r="CB195" i="10"/>
  <c r="CC195" i="10"/>
  <c r="CD195" i="10"/>
  <c r="CE195" i="10"/>
  <c r="CG195" i="10"/>
  <c r="BT196" i="10"/>
  <c r="BY196" i="10"/>
  <c r="AY197" i="10"/>
  <c r="AZ197" i="10"/>
  <c r="BA197" i="10"/>
  <c r="AX198" i="10"/>
  <c r="CA196" i="10"/>
  <c r="CB196" i="10"/>
  <c r="CC196" i="10"/>
  <c r="CD196" i="10"/>
  <c r="CE196" i="10"/>
  <c r="CG196" i="10"/>
  <c r="BZ196" i="10"/>
  <c r="BT197" i="10"/>
  <c r="BY197" i="10"/>
  <c r="AY198" i="10"/>
  <c r="AZ198" i="10"/>
  <c r="BA198" i="10"/>
  <c r="AW199" i="10"/>
  <c r="CA197" i="10"/>
  <c r="CB197" i="10"/>
  <c r="CC197" i="10"/>
  <c r="CD197" i="10"/>
  <c r="CE197" i="10"/>
  <c r="CG197" i="10"/>
  <c r="BZ197" i="10"/>
  <c r="BT198" i="10"/>
  <c r="BY198" i="10"/>
  <c r="AX199" i="10"/>
  <c r="AW200" i="10"/>
  <c r="BZ198" i="10"/>
  <c r="CA198" i="10"/>
  <c r="AX200" i="10"/>
  <c r="AW201" i="10"/>
  <c r="AY199" i="10"/>
  <c r="AZ199" i="10"/>
  <c r="BA199" i="10"/>
  <c r="BT199" i="10"/>
  <c r="BY199" i="10"/>
  <c r="CA199" i="10"/>
  <c r="CB198" i="10"/>
  <c r="CC198" i="10"/>
  <c r="CD198" i="10"/>
  <c r="CE198" i="10"/>
  <c r="CG198" i="10"/>
  <c r="AX201" i="10"/>
  <c r="AW202" i="10"/>
  <c r="AY200" i="10"/>
  <c r="AZ200" i="10"/>
  <c r="BA200" i="10"/>
  <c r="BZ199" i="10"/>
  <c r="BT200" i="10"/>
  <c r="BY200" i="10"/>
  <c r="CB199" i="10"/>
  <c r="CC199" i="10"/>
  <c r="CD199" i="10"/>
  <c r="CE199" i="10"/>
  <c r="CG199" i="10"/>
  <c r="AX202" i="10"/>
  <c r="AW203" i="10"/>
  <c r="AY201" i="10"/>
  <c r="AZ201" i="10"/>
  <c r="BA201" i="10"/>
  <c r="BT201" i="10"/>
  <c r="BY201" i="10"/>
  <c r="CA200" i="10"/>
  <c r="CB200" i="10"/>
  <c r="CC200" i="10"/>
  <c r="CD200" i="10"/>
  <c r="CE200" i="10"/>
  <c r="CG200" i="10"/>
  <c r="BZ200" i="10"/>
  <c r="AX203" i="10"/>
  <c r="AW204" i="10"/>
  <c r="AY202" i="10"/>
  <c r="AZ202" i="10"/>
  <c r="BA202" i="10"/>
  <c r="BZ201" i="10"/>
  <c r="CA201" i="10"/>
  <c r="CB201" i="10"/>
  <c r="CC201" i="10"/>
  <c r="CD201" i="10"/>
  <c r="CE201" i="10"/>
  <c r="CG201" i="10"/>
  <c r="BT202" i="10"/>
  <c r="BY202" i="10"/>
  <c r="AX204" i="10"/>
  <c r="AW205" i="10"/>
  <c r="AY203" i="10"/>
  <c r="AZ203" i="10"/>
  <c r="BA203" i="10"/>
  <c r="CA202" i="10"/>
  <c r="CB202" i="10"/>
  <c r="CC202" i="10"/>
  <c r="CD202" i="10"/>
  <c r="CE202" i="10"/>
  <c r="CG202" i="10"/>
  <c r="BZ202" i="10"/>
  <c r="BT203" i="10"/>
  <c r="BY203" i="10"/>
  <c r="AY204" i="10"/>
  <c r="AZ204" i="10"/>
  <c r="BA204" i="10"/>
  <c r="AX205" i="10"/>
  <c r="AW206" i="10"/>
  <c r="BZ203" i="10"/>
  <c r="CA203" i="10"/>
  <c r="CB203" i="10"/>
  <c r="CC203" i="10"/>
  <c r="CD203" i="10"/>
  <c r="CE203" i="10"/>
  <c r="CG203" i="10"/>
  <c r="BT204" i="10"/>
  <c r="BY204" i="10"/>
  <c r="AX206" i="10"/>
  <c r="AW207" i="10"/>
  <c r="AY205" i="10"/>
  <c r="AZ205" i="10"/>
  <c r="BA205" i="10"/>
  <c r="CA204" i="10"/>
  <c r="CB204" i="10"/>
  <c r="CC204" i="10"/>
  <c r="CD204" i="10"/>
  <c r="CE204" i="10"/>
  <c r="CG204" i="10"/>
  <c r="BZ204" i="10"/>
  <c r="BT205" i="10"/>
  <c r="BY205" i="10"/>
  <c r="AX207" i="10"/>
  <c r="AW208" i="10"/>
  <c r="AY206" i="10"/>
  <c r="AZ206" i="10"/>
  <c r="BA206" i="10"/>
  <c r="BZ205" i="10"/>
  <c r="BT206" i="10"/>
  <c r="BY206" i="10"/>
  <c r="CA205" i="10"/>
  <c r="AX208" i="10"/>
  <c r="AW209" i="10"/>
  <c r="AY207" i="10"/>
  <c r="AZ207" i="10"/>
  <c r="BA207" i="10"/>
  <c r="CA206" i="10"/>
  <c r="CB206" i="10"/>
  <c r="CC206" i="10"/>
  <c r="CD206" i="10"/>
  <c r="BZ206" i="10"/>
  <c r="BT207" i="10"/>
  <c r="BY207" i="10"/>
  <c r="CB205" i="10"/>
  <c r="CC205" i="10"/>
  <c r="CD205" i="10"/>
  <c r="CE205" i="10"/>
  <c r="CG205" i="10"/>
  <c r="AX209" i="10"/>
  <c r="AW210" i="10"/>
  <c r="AY208" i="10"/>
  <c r="AZ208" i="10"/>
  <c r="BA208" i="10"/>
  <c r="CA207" i="10"/>
  <c r="CB207" i="10"/>
  <c r="CC207" i="10"/>
  <c r="CD207" i="10"/>
  <c r="CE207" i="10"/>
  <c r="CG207" i="10"/>
  <c r="BZ207" i="10"/>
  <c r="CE206" i="10"/>
  <c r="CG206" i="10"/>
  <c r="BT208" i="10"/>
  <c r="BY208" i="10"/>
  <c r="AX210" i="10"/>
  <c r="AY209" i="10"/>
  <c r="AZ209" i="10"/>
  <c r="BA209" i="10"/>
  <c r="BT209" i="10"/>
  <c r="BY209" i="10"/>
  <c r="CA208" i="10"/>
  <c r="CB208" i="10"/>
  <c r="CC208" i="10"/>
  <c r="CD208" i="10"/>
  <c r="CE208" i="10"/>
  <c r="CG208" i="10"/>
  <c r="BZ208" i="10"/>
  <c r="AY210" i="10"/>
  <c r="AZ210" i="10"/>
  <c r="BA210" i="10"/>
  <c r="AW211" i="10"/>
  <c r="BZ209" i="10"/>
  <c r="CA209" i="10"/>
  <c r="CB209" i="10"/>
  <c r="CC209" i="10"/>
  <c r="CD209" i="10"/>
  <c r="CE209" i="10"/>
  <c r="CG209" i="10"/>
  <c r="BT210" i="10"/>
  <c r="BY210" i="10"/>
  <c r="AX211" i="10"/>
  <c r="AW212" i="10"/>
  <c r="CA210" i="10"/>
  <c r="CB210" i="10"/>
  <c r="CC210" i="10"/>
  <c r="CD210" i="10"/>
  <c r="CE210" i="10"/>
  <c r="CG210" i="10"/>
  <c r="BZ210" i="10"/>
  <c r="AX212" i="10"/>
  <c r="AW213" i="10"/>
  <c r="AY211" i="10"/>
  <c r="AZ211" i="10"/>
  <c r="BA211" i="10"/>
  <c r="BT211" i="10"/>
  <c r="BY211" i="10"/>
  <c r="CA211" i="10"/>
  <c r="AX213" i="10"/>
  <c r="AW214" i="10"/>
  <c r="AY212" i="10"/>
  <c r="AZ212" i="10"/>
  <c r="BA212" i="10"/>
  <c r="BZ211" i="10"/>
  <c r="BT212" i="10"/>
  <c r="BY212" i="10"/>
  <c r="CB211" i="10"/>
  <c r="CC211" i="10"/>
  <c r="CD211" i="10"/>
  <c r="CE211" i="10"/>
  <c r="CG211" i="10"/>
  <c r="AX214" i="10"/>
  <c r="AW215" i="10"/>
  <c r="AY213" i="10"/>
  <c r="AZ213" i="10"/>
  <c r="BA213" i="10"/>
  <c r="CA212" i="10"/>
  <c r="BZ212" i="10"/>
  <c r="BT213" i="10"/>
  <c r="BY213" i="10"/>
  <c r="AX215" i="10"/>
  <c r="AW216" i="10"/>
  <c r="AY214" i="10"/>
  <c r="AZ214" i="10"/>
  <c r="BA214" i="10"/>
  <c r="BT214" i="10"/>
  <c r="BY214" i="10"/>
  <c r="CB212" i="10"/>
  <c r="CC212" i="10"/>
  <c r="CD212" i="10"/>
  <c r="CE212" i="10"/>
  <c r="CG212" i="10"/>
  <c r="BZ213" i="10"/>
  <c r="CA213" i="10"/>
  <c r="AX216" i="10"/>
  <c r="AW217" i="10"/>
  <c r="AY215" i="10"/>
  <c r="AZ215" i="10"/>
  <c r="BA215" i="10"/>
  <c r="BZ214" i="10"/>
  <c r="CA214" i="10"/>
  <c r="CB214" i="10"/>
  <c r="CC214" i="10"/>
  <c r="CD214" i="10"/>
  <c r="BT215" i="10"/>
  <c r="BY215" i="10"/>
  <c r="CB213" i="10"/>
  <c r="CC213" i="10"/>
  <c r="CD213" i="10"/>
  <c r="CE213" i="10"/>
  <c r="CG213" i="10"/>
  <c r="AY216" i="10"/>
  <c r="AZ216" i="10"/>
  <c r="BA216" i="10"/>
  <c r="AX217" i="10"/>
  <c r="AW218" i="10"/>
  <c r="BZ215" i="10"/>
  <c r="CA215" i="10"/>
  <c r="CB215" i="10"/>
  <c r="CC215" i="10"/>
  <c r="CD215" i="10"/>
  <c r="CE215" i="10"/>
  <c r="CG215" i="10"/>
  <c r="BT216" i="10"/>
  <c r="BY216" i="10"/>
  <c r="CE214" i="10"/>
  <c r="CG214" i="10"/>
  <c r="AX218" i="10"/>
  <c r="AY217" i="10"/>
  <c r="AZ217" i="10"/>
  <c r="BA217" i="10"/>
  <c r="BZ216" i="10"/>
  <c r="CA216" i="10"/>
  <c r="CB216" i="10"/>
  <c r="CC216" i="10"/>
  <c r="CD216" i="10"/>
  <c r="CE216" i="10"/>
  <c r="CG216" i="10"/>
  <c r="BT217" i="10"/>
  <c r="BY217" i="10"/>
  <c r="AY218" i="10"/>
  <c r="AZ218" i="10"/>
  <c r="BA218" i="10"/>
  <c r="AW219" i="10"/>
  <c r="CA217" i="10"/>
  <c r="CB217" i="10"/>
  <c r="CC217" i="10"/>
  <c r="CD217" i="10"/>
  <c r="CE217" i="10"/>
  <c r="CG217" i="10"/>
  <c r="BZ217" i="10"/>
  <c r="BT218" i="10"/>
  <c r="BY218" i="10"/>
  <c r="AX219" i="10"/>
  <c r="AW220" i="10"/>
  <c r="BZ218" i="10"/>
  <c r="CA218" i="10"/>
  <c r="CB218" i="10"/>
  <c r="CC218" i="10"/>
  <c r="CD218" i="10"/>
  <c r="CE218" i="10"/>
  <c r="CG218" i="10"/>
  <c r="AX220" i="10"/>
  <c r="AW221" i="10"/>
  <c r="AY219" i="10"/>
  <c r="AZ219" i="10"/>
  <c r="BA219" i="10"/>
  <c r="BT219" i="10"/>
  <c r="BY219" i="10"/>
  <c r="CA219" i="10"/>
  <c r="AX221" i="10"/>
  <c r="AW222" i="10"/>
  <c r="AY220" i="10"/>
  <c r="AZ220" i="10"/>
  <c r="BA220" i="10"/>
  <c r="BZ219" i="10"/>
  <c r="BT220" i="10"/>
  <c r="BY220" i="10"/>
  <c r="CB219" i="10"/>
  <c r="CC219" i="10"/>
  <c r="CD219" i="10"/>
  <c r="CE219" i="10"/>
  <c r="CG219" i="10"/>
  <c r="AX222" i="10"/>
  <c r="AW223" i="10"/>
  <c r="AY221" i="10"/>
  <c r="AZ221" i="10"/>
  <c r="BA221" i="10"/>
  <c r="CA220" i="10"/>
  <c r="CB220" i="10"/>
  <c r="CC220" i="10"/>
  <c r="CD220" i="10"/>
  <c r="CE220" i="10"/>
  <c r="CG220" i="10"/>
  <c r="BZ220" i="10"/>
  <c r="BT221" i="10"/>
  <c r="BY221" i="10"/>
  <c r="AX223" i="10"/>
  <c r="AW224" i="10"/>
  <c r="AY222" i="10"/>
  <c r="AZ222" i="10"/>
  <c r="BA222" i="10"/>
  <c r="BZ221" i="10"/>
  <c r="CA221" i="10"/>
  <c r="CB221" i="10"/>
  <c r="CC221" i="10"/>
  <c r="CD221" i="10"/>
  <c r="CE221" i="10"/>
  <c r="CG221" i="10"/>
  <c r="BT222" i="10"/>
  <c r="BY222" i="10"/>
  <c r="AX224" i="10"/>
  <c r="AY223" i="10"/>
  <c r="AZ223" i="10"/>
  <c r="BA223" i="10"/>
  <c r="CA222" i="10"/>
  <c r="CB222" i="10"/>
  <c r="CC222" i="10"/>
  <c r="CD222" i="10"/>
  <c r="CE222" i="10"/>
  <c r="CG222" i="10"/>
  <c r="BZ222" i="10"/>
  <c r="BT223" i="10"/>
  <c r="BY223" i="10"/>
  <c r="AY224" i="10"/>
  <c r="AZ224" i="10"/>
  <c r="BA224" i="10"/>
  <c r="AW225" i="10"/>
  <c r="BZ223" i="10"/>
  <c r="CA223" i="10"/>
  <c r="CB223" i="10"/>
  <c r="CC223" i="10"/>
  <c r="CD223" i="10"/>
  <c r="CE223" i="10"/>
  <c r="CG223" i="10"/>
  <c r="BT224" i="10"/>
  <c r="BY224" i="10"/>
  <c r="AX225" i="10"/>
  <c r="AW226" i="10"/>
  <c r="BZ224" i="10"/>
  <c r="CA224" i="10"/>
  <c r="CB224" i="10"/>
  <c r="CC224" i="10"/>
  <c r="CD224" i="10"/>
  <c r="CE224" i="10"/>
  <c r="CG224" i="10"/>
  <c r="AX226" i="10"/>
  <c r="AW227" i="10"/>
  <c r="AY225" i="10"/>
  <c r="AZ225" i="10"/>
  <c r="BA225" i="10"/>
  <c r="BT225" i="10"/>
  <c r="BY225" i="10"/>
  <c r="CA225" i="10"/>
  <c r="AX227" i="10"/>
  <c r="AY226" i="10"/>
  <c r="AZ226" i="10"/>
  <c r="BA226" i="10"/>
  <c r="BZ225" i="10"/>
  <c r="BT226" i="10"/>
  <c r="BY226" i="10"/>
  <c r="CB225" i="10"/>
  <c r="CC225" i="10"/>
  <c r="CD225" i="10"/>
  <c r="CE225" i="10"/>
  <c r="CG225" i="10"/>
  <c r="AY227" i="10"/>
  <c r="AZ227" i="10"/>
  <c r="BA227" i="10"/>
  <c r="AW228" i="10"/>
  <c r="CA226" i="10"/>
  <c r="CB226" i="10"/>
  <c r="CC226" i="10"/>
  <c r="CD226" i="10"/>
  <c r="CE226" i="10"/>
  <c r="CG226" i="10"/>
  <c r="BZ226" i="10"/>
  <c r="BT227" i="10"/>
  <c r="BY227" i="10"/>
  <c r="AX228" i="10"/>
  <c r="AW229" i="10"/>
  <c r="BZ227" i="10"/>
  <c r="CA227" i="10"/>
  <c r="CB227" i="10"/>
  <c r="AX229" i="10"/>
  <c r="AW230" i="10"/>
  <c r="AY228" i="10"/>
  <c r="AZ228" i="10"/>
  <c r="BA228" i="10"/>
  <c r="CC227" i="10"/>
  <c r="CD227" i="10"/>
  <c r="CE227" i="10"/>
  <c r="CG227" i="10"/>
  <c r="BT228" i="10"/>
  <c r="BY228" i="10"/>
  <c r="AX230" i="10"/>
  <c r="AW231" i="10"/>
  <c r="AY229" i="10"/>
  <c r="AZ229" i="10"/>
  <c r="BA229" i="10"/>
  <c r="BT229" i="10"/>
  <c r="BY229" i="10"/>
  <c r="CA228" i="10"/>
  <c r="BZ228" i="10"/>
  <c r="AX231" i="10"/>
  <c r="AW232" i="10"/>
  <c r="AY230" i="10"/>
  <c r="AZ230" i="10"/>
  <c r="BA230" i="10"/>
  <c r="BZ229" i="10"/>
  <c r="BT230" i="10"/>
  <c r="BY230" i="10"/>
  <c r="CA229" i="10"/>
  <c r="CB229" i="10"/>
  <c r="CC229" i="10"/>
  <c r="CD229" i="10"/>
  <c r="CB228" i="10"/>
  <c r="CC228" i="10"/>
  <c r="CD228" i="10"/>
  <c r="CE228" i="10"/>
  <c r="CG228" i="10"/>
  <c r="AX232" i="10"/>
  <c r="AW233" i="10"/>
  <c r="AY231" i="10"/>
  <c r="AZ231" i="10"/>
  <c r="BA231" i="10"/>
  <c r="CA230" i="10"/>
  <c r="CB230" i="10"/>
  <c r="CC230" i="10"/>
  <c r="CD230" i="10"/>
  <c r="CE230" i="10"/>
  <c r="CG230" i="10"/>
  <c r="BZ230" i="10"/>
  <c r="CE229" i="10"/>
  <c r="CG229" i="10"/>
  <c r="BT231" i="10"/>
  <c r="BY231" i="10"/>
  <c r="AX233" i="10"/>
  <c r="AW234" i="10"/>
  <c r="AY232" i="10"/>
  <c r="AZ232" i="10"/>
  <c r="BA232" i="10"/>
  <c r="BZ231" i="10"/>
  <c r="CA231" i="10"/>
  <c r="CB231" i="10"/>
  <c r="CC231" i="10"/>
  <c r="CD231" i="10"/>
  <c r="CE231" i="10"/>
  <c r="CG231" i="10"/>
  <c r="BT232" i="10"/>
  <c r="BY232" i="10"/>
  <c r="AX234" i="10"/>
  <c r="AW235" i="10"/>
  <c r="AY233" i="10"/>
  <c r="AZ233" i="10"/>
  <c r="BA233" i="10"/>
  <c r="CA232" i="10"/>
  <c r="CB232" i="10"/>
  <c r="CC232" i="10"/>
  <c r="CD232" i="10"/>
  <c r="CE232" i="10"/>
  <c r="CG232" i="10"/>
  <c r="BZ232" i="10"/>
  <c r="BT233" i="10"/>
  <c r="BY233" i="10"/>
  <c r="AX235" i="10"/>
  <c r="AW236" i="10"/>
  <c r="AY234" i="10"/>
  <c r="AZ234" i="10"/>
  <c r="BA234" i="10"/>
  <c r="BZ233" i="10"/>
  <c r="CA233" i="10"/>
  <c r="CB233" i="10"/>
  <c r="CC233" i="10"/>
  <c r="CD233" i="10"/>
  <c r="CE233" i="10"/>
  <c r="CG233" i="10"/>
  <c r="BT234" i="10"/>
  <c r="BY234" i="10"/>
  <c r="AX236" i="10"/>
  <c r="AW237" i="10"/>
  <c r="AY235" i="10"/>
  <c r="AZ235" i="10"/>
  <c r="BA235" i="10"/>
  <c r="CA234" i="10"/>
  <c r="CB234" i="10"/>
  <c r="CC234" i="10"/>
  <c r="CD234" i="10"/>
  <c r="CE234" i="10"/>
  <c r="CG234" i="10"/>
  <c r="BZ234" i="10"/>
  <c r="BT235" i="10"/>
  <c r="BY235" i="10"/>
  <c r="AX237" i="10"/>
  <c r="AW238" i="10"/>
  <c r="AY236" i="10"/>
  <c r="AZ236" i="10"/>
  <c r="BA236" i="10"/>
  <c r="BT236" i="10"/>
  <c r="BY236" i="10"/>
  <c r="BZ235" i="10"/>
  <c r="CA235" i="10"/>
  <c r="AX238" i="10"/>
  <c r="AW239" i="10"/>
  <c r="AY237" i="10"/>
  <c r="AZ237" i="10"/>
  <c r="BA237" i="10"/>
  <c r="CA236" i="10"/>
  <c r="CB236" i="10"/>
  <c r="CC236" i="10"/>
  <c r="CD236" i="10"/>
  <c r="BZ236" i="10"/>
  <c r="BT237" i="10"/>
  <c r="BY237" i="10"/>
  <c r="CB235" i="10"/>
  <c r="CC235" i="10"/>
  <c r="CD235" i="10"/>
  <c r="CE235" i="10"/>
  <c r="CG235" i="10"/>
  <c r="AX239" i="10"/>
  <c r="AW240" i="10"/>
  <c r="AY238" i="10"/>
  <c r="AZ238" i="10"/>
  <c r="BA238" i="10"/>
  <c r="CA237" i="10"/>
  <c r="CB237" i="10"/>
  <c r="CC237" i="10"/>
  <c r="CD237" i="10"/>
  <c r="CE237" i="10"/>
  <c r="CG237" i="10"/>
  <c r="BZ237" i="10"/>
  <c r="BT238" i="10"/>
  <c r="BY238" i="10"/>
  <c r="CE236" i="10"/>
  <c r="CG236" i="10"/>
  <c r="AX240" i="10"/>
  <c r="AW241" i="10"/>
  <c r="AY239" i="10"/>
  <c r="AZ239" i="10"/>
  <c r="BA239" i="10"/>
  <c r="CA238" i="10"/>
  <c r="CB238" i="10"/>
  <c r="CC238" i="10"/>
  <c r="CD238" i="10"/>
  <c r="CE238" i="10"/>
  <c r="CG238" i="10"/>
  <c r="BZ238" i="10"/>
  <c r="BT239" i="10"/>
  <c r="BY239" i="10"/>
  <c r="AX241" i="10"/>
  <c r="AW242" i="10"/>
  <c r="AY240" i="10"/>
  <c r="AZ240" i="10"/>
  <c r="BA240" i="10"/>
  <c r="CA239" i="10"/>
  <c r="CB239" i="10"/>
  <c r="CC239" i="10"/>
  <c r="CD239" i="10"/>
  <c r="CE239" i="10"/>
  <c r="CG239" i="10"/>
  <c r="BZ239" i="10"/>
  <c r="BT240" i="10"/>
  <c r="BY240" i="10"/>
  <c r="AX242" i="10"/>
  <c r="AW243" i="10"/>
  <c r="AY241" i="10"/>
  <c r="AZ241" i="10"/>
  <c r="BA241" i="10"/>
  <c r="BT241" i="10"/>
  <c r="BY241" i="10"/>
  <c r="BZ240" i="10"/>
  <c r="CA240" i="10"/>
  <c r="CB240" i="10"/>
  <c r="CC240" i="10"/>
  <c r="CD240" i="10"/>
  <c r="CE240" i="10"/>
  <c r="CG240" i="10"/>
  <c r="AX243" i="10"/>
  <c r="AW244" i="10"/>
  <c r="AY242" i="10"/>
  <c r="AZ242" i="10"/>
  <c r="BA242" i="10"/>
  <c r="BT242" i="10"/>
  <c r="BY242" i="10"/>
  <c r="CA241" i="10"/>
  <c r="CB241" i="10"/>
  <c r="CC241" i="10"/>
  <c r="CD241" i="10"/>
  <c r="CE241" i="10"/>
  <c r="CG241" i="10"/>
  <c r="BZ241" i="10"/>
  <c r="AY243" i="10"/>
  <c r="AZ243" i="10"/>
  <c r="BA243" i="10"/>
  <c r="AX244" i="10"/>
  <c r="AW245" i="10"/>
  <c r="CA242" i="10"/>
  <c r="CB242" i="10"/>
  <c r="CC242" i="10"/>
  <c r="CD242" i="10"/>
  <c r="CE242" i="10"/>
  <c r="CG242" i="10"/>
  <c r="BZ242" i="10"/>
  <c r="BT243" i="10"/>
  <c r="BY243" i="10"/>
  <c r="AX245" i="10"/>
  <c r="AW246" i="10"/>
  <c r="AY244" i="10"/>
  <c r="AZ244" i="10"/>
  <c r="BA244" i="10"/>
  <c r="CA243" i="10"/>
  <c r="CB243" i="10"/>
  <c r="CC243" i="10"/>
  <c r="CD243" i="10"/>
  <c r="CE243" i="10"/>
  <c r="CG243" i="10"/>
  <c r="BZ243" i="10"/>
  <c r="BT244" i="10"/>
  <c r="BY244" i="10"/>
  <c r="AX246" i="10"/>
  <c r="AW247" i="10"/>
  <c r="AY245" i="10"/>
  <c r="AZ245" i="10"/>
  <c r="BA245" i="10"/>
  <c r="BT245" i="10"/>
  <c r="BY245" i="10"/>
  <c r="BZ244" i="10"/>
  <c r="CA244" i="10"/>
  <c r="CB244" i="10"/>
  <c r="CC244" i="10"/>
  <c r="CD244" i="10"/>
  <c r="CE244" i="10"/>
  <c r="CG244" i="10"/>
  <c r="AY246" i="10"/>
  <c r="AZ246" i="10"/>
  <c r="BA246" i="10"/>
  <c r="AX247" i="10"/>
  <c r="AW248" i="10"/>
  <c r="AX248" i="10"/>
  <c r="CA245" i="10"/>
  <c r="CB245" i="10"/>
  <c r="CC245" i="10"/>
  <c r="CD245" i="10"/>
  <c r="CE245" i="10"/>
  <c r="CG245" i="10"/>
  <c r="BZ245" i="10"/>
  <c r="BT246" i="10"/>
  <c r="BY246" i="10"/>
  <c r="AY248" i="10"/>
  <c r="AZ248" i="10"/>
  <c r="BA248" i="10"/>
  <c r="AY247" i="10"/>
  <c r="AZ247" i="10"/>
  <c r="BA247" i="10"/>
  <c r="BZ246" i="10"/>
  <c r="CA246" i="10"/>
  <c r="CB246" i="10"/>
  <c r="CC246" i="10"/>
  <c r="CD246" i="10"/>
  <c r="CE246" i="10"/>
  <c r="CG246" i="10"/>
  <c r="BT247" i="10"/>
  <c r="BY247" i="10"/>
  <c r="BT248" i="10"/>
  <c r="BY248" i="10"/>
  <c r="CA247" i="10"/>
  <c r="CB247" i="10"/>
  <c r="CC247" i="10"/>
  <c r="CD247" i="10"/>
  <c r="CE247" i="10"/>
  <c r="CG247" i="10"/>
  <c r="BZ247" i="10"/>
  <c r="BZ248" i="10"/>
  <c r="CA248" i="10"/>
  <c r="CB248" i="10"/>
  <c r="CC248" i="10"/>
  <c r="CD248" i="10"/>
  <c r="CE248" i="10"/>
  <c r="CG248" i="10"/>
  <c r="CD7" i="10"/>
  <c r="CD251" i="10"/>
  <c r="CD252" i="10"/>
  <c r="CD5" i="10"/>
  <c r="CI27" i="10"/>
  <c r="CN33" i="10"/>
  <c r="CA5" i="10"/>
  <c r="CD3" i="10"/>
  <c r="CK33" i="10"/>
  <c r="CD2" i="10"/>
  <c r="CO56" i="10"/>
  <c r="CK5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AW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Lab User:</t>
        </r>
        <r>
          <rPr>
            <sz val="9"/>
            <color indexed="81"/>
            <rFont val="Tahoma"/>
            <family val="2"/>
          </rPr>
          <t xml:space="preserve">
Transcanada
</t>
        </r>
      </text>
    </comment>
    <comment ref="AW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Lab User:</t>
        </r>
        <r>
          <rPr>
            <sz val="9"/>
            <color indexed="81"/>
            <rFont val="Tahoma"/>
            <family val="2"/>
          </rPr>
          <t xml:space="preserve">
Implied by AER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Minogue, Troy</author>
  </authors>
  <commentList>
    <comment ref="C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Minogue, Troy:</t>
        </r>
        <r>
          <rPr>
            <sz val="9"/>
            <color indexed="81"/>
            <rFont val="Tahoma"/>
            <family val="2"/>
          </rPr>
          <t xml:space="preserve">
Typical industry half-mile lateral = 0.80km = 800m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Minogue, Troy:</t>
        </r>
        <r>
          <rPr>
            <sz val="9"/>
            <color indexed="81"/>
            <rFont val="Tahoma"/>
            <family val="2"/>
          </rPr>
          <t xml:space="preserve">
Tonnes as per AER</t>
        </r>
      </text>
    </comment>
  </commentList>
</comments>
</file>

<file path=xl/sharedStrings.xml><?xml version="1.0" encoding="utf-8"?>
<sst xmlns="http://schemas.openxmlformats.org/spreadsheetml/2006/main" count="549" uniqueCount="366">
  <si>
    <t>Year</t>
  </si>
  <si>
    <t>Change in decline rate</t>
  </si>
  <si>
    <t>Annual Production (barrels)</t>
  </si>
  <si>
    <t>End of year rate (Month 12), barrels per day</t>
  </si>
  <si>
    <t>Beginning of year rate (Month 1), barrels per day</t>
  </si>
  <si>
    <t>Average daily production (barrels per day)</t>
  </si>
  <si>
    <t>Monthly decline rate (initial, barrels per day)</t>
  </si>
  <si>
    <t>Forecast</t>
  </si>
  <si>
    <t>Table 1</t>
  </si>
  <si>
    <t>McDaniel &amp; Associates Consultants Ltd.</t>
  </si>
  <si>
    <t>Summary of Price Forecasts</t>
  </si>
  <si>
    <t>Alberta</t>
  </si>
  <si>
    <t xml:space="preserve">Western </t>
  </si>
  <si>
    <t>Sask</t>
  </si>
  <si>
    <t>Edmonton</t>
  </si>
  <si>
    <t>WTI</t>
  </si>
  <si>
    <t>Brent</t>
  </si>
  <si>
    <t>Bow River</t>
  </si>
  <si>
    <t>Canadian</t>
  </si>
  <si>
    <t>Cromer</t>
  </si>
  <si>
    <t>Cond. &amp;</t>
  </si>
  <si>
    <t>US/CAN</t>
  </si>
  <si>
    <t>Crude</t>
  </si>
  <si>
    <t>Light</t>
  </si>
  <si>
    <t>Hardisty</t>
  </si>
  <si>
    <t>Select</t>
  </si>
  <si>
    <t>Heavy</t>
  </si>
  <si>
    <t>Medium</t>
  </si>
  <si>
    <t>Natural</t>
  </si>
  <si>
    <t>Exchange</t>
  </si>
  <si>
    <t>Oil</t>
  </si>
  <si>
    <t>Crude Oil</t>
  </si>
  <si>
    <t>Propane</t>
  </si>
  <si>
    <t>Butanes</t>
  </si>
  <si>
    <t>Inflation</t>
  </si>
  <si>
    <t>$US/bbl</t>
  </si>
  <si>
    <t>$C/bbl</t>
  </si>
  <si>
    <t xml:space="preserve">  $/bbl  </t>
  </si>
  <si>
    <t xml:space="preserve">   %   </t>
  </si>
  <si>
    <t>$US/$CAN</t>
  </si>
  <si>
    <t>History</t>
  </si>
  <si>
    <t>Thereafter</t>
  </si>
  <si>
    <t>+2%/yr</t>
  </si>
  <si>
    <t xml:space="preserve">  (1)  West Texas Intermediate at Cushing Oklahoma 40 degrees API/0.5% sulphur</t>
  </si>
  <si>
    <t xml:space="preserve"> (3)  Edmonton Light Sweet 40 degrees API, 0.3% sulphur</t>
  </si>
  <si>
    <t xml:space="preserve">  (4)  Bow River at Hardisty Alberta (Heavy stream)</t>
  </si>
  <si>
    <t xml:space="preserve">  (5)  Western Canadian Select at Hardisty, Alberta</t>
  </si>
  <si>
    <t xml:space="preserve">  (6)  Heavy crude oil 12 degrees API at Hardisty Alberta (after deduction of blending costs to reach pipeline quality)</t>
  </si>
  <si>
    <t xml:space="preserve">  (7)  Midale Cromer crude oil 29 degrees API, 2.0% sulphur</t>
  </si>
  <si>
    <t>Net Present Value</t>
  </si>
  <si>
    <t>Average daily production (cubic meters)</t>
  </si>
  <si>
    <t xml:space="preserve">Drill Now - Williston Basin, Bakken Well </t>
  </si>
  <si>
    <t>Associated Gas Production (MCF/D)</t>
  </si>
  <si>
    <t xml:space="preserve">Liquids split </t>
  </si>
  <si>
    <t>Liquids cut</t>
  </si>
  <si>
    <t>Gallons per MCF</t>
  </si>
  <si>
    <t>Ethane</t>
  </si>
  <si>
    <t>Butane</t>
  </si>
  <si>
    <t>Natural Gasoline</t>
  </si>
  <si>
    <t>$</t>
  </si>
  <si>
    <t>TVD</t>
  </si>
  <si>
    <t>TLL</t>
  </si>
  <si>
    <t>TPP</t>
  </si>
  <si>
    <t>TVD &lt;2000 metres</t>
  </si>
  <si>
    <t>C*</t>
  </si>
  <si>
    <t>m</t>
  </si>
  <si>
    <t>factor</t>
  </si>
  <si>
    <t>TVD &gt;2000 metres</t>
  </si>
  <si>
    <t>TVD (incremental)</t>
  </si>
  <si>
    <t>boe/d</t>
  </si>
  <si>
    <t>Maturity Threshold (MT)</t>
  </si>
  <si>
    <t>MT Gas Equivalent</t>
  </si>
  <si>
    <t>m3</t>
  </si>
  <si>
    <t>cf</t>
  </si>
  <si>
    <t>mcf</t>
  </si>
  <si>
    <t>e3m3</t>
  </si>
  <si>
    <t>per month</t>
  </si>
  <si>
    <t>mcf/m3</t>
  </si>
  <si>
    <t>Avg days/month</t>
  </si>
  <si>
    <t>boe/mo</t>
  </si>
  <si>
    <t>mcf/boe</t>
  </si>
  <si>
    <t>m3/cf</t>
  </si>
  <si>
    <t>natgas</t>
  </si>
  <si>
    <t>cf/mo</t>
  </si>
  <si>
    <t>mcf/mo</t>
  </si>
  <si>
    <t>mcf/d</t>
  </si>
  <si>
    <t>(based on 40 boe/d)</t>
  </si>
  <si>
    <t>tonnes</t>
  </si>
  <si>
    <t>lbs/tonne</t>
  </si>
  <si>
    <t>Associated Liquids Production (bbl/D)</t>
  </si>
  <si>
    <t>Gas Prod(boe/d)</t>
  </si>
  <si>
    <t>bbl/d</t>
  </si>
  <si>
    <t xml:space="preserve">  January 1, 2017</t>
  </si>
  <si>
    <t>(1)</t>
  </si>
  <si>
    <t>(2)</t>
  </si>
  <si>
    <t>(3)</t>
  </si>
  <si>
    <t>(4)</t>
  </si>
  <si>
    <t>(5)</t>
  </si>
  <si>
    <t>(6)</t>
  </si>
  <si>
    <t>(7)</t>
  </si>
  <si>
    <t>NA</t>
  </si>
  <si>
    <t xml:space="preserve">  (2)  North Sea Brent Blend 37 degrees API/1.0% sulphur</t>
  </si>
  <si>
    <t>G170101 - Effective January 1, 2017</t>
  </si>
  <si>
    <t>Hardisty Crude Oil</t>
  </si>
  <si>
    <t>Edmonton Light Crude Oil</t>
  </si>
  <si>
    <t>AECO Natgas</t>
  </si>
  <si>
    <t>Transcanada mmcf/mmbtu</t>
  </si>
  <si>
    <t>mcf/mmcf</t>
  </si>
  <si>
    <t>mcf/mmbtu</t>
  </si>
  <si>
    <t>C$/mmbtu</t>
  </si>
  <si>
    <t>c$/mcf</t>
  </si>
  <si>
    <t>Monthly decline rate (a)</t>
  </si>
  <si>
    <t>Initial</t>
  </si>
  <si>
    <t>Exp Oil Prod/d</t>
  </si>
  <si>
    <t>Para Oil Prod/d</t>
  </si>
  <si>
    <t>Liquids</t>
  </si>
  <si>
    <t>Liquids yield (bbl/mcf)</t>
  </si>
  <si>
    <t>Total Prod</t>
  </si>
  <si>
    <t>Gas Prod(mcf)</t>
  </si>
  <si>
    <t>Price Deck</t>
  </si>
  <si>
    <t>US/CAN FX</t>
  </si>
  <si>
    <t>AECO Natgas (C/mmbtu)</t>
  </si>
  <si>
    <t>AECO Natgas (C/mcf)</t>
  </si>
  <si>
    <t>Crude Revenue</t>
  </si>
  <si>
    <t>Gas Revenue</t>
  </si>
  <si>
    <t>Ethane Revenue</t>
  </si>
  <si>
    <t>Propane Revenue</t>
  </si>
  <si>
    <t>Nat Gasoline Revenue</t>
  </si>
  <si>
    <t>Butanes Revenue</t>
  </si>
  <si>
    <t>Revenues</t>
  </si>
  <si>
    <t>Initial Investment:</t>
  </si>
  <si>
    <t>Transportation Cost:</t>
  </si>
  <si>
    <t>Total Income Tax:</t>
  </si>
  <si>
    <t>WACC:</t>
  </si>
  <si>
    <t>OPEX</t>
  </si>
  <si>
    <t>OPEX /bbl:</t>
  </si>
  <si>
    <t>Total Revenue</t>
  </si>
  <si>
    <t>Transportation</t>
  </si>
  <si>
    <t>Net Profits</t>
  </si>
  <si>
    <t>Discounted Cash Flows</t>
  </si>
  <si>
    <t>PV CF</t>
  </si>
  <si>
    <t>Io</t>
  </si>
  <si>
    <t>NPV</t>
  </si>
  <si>
    <t>Incremental C*</t>
  </si>
  <si>
    <t>Total C*</t>
  </si>
  <si>
    <t>Cumulative Revenue</t>
  </si>
  <si>
    <t>bbl</t>
  </si>
  <si>
    <t>MT 2 (IN USE)</t>
  </si>
  <si>
    <t>m3/mo</t>
  </si>
  <si>
    <t>Maturity Threshold</t>
  </si>
  <si>
    <t>mcf/boe:</t>
  </si>
  <si>
    <t>boe/mo:</t>
  </si>
  <si>
    <t>C* Phase Revenue</t>
  </si>
  <si>
    <t xml:space="preserve">Beg. C* Pool </t>
  </si>
  <si>
    <t>C* Phase Royalty</t>
  </si>
  <si>
    <t>GJ/mmbtu</t>
  </si>
  <si>
    <t>NEB e3m3/MMcf</t>
  </si>
  <si>
    <t>-&gt; mcf</t>
  </si>
  <si>
    <t>Boe/e3m3</t>
  </si>
  <si>
    <t>Factor (mmbtu/mcf):</t>
  </si>
  <si>
    <t>Royalty Calc</t>
  </si>
  <si>
    <t>Methane Post-C* Phase Royalty Rate</t>
  </si>
  <si>
    <t>Ethane Post-C* Phase Royalty Rate</t>
  </si>
  <si>
    <t>P1</t>
  </si>
  <si>
    <t>P2</t>
  </si>
  <si>
    <t>P3</t>
  </si>
  <si>
    <t>Methane/Ethane</t>
  </si>
  <si>
    <t>Price (C$/GJ)</t>
  </si>
  <si>
    <t>C$/mcf</t>
  </si>
  <si>
    <t>mmbtu/mcf:</t>
  </si>
  <si>
    <t>C$/boe</t>
  </si>
  <si>
    <t>(%/$/GJ)</t>
  </si>
  <si>
    <t>&lt;P1</t>
  </si>
  <si>
    <t>Base</t>
  </si>
  <si>
    <t>Max</t>
  </si>
  <si>
    <t>Ethane (on BOE Basis)</t>
  </si>
  <si>
    <t>Natural Gas (on MCF basis)</t>
  </si>
  <si>
    <t>bbl/m3</t>
  </si>
  <si>
    <t>C$/m3</t>
  </si>
  <si>
    <t>Price Class:</t>
  </si>
  <si>
    <t>Propane (on m3 basis)</t>
  </si>
  <si>
    <t>Propane (C$/m3)</t>
  </si>
  <si>
    <t>Butane (C$/m3)</t>
  </si>
  <si>
    <t>(%/$/m3)</t>
  </si>
  <si>
    <t>Propane Post-C* Phase Royalty Rate</t>
  </si>
  <si>
    <t>Base % Class:</t>
  </si>
  <si>
    <t>Change % Class:</t>
  </si>
  <si>
    <t>Butane Post-C* Phase Royalty Rate</t>
  </si>
  <si>
    <t>Butane (on m3 basis)</t>
  </si>
  <si>
    <t>Nat Gasoline (C$/m3)</t>
  </si>
  <si>
    <t>Crude (C$/m3)</t>
  </si>
  <si>
    <t>Crude (on m3 basis)</t>
  </si>
  <si>
    <t>Nat Gasoline (on m3 basis)</t>
  </si>
  <si>
    <t>Crude &amp; Condensate</t>
  </si>
  <si>
    <t>Crude Post-C* Phase Royalty Rate</t>
  </si>
  <si>
    <t>Nat Gasoline Post-C* Phase Royalty Rate</t>
  </si>
  <si>
    <t>rq (%/m3 under)</t>
  </si>
  <si>
    <t>Post-C* Phase Royalty $ Volume</t>
  </si>
  <si>
    <t>Crude Revenue %</t>
  </si>
  <si>
    <t>Gas Revenue %</t>
  </si>
  <si>
    <t>Ethane Revenue %</t>
  </si>
  <si>
    <t>Propane Revenue %</t>
  </si>
  <si>
    <t>Nat Gasoline Revenue %</t>
  </si>
  <si>
    <t>Butanes Revenue %</t>
  </si>
  <si>
    <t>Rev Matching:</t>
  </si>
  <si>
    <t>Weighted Average Royalty Rate</t>
  </si>
  <si>
    <t xml:space="preserve">Post-C* Phase Royalty </t>
  </si>
  <si>
    <t>Total Royalties</t>
  </si>
  <si>
    <t>rq=</t>
  </si>
  <si>
    <t>Q (m3)</t>
  </si>
  <si>
    <t>(Q oil equivalent volumes)</t>
  </si>
  <si>
    <t>(Q-194)*0.001350</t>
  </si>
  <si>
    <t>Q gas equiv: (e3m3/mo)</t>
  </si>
  <si>
    <t>Q:</t>
  </si>
  <si>
    <t>Min Royalty</t>
  </si>
  <si>
    <t>MT* Royalty Phase Volume Under Threshold</t>
  </si>
  <si>
    <t>Original AECO Natgas (C/mmbtu)</t>
  </si>
  <si>
    <t>%ChangeWTICoeff</t>
  </si>
  <si>
    <t>WTI Crude</t>
  </si>
  <si>
    <t>Times</t>
  </si>
  <si>
    <t>ft/m</t>
  </si>
  <si>
    <t>proppant lbs/ft</t>
  </si>
  <si>
    <t>Bakken Well</t>
  </si>
  <si>
    <t>MD</t>
  </si>
  <si>
    <t>Profit on deeper well:</t>
  </si>
  <si>
    <t>C* Rate</t>
  </si>
  <si>
    <t>Post-C* Rate</t>
  </si>
  <si>
    <t>TVD Change</t>
  </si>
  <si>
    <t>Change in Royalties</t>
  </si>
  <si>
    <t>TLL Change</t>
  </si>
  <si>
    <t>Change in C*</t>
  </si>
  <si>
    <t>Profit on longer well</t>
  </si>
  <si>
    <t>Profit on greater proppant loading</t>
  </si>
  <si>
    <t>Lbs/ft change</t>
  </si>
  <si>
    <t>Fig.1</t>
  </si>
  <si>
    <t>Fig.2</t>
  </si>
  <si>
    <t>Fig.3</t>
  </si>
  <si>
    <t>Fig.4</t>
  </si>
  <si>
    <t>Zero</t>
  </si>
  <si>
    <t>1/2 Change in 1.,2.,3.</t>
  </si>
  <si>
    <t>Profit on simultaneous change of TPP,TLL, and Proppant loading</t>
  </si>
  <si>
    <t>TVD/TLL/(lbs/ft) change</t>
  </si>
  <si>
    <t>Sum of individual changes</t>
  </si>
  <si>
    <t>Synergy Gain</t>
  </si>
  <si>
    <t>Total Royalty Reduction</t>
  </si>
  <si>
    <t>+1x</t>
  </si>
  <si>
    <t>+0x</t>
  </si>
  <si>
    <t>+2x</t>
  </si>
  <si>
    <t>+3x</t>
  </si>
  <si>
    <t>+4x</t>
  </si>
  <si>
    <t>Sum of each royalty reduction</t>
  </si>
  <si>
    <t>Total Synergy Gain</t>
  </si>
  <si>
    <t>67 Year out EUR</t>
  </si>
  <si>
    <t>Oil EUR</t>
  </si>
  <si>
    <t xml:space="preserve">Gas EUR </t>
  </si>
  <si>
    <t>Initial rate</t>
  </si>
  <si>
    <t>b=</t>
  </si>
  <si>
    <t>Interpolated the initial rate of gas production from the first given set of yearly average production figures</t>
  </si>
  <si>
    <t>-&gt; as well as the slope</t>
  </si>
  <si>
    <t>Applied the slope to calculate monthly gas production rates from t=0 to t=1 (in years, i.e. to 680)</t>
  </si>
  <si>
    <t>-&gt; Calculated the geometric mean of the month rates of monthly gas production change</t>
  </si>
  <si>
    <t>Gas</t>
  </si>
  <si>
    <t>Change</t>
  </si>
  <si>
    <t>Slope</t>
  </si>
  <si>
    <t>a</t>
  </si>
  <si>
    <t>ai</t>
  </si>
  <si>
    <t>Geometric mean from first 12 months interpolated</t>
  </si>
  <si>
    <t>Depreciation Pool</t>
  </si>
  <si>
    <t>Depreciation Cost</t>
  </si>
  <si>
    <t>Declining Balance CCA:</t>
  </si>
  <si>
    <t>Taxes</t>
  </si>
  <si>
    <t>NOL C/F Pool</t>
  </si>
  <si>
    <t>Cash Flows (Add back D&amp;A)</t>
  </si>
  <si>
    <t>(Canadian development expense)</t>
  </si>
  <si>
    <t>Taxable (Post NOL) Net Profits</t>
  </si>
  <si>
    <t>Value Perp</t>
  </si>
  <si>
    <t>Present Value Perp</t>
  </si>
  <si>
    <t>Cumulative Oil</t>
  </si>
  <si>
    <t>Cumulative Gas</t>
  </si>
  <si>
    <t>Cumulative Liquids</t>
  </si>
  <si>
    <t>Figures</t>
  </si>
  <si>
    <t>EUR Oil</t>
  </si>
  <si>
    <t>EUR Gas</t>
  </si>
  <si>
    <t>EUR Liquids</t>
  </si>
  <si>
    <t>EUR Total</t>
  </si>
  <si>
    <t>Total Prod (boe)</t>
  </si>
  <si>
    <t>Cumulative Boe</t>
  </si>
  <si>
    <t>Prob Density</t>
  </si>
  <si>
    <t>Cum Dist</t>
  </si>
  <si>
    <t>Prob Dens G</t>
  </si>
  <si>
    <t>Prob Dens</t>
  </si>
  <si>
    <t>Downside</t>
  </si>
  <si>
    <t>Inv Cumdis</t>
  </si>
  <si>
    <t>σ</t>
  </si>
  <si>
    <t>=</t>
  </si>
  <si>
    <t>μ</t>
  </si>
  <si>
    <t>Cumulative DCF</t>
  </si>
  <si>
    <t>NPV Threshold</t>
  </si>
  <si>
    <t>Economic Profit</t>
  </si>
  <si>
    <t>TPP (lbs/ft) Change</t>
  </si>
  <si>
    <t>TPP,TLL,TPP Change</t>
  </si>
  <si>
    <t>250, 500, 500</t>
  </si>
  <si>
    <t>500, 1000, 1000</t>
  </si>
  <si>
    <t>750, 1500, 1500</t>
  </si>
  <si>
    <t>1000, 2000, 2000</t>
  </si>
  <si>
    <t>Discounted Payback</t>
  </si>
  <si>
    <t>Multiplier:</t>
  </si>
  <si>
    <t>C* Multiplier:</t>
  </si>
  <si>
    <t xml:space="preserve">Change in TVD (500m), TLL (500m), TPP (250 lbs/ft) </t>
  </si>
  <si>
    <t>Discounted Payback Period</t>
  </si>
  <si>
    <t>Change in TVD, TLL, TPP  (500m, 500m, 250 lbs/ft )</t>
  </si>
  <si>
    <t>-3x</t>
  </si>
  <si>
    <t>-2x</t>
  </si>
  <si>
    <t>-1x</t>
  </si>
  <si>
    <t>Example well values</t>
  </si>
  <si>
    <t>+5x</t>
  </si>
  <si>
    <t>+6x</t>
  </si>
  <si>
    <t>Figure 8: TVD, TLL, TPP Impact on Discounted Payback Period and Net Present Value</t>
  </si>
  <si>
    <t>1 ton =</t>
  </si>
  <si>
    <t>lbs</t>
  </si>
  <si>
    <t>Change NPV</t>
  </si>
  <si>
    <t xml:space="preserve">Net NPV </t>
  </si>
  <si>
    <t>Increase in proppant lbs/ft</t>
  </si>
  <si>
    <t>Increase in NPV</t>
  </si>
  <si>
    <t>Figure 9: Impact of increasing proppant lbs/ft at initial example well dimensions</t>
  </si>
  <si>
    <t>Additional Proppant Cost</t>
  </si>
  <si>
    <t>NPV Increase Net of Cost</t>
  </si>
  <si>
    <t xml:space="preserve">$10/boe </t>
  </si>
  <si>
    <t>$3/boe</t>
  </si>
  <si>
    <t>Liquids Yield:</t>
  </si>
  <si>
    <t>Figure 1: Preliminary Assumptions</t>
  </si>
  <si>
    <t>Economic Information:</t>
  </si>
  <si>
    <t>Operating, Gathering, and Lease Costs</t>
  </si>
  <si>
    <t>Capital Investment Required</t>
  </si>
  <si>
    <t>Transportation Cost to Hardisty, AB</t>
  </si>
  <si>
    <t>Weighted Average Cost of Capital</t>
  </si>
  <si>
    <t xml:space="preserve">Assuming stdev of </t>
  </si>
  <si>
    <t>boe</t>
  </si>
  <si>
    <t>u=</t>
  </si>
  <si>
    <t>xi</t>
  </si>
  <si>
    <t>zi</t>
  </si>
  <si>
    <t>Figure A: Evaluation Results</t>
  </si>
  <si>
    <t>Net Present Value (NPV)</t>
  </si>
  <si>
    <t>Discounted Return on Investment (ROI)</t>
  </si>
  <si>
    <t>13 Months</t>
  </si>
  <si>
    <t>Discounted Payback Period (economic breakeven, time at which NPV=$0)</t>
  </si>
  <si>
    <t>Total Discounted Revenue</t>
  </si>
  <si>
    <t>Proppant Multiplier:</t>
  </si>
  <si>
    <t>Discounted ROI</t>
  </si>
  <si>
    <t>Monthly CCA:</t>
  </si>
  <si>
    <t>C* Threshold Rate</t>
  </si>
  <si>
    <t>1 yr avg royalty:</t>
  </si>
  <si>
    <t>k</t>
  </si>
  <si>
    <t>Para Gas Prod (mcf)/d</t>
  </si>
  <si>
    <t>Para Oil Prod bbl/d</t>
  </si>
  <si>
    <t>Price Change</t>
  </si>
  <si>
    <t>Figure 10: Price Sensitivity</t>
  </si>
  <si>
    <t>Monthly change in monthly decline rate (b)</t>
  </si>
  <si>
    <t>Initial monthly decline rate (a)</t>
  </si>
  <si>
    <t>IP30 (Initial Production rate)</t>
  </si>
  <si>
    <t>Production Multiplier:</t>
  </si>
  <si>
    <t>Price Multiplier:</t>
  </si>
  <si>
    <t>WACC EMR:</t>
  </si>
  <si>
    <t>Initial decline rate</t>
  </si>
  <si>
    <t>degree of curvature (b) for gas</t>
  </si>
  <si>
    <t>NPV/boe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</si>
</sst>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  <numFmt numFmtId="169" formatCode="0.0"/>
    <numFmt numFmtId="170" formatCode="_(&quot;$&quot;* #,##0_);_(&quot;$&quot;* \(#,##0\);_(&quot;$&quot;* &quot;-&quot;??_);_(@_)"/>
    <numFmt numFmtId="171" formatCode="_(* #,##0_);_(* \(#,##0\);_(* &quot;-&quot;??_);_(@_)"/>
    <numFmt numFmtId="172" formatCode="0.000%"/>
    <numFmt numFmtId="173" formatCode="0.00_)"/>
    <numFmt numFmtId="174" formatCode="0.0_)"/>
    <numFmt numFmtId="175" formatCode="0.000_)"/>
    <numFmt numFmtId="176" formatCode="_(&quot;$&quot;* #,##0.0_);_(&quot;$&quot;* \(#,##0.0\);_(&quot;$&quot;* &quot;-&quot;??_);_(@_)"/>
    <numFmt numFmtId="177" formatCode="0.000"/>
    <numFmt numFmtId="178" formatCode="0.00000"/>
    <numFmt numFmtId="179" formatCode="_(&quot;$&quot;* #,##0.0000_);_(&quot;$&quot;* \(#,##0.0000\);_(&quot;$&quot;* &quot;-&quot;??_);_(@_)"/>
    <numFmt numFmtId="180" formatCode="0.0000"/>
    <numFmt numFmtId="181" formatCode="0.0000%"/>
    <numFmt numFmtId="182" formatCode="_(* #,##0.000_);_(* \(#,##0.000\);_(* &quot;-&quot;??_);_(@_)"/>
    <numFmt numFmtId="183" formatCode="0.000E+00"/>
    <numFmt numFmtId="184" formatCode="_-&quot;$&quot;* #,##0_-;\-&quot;$&quot;* #,##0_-;_-&quot;$&quot;* &quot;-&quot;??_-;_-@_-"/>
  </numFmts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 MT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1"/>
      <color rgb="FF252525"/>
      <name val="Arial"/>
      <family val="2"/>
    </font>
    <font>
      <sz val="12"/>
      <color rgb="FF545454"/>
      <name val="Arial"/>
      <family val="2"/>
    </font>
    <font>
      <sz val="14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6FDE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0" fontId="3" fillId="0" borderId="0"/>
    <xf numFmtId="0" fontId="8" fillId="0" borderId="0"/>
    <xf numFmtId="9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73" fontId="12" fillId="0" borderId="0"/>
    <xf numFmtId="0" fontId="2" fillId="0" borderId="0"/>
    <xf numFmtId="173" fontId="12" fillId="0" borderId="0"/>
    <xf numFmtId="0" fontId="23" fillId="4" borderId="9" applyNumberFormat="0" applyAlignment="0" applyProtection="0"/>
    <xf numFmtId="0" fontId="25" fillId="10" borderId="0" applyNumberFormat="0" applyBorder="0" applyAlignment="0" applyProtection="0"/>
  </cellStyleXfs>
  <cellXfs count="283">
    <xf numFmtId="0" fontId="0" fillId="0" borderId="0" xfId="0"/>
    <xf numFmtId="9" fontId="0" fillId="0" borderId="0" xfId="0" applyNumberFormat="1"/>
    <xf numFmtId="1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0" fontId="0" fillId="0" borderId="1" xfId="0" applyBorder="1"/>
    <xf numFmtId="0" fontId="7" fillId="0" borderId="0" xfId="0" applyFont="1"/>
    <xf numFmtId="170" fontId="0" fillId="0" borderId="0" xfId="74" applyNumberFormat="1" applyFont="1"/>
    <xf numFmtId="164" fontId="0" fillId="0" borderId="0" xfId="0" applyNumberFormat="1"/>
    <xf numFmtId="166" fontId="0" fillId="0" borderId="0" xfId="74" applyNumberFormat="1" applyFont="1"/>
    <xf numFmtId="10" fontId="0" fillId="0" borderId="0" xfId="0" applyNumberFormat="1"/>
    <xf numFmtId="170" fontId="0" fillId="0" borderId="0" xfId="0" applyNumberFormat="1"/>
    <xf numFmtId="166" fontId="0" fillId="0" borderId="0" xfId="0" applyNumberFormat="1"/>
    <xf numFmtId="1" fontId="0" fillId="0" borderId="0" xfId="74" applyNumberFormat="1" applyFont="1"/>
    <xf numFmtId="168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74" applyNumberFormat="1" applyFont="1"/>
    <xf numFmtId="0" fontId="9" fillId="0" borderId="1" xfId="0" applyFont="1" applyBorder="1"/>
    <xf numFmtId="171" fontId="0" fillId="0" borderId="0" xfId="78" applyNumberFormat="1" applyFont="1" applyBorder="1"/>
    <xf numFmtId="171" fontId="0" fillId="0" borderId="0" xfId="0" applyNumberFormat="1"/>
    <xf numFmtId="10" fontId="0" fillId="0" borderId="0" xfId="74" applyNumberFormat="1" applyFont="1"/>
    <xf numFmtId="172" fontId="0" fillId="0" borderId="0" xfId="1" applyNumberFormat="1" applyFont="1"/>
    <xf numFmtId="167" fontId="0" fillId="0" borderId="0" xfId="0" applyNumberFormat="1"/>
    <xf numFmtId="173" fontId="13" fillId="0" borderId="2" xfId="79" applyFont="1" applyBorder="1"/>
    <xf numFmtId="173" fontId="13" fillId="0" borderId="3" xfId="79" applyFont="1" applyBorder="1"/>
    <xf numFmtId="173" fontId="13" fillId="0" borderId="4" xfId="79" applyFont="1" applyBorder="1"/>
    <xf numFmtId="0" fontId="2" fillId="0" borderId="0" xfId="80"/>
    <xf numFmtId="173" fontId="13" fillId="0" borderId="5" xfId="79" applyFont="1" applyBorder="1"/>
    <xf numFmtId="173" fontId="13" fillId="0" borderId="0" xfId="79" applyFont="1" applyBorder="1"/>
    <xf numFmtId="173" fontId="14" fillId="0" borderId="0" xfId="79" applyFont="1" applyBorder="1" applyAlignment="1">
      <alignment horizontal="centerContinuous"/>
    </xf>
    <xf numFmtId="173" fontId="13" fillId="0" borderId="6" xfId="79" applyFont="1" applyBorder="1"/>
    <xf numFmtId="173" fontId="15" fillId="0" borderId="0" xfId="79" applyNumberFormat="1" applyFont="1" applyBorder="1" applyAlignment="1">
      <alignment horizontal="centerContinuous"/>
    </xf>
    <xf numFmtId="173" fontId="13" fillId="0" borderId="0" xfId="79" applyNumberFormat="1" applyFont="1" applyBorder="1" applyAlignment="1">
      <alignment horizontal="centerContinuous"/>
    </xf>
    <xf numFmtId="173" fontId="13" fillId="0" borderId="0" xfId="79" applyFont="1" applyBorder="1" applyAlignment="1">
      <alignment horizontal="centerContinuous"/>
    </xf>
    <xf numFmtId="173" fontId="16" fillId="0" borderId="0" xfId="79" applyNumberFormat="1" applyFont="1" applyBorder="1" applyAlignment="1">
      <alignment horizontal="centerContinuous"/>
    </xf>
    <xf numFmtId="173" fontId="16" fillId="0" borderId="0" xfId="79" quotePrefix="1" applyNumberFormat="1" applyFont="1" applyBorder="1" applyAlignment="1">
      <alignment horizontal="centerContinuous"/>
    </xf>
    <xf numFmtId="173" fontId="13" fillId="0" borderId="0" xfId="79" applyNumberFormat="1" applyFont="1" applyBorder="1"/>
    <xf numFmtId="173" fontId="13" fillId="0" borderId="0" xfId="79" applyNumberFormat="1" applyFont="1" applyBorder="1" applyAlignment="1"/>
    <xf numFmtId="173" fontId="17" fillId="0" borderId="0" xfId="79" applyNumberFormat="1" applyFont="1" applyBorder="1" applyAlignment="1">
      <alignment horizontal="center"/>
    </xf>
    <xf numFmtId="173" fontId="17" fillId="0" borderId="0" xfId="79" applyNumberFormat="1" applyFont="1" applyBorder="1"/>
    <xf numFmtId="173" fontId="12" fillId="0" borderId="0" xfId="79" applyNumberFormat="1" applyBorder="1"/>
    <xf numFmtId="173" fontId="17" fillId="0" borderId="0" xfId="81" applyFont="1" applyBorder="1" applyAlignment="1">
      <alignment horizontal="center"/>
    </xf>
    <xf numFmtId="173" fontId="17" fillId="0" borderId="0" xfId="79" applyFont="1" applyBorder="1"/>
    <xf numFmtId="173" fontId="17" fillId="0" borderId="0" xfId="79" applyFont="1" applyBorder="1" applyAlignment="1">
      <alignment horizontal="center"/>
    </xf>
    <xf numFmtId="173" fontId="17" fillId="0" borderId="1" xfId="79" applyNumberFormat="1" applyFont="1" applyBorder="1" applyAlignment="1">
      <alignment horizontal="center"/>
    </xf>
    <xf numFmtId="173" fontId="17" fillId="0" borderId="1" xfId="81" applyFont="1" applyBorder="1" applyAlignment="1">
      <alignment horizontal="center"/>
    </xf>
    <xf numFmtId="173" fontId="17" fillId="0" borderId="1" xfId="79" applyFont="1" applyBorder="1" applyAlignment="1">
      <alignment horizontal="center"/>
    </xf>
    <xf numFmtId="173" fontId="18" fillId="0" borderId="0" xfId="79" applyNumberFormat="1" applyFont="1" applyBorder="1"/>
    <xf numFmtId="173" fontId="13" fillId="0" borderId="0" xfId="79" applyNumberFormat="1" applyFont="1" applyBorder="1" applyAlignment="1">
      <alignment horizontal="center"/>
    </xf>
    <xf numFmtId="173" fontId="13" fillId="0" borderId="0" xfId="81" quotePrefix="1" applyFont="1" applyBorder="1" applyAlignment="1">
      <alignment horizontal="center"/>
    </xf>
    <xf numFmtId="173" fontId="13" fillId="0" borderId="0" xfId="81" applyFont="1" applyBorder="1" applyAlignment="1">
      <alignment horizontal="center"/>
    </xf>
    <xf numFmtId="173" fontId="18" fillId="0" borderId="0" xfId="79" applyFont="1" applyBorder="1"/>
    <xf numFmtId="173" fontId="13" fillId="0" borderId="0" xfId="81" applyFont="1" applyBorder="1"/>
    <xf numFmtId="173" fontId="19" fillId="0" borderId="0" xfId="79" applyNumberFormat="1" applyFont="1" applyBorder="1" applyAlignment="1">
      <alignment horizontal="center"/>
    </xf>
    <xf numFmtId="173" fontId="14" fillId="0" borderId="0" xfId="79" applyNumberFormat="1" applyFont="1" applyBorder="1"/>
    <xf numFmtId="173" fontId="14" fillId="0" borderId="0" xfId="81" applyFont="1" applyBorder="1"/>
    <xf numFmtId="173" fontId="14" fillId="0" borderId="0" xfId="79" applyFont="1" applyBorder="1"/>
    <xf numFmtId="1" fontId="13" fillId="0" borderId="0" xfId="79" applyNumberFormat="1" applyFont="1" applyBorder="1" applyAlignment="1">
      <alignment horizontal="center"/>
    </xf>
    <xf numFmtId="173" fontId="13" fillId="0" borderId="0" xfId="79" applyNumberFormat="1" applyFont="1" applyBorder="1" applyAlignment="1" applyProtection="1">
      <alignment horizontal="center"/>
    </xf>
    <xf numFmtId="173" fontId="12" fillId="0" borderId="0" xfId="79" applyNumberFormat="1" applyFont="1" applyBorder="1" applyAlignment="1">
      <alignment horizontal="center"/>
    </xf>
    <xf numFmtId="173" fontId="13" fillId="0" borderId="0" xfId="81" applyNumberFormat="1" applyFont="1" applyBorder="1" applyAlignment="1" applyProtection="1">
      <alignment horizontal="center"/>
    </xf>
    <xf numFmtId="174" fontId="13" fillId="0" borderId="0" xfId="79" applyNumberFormat="1" applyFont="1" applyBorder="1" applyAlignment="1" applyProtection="1">
      <alignment horizontal="center"/>
    </xf>
    <xf numFmtId="175" fontId="13" fillId="0" borderId="0" xfId="79" applyNumberFormat="1" applyFont="1" applyBorder="1" applyAlignment="1" applyProtection="1">
      <alignment horizontal="center"/>
    </xf>
    <xf numFmtId="0" fontId="2" fillId="0" borderId="0" xfId="80" applyFont="1"/>
    <xf numFmtId="0" fontId="13" fillId="0" borderId="0" xfId="79" applyNumberFormat="1" applyFont="1" applyBorder="1" applyAlignment="1">
      <alignment horizontal="center"/>
    </xf>
    <xf numFmtId="1" fontId="13" fillId="0" borderId="0" xfId="79" quotePrefix="1" applyNumberFormat="1" applyFont="1" applyBorder="1" applyAlignment="1">
      <alignment horizontal="center"/>
    </xf>
    <xf numFmtId="173" fontId="13" fillId="0" borderId="0" xfId="79" applyNumberFormat="1" applyFont="1" applyFill="1" applyBorder="1" applyAlignment="1" applyProtection="1">
      <alignment horizontal="center"/>
    </xf>
    <xf numFmtId="173" fontId="13" fillId="0" borderId="0" xfId="81" applyNumberFormat="1" applyFont="1" applyFill="1" applyBorder="1" applyAlignment="1" applyProtection="1">
      <alignment horizontal="center"/>
    </xf>
    <xf numFmtId="174" fontId="13" fillId="0" borderId="0" xfId="79" applyNumberFormat="1" applyFont="1" applyFill="1" applyBorder="1" applyAlignment="1" applyProtection="1">
      <alignment horizontal="center"/>
    </xf>
    <xf numFmtId="175" fontId="13" fillId="0" borderId="0" xfId="79" applyNumberFormat="1" applyFont="1" applyFill="1" applyBorder="1" applyAlignment="1" applyProtection="1">
      <alignment horizontal="center"/>
    </xf>
    <xf numFmtId="174" fontId="13" fillId="0" borderId="0" xfId="81" applyNumberFormat="1" applyFont="1" applyFill="1" applyBorder="1" applyAlignment="1" applyProtection="1">
      <alignment horizontal="center"/>
    </xf>
    <xf numFmtId="173" fontId="13" fillId="0" borderId="6" xfId="79" applyFont="1" applyFill="1" applyBorder="1"/>
    <xf numFmtId="173" fontId="12" fillId="0" borderId="0" xfId="81" applyFont="1" applyBorder="1" applyAlignment="1">
      <alignment horizontal="center"/>
    </xf>
    <xf numFmtId="174" fontId="13" fillId="0" borderId="0" xfId="81" applyNumberFormat="1" applyFont="1" applyBorder="1" applyAlignment="1" applyProtection="1">
      <alignment horizontal="center"/>
    </xf>
    <xf numFmtId="175" fontId="12" fillId="0" borderId="0" xfId="79" applyNumberFormat="1" applyFont="1" applyBorder="1" applyAlignment="1">
      <alignment horizontal="center"/>
    </xf>
    <xf numFmtId="1" fontId="14" fillId="0" borderId="0" xfId="79" applyNumberFormat="1" applyFont="1" applyBorder="1" applyAlignment="1">
      <alignment horizontal="center"/>
    </xf>
    <xf numFmtId="173" fontId="13" fillId="0" borderId="0" xfId="79" quotePrefix="1" applyNumberFormat="1" applyFont="1" applyBorder="1" applyAlignment="1" applyProtection="1">
      <alignment horizontal="center"/>
    </xf>
    <xf numFmtId="173" fontId="12" fillId="0" borderId="0" xfId="79" applyBorder="1"/>
    <xf numFmtId="173" fontId="20" fillId="0" borderId="0" xfId="81" applyFont="1" applyBorder="1"/>
    <xf numFmtId="173" fontId="20" fillId="0" borderId="0" xfId="81" applyFont="1" applyFill="1" applyBorder="1" applyAlignment="1">
      <alignment horizontal="left" indent="2"/>
    </xf>
    <xf numFmtId="173" fontId="20" fillId="0" borderId="0" xfId="81" applyNumberFormat="1" applyFont="1" applyBorder="1" applyAlignment="1">
      <alignment horizontal="left" indent="2"/>
    </xf>
    <xf numFmtId="173" fontId="20" fillId="0" borderId="0" xfId="81" applyFont="1" applyBorder="1" applyAlignment="1">
      <alignment horizontal="left" indent="2"/>
    </xf>
    <xf numFmtId="173" fontId="20" fillId="0" borderId="0" xfId="79" applyNumberFormat="1" applyFont="1" applyBorder="1" applyAlignment="1">
      <alignment horizontal="left" indent="2"/>
    </xf>
    <xf numFmtId="173" fontId="20" fillId="0" borderId="0" xfId="79" applyNumberFormat="1" applyFont="1" applyBorder="1"/>
    <xf numFmtId="0" fontId="21" fillId="0" borderId="0" xfId="80" applyFont="1" applyBorder="1"/>
    <xf numFmtId="173" fontId="14" fillId="0" borderId="0" xfId="79" applyNumberFormat="1" applyFont="1" applyBorder="1" applyAlignment="1">
      <alignment horizontal="centerContinuous" vertical="justify"/>
    </xf>
    <xf numFmtId="173" fontId="8" fillId="0" borderId="7" xfId="79" applyFont="1" applyBorder="1"/>
    <xf numFmtId="0" fontId="2" fillId="0" borderId="1" xfId="80" applyBorder="1"/>
    <xf numFmtId="173" fontId="13" fillId="0" borderId="1" xfId="79" applyFont="1" applyBorder="1"/>
    <xf numFmtId="173" fontId="22" fillId="0" borderId="0" xfId="79" applyFont="1" applyBorder="1" applyAlignment="1">
      <alignment horizontal="centerContinuous"/>
    </xf>
    <xf numFmtId="173" fontId="22" fillId="0" borderId="1" xfId="79" applyFont="1" applyBorder="1" applyAlignment="1">
      <alignment horizontal="centerContinuous"/>
    </xf>
    <xf numFmtId="173" fontId="14" fillId="0" borderId="1" xfId="79" applyFont="1" applyBorder="1" applyAlignment="1">
      <alignment vertical="justify"/>
    </xf>
    <xf numFmtId="173" fontId="13" fillId="0" borderId="1" xfId="79" applyFont="1" applyBorder="1" applyAlignment="1">
      <alignment horizontal="centerContinuous"/>
    </xf>
    <xf numFmtId="173" fontId="13" fillId="0" borderId="8" xfId="79" applyFont="1" applyBorder="1" applyAlignment="1">
      <alignment horizontal="centerContinuous"/>
    </xf>
    <xf numFmtId="176" fontId="0" fillId="0" borderId="0" xfId="74" applyNumberFormat="1" applyFont="1"/>
    <xf numFmtId="176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5" borderId="0" xfId="0" applyFill="1"/>
    <xf numFmtId="0" fontId="0" fillId="6" borderId="0" xfId="0" applyFill="1"/>
    <xf numFmtId="6" fontId="0" fillId="0" borderId="0" xfId="0" applyNumberFormat="1"/>
    <xf numFmtId="1" fontId="0" fillId="0" borderId="0" xfId="0" applyNumberFormat="1" applyFill="1" applyBorder="1"/>
    <xf numFmtId="8" fontId="0" fillId="0" borderId="0" xfId="0" applyNumberFormat="1"/>
    <xf numFmtId="0" fontId="0" fillId="0" borderId="0" xfId="0" quotePrefix="1"/>
    <xf numFmtId="0" fontId="0" fillId="0" borderId="0" xfId="0" applyAlignment="1"/>
    <xf numFmtId="179" fontId="0" fillId="0" borderId="0" xfId="74" applyNumberFormat="1" applyFont="1"/>
    <xf numFmtId="44" fontId="0" fillId="0" borderId="0" xfId="74" applyNumberFormat="1" applyFont="1"/>
    <xf numFmtId="180" fontId="0" fillId="0" borderId="0" xfId="0" applyNumberFormat="1"/>
    <xf numFmtId="169" fontId="0" fillId="0" borderId="0" xfId="74" applyNumberFormat="1" applyFont="1"/>
    <xf numFmtId="44" fontId="0" fillId="0" borderId="0" xfId="0" applyNumberFormat="1"/>
    <xf numFmtId="0" fontId="0" fillId="7" borderId="0" xfId="0" applyFill="1"/>
    <xf numFmtId="0" fontId="0" fillId="8" borderId="0" xfId="0" applyFill="1"/>
    <xf numFmtId="0" fontId="23" fillId="4" borderId="12" xfId="82" applyBorder="1" applyAlignment="1">
      <alignment wrapText="1"/>
    </xf>
    <xf numFmtId="0" fontId="23" fillId="4" borderId="13" xfId="82" applyBorder="1" applyAlignment="1">
      <alignment wrapText="1"/>
    </xf>
    <xf numFmtId="0" fontId="23" fillId="4" borderId="14" xfId="82" applyBorder="1" applyAlignment="1">
      <alignment wrapText="1"/>
    </xf>
    <xf numFmtId="0" fontId="0" fillId="0" borderId="15" xfId="74" applyNumberFormat="1" applyFont="1" applyBorder="1"/>
    <xf numFmtId="0" fontId="0" fillId="0" borderId="0" xfId="74" applyNumberFormat="1" applyFont="1" applyBorder="1"/>
    <xf numFmtId="0" fontId="0" fillId="0" borderId="16" xfId="74" applyNumberFormat="1" applyFont="1" applyBorder="1"/>
    <xf numFmtId="0" fontId="0" fillId="0" borderId="17" xfId="74" applyNumberFormat="1" applyFont="1" applyBorder="1"/>
    <xf numFmtId="0" fontId="0" fillId="0" borderId="18" xfId="74" applyNumberFormat="1" applyFont="1" applyBorder="1"/>
    <xf numFmtId="0" fontId="0" fillId="0" borderId="19" xfId="74" applyNumberFormat="1" applyFont="1" applyBorder="1"/>
    <xf numFmtId="0" fontId="23" fillId="4" borderId="20" xfId="82" applyBorder="1" applyAlignment="1">
      <alignment wrapText="1"/>
    </xf>
    <xf numFmtId="0" fontId="0" fillId="9" borderId="11" xfId="0" applyFill="1" applyBorder="1" applyAlignment="1">
      <alignment wrapText="1"/>
    </xf>
    <xf numFmtId="181" fontId="0" fillId="0" borderId="0" xfId="0" applyNumberFormat="1"/>
    <xf numFmtId="0" fontId="0" fillId="0" borderId="21" xfId="74" applyNumberFormat="1" applyFont="1" applyBorder="1"/>
    <xf numFmtId="0" fontId="0" fillId="0" borderId="22" xfId="74" applyNumberFormat="1" applyFont="1" applyBorder="1"/>
    <xf numFmtId="0" fontId="0" fillId="0" borderId="23" xfId="0" applyBorder="1"/>
    <xf numFmtId="0" fontId="0" fillId="0" borderId="22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4" fillId="0" borderId="0" xfId="0" applyFont="1"/>
    <xf numFmtId="2" fontId="0" fillId="0" borderId="0" xfId="0" applyNumberFormat="1"/>
    <xf numFmtId="43" fontId="0" fillId="0" borderId="0" xfId="78" applyNumberFormat="1" applyFont="1" applyBorder="1"/>
    <xf numFmtId="0" fontId="25" fillId="10" borderId="0" xfId="83"/>
    <xf numFmtId="182" fontId="0" fillId="0" borderId="0" xfId="78" applyNumberFormat="1" applyFont="1" applyBorder="1"/>
    <xf numFmtId="183" fontId="0" fillId="0" borderId="0" xfId="0" applyNumberFormat="1"/>
    <xf numFmtId="166" fontId="0" fillId="0" borderId="0" xfId="74" quotePrefix="1" applyNumberFormat="1" applyFont="1"/>
    <xf numFmtId="43" fontId="0" fillId="0" borderId="0" xfId="0" applyNumberFormat="1"/>
    <xf numFmtId="166" fontId="0" fillId="3" borderId="0" xfId="74" applyNumberFormat="1" applyFont="1" applyFill="1"/>
    <xf numFmtId="171" fontId="0" fillId="3" borderId="0" xfId="0" applyNumberFormat="1" applyFill="1"/>
    <xf numFmtId="184" fontId="0" fillId="0" borderId="0" xfId="0" applyNumberFormat="1"/>
    <xf numFmtId="0" fontId="26" fillId="0" borderId="0" xfId="0" applyFont="1"/>
    <xf numFmtId="0" fontId="27" fillId="0" borderId="0" xfId="0" applyFont="1"/>
    <xf numFmtId="0" fontId="0" fillId="0" borderId="30" xfId="0" applyBorder="1"/>
    <xf numFmtId="170" fontId="0" fillId="0" borderId="31" xfId="74" applyNumberFormat="1" applyFont="1" applyBorder="1"/>
    <xf numFmtId="0" fontId="0" fillId="0" borderId="32" xfId="0" applyBorder="1"/>
    <xf numFmtId="170" fontId="0" fillId="0" borderId="16" xfId="74" applyNumberFormat="1" applyFont="1" applyBorder="1"/>
    <xf numFmtId="0" fontId="0" fillId="0" borderId="33" xfId="0" applyBorder="1"/>
    <xf numFmtId="170" fontId="0" fillId="0" borderId="19" xfId="74" applyNumberFormat="1" applyFont="1" applyBorder="1"/>
    <xf numFmtId="0" fontId="0" fillId="0" borderId="34" xfId="0" applyBorder="1"/>
    <xf numFmtId="170" fontId="0" fillId="0" borderId="35" xfId="74" applyNumberFormat="1" applyFont="1" applyBorder="1"/>
    <xf numFmtId="0" fontId="0" fillId="0" borderId="15" xfId="0" applyBorder="1"/>
    <xf numFmtId="170" fontId="0" fillId="0" borderId="36" xfId="74" applyNumberFormat="1" applyFont="1" applyBorder="1"/>
    <xf numFmtId="0" fontId="0" fillId="0" borderId="17" xfId="0" applyBorder="1"/>
    <xf numFmtId="170" fontId="0" fillId="0" borderId="37" xfId="74" applyNumberFormat="1" applyFont="1" applyBorder="1"/>
    <xf numFmtId="0" fontId="0" fillId="0" borderId="30" xfId="0" quotePrefix="1" applyBorder="1"/>
    <xf numFmtId="0" fontId="0" fillId="0" borderId="32" xfId="0" quotePrefix="1" applyBorder="1"/>
    <xf numFmtId="0" fontId="28" fillId="0" borderId="10" xfId="0" applyFont="1" applyBorder="1" applyAlignment="1">
      <alignment wrapText="1"/>
    </xf>
    <xf numFmtId="0" fontId="28" fillId="0" borderId="24" xfId="0" quotePrefix="1" applyFont="1" applyBorder="1" applyAlignment="1">
      <alignment horizontal="right"/>
    </xf>
    <xf numFmtId="0" fontId="28" fillId="0" borderId="26" xfId="0" quotePrefix="1" applyFont="1" applyBorder="1" applyAlignment="1">
      <alignment horizontal="right"/>
    </xf>
    <xf numFmtId="0" fontId="28" fillId="0" borderId="26" xfId="0" applyFont="1" applyBorder="1" applyAlignment="1">
      <alignment horizontal="right"/>
    </xf>
    <xf numFmtId="0" fontId="28" fillId="0" borderId="25" xfId="0" quotePrefix="1" applyFont="1" applyBorder="1" applyAlignment="1">
      <alignment horizontal="right"/>
    </xf>
    <xf numFmtId="0" fontId="28" fillId="0" borderId="24" xfId="0" applyFont="1" applyBorder="1"/>
    <xf numFmtId="0" fontId="28" fillId="0" borderId="26" xfId="0" applyFont="1" applyBorder="1"/>
    <xf numFmtId="0" fontId="28" fillId="0" borderId="25" xfId="0" applyFont="1" applyBorder="1"/>
    <xf numFmtId="170" fontId="28" fillId="0" borderId="24" xfId="0" applyNumberFormat="1" applyFont="1" applyBorder="1"/>
    <xf numFmtId="170" fontId="28" fillId="0" borderId="26" xfId="0" applyNumberFormat="1" applyFont="1" applyBorder="1"/>
    <xf numFmtId="170" fontId="28" fillId="0" borderId="25" xfId="0" applyNumberFormat="1" applyFont="1" applyBorder="1"/>
    <xf numFmtId="0" fontId="28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0" fillId="11" borderId="10" xfId="0" applyFont="1" applyFill="1" applyBorder="1" applyAlignment="1">
      <alignment horizontal="center" vertical="center" wrapText="1"/>
    </xf>
    <xf numFmtId="0" fontId="30" fillId="0" borderId="24" xfId="0" applyFont="1" applyBorder="1"/>
    <xf numFmtId="170" fontId="31" fillId="0" borderId="24" xfId="74" applyNumberFormat="1" applyFont="1" applyBorder="1"/>
    <xf numFmtId="170" fontId="31" fillId="0" borderId="3" xfId="74" applyNumberFormat="1" applyFont="1" applyBorder="1"/>
    <xf numFmtId="170" fontId="30" fillId="11" borderId="24" xfId="74" applyNumberFormat="1" applyFont="1" applyFill="1" applyBorder="1"/>
    <xf numFmtId="0" fontId="30" fillId="0" borderId="26" xfId="0" applyFont="1" applyBorder="1"/>
    <xf numFmtId="170" fontId="31" fillId="0" borderId="26" xfId="74" applyNumberFormat="1" applyFont="1" applyBorder="1"/>
    <xf numFmtId="170" fontId="31" fillId="0" borderId="0" xfId="74" applyNumberFormat="1" applyFont="1" applyBorder="1"/>
    <xf numFmtId="170" fontId="30" fillId="11" borderId="26" xfId="74" applyNumberFormat="1" applyFont="1" applyFill="1" applyBorder="1"/>
    <xf numFmtId="0" fontId="30" fillId="0" borderId="25" xfId="0" applyFont="1" applyBorder="1"/>
    <xf numFmtId="170" fontId="31" fillId="0" borderId="25" xfId="74" applyNumberFormat="1" applyFont="1" applyBorder="1"/>
    <xf numFmtId="170" fontId="31" fillId="0" borderId="1" xfId="74" applyNumberFormat="1" applyFont="1" applyBorder="1"/>
    <xf numFmtId="170" fontId="30" fillId="11" borderId="25" xfId="74" applyNumberFormat="1" applyFont="1" applyFill="1" applyBorder="1"/>
    <xf numFmtId="0" fontId="31" fillId="0" borderId="4" xfId="0" applyFont="1" applyBorder="1" applyAlignment="1"/>
    <xf numFmtId="0" fontId="31" fillId="0" borderId="6" xfId="0" applyFont="1" applyBorder="1" applyAlignment="1"/>
    <xf numFmtId="0" fontId="32" fillId="0" borderId="6" xfId="0" applyFont="1" applyBorder="1"/>
    <xf numFmtId="0" fontId="32" fillId="0" borderId="8" xfId="0" applyFont="1" applyBorder="1"/>
    <xf numFmtId="0" fontId="21" fillId="0" borderId="24" xfId="0" applyFont="1" applyBorder="1"/>
    <xf numFmtId="164" fontId="21" fillId="0" borderId="24" xfId="0" applyNumberFormat="1" applyFont="1" applyBorder="1"/>
    <xf numFmtId="0" fontId="21" fillId="0" borderId="26" xfId="0" applyFont="1" applyBorder="1"/>
    <xf numFmtId="0" fontId="21" fillId="0" borderId="26" xfId="0" applyFont="1" applyBorder="1" applyAlignment="1">
      <alignment horizontal="right"/>
    </xf>
    <xf numFmtId="0" fontId="21" fillId="0" borderId="25" xfId="0" applyFont="1" applyBorder="1"/>
    <xf numFmtId="10" fontId="21" fillId="0" borderId="25" xfId="0" applyNumberFormat="1" applyFont="1" applyBorder="1"/>
    <xf numFmtId="0" fontId="21" fillId="0" borderId="2" xfId="0" applyFont="1" applyBorder="1"/>
    <xf numFmtId="0" fontId="21" fillId="0" borderId="4" xfId="0" applyFont="1" applyBorder="1"/>
    <xf numFmtId="0" fontId="21" fillId="0" borderId="5" xfId="0" applyFont="1" applyBorder="1"/>
    <xf numFmtId="0" fontId="21" fillId="0" borderId="6" xfId="0" applyFont="1" applyBorder="1"/>
    <xf numFmtId="0" fontId="21" fillId="0" borderId="7" xfId="0" applyFont="1" applyBorder="1"/>
    <xf numFmtId="0" fontId="21" fillId="0" borderId="8" xfId="0" applyFont="1" applyBorder="1"/>
    <xf numFmtId="170" fontId="1" fillId="0" borderId="4" xfId="74" applyNumberFormat="1" applyFont="1" applyBorder="1"/>
    <xf numFmtId="9" fontId="1" fillId="0" borderId="8" xfId="1" applyFont="1" applyBorder="1"/>
    <xf numFmtId="0" fontId="1" fillId="0" borderId="24" xfId="0" applyFont="1" applyBorder="1"/>
    <xf numFmtId="0" fontId="1" fillId="0" borderId="10" xfId="0" applyFont="1" applyBorder="1" applyAlignment="1">
      <alignment wrapText="1"/>
    </xf>
    <xf numFmtId="0" fontId="1" fillId="0" borderId="27" xfId="0" applyFont="1" applyBorder="1" applyAlignment="1">
      <alignment horizontal="right" vertical="center"/>
    </xf>
    <xf numFmtId="0" fontId="1" fillId="0" borderId="25" xfId="0" applyFont="1" applyBorder="1" applyAlignment="1">
      <alignment wrapText="1"/>
    </xf>
    <xf numFmtId="172" fontId="0" fillId="0" borderId="0" xfId="0" applyNumberFormat="1"/>
    <xf numFmtId="0" fontId="28" fillId="0" borderId="38" xfId="0" applyFont="1" applyBorder="1" applyAlignment="1">
      <alignment horizontal="center" vertical="center" wrapText="1"/>
    </xf>
    <xf numFmtId="170" fontId="28" fillId="0" borderId="26" xfId="74" applyNumberFormat="1" applyFont="1" applyBorder="1"/>
    <xf numFmtId="170" fontId="28" fillId="0" borderId="25" xfId="74" applyNumberFormat="1" applyFont="1" applyBorder="1"/>
    <xf numFmtId="172" fontId="28" fillId="0" borderId="24" xfId="0" applyNumberFormat="1" applyFont="1" applyBorder="1"/>
    <xf numFmtId="172" fontId="28" fillId="0" borderId="26" xfId="0" applyNumberFormat="1" applyFont="1" applyBorder="1"/>
    <xf numFmtId="172" fontId="28" fillId="0" borderId="25" xfId="0" applyNumberFormat="1" applyFont="1" applyBorder="1"/>
    <xf numFmtId="176" fontId="28" fillId="0" borderId="0" xfId="74" applyNumberFormat="1" applyFont="1" applyFill="1" applyBorder="1"/>
    <xf numFmtId="183" fontId="0" fillId="3" borderId="0" xfId="0" applyNumberFormat="1" applyFill="1"/>
    <xf numFmtId="168" fontId="0" fillId="3" borderId="0" xfId="0" applyNumberFormat="1" applyFill="1"/>
    <xf numFmtId="14" fontId="0" fillId="0" borderId="2" xfId="0" applyNumberFormat="1" applyBorder="1"/>
    <xf numFmtId="1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1" fontId="0" fillId="3" borderId="0" xfId="0" applyNumberFormat="1" applyFill="1"/>
    <xf numFmtId="1" fontId="0" fillId="3" borderId="2" xfId="0" applyNumberFormat="1" applyFill="1" applyBorder="1"/>
    <xf numFmtId="1" fontId="0" fillId="3" borderId="4" xfId="0" applyNumberFormat="1" applyFill="1" applyBorder="1"/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" borderId="38" xfId="0" applyFill="1" applyBorder="1"/>
    <xf numFmtId="0" fontId="0" fillId="3" borderId="39" xfId="0" applyFill="1" applyBorder="1"/>
    <xf numFmtId="0" fontId="0" fillId="3" borderId="2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39" xfId="0" applyFill="1" applyBorder="1" applyAlignment="1"/>
    <xf numFmtId="0" fontId="0" fillId="6" borderId="27" xfId="0" applyFill="1" applyBorder="1" applyAlignment="1"/>
    <xf numFmtId="10" fontId="0" fillId="3" borderId="0" xfId="0" applyNumberFormat="1" applyFill="1"/>
    <xf numFmtId="9" fontId="0" fillId="3" borderId="0" xfId="0" applyNumberFormat="1" applyFill="1"/>
    <xf numFmtId="6" fontId="0" fillId="3" borderId="0" xfId="0" applyNumberFormat="1" applyFill="1"/>
    <xf numFmtId="169" fontId="0" fillId="3" borderId="0" xfId="0" applyNumberFormat="1" applyFill="1"/>
    <xf numFmtId="181" fontId="0" fillId="3" borderId="0" xfId="0" applyNumberFormat="1" applyFill="1"/>
    <xf numFmtId="170" fontId="0" fillId="3" borderId="25" xfId="74" applyNumberFormat="1" applyFont="1" applyFill="1" applyBorder="1"/>
    <xf numFmtId="0" fontId="0" fillId="3" borderId="24" xfId="0" applyNumberFormat="1" applyFill="1" applyBorder="1"/>
    <xf numFmtId="170" fontId="0" fillId="3" borderId="0" xfId="0" applyNumberFormat="1" applyFill="1"/>
    <xf numFmtId="170" fontId="0" fillId="3" borderId="0" xfId="74" applyNumberFormat="1" applyFont="1" applyFill="1"/>
    <xf numFmtId="177" fontId="0" fillId="3" borderId="0" xfId="0" applyNumberFormat="1" applyFill="1"/>
    <xf numFmtId="178" fontId="0" fillId="3" borderId="0" xfId="0" applyNumberFormat="1" applyFill="1"/>
    <xf numFmtId="168" fontId="0" fillId="3" borderId="0" xfId="1" applyNumberFormat="1" applyFont="1" applyFill="1"/>
    <xf numFmtId="176" fontId="0" fillId="0" borderId="5" xfId="74" applyNumberFormat="1" applyFont="1" applyBorder="1"/>
    <xf numFmtId="176" fontId="0" fillId="0" borderId="0" xfId="74" applyNumberFormat="1" applyFont="1" applyBorder="1"/>
    <xf numFmtId="176" fontId="0" fillId="0" borderId="6" xfId="74" applyNumberFormat="1" applyFont="1" applyBorder="1"/>
    <xf numFmtId="171" fontId="0" fillId="0" borderId="0" xfId="78" applyNumberFormat="1" applyFont="1"/>
    <xf numFmtId="171" fontId="0" fillId="0" borderId="0" xfId="78" applyNumberFormat="1" applyFont="1" applyFill="1" applyBorder="1"/>
    <xf numFmtId="0" fontId="0" fillId="3" borderId="23" xfId="0" applyFill="1" applyBorder="1"/>
    <xf numFmtId="0" fontId="0" fillId="3" borderId="11" xfId="0" applyFill="1" applyBorder="1"/>
    <xf numFmtId="0" fontId="0" fillId="0" borderId="0" xfId="0" applyFill="1"/>
    <xf numFmtId="0" fontId="0" fillId="3" borderId="0" xfId="74" applyNumberFormat="1" applyFont="1" applyFill="1"/>
    <xf numFmtId="0" fontId="0" fillId="3" borderId="28" xfId="0" applyFill="1" applyBorder="1"/>
    <xf numFmtId="0" fontId="0" fillId="3" borderId="29" xfId="0" applyFill="1" applyBorder="1"/>
    <xf numFmtId="3" fontId="0" fillId="3" borderId="0" xfId="0" applyNumberFormat="1" applyFill="1"/>
    <xf numFmtId="166" fontId="0" fillId="3" borderId="0" xfId="0" applyNumberFormat="1" applyFill="1"/>
    <xf numFmtId="9" fontId="0" fillId="3" borderId="0" xfId="1" applyFont="1" applyFill="1"/>
    <xf numFmtId="0" fontId="24" fillId="0" borderId="38" xfId="0" applyFont="1" applyBorder="1" applyAlignment="1">
      <alignment horizontal="center" wrapText="1"/>
    </xf>
    <xf numFmtId="0" fontId="24" fillId="0" borderId="39" xfId="0" applyFont="1" applyBorder="1" applyAlignment="1">
      <alignment horizontal="center" wrapText="1"/>
    </xf>
    <xf numFmtId="0" fontId="24" fillId="0" borderId="27" xfId="0" applyFont="1" applyBorder="1" applyAlignment="1">
      <alignment horizontal="center" wrapText="1"/>
    </xf>
    <xf numFmtId="0" fontId="29" fillId="0" borderId="38" xfId="0" applyFont="1" applyBorder="1" applyAlignment="1">
      <alignment horizontal="center" wrapText="1"/>
    </xf>
    <xf numFmtId="0" fontId="29" fillId="0" borderId="39" xfId="0" applyFont="1" applyBorder="1" applyAlignment="1">
      <alignment horizontal="center" wrapText="1"/>
    </xf>
    <xf numFmtId="0" fontId="29" fillId="0" borderId="27" xfId="0" applyFont="1" applyBorder="1" applyAlignment="1">
      <alignment horizontal="center" wrapText="1"/>
    </xf>
    <xf numFmtId="0" fontId="21" fillId="0" borderId="38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33" fillId="0" borderId="2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</cellXfs>
  <cellStyles count="84">
    <cellStyle name="Calculation" xfId="82" builtinId="22"/>
    <cellStyle name="Comma" xfId="78" builtinId="3"/>
    <cellStyle name="Currency" xfId="7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83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  <cellStyle name="Normal 2" xfId="76" xr:uid="{00000000-0005-0000-0000-00004D000000}"/>
    <cellStyle name="Normal 3" xfId="75" xr:uid="{00000000-0005-0000-0000-00004E000000}"/>
    <cellStyle name="Normal 4" xfId="80" xr:uid="{00000000-0005-0000-0000-00004F000000}"/>
    <cellStyle name="Normal_pr2009-01-01" xfId="79" xr:uid="{00000000-0005-0000-0000-000050000000}"/>
    <cellStyle name="Normal_pr2009-01-01 2" xfId="81" xr:uid="{00000000-0005-0000-0000-000051000000}"/>
    <cellStyle name="Percent" xfId="1" builtinId="5"/>
    <cellStyle name="Percent 2" xfId="77" xr:uid="{00000000-0005-0000-0000-000053000000}"/>
  </cellStyles>
  <dxfs count="0"/>
  <tableStyles count="0" defaultTableStyle="TableStyleMedium9" defaultPivotStyle="PivotStyleMedium4"/>
  <colors>
    <mruColors>
      <color rgb="FF6FDE00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vs. Parabolic</a:t>
            </a:r>
            <a:r>
              <a:rPr lang="en-US" baseline="0"/>
              <a:t> Decline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Model'!$F$9:$F$248</c:f>
              <c:numCache>
                <c:formatCode>0</c:formatCode>
                <c:ptCount val="240"/>
                <c:pt idx="0">
                  <c:v>762.37613947804027</c:v>
                </c:pt>
                <c:pt idx="1">
                  <c:v>725.19461640877228</c:v>
                </c:pt>
                <c:pt idx="2">
                  <c:v>689.82645761753258</c:v>
                </c:pt>
                <c:pt idx="3">
                  <c:v>656.18322428489171</c:v>
                </c:pt>
                <c:pt idx="4">
                  <c:v>624.1807908035405</c:v>
                </c:pt>
                <c:pt idx="5">
                  <c:v>593.73913442045239</c:v>
                </c:pt>
                <c:pt idx="6">
                  <c:v>564.78213513831895</c:v>
                </c:pt>
                <c:pt idx="7">
                  <c:v>537.23738537590771</c:v>
                </c:pt>
                <c:pt idx="8">
                  <c:v>511.03600891139297</c:v>
                </c:pt>
                <c:pt idx="9">
                  <c:v>486.11248865592609</c:v>
                </c:pt>
                <c:pt idx="10">
                  <c:v>462.40450282678637</c:v>
                </c:pt>
                <c:pt idx="11">
                  <c:v>439.85276911046282</c:v>
                </c:pt>
                <c:pt idx="12">
                  <c:v>418.40089642599099</c:v>
                </c:pt>
                <c:pt idx="13">
                  <c:v>397.99524391787821</c:v>
                </c:pt>
                <c:pt idx="14">
                  <c:v>378.58478682602464</c:v>
                </c:pt>
                <c:pt idx="15">
                  <c:v>360.1209888972449</c:v>
                </c:pt>
                <c:pt idx="16">
                  <c:v>342.55768101935428</c:v>
                </c:pt>
                <c:pt idx="17">
                  <c:v>325.85094577433955</c:v>
                </c:pt>
                <c:pt idx="18">
                  <c:v>309.95900762193833</c:v>
                </c:pt>
                <c:pt idx="19">
                  <c:v>294.8421284390289</c:v>
                </c:pt>
                <c:pt idx="20">
                  <c:v>280.46250815362299</c:v>
                </c:pt>
                <c:pt idx="21">
                  <c:v>266.78419022499764</c:v>
                </c:pt>
                <c:pt idx="22">
                  <c:v>253.77297173361347</c:v>
                </c:pt>
                <c:pt idx="23">
                  <c:v>241.3963178560011</c:v>
                </c:pt>
                <c:pt idx="24">
                  <c:v>229.62328051075542</c:v>
                </c:pt>
                <c:pt idx="25">
                  <c:v>218.42442097221189</c:v>
                </c:pt>
                <c:pt idx="26">
                  <c:v>207.7717362582988</c:v>
                </c:pt>
                <c:pt idx="27">
                  <c:v>197.63858910849567</c:v>
                </c:pt>
                <c:pt idx="28">
                  <c:v>187.99964137680743</c:v>
                </c:pt>
                <c:pt idx="29">
                  <c:v>178.83079067320116</c:v>
                </c:pt>
                <c:pt idx="30">
                  <c:v>170.1091100950768</c:v>
                </c:pt>
                <c:pt idx="31">
                  <c:v>161.8127908980685</c:v>
                </c:pt>
                <c:pt idx="32">
                  <c:v>153.92108796282406</c:v>
                </c:pt>
                <c:pt idx="33">
                  <c:v>146.41426792140089</c:v>
                </c:pt>
                <c:pt idx="34">
                  <c:v>139.27355981356757</c:v>
                </c:pt>
                <c:pt idx="35">
                  <c:v>132.48110814962564</c:v>
                </c:pt>
                <c:pt idx="36">
                  <c:v>126.01992826238525</c:v>
                </c:pt>
                <c:pt idx="37">
                  <c:v>119.87386383664997</c:v>
                </c:pt>
                <c:pt idx="38">
                  <c:v>114.02754651001349</c:v>
                </c:pt>
                <c:pt idx="39">
                  <c:v>108.46635744394857</c:v>
                </c:pt>
                <c:pt idx="40">
                  <c:v>103.17639076909589</c:v>
                </c:pt>
                <c:pt idx="41">
                  <c:v>98.144418813347897</c:v>
                </c:pt>
                <c:pt idx="42">
                  <c:v>93.357859025777984</c:v>
                </c:pt>
                <c:pt idx="43">
                  <c:v>88.804742513709556</c:v>
                </c:pt>
                <c:pt idx="44">
                  <c:v>84.473684114250048</c:v>
                </c:pt>
                <c:pt idx="45">
                  <c:v>80.353853925453151</c:v>
                </c:pt>
                <c:pt idx="46">
                  <c:v>76.434950225923259</c:v>
                </c:pt>
                <c:pt idx="47">
                  <c:v>72.707173715145686</c:v>
                </c:pt>
                <c:pt idx="48">
                  <c:v>69.161203010131473</c:v>
                </c:pt>
                <c:pt idx="49">
                  <c:v>65.78817133710443</c:v>
                </c:pt>
                <c:pt idx="50">
                  <c:v>62.579644359948198</c:v>
                </c:pt>
                <c:pt idx="51">
                  <c:v>59.527599089972888</c:v>
                </c:pt>
                <c:pt idx="52">
                  <c:v>56.624403824264128</c:v>
                </c:pt>
                <c:pt idx="53">
                  <c:v>53.862799062450804</c:v>
                </c:pt>
                <c:pt idx="54">
                  <c:v>51.235879354172681</c:v>
                </c:pt>
                <c:pt idx="55">
                  <c:v>48.737076031857683</c:v>
                </c:pt>
                <c:pt idx="56">
                  <c:v>46.360140785631529</c:v>
                </c:pt>
                <c:pt idx="57">
                  <c:v>44.099130039288355</c:v>
                </c:pt>
                <c:pt idx="58">
                  <c:v>41.948390088254413</c:v>
                </c:pt>
                <c:pt idx="59">
                  <c:v>39.902542962381709</c:v>
                </c:pt>
                <c:pt idx="60">
                  <c:v>37.956472978221356</c:v>
                </c:pt>
                <c:pt idx="61">
                  <c:v>36.105313947150414</c:v>
                </c:pt>
                <c:pt idx="62">
                  <c:v>34.344437007365485</c:v>
                </c:pt>
                <c:pt idx="63">
                  <c:v>32.669439049317297</c:v>
                </c:pt>
                <c:pt idx="64">
                  <c:v>31.076131705643249</c:v>
                </c:pt>
                <c:pt idx="65">
                  <c:v>29.560530878067414</c:v>
                </c:pt>
                <c:pt idx="66">
                  <c:v>28.11884677507966</c:v>
                </c:pt>
                <c:pt idx="67">
                  <c:v>26.747474435482772</c:v>
                </c:pt>
                <c:pt idx="68">
                  <c:v>25.442984714111844</c:v>
                </c:pt>
                <c:pt idx="69">
                  <c:v>24.202115707185076</c:v>
                </c:pt>
                <c:pt idx="70">
                  <c:v>23.021764595845347</c:v>
                </c:pt>
                <c:pt idx="71">
                  <c:v>21.898979887496886</c:v>
                </c:pt>
                <c:pt idx="72">
                  <c:v>20.830954035536365</c:v>
                </c:pt>
                <c:pt idx="73">
                  <c:v>19.81501641902409</c:v>
                </c:pt>
                <c:pt idx="74">
                  <c:v>18.848626664740483</c:v>
                </c:pt>
                <c:pt idx="75">
                  <c:v>17.929368294929901</c:v>
                </c:pt>
                <c:pt idx="76">
                  <c:v>17.054942684847521</c:v>
                </c:pt>
                <c:pt idx="77">
                  <c:v>16.223163315000164</c:v>
                </c:pt>
                <c:pt idx="78">
                  <c:v>15.431950303708703</c:v>
                </c:pt>
                <c:pt idx="79">
                  <c:v>14.679325206320451</c:v>
                </c:pt>
                <c:pt idx="80">
                  <c:v>13.963406068067032</c:v>
                </c:pt>
                <c:pt idx="81">
                  <c:v>13.282402718197169</c:v>
                </c:pt>
                <c:pt idx="82">
                  <c:v>12.634612293617417</c:v>
                </c:pt>
                <c:pt idx="83">
                  <c:v>12.018414980847343</c:v>
                </c:pt>
                <c:pt idx="84">
                  <c:v>11.432269965642179</c:v>
                </c:pt>
                <c:pt idx="85">
                  <c:v>10.87471158015461</c:v>
                </c:pt>
                <c:pt idx="86">
                  <c:v>10.344345638001712</c:v>
                </c:pt>
                <c:pt idx="87">
                  <c:v>9.839845948072842</c:v>
                </c:pt>
                <c:pt idx="88">
                  <c:v>9.359950998361013</c:v>
                </c:pt>
                <c:pt idx="89">
                  <c:v>8.9034608015258314</c:v>
                </c:pt>
                <c:pt idx="90">
                  <c:v>8.4692338943000838</c:v>
                </c:pt>
                <c:pt idx="91">
                  <c:v>8.0561844832370042</c:v>
                </c:pt>
                <c:pt idx="92">
                  <c:v>7.6632797296611201</c:v>
                </c:pt>
                <c:pt idx="93">
                  <c:v>7.2895371670335356</c:v>
                </c:pt>
                <c:pt idx="94">
                  <c:v>6.9340222442738764</c:v>
                </c:pt>
                <c:pt idx="95">
                  <c:v>6.5958459888957846</c:v>
                </c:pt>
                <c:pt idx="96">
                  <c:v>6.2741627841126801</c:v>
                </c:pt>
                <c:pt idx="97">
                  <c:v>5.9681682543553043</c:v>
                </c:pt>
                <c:pt idx="98">
                  <c:v>5.6770972539138276</c:v>
                </c:pt>
                <c:pt idx="99">
                  <c:v>5.4002219536750351</c:v>
                </c:pt>
                <c:pt idx="100">
                  <c:v>5.1368500211704209</c:v>
                </c:pt>
                <c:pt idx="101">
                  <c:v>4.8863228893844211</c:v>
                </c:pt>
                <c:pt idx="102">
                  <c:v>4.6480141099938104</c:v>
                </c:pt>
                <c:pt idx="103">
                  <c:v>4.4213277869206111</c:v>
                </c:pt>
                <c:pt idx="104">
                  <c:v>4.2056970862815097</c:v>
                </c:pt>
                <c:pt idx="105">
                  <c:v>4.0005828190078869</c:v>
                </c:pt>
                <c:pt idx="106">
                  <c:v>3.8054720925923173</c:v>
                </c:pt>
                <c:pt idx="107">
                  <c:v>3.6198770285901181</c:v>
                </c:pt>
                <c:pt idx="108">
                  <c:v>3.4433335426691336</c:v>
                </c:pt>
                <c:pt idx="109">
                  <c:v>3.2754001841571649</c:v>
                </c:pt>
                <c:pt idx="110">
                  <c:v>3.1156570321853505</c:v>
                </c:pt>
                <c:pt idx="111">
                  <c:v>2.9637046456672742</c:v>
                </c:pt>
                <c:pt idx="112">
                  <c:v>2.8191630644881744</c:v>
                </c:pt>
                <c:pt idx="113">
                  <c:v>2.6816708594067555</c:v>
                </c:pt>
                <c:pt idx="114">
                  <c:v>2.5508842282938238</c:v>
                </c:pt>
                <c:pt idx="115">
                  <c:v>2.4264761364478806</c:v>
                </c:pt>
                <c:pt idx="116">
                  <c:v>2.3081354988380336</c:v>
                </c:pt>
                <c:pt idx="117">
                  <c:v>2.1955664022293719</c:v>
                </c:pt>
                <c:pt idx="118">
                  <c:v>2.088487365245749</c:v>
                </c:pt>
                <c:pt idx="119">
                  <c:v>1.9866306345197264</c:v>
                </c:pt>
                <c:pt idx="120">
                  <c:v>1.8897415151696864</c:v>
                </c:pt>
                <c:pt idx="121">
                  <c:v>1.7975777339299683</c:v>
                </c:pt>
                <c:pt idx="122">
                  <c:v>1.7099088333415018</c:v>
                </c:pt>
                <c:pt idx="123">
                  <c:v>1.6265155954881243</c:v>
                </c:pt>
                <c:pt idx="124">
                  <c:v>1.547189493837605</c:v>
                </c:pt>
                <c:pt idx="125">
                  <c:v>1.4717321718166949</c:v>
                </c:pt>
                <c:pt idx="126">
                  <c:v>1.399954946816381</c:v>
                </c:pt>
                <c:pt idx="127">
                  <c:v>1.3316783383870738</c:v>
                </c:pt>
                <c:pt idx="128">
                  <c:v>1.2667316194440035</c:v>
                </c:pt>
                <c:pt idx="129">
                  <c:v>1.2049523893605771</c:v>
                </c:pt>
                <c:pt idx="130">
                  <c:v>1.1461861678822214</c:v>
                </c:pt>
                <c:pt idx="131">
                  <c:v>1.0902860088452844</c:v>
                </c:pt>
                <c:pt idx="132">
                  <c:v>1.0371121327350805</c:v>
                </c:pt>
                <c:pt idx="133">
                  <c:v>0.98653157716429885</c:v>
                </c:pt>
                <c:pt idx="134">
                  <c:v>0.93841786439777786</c:v>
                </c:pt>
                <c:pt idx="135">
                  <c:v>0.89265068509228673</c:v>
                </c:pt>
                <c:pt idx="136">
                  <c:v>0.84911559746050402</c:v>
                </c:pt>
                <c:pt idx="137">
                  <c:v>0.80770374110693544</c:v>
                </c:pt>
                <c:pt idx="138">
                  <c:v>0.768311564820224</c:v>
                </c:pt>
                <c:pt idx="139">
                  <c:v>0.73084056764118488</c:v>
                </c:pt>
                <c:pt idx="140">
                  <c:v>0.69519705255909892</c:v>
                </c:pt>
                <c:pt idx="141">
                  <c:v>0.66129189222038443</c:v>
                </c:pt>
                <c:pt idx="142">
                  <c:v>0.62904030606378458</c:v>
                </c:pt>
                <c:pt idx="143">
                  <c:v>0.59836164832480687</c:v>
                </c:pt>
                <c:pt idx="144">
                  <c:v>0.56917920637930475</c:v>
                </c:pt>
                <c:pt idx="145">
                  <c:v>0.54142000892195885</c:v>
                </c:pt>
                <c:pt idx="146">
                  <c:v>0.51501464350000647</c:v>
                </c:pt>
                <c:pt idx="147">
                  <c:v>0.48989708294595158</c:v>
                </c:pt>
                <c:pt idx="148">
                  <c:v>0.46600452027525613</c:v>
                </c:pt>
                <c:pt idx="149">
                  <c:v>0.44327721163616335</c:v>
                </c:pt>
                <c:pt idx="150">
                  <c:v>0.4216583269189485</c:v>
                </c:pt>
                <c:pt idx="151">
                  <c:v>0.40109380765104541</c:v>
                </c:pt>
                <c:pt idx="152">
                  <c:v>0.38153223182270407</c:v>
                </c:pt>
                <c:pt idx="153">
                  <c:v>0.36292468530518385</c:v>
                </c:pt>
                <c:pt idx="154">
                  <c:v>0.34522463953995286</c:v>
                </c:pt>
                <c:pt idx="155">
                  <c:v>0.32838783519305559</c:v>
                </c:pt>
                <c:pt idx="156">
                  <c:v>0.31237217148372565</c:v>
                </c:pt>
                <c:pt idx="157">
                  <c:v>0.29713760091050267</c:v>
                </c:pt>
                <c:pt idx="158">
                  <c:v>0.2826460291116204</c:v>
                </c:pt>
                <c:pt idx="159">
                  <c:v>0.26886121960925879</c:v>
                </c:pt>
                <c:pt idx="160">
                  <c:v>0.25574870319947512</c:v>
                </c:pt>
                <c:pt idx="161">
                  <c:v>0.24327569176124089</c:v>
                </c:pt>
                <c:pt idx="162">
                  <c:v>0.23141099626905812</c:v>
                </c:pt>
                <c:pt idx="163">
                  <c:v>0.22012494880415287</c:v>
                </c:pt>
                <c:pt idx="164">
                  <c:v>0.20938932836922369</c:v>
                </c:pt>
                <c:pt idx="165">
                  <c:v>0.19917729032124754</c:v>
                </c:pt>
                <c:pt idx="166">
                  <c:v>0.18946329924589211</c:v>
                </c:pt>
                <c:pt idx="167">
                  <c:v>0.1802230651056764</c:v>
                </c:pt>
                <c:pt idx="168">
                  <c:v>0.17143348250222715</c:v>
                </c:pt>
                <c:pt idx="169">
                  <c:v>0.16307257290074692</c:v>
                </c:pt>
                <c:pt idx="170">
                  <c:v>0.15511942967222811</c:v>
                </c:pt>
                <c:pt idx="171">
                  <c:v>0.1475541658159927</c:v>
                </c:pt>
                <c:pt idx="172">
                  <c:v>0.14035786423182955</c:v>
                </c:pt>
                <c:pt idx="173">
                  <c:v>0.1335125304173925</c:v>
                </c:pt>
                <c:pt idx="174">
                  <c:v>0.12700104747257046</c:v>
                </c:pt>
                <c:pt idx="175">
                  <c:v>0.12080713329832099</c:v>
                </c:pt>
                <c:pt idx="176">
                  <c:v>0.11491529988294304</c:v>
                </c:pt>
                <c:pt idx="177">
                  <c:v>0.10931081457397879</c:v>
                </c:pt>
                <c:pt idx="178">
                  <c:v>0.10397966323891003</c:v>
                </c:pt>
                <c:pt idx="179">
                  <c:v>9.8908515222526555E-2</c:v>
                </c:pt>
                <c:pt idx="180">
                  <c:v>9.4084690013343963E-2</c:v>
                </c:pt>
                <c:pt idx="181">
                  <c:v>8.9496125535721352E-2</c:v>
                </c:pt>
                <c:pt idx="182">
                  <c:v>8.5131347988387826E-2</c:v>
                </c:pt>
                <c:pt idx="183">
                  <c:v>8.0979443153964104E-2</c:v>
                </c:pt>
                <c:pt idx="184">
                  <c:v>7.7030029107733641E-2</c:v>
                </c:pt>
                <c:pt idx="185">
                  <c:v>7.3273230257422661E-2</c:v>
                </c:pt>
                <c:pt idx="186">
                  <c:v>6.9699652649076543E-2</c:v>
                </c:pt>
                <c:pt idx="187">
                  <c:v>6.6300360477280704E-2</c:v>
                </c:pt>
                <c:pt idx="188">
                  <c:v>6.3066853740993564E-2</c:v>
                </c:pt>
                <c:pt idx="189">
                  <c:v>5.9991046989116073E-2</c:v>
                </c:pt>
                <c:pt idx="190">
                  <c:v>5.7065249102652135E-2</c:v>
                </c:pt>
                <c:pt idx="191">
                  <c:v>5.4282144062905636E-2</c:v>
                </c:pt>
                <c:pt idx="192">
                  <c:v>5.1634772657622632E-2</c:v>
                </c:pt>
                <c:pt idx="193">
                  <c:v>4.9116515079335538E-2</c:v>
                </c:pt>
                <c:pt idx="194">
                  <c:v>4.6721074372397045E-2</c:v>
                </c:pt>
                <c:pt idx="195">
                  <c:v>4.4442460687310267E-2</c:v>
                </c:pt>
                <c:pt idx="196">
                  <c:v>4.2274976302985719E-2</c:v>
                </c:pt>
                <c:pt idx="197">
                  <c:v>4.0213201379470473E-2</c:v>
                </c:pt>
                <c:pt idx="198">
                  <c:v>3.8251980405524987E-2</c:v>
                </c:pt>
                <c:pt idx="199">
                  <c:v>3.6386409307160167E-2</c:v>
                </c:pt>
                <c:pt idx="200">
                  <c:v>3.4611823184897361E-2</c:v>
                </c:pt>
                <c:pt idx="201">
                  <c:v>3.2923784649090362E-2</c:v>
                </c:pt>
                <c:pt idx="202">
                  <c:v>3.1318072724139702E-2</c:v>
                </c:pt>
                <c:pt idx="203">
                  <c:v>2.9790672293854896E-2</c:v>
                </c:pt>
                <c:pt idx="204">
                  <c:v>2.8337764061572988E-2</c:v>
                </c:pt>
                <c:pt idx="205">
                  <c:v>2.695571499992707E-2</c:v>
                </c:pt>
                <c:pt idx="206">
                  <c:v>2.5641069266385871E-2</c:v>
                </c:pt>
                <c:pt idx="207">
                  <c:v>2.4390539561847203E-2</c:v>
                </c:pt>
                <c:pt idx="208">
                  <c:v>2.3200998910677798E-2</c:v>
                </c:pt>
                <c:pt idx="209">
                  <c:v>2.2069472841645756E-2</c:v>
                </c:pt>
                <c:pt idx="210">
                  <c:v>2.0993131950192818E-2</c:v>
                </c:pt>
                <c:pt idx="211">
                  <c:v>1.9969284823449451E-2</c:v>
                </c:pt>
                <c:pt idx="212">
                  <c:v>1.8995371310300685E-2</c:v>
                </c:pt>
                <c:pt idx="213">
                  <c:v>1.806895611967468E-2</c:v>
                </c:pt>
                <c:pt idx="214">
                  <c:v>1.7187722731046819E-2</c:v>
                </c:pt>
                <c:pt idx="215">
                  <c:v>1.6349467601931494E-2</c:v>
                </c:pt>
                <c:pt idx="216">
                  <c:v>1.5552094657878353E-2</c:v>
                </c:pt>
                <c:pt idx="217">
                  <c:v>1.479361005119427E-2</c:v>
                </c:pt>
                <c:pt idx="218">
                  <c:v>1.4072117175285493E-2</c:v>
                </c:pt>
                <c:pt idx="219">
                  <c:v>1.3385811922153448E-2</c:v>
                </c:pt>
                <c:pt idx="220">
                  <c:v>1.2732978171184814E-2</c:v>
                </c:pt>
                <c:pt idx="221">
                  <c:v>1.2111983497956273E-2</c:v>
                </c:pt>
                <c:pt idx="222">
                  <c:v>1.1521275092323103E-2</c:v>
                </c:pt>
                <c:pt idx="223">
                  <c:v>1.0959375875584909E-2</c:v>
                </c:pt>
                <c:pt idx="224">
                  <c:v>1.0424880807019652E-2</c:v>
                </c:pt>
                <c:pt idx="225">
                  <c:v>9.916453370549836E-3</c:v>
                </c:pt>
                <c:pt idx="226">
                  <c:v>9.4328222327562782E-3</c:v>
                </c:pt>
                <c:pt idx="227">
                  <c:v>8.9727780638823064E-3</c:v>
                </c:pt>
                <c:pt idx="228">
                  <c:v>8.5351705138793903E-3</c:v>
                </c:pt>
                <c:pt idx="229">
                  <c:v>8.1189053359329647E-3</c:v>
                </c:pt>
                <c:pt idx="230">
                  <c:v>7.7229416502752847E-3</c:v>
                </c:pt>
                <c:pt idx="231">
                  <c:v>7.3462893414439484E-3</c:v>
                </c:pt>
                <c:pt idx="232">
                  <c:v>6.9880065824774644E-3</c:v>
                </c:pt>
                <c:pt idx="233">
                  <c:v>6.6471974798572343E-3</c:v>
                </c:pt>
                <c:pt idx="234">
                  <c:v>6.3230098333072002E-3</c:v>
                </c:pt>
                <c:pt idx="235">
                  <c:v>6.0146330048491594E-3</c:v>
                </c:pt>
                <c:pt idx="236">
                  <c:v>5.7212958917856622E-3</c:v>
                </c:pt>
                <c:pt idx="237">
                  <c:v>5.4422649985415798E-3</c:v>
                </c:pt>
                <c:pt idx="238">
                  <c:v>5.1768426025430832E-3</c:v>
                </c:pt>
                <c:pt idx="239">
                  <c:v>4.9243650095478408E-3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2-458B-90EF-9C99394F80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Model'!$G$9:$G$248</c:f>
              <c:numCache>
                <c:formatCode>_(* #,##0_);_(* \(#,##0\);_(* "-"??_);_(@_)</c:formatCode>
                <c:ptCount val="240"/>
                <c:pt idx="0">
                  <c:v>762.52295911949489</c:v>
                </c:pt>
                <c:pt idx="1">
                  <c:v>725.75056403208828</c:v>
                </c:pt>
                <c:pt idx="2">
                  <c:v>691.01086674691953</c:v>
                </c:pt>
                <c:pt idx="3">
                  <c:v>658.17737882554457</c:v>
                </c:pt>
                <c:pt idx="4">
                  <c:v>627.13234890577951</c:v>
                </c:pt>
                <c:pt idx="5">
                  <c:v>597.76610024138483</c:v>
                </c:pt>
                <c:pt idx="6">
                  <c:v>569.97642287612803</c:v>
                </c:pt>
                <c:pt idx="7">
                  <c:v>543.66801558830321</c:v>
                </c:pt>
                <c:pt idx="8">
                  <c:v>518.75197320623261</c:v>
                </c:pt>
                <c:pt idx="9">
                  <c:v>495.14531531241579</c:v>
                </c:pt>
                <c:pt idx="10">
                  <c:v>472.77055272893728</c:v>
                </c:pt>
                <c:pt idx="11">
                  <c:v>451.55528851403426</c:v>
                </c:pt>
                <c:pt idx="12">
                  <c:v>431.4318505033641</c:v>
                </c:pt>
                <c:pt idx="13">
                  <c:v>412.336952703073</c:v>
                </c:pt>
                <c:pt idx="14">
                  <c:v>394.21138308841284</c:v>
                </c:pt>
                <c:pt idx="15">
                  <c:v>376.99971558419332</c:v>
                </c:pt>
                <c:pt idx="16">
                  <c:v>360.65004420428187</c:v>
                </c:pt>
                <c:pt idx="17">
                  <c:v>345.11373750895621</c:v>
                </c:pt>
                <c:pt idx="18">
                  <c:v>330.34521170303697</c:v>
                </c:pt>
                <c:pt idx="19">
                  <c:v>316.30172084633062</c:v>
                </c:pt>
                <c:pt idx="20">
                  <c:v>302.94316278236687</c:v>
                </c:pt>
                <c:pt idx="21">
                  <c:v>290.23189951332739</c:v>
                </c:pt>
                <c:pt idx="22">
                  <c:v>278.13259085953962</c:v>
                </c:pt>
                <c:pt idx="23">
                  <c:v>266.61204034217025</c:v>
                </c:pt>
                <c:pt idx="24">
                  <c:v>255.63905231877365</c:v>
                </c:pt>
                <c:pt idx="25">
                  <c:v>245.18429948403485</c:v>
                </c:pt>
                <c:pt idx="26">
                  <c:v>235.22019992321134</c:v>
                </c:pt>
                <c:pt idx="27">
                  <c:v>225.72080297414755</c:v>
                </c:pt>
                <c:pt idx="28">
                  <c:v>216.66168321596584</c:v>
                </c:pt>
                <c:pt idx="29">
                  <c:v>208.01984195920608</c:v>
                </c:pt>
                <c:pt idx="30">
                  <c:v>199.77361566383209</c:v>
                </c:pt>
                <c:pt idx="31">
                  <c:v>191.90259075861022</c:v>
                </c:pt>
                <c:pt idx="32">
                  <c:v>184.38752437832539</c:v>
                </c:pt>
                <c:pt idx="33">
                  <c:v>177.21027057452019</c:v>
                </c:pt>
                <c:pt idx="34">
                  <c:v>170.35371159125975</c:v>
                </c:pt>
                <c:pt idx="35">
                  <c:v>163.80169383016516</c:v>
                </c:pt>
                <c:pt idx="36">
                  <c:v>157.53896815889243</c:v>
                </c:pt>
                <c:pt idx="37">
                  <c:v>151.55113424462104</c:v>
                </c:pt>
                <c:pt idx="38">
                  <c:v>145.82458861919039</c:v>
                </c:pt>
                <c:pt idx="39">
                  <c:v>140.34647620548256</c:v>
                </c:pt>
                <c:pt idx="40">
                  <c:v>135.10464505569749</c:v>
                </c:pt>
                <c:pt idx="41">
                  <c:v>130.08760407145616</c:v>
                </c:pt>
                <c:pt idx="42">
                  <c:v>125.28448349337157</c:v>
                </c:pt>
                <c:pt idx="43">
                  <c:v>120.68499796396856</c:v>
                </c:pt>
                <c:pt idx="44">
                  <c:v>116.27941198275535</c:v>
                </c:pt>
                <c:pt idx="45">
                  <c:v>112.05850758594819</c:v>
                </c:pt>
                <c:pt idx="46">
                  <c:v>108.01355409596005</c:v>
                </c:pt>
                <c:pt idx="47">
                  <c:v>104.13627979733401</c:v>
                </c:pt>
                <c:pt idx="48">
                  <c:v>100.41884540648077</c:v>
                </c:pt>
                <c:pt idx="49">
                  <c:v>96.853819212372613</c:v>
                </c:pt>
                <c:pt idx="50">
                  <c:v>93.434153774403086</c:v>
                </c:pt>
                <c:pt idx="51">
                  <c:v>90.15316407192995</c:v>
                </c:pt>
                <c:pt idx="52">
                  <c:v>87.004507007710885</c:v>
                </c:pt>
                <c:pt idx="53">
                  <c:v>83.982162174507948</c:v>
                </c:pt>
                <c:pt idx="54">
                  <c:v>81.080413800676439</c:v>
                </c:pt>
                <c:pt idx="55">
                  <c:v>78.293833796578241</c:v>
                </c:pt>
                <c:pt idx="56">
                  <c:v>75.617265829229524</c:v>
                </c:pt>
                <c:pt idx="57">
                  <c:v>73.045810357735235</c:v>
                </c:pt>
                <c:pt idx="58">
                  <c:v>70.574810566817618</c:v>
                </c:pt>
                <c:pt idx="59">
                  <c:v>68.199839140141947</c:v>
                </c:pt>
                <c:pt idx="60">
                  <c:v>65.916685819209548</c:v>
                </c:pt>
                <c:pt idx="61">
                  <c:v>63.721345697351104</c:v>
                </c:pt>
                <c:pt idx="62">
                  <c:v>61.610008201838085</c:v>
                </c:pt>
                <c:pt idx="63">
                  <c:v>59.579046720357113</c:v>
                </c:pt>
                <c:pt idx="64">
                  <c:v>57.625008831082624</c:v>
                </c:pt>
                <c:pt idx="65">
                  <c:v>55.744607098354308</c:v>
                </c:pt>
                <c:pt idx="66">
                  <c:v>53.93471039853744</c:v>
                </c:pt>
                <c:pt idx="67">
                  <c:v>52.192335743026959</c:v>
                </c:pt>
                <c:pt idx="68">
                  <c:v>50.514640567571384</c:v>
                </c:pt>
                <c:pt idx="69">
                  <c:v>48.898915459144369</c:v>
                </c:pt>
                <c:pt idx="70">
                  <c:v>47.342577293502686</c:v>
                </c:pt>
                <c:pt idx="71">
                  <c:v>45.843162758339581</c:v>
                </c:pt>
                <c:pt idx="72">
                  <c:v>44.398322238592343</c:v>
                </c:pt>
                <c:pt idx="73">
                  <c:v>43.005814041993602</c:v>
                </c:pt>
                <c:pt idx="74">
                  <c:v>41.663498944381068</c:v>
                </c:pt>
                <c:pt idx="75">
                  <c:v>40.369335035607541</c:v>
                </c:pt>
                <c:pt idx="76">
                  <c:v>39.121372848125048</c:v>
                </c:pt>
                <c:pt idx="77">
                  <c:v>37.917750751468404</c:v>
                </c:pt>
                <c:pt idx="78">
                  <c:v>36.756690596931811</c:v>
                </c:pt>
                <c:pt idx="79">
                  <c:v>35.636493597731572</c:v>
                </c:pt>
                <c:pt idx="80">
                  <c:v>34.555536430875129</c:v>
                </c:pt>
                <c:pt idx="81">
                  <c:v>33.512267547826603</c:v>
                </c:pt>
                <c:pt idx="82">
                  <c:v>32.505203681863769</c:v>
                </c:pt>
                <c:pt idx="83">
                  <c:v>31.532926540779798</c:v>
                </c:pt>
                <c:pt idx="84">
                  <c:v>30.594079674283172</c:v>
                </c:pt>
                <c:pt idx="85">
                  <c:v>29.687365506110531</c:v>
                </c:pt>
                <c:pt idx="86">
                  <c:v>28.811542521476966</c:v>
                </c:pt>
                <c:pt idx="87">
                  <c:v>27.965422601066464</c:v>
                </c:pt>
                <c:pt idx="88">
                  <c:v>27.147868493296503</c:v>
                </c:pt>
                <c:pt idx="89">
                  <c:v>26.357791417096344</c:v>
                </c:pt>
                <c:pt idx="90">
                  <c:v>25.594148787903723</c:v>
                </c:pt>
                <c:pt idx="91">
                  <c:v>24.855942060025178</c:v>
                </c:pt>
                <c:pt idx="92">
                  <c:v>24.142214678914609</c:v>
                </c:pt>
                <c:pt idx="93">
                  <c:v>23.452050137308525</c:v>
                </c:pt>
                <c:pt idx="94">
                  <c:v>22.784570129516379</c:v>
                </c:pt>
                <c:pt idx="95">
                  <c:v>22.138932798500583</c:v>
                </c:pt>
                <c:pt idx="96">
                  <c:v>21.514331070696631</c:v>
                </c:pt>
                <c:pt idx="97">
                  <c:v>20.909991073818993</c:v>
                </c:pt>
                <c:pt idx="98">
                  <c:v>20.325170633175794</c:v>
                </c:pt>
                <c:pt idx="99">
                  <c:v>19.759157842274881</c:v>
                </c:pt>
                <c:pt idx="100">
                  <c:v>19.211269703747661</c:v>
                </c:pt>
                <c:pt idx="101">
                  <c:v>18.680850836845831</c:v>
                </c:pt>
                <c:pt idx="102">
                  <c:v>18.167272247980222</c:v>
                </c:pt>
                <c:pt idx="103">
                  <c:v>17.669930160973074</c:v>
                </c:pt>
                <c:pt idx="104">
                  <c:v>17.18824490388344</c:v>
                </c:pt>
                <c:pt idx="105">
                  <c:v>16.721659849443579</c:v>
                </c:pt>
                <c:pt idx="106">
                  <c:v>16.269640406310785</c:v>
                </c:pt>
                <c:pt idx="107">
                  <c:v>15.831673058495767</c:v>
                </c:pt>
                <c:pt idx="108">
                  <c:v>15.407264450476896</c:v>
                </c:pt>
                <c:pt idx="109">
                  <c:v>14.995940515646826</c:v>
                </c:pt>
                <c:pt idx="110">
                  <c:v>14.597245645869865</c:v>
                </c:pt>
                <c:pt idx="111">
                  <c:v>14.210741900049872</c:v>
                </c:pt>
                <c:pt idx="112">
                  <c:v>13.836008249724763</c:v>
                </c:pt>
                <c:pt idx="113">
                  <c:v>13.472639859811256</c:v>
                </c:pt>
                <c:pt idx="114">
                  <c:v>13.120247402727276</c:v>
                </c:pt>
                <c:pt idx="115">
                  <c:v>12.778456404213642</c:v>
                </c:pt>
                <c:pt idx="116">
                  <c:v>12.446906619269619</c:v>
                </c:pt>
                <c:pt idx="117">
                  <c:v>12.125251436700159</c:v>
                </c:pt>
                <c:pt idx="118">
                  <c:v>11.81315731085515</c:v>
                </c:pt>
                <c:pt idx="119">
                  <c:v>11.510303219215212</c:v>
                </c:pt>
                <c:pt idx="120">
                  <c:v>11.216380144551431</c:v>
                </c:pt>
                <c:pt idx="121">
                  <c:v>10.93109058045297</c:v>
                </c:pt>
                <c:pt idx="122">
                  <c:v>10.654148059080699</c:v>
                </c:pt>
                <c:pt idx="123">
                  <c:v>10.385276700064908</c:v>
                </c:pt>
                <c:pt idx="124">
                  <c:v>10.124210779521679</c:v>
                </c:pt>
                <c:pt idx="125">
                  <c:v>9.8706943182161986</c:v>
                </c:pt>
                <c:pt idx="126">
                  <c:v>9.6244806879517899</c:v>
                </c:pt>
                <c:pt idx="127">
                  <c:v>9.3853322353108677</c:v>
                </c:pt>
                <c:pt idx="128">
                  <c:v>9.1530199219195651</c:v>
                </c:pt>
                <c:pt idx="129">
                  <c:v>8.9273229804499135</c:v>
                </c:pt>
                <c:pt idx="130">
                  <c:v>8.7080285856138495</c:v>
                </c:pt>
                <c:pt idx="131">
                  <c:v>8.4949315394415148</c:v>
                </c:pt>
                <c:pt idx="132">
                  <c:v>8.2878339701718549</c:v>
                </c:pt>
                <c:pt idx="133">
                  <c:v>8.08654504411804</c:v>
                </c:pt>
                <c:pt idx="134">
                  <c:v>7.8908806899019828</c:v>
                </c:pt>
                <c:pt idx="135">
                  <c:v>7.7006633344827637</c:v>
                </c:pt>
                <c:pt idx="136">
                  <c:v>7.5157216504325666</c:v>
                </c:pt>
                <c:pt idx="137">
                  <c:v>7.3358903139411886</c:v>
                </c:pt>
                <c:pt idx="138">
                  <c:v>7.161009773055536</c:v>
                </c:pt>
                <c:pt idx="139">
                  <c:v>6.9909260256852193</c:v>
                </c:pt>
                <c:pt idx="140">
                  <c:v>6.8254904069285383</c:v>
                </c:pt>
                <c:pt idx="141">
                  <c:v>6.6645593852948872</c:v>
                </c:pt>
                <c:pt idx="142">
                  <c:v>6.5079943674204364</c:v>
                </c:pt>
                <c:pt idx="143">
                  <c:v>6.3556615108935812</c:v>
                </c:pt>
                <c:pt idx="144">
                  <c:v>6.2074315448252566</c:v>
                </c:pt>
                <c:pt idx="145">
                  <c:v>6.0631795978171708</c:v>
                </c:pt>
                <c:pt idx="146">
                  <c:v>5.9227850329971714</c:v>
                </c:pt>
                <c:pt idx="147">
                  <c:v>5.7861312898074759</c:v>
                </c:pt>
                <c:pt idx="148">
                  <c:v>5.6531057322461846</c:v>
                </c:pt>
                <c:pt idx="149">
                  <c:v>5.5235995032769107</c:v>
                </c:pt>
                <c:pt idx="150">
                  <c:v>5.3975073851349062</c:v>
                </c:pt>
                <c:pt idx="151">
                  <c:v>5.2747276652709205</c:v>
                </c:pt>
                <c:pt idx="152">
                  <c:v>5.1551620076863607</c:v>
                </c:pt>
                <c:pt idx="153">
                  <c:v>5.03871532942477</c:v>
                </c:pt>
                <c:pt idx="154">
                  <c:v>4.925295681995741</c:v>
                </c:pt>
                <c:pt idx="155">
                  <c:v>4.8148141375177982</c:v>
                </c:pt>
                <c:pt idx="156">
                  <c:v>4.7071846793768799</c:v>
                </c:pt>
                <c:pt idx="157">
                  <c:v>4.602324097206278</c:v>
                </c:pt>
                <c:pt idx="158">
                  <c:v>4.5001518860029686</c:v>
                </c:pt>
                <c:pt idx="159">
                  <c:v>4.4005901492038504</c:v>
                </c:pt>
                <c:pt idx="160">
                  <c:v>4.3035635055534573</c:v>
                </c:pt>
                <c:pt idx="161">
                  <c:v>4.2089989996024331</c:v>
                </c:pt>
                <c:pt idx="162">
                  <c:v>4.1168260156833698</c:v>
                </c:pt>
                <c:pt idx="163">
                  <c:v>4.0269761952176166</c:v>
                </c:pt>
                <c:pt idx="164">
                  <c:v>3.939383357213349</c:v>
                </c:pt>
                <c:pt idx="165">
                  <c:v>3.8539834218213751</c:v>
                </c:pt>
                <c:pt idx="166">
                  <c:v>3.7707143368212828</c:v>
                </c:pt>
                <c:pt idx="167">
                  <c:v>3.6895160069161457</c:v>
                </c:pt>
                <c:pt idx="168">
                  <c:v>3.610330225719617</c:v>
                </c:pt>
                <c:pt idx="169">
                  <c:v>3.533100610324218</c:v>
                </c:pt>
                <c:pt idx="170">
                  <c:v>3.4577725383446793</c:v>
                </c:pt>
                <c:pt idx="171">
                  <c:v>3.3842930873349029</c:v>
                </c:pt>
                <c:pt idx="172">
                  <c:v>3.3126109764815466</c:v>
                </c:pt>
                <c:pt idx="173">
                  <c:v>3.2426765104815445</c:v>
                </c:pt>
                <c:pt idx="174">
                  <c:v>3.1744415255148541</c:v>
                </c:pt>
                <c:pt idx="175">
                  <c:v>3.1078593372277012</c:v>
                </c:pt>
                <c:pt idx="176">
                  <c:v>3.0428846906452494</c:v>
                </c:pt>
                <c:pt idx="177">
                  <c:v>2.9794737119361043</c:v>
                </c:pt>
                <c:pt idx="178">
                  <c:v>2.917583861954455</c:v>
                </c:pt>
                <c:pt idx="179">
                  <c:v>2.8571738914888671</c:v>
                </c:pt>
                <c:pt idx="180">
                  <c:v>2.7982037981497827</c:v>
                </c:pt>
                <c:pt idx="181">
                  <c:v>2.740634784830668</c:v>
                </c:pt>
                <c:pt idx="182">
                  <c:v>2.684429219680545</c:v>
                </c:pt>
                <c:pt idx="183">
                  <c:v>2.6295505975283797</c:v>
                </c:pt>
                <c:pt idx="184">
                  <c:v>2.5759635027021655</c:v>
                </c:pt>
                <c:pt idx="185">
                  <c:v>2.5236335731880759</c:v>
                </c:pt>
                <c:pt idx="186">
                  <c:v>2.4725274660773668</c:v>
                </c:pt>
                <c:pt idx="187">
                  <c:v>2.4226128242508351</c:v>
                </c:pt>
                <c:pt idx="188">
                  <c:v>2.3738582442528409</c:v>
                </c:pt>
                <c:pt idx="189">
                  <c:v>2.3262332453088006</c:v>
                </c:pt>
                <c:pt idx="190">
                  <c:v>2.2797082394420665</c:v>
                </c:pt>
                <c:pt idx="191">
                  <c:v>2.2342545026479153</c:v>
                </c:pt>
                <c:pt idx="192">
                  <c:v>2.1898441470840995</c:v>
                </c:pt>
                <c:pt idx="193">
                  <c:v>2.1464500942391087</c:v>
                </c:pt>
                <c:pt idx="194">
                  <c:v>2.1040460490408575</c:v>
                </c:pt>
                <c:pt idx="195">
                  <c:v>2.0626064748701158</c:v>
                </c:pt>
                <c:pt idx="196">
                  <c:v>2.0221065694443863</c:v>
                </c:pt>
                <c:pt idx="197">
                  <c:v>1.98252224153935</c:v>
                </c:pt>
                <c:pt idx="198">
                  <c:v>1.9438300885163606</c:v>
                </c:pt>
                <c:pt idx="199">
                  <c:v>1.9060073746257384</c:v>
                </c:pt>
                <c:pt idx="200">
                  <c:v>1.8690320100568278</c:v>
                </c:pt>
                <c:pt idx="201">
                  <c:v>1.8328825307069443</c:v>
                </c:pt>
                <c:pt idx="202">
                  <c:v>1.7975380786424722</c:v>
                </c:pt>
                <c:pt idx="203">
                  <c:v>1.7629783832264678</c:v>
                </c:pt>
                <c:pt idx="204">
                  <c:v>1.7291837428880978</c:v>
                </c:pt>
                <c:pt idx="205">
                  <c:v>1.6961350075102566</c:v>
                </c:pt>
                <c:pt idx="206">
                  <c:v>1.6638135614126166</c:v>
                </c:pt>
                <c:pt idx="207">
                  <c:v>1.6322013069083432</c:v>
                </c:pt>
                <c:pt idx="208">
                  <c:v>1.6012806484134641</c:v>
                </c:pt>
                <c:pt idx="209">
                  <c:v>1.5710344770887541</c:v>
                </c:pt>
                <c:pt idx="210">
                  <c:v>1.5414461559948192</c:v>
                </c:pt>
                <c:pt idx="211">
                  <c:v>1.5124995057417807</c:v>
                </c:pt>
                <c:pt idx="212">
                  <c:v>1.4841787906156625</c:v>
                </c:pt>
                <c:pt idx="213">
                  <c:v>1.4564687051643548</c:v>
                </c:pt>
                <c:pt idx="214">
                  <c:v>1.4293543612266335</c:v>
                </c:pt>
                <c:pt idx="215">
                  <c:v>1.4028212753883673</c:v>
                </c:pt>
                <c:pt idx="216">
                  <c:v>1.3768553568506536</c:v>
                </c:pt>
                <c:pt idx="217">
                  <c:v>1.3514428956952402</c:v>
                </c:pt>
                <c:pt idx="218">
                  <c:v>1.3265705515330914</c:v>
                </c:pt>
                <c:pt idx="219">
                  <c:v>1.3022253425225885</c:v>
                </c:pt>
                <c:pt idx="220">
                  <c:v>1.278394634744251</c:v>
                </c:pt>
                <c:pt idx="221">
                  <c:v>1.2550661319194765</c:v>
                </c:pt>
                <c:pt idx="222">
                  <c:v>1.2322278654612109</c:v>
                </c:pt>
                <c:pt idx="223">
                  <c:v>1.2098681848449258</c:v>
                </c:pt>
                <c:pt idx="224">
                  <c:v>1.1879757482887212</c:v>
                </c:pt>
                <c:pt idx="225">
                  <c:v>1.1665395137317898</c:v>
                </c:pt>
                <c:pt idx="226">
                  <c:v>1.1455487301009146</c:v>
                </c:pt>
                <c:pt idx="227">
                  <c:v>1.1249929288549916</c:v>
                </c:pt>
                <c:pt idx="228">
                  <c:v>1.1048619157979955</c:v>
                </c:pt>
                <c:pt idx="229">
                  <c:v>1.0851457631511618</c:v>
                </c:pt>
                <c:pt idx="230">
                  <c:v>1.0658348018754604</c:v>
                </c:pt>
                <c:pt idx="231">
                  <c:v>1.0469196142358248</c:v>
                </c:pt>
                <c:pt idx="232">
                  <c:v>1.0283910265988461</c:v>
                </c:pt>
                <c:pt idx="233">
                  <c:v>1.0102401024560088</c:v>
                </c:pt>
                <c:pt idx="234">
                  <c:v>0.99245813566480479</c:v>
                </c:pt>
                <c:pt idx="235">
                  <c:v>0.97503664390035127</c:v>
                </c:pt>
                <c:pt idx="236">
                  <c:v>0.95796736231038071</c:v>
                </c:pt>
                <c:pt idx="237">
                  <c:v>0.94124223736679502</c:v>
                </c:pt>
                <c:pt idx="238">
                  <c:v>0.92485342090713507</c:v>
                </c:pt>
                <c:pt idx="239">
                  <c:v>0.9087932643596478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2-458B-90EF-9C99394F8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636160"/>
        <c:axId val="268637696"/>
      </c:lineChart>
      <c:dateAx>
        <c:axId val="268636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37696"/>
        <c:crosses val="autoZero"/>
        <c:auto val="1"/>
        <c:lblOffset val="100"/>
        <c:baseTimeUnit val="months"/>
      </c:dateAx>
      <c:valAx>
        <c:axId val="2686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3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CA" sz="2000"/>
              <a:t> Projected </a:t>
            </a:r>
            <a:r>
              <a:rPr lang="en-CA" sz="2000" b="1" i="0" u="none" strike="noStrike" baseline="0">
                <a:effectLst/>
              </a:rPr>
              <a:t>P90 </a:t>
            </a:r>
            <a:r>
              <a:rPr lang="en-CA" sz="2000"/>
              <a:t>Production</a:t>
            </a:r>
            <a:r>
              <a:rPr lang="en-CA" sz="2000" baseline="0"/>
              <a:t> Decline Curves</a:t>
            </a:r>
            <a:endParaRPr lang="en-CA" sz="20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Crude</c:v>
          </c:tx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Model'!$G$9:$G$248</c:f>
              <c:numCache>
                <c:formatCode>_(* #,##0_);_(* \(#,##0\);_(* "-"??_);_(@_)</c:formatCode>
                <c:ptCount val="240"/>
                <c:pt idx="0">
                  <c:v>762.52295911949489</c:v>
                </c:pt>
                <c:pt idx="1">
                  <c:v>725.75056403208828</c:v>
                </c:pt>
                <c:pt idx="2">
                  <c:v>691.01086674691953</c:v>
                </c:pt>
                <c:pt idx="3">
                  <c:v>658.17737882554457</c:v>
                </c:pt>
                <c:pt idx="4">
                  <c:v>627.13234890577951</c:v>
                </c:pt>
                <c:pt idx="5">
                  <c:v>597.76610024138483</c:v>
                </c:pt>
                <c:pt idx="6">
                  <c:v>569.97642287612803</c:v>
                </c:pt>
                <c:pt idx="7">
                  <c:v>543.66801558830321</c:v>
                </c:pt>
                <c:pt idx="8">
                  <c:v>518.75197320623261</c:v>
                </c:pt>
                <c:pt idx="9">
                  <c:v>495.14531531241579</c:v>
                </c:pt>
                <c:pt idx="10">
                  <c:v>472.77055272893728</c:v>
                </c:pt>
                <c:pt idx="11">
                  <c:v>451.55528851403426</c:v>
                </c:pt>
                <c:pt idx="12">
                  <c:v>431.4318505033641</c:v>
                </c:pt>
                <c:pt idx="13">
                  <c:v>412.336952703073</c:v>
                </c:pt>
                <c:pt idx="14">
                  <c:v>394.21138308841284</c:v>
                </c:pt>
                <c:pt idx="15">
                  <c:v>376.99971558419332</c:v>
                </c:pt>
                <c:pt idx="16">
                  <c:v>360.65004420428187</c:v>
                </c:pt>
                <c:pt idx="17">
                  <c:v>345.11373750895621</c:v>
                </c:pt>
                <c:pt idx="18">
                  <c:v>330.34521170303697</c:v>
                </c:pt>
                <c:pt idx="19">
                  <c:v>316.30172084633062</c:v>
                </c:pt>
                <c:pt idx="20">
                  <c:v>302.94316278236687</c:v>
                </c:pt>
                <c:pt idx="21">
                  <c:v>290.23189951332739</c:v>
                </c:pt>
                <c:pt idx="22">
                  <c:v>278.13259085953962</c:v>
                </c:pt>
                <c:pt idx="23">
                  <c:v>266.61204034217025</c:v>
                </c:pt>
                <c:pt idx="24">
                  <c:v>255.63905231877365</c:v>
                </c:pt>
                <c:pt idx="25">
                  <c:v>245.18429948403485</c:v>
                </c:pt>
                <c:pt idx="26">
                  <c:v>235.22019992321134</c:v>
                </c:pt>
                <c:pt idx="27">
                  <c:v>225.72080297414755</c:v>
                </c:pt>
                <c:pt idx="28">
                  <c:v>216.66168321596584</c:v>
                </c:pt>
                <c:pt idx="29">
                  <c:v>208.01984195920608</c:v>
                </c:pt>
                <c:pt idx="30">
                  <c:v>199.77361566383209</c:v>
                </c:pt>
                <c:pt idx="31">
                  <c:v>191.90259075861022</c:v>
                </c:pt>
                <c:pt idx="32">
                  <c:v>184.38752437832539</c:v>
                </c:pt>
                <c:pt idx="33">
                  <c:v>177.21027057452019</c:v>
                </c:pt>
                <c:pt idx="34">
                  <c:v>170.35371159125975</c:v>
                </c:pt>
                <c:pt idx="35">
                  <c:v>163.80169383016516</c:v>
                </c:pt>
                <c:pt idx="36">
                  <c:v>157.53896815889243</c:v>
                </c:pt>
                <c:pt idx="37">
                  <c:v>151.55113424462104</c:v>
                </c:pt>
                <c:pt idx="38">
                  <c:v>145.82458861919039</c:v>
                </c:pt>
                <c:pt idx="39">
                  <c:v>140.34647620548256</c:v>
                </c:pt>
                <c:pt idx="40">
                  <c:v>135.10464505569749</c:v>
                </c:pt>
                <c:pt idx="41">
                  <c:v>130.08760407145616</c:v>
                </c:pt>
                <c:pt idx="42">
                  <c:v>125.28448349337157</c:v>
                </c:pt>
                <c:pt idx="43">
                  <c:v>120.68499796396856</c:v>
                </c:pt>
                <c:pt idx="44">
                  <c:v>116.27941198275535</c:v>
                </c:pt>
                <c:pt idx="45">
                  <c:v>112.05850758594819</c:v>
                </c:pt>
                <c:pt idx="46">
                  <c:v>108.01355409596005</c:v>
                </c:pt>
                <c:pt idx="47">
                  <c:v>104.13627979733401</c:v>
                </c:pt>
                <c:pt idx="48">
                  <c:v>100.41884540648077</c:v>
                </c:pt>
                <c:pt idx="49">
                  <c:v>96.853819212372613</c:v>
                </c:pt>
                <c:pt idx="50">
                  <c:v>93.434153774403086</c:v>
                </c:pt>
                <c:pt idx="51">
                  <c:v>90.15316407192995</c:v>
                </c:pt>
                <c:pt idx="52">
                  <c:v>87.004507007710885</c:v>
                </c:pt>
                <c:pt idx="53">
                  <c:v>83.982162174507948</c:v>
                </c:pt>
                <c:pt idx="54">
                  <c:v>81.080413800676439</c:v>
                </c:pt>
                <c:pt idx="55">
                  <c:v>78.293833796578241</c:v>
                </c:pt>
                <c:pt idx="56">
                  <c:v>75.617265829229524</c:v>
                </c:pt>
                <c:pt idx="57">
                  <c:v>73.045810357735235</c:v>
                </c:pt>
                <c:pt idx="58">
                  <c:v>70.574810566817618</c:v>
                </c:pt>
                <c:pt idx="59">
                  <c:v>68.199839140141947</c:v>
                </c:pt>
                <c:pt idx="60">
                  <c:v>65.916685819209548</c:v>
                </c:pt>
                <c:pt idx="61">
                  <c:v>63.721345697351104</c:v>
                </c:pt>
                <c:pt idx="62">
                  <c:v>61.610008201838085</c:v>
                </c:pt>
                <c:pt idx="63">
                  <c:v>59.579046720357113</c:v>
                </c:pt>
                <c:pt idx="64">
                  <c:v>57.625008831082624</c:v>
                </c:pt>
                <c:pt idx="65">
                  <c:v>55.744607098354308</c:v>
                </c:pt>
                <c:pt idx="66">
                  <c:v>53.93471039853744</c:v>
                </c:pt>
                <c:pt idx="67">
                  <c:v>52.192335743026959</c:v>
                </c:pt>
                <c:pt idx="68">
                  <c:v>50.514640567571384</c:v>
                </c:pt>
                <c:pt idx="69">
                  <c:v>48.898915459144369</c:v>
                </c:pt>
                <c:pt idx="70">
                  <c:v>47.342577293502686</c:v>
                </c:pt>
                <c:pt idx="71">
                  <c:v>45.843162758339581</c:v>
                </c:pt>
                <c:pt idx="72">
                  <c:v>44.398322238592343</c:v>
                </c:pt>
                <c:pt idx="73">
                  <c:v>43.005814041993602</c:v>
                </c:pt>
                <c:pt idx="74">
                  <c:v>41.663498944381068</c:v>
                </c:pt>
                <c:pt idx="75">
                  <c:v>40.369335035607541</c:v>
                </c:pt>
                <c:pt idx="76">
                  <c:v>39.121372848125048</c:v>
                </c:pt>
                <c:pt idx="77">
                  <c:v>37.917750751468404</c:v>
                </c:pt>
                <c:pt idx="78">
                  <c:v>36.756690596931811</c:v>
                </c:pt>
                <c:pt idx="79">
                  <c:v>35.636493597731572</c:v>
                </c:pt>
                <c:pt idx="80">
                  <c:v>34.555536430875129</c:v>
                </c:pt>
                <c:pt idx="81">
                  <c:v>33.512267547826603</c:v>
                </c:pt>
                <c:pt idx="82">
                  <c:v>32.505203681863769</c:v>
                </c:pt>
                <c:pt idx="83">
                  <c:v>31.532926540779798</c:v>
                </c:pt>
                <c:pt idx="84">
                  <c:v>30.594079674283172</c:v>
                </c:pt>
                <c:pt idx="85">
                  <c:v>29.687365506110531</c:v>
                </c:pt>
                <c:pt idx="86">
                  <c:v>28.811542521476966</c:v>
                </c:pt>
                <c:pt idx="87">
                  <c:v>27.965422601066464</c:v>
                </c:pt>
                <c:pt idx="88">
                  <c:v>27.147868493296503</c:v>
                </c:pt>
                <c:pt idx="89">
                  <c:v>26.357791417096344</c:v>
                </c:pt>
                <c:pt idx="90">
                  <c:v>25.594148787903723</c:v>
                </c:pt>
                <c:pt idx="91">
                  <c:v>24.855942060025178</c:v>
                </c:pt>
                <c:pt idx="92">
                  <c:v>24.142214678914609</c:v>
                </c:pt>
                <c:pt idx="93">
                  <c:v>23.452050137308525</c:v>
                </c:pt>
                <c:pt idx="94">
                  <c:v>22.784570129516379</c:v>
                </c:pt>
                <c:pt idx="95">
                  <c:v>22.138932798500583</c:v>
                </c:pt>
                <c:pt idx="96">
                  <c:v>21.514331070696631</c:v>
                </c:pt>
                <c:pt idx="97">
                  <c:v>20.909991073818993</c:v>
                </c:pt>
                <c:pt idx="98">
                  <c:v>20.325170633175794</c:v>
                </c:pt>
                <c:pt idx="99">
                  <c:v>19.759157842274881</c:v>
                </c:pt>
                <c:pt idx="100">
                  <c:v>19.211269703747661</c:v>
                </c:pt>
                <c:pt idx="101">
                  <c:v>18.680850836845831</c:v>
                </c:pt>
                <c:pt idx="102">
                  <c:v>18.167272247980222</c:v>
                </c:pt>
                <c:pt idx="103">
                  <c:v>17.669930160973074</c:v>
                </c:pt>
                <c:pt idx="104">
                  <c:v>17.18824490388344</c:v>
                </c:pt>
                <c:pt idx="105">
                  <c:v>16.721659849443579</c:v>
                </c:pt>
                <c:pt idx="106">
                  <c:v>16.269640406310785</c:v>
                </c:pt>
                <c:pt idx="107">
                  <c:v>15.831673058495767</c:v>
                </c:pt>
                <c:pt idx="108">
                  <c:v>15.407264450476896</c:v>
                </c:pt>
                <c:pt idx="109">
                  <c:v>14.995940515646826</c:v>
                </c:pt>
                <c:pt idx="110">
                  <c:v>14.597245645869865</c:v>
                </c:pt>
                <c:pt idx="111">
                  <c:v>14.210741900049872</c:v>
                </c:pt>
                <c:pt idx="112">
                  <c:v>13.836008249724763</c:v>
                </c:pt>
                <c:pt idx="113">
                  <c:v>13.472639859811256</c:v>
                </c:pt>
                <c:pt idx="114">
                  <c:v>13.120247402727276</c:v>
                </c:pt>
                <c:pt idx="115">
                  <c:v>12.778456404213642</c:v>
                </c:pt>
                <c:pt idx="116">
                  <c:v>12.446906619269619</c:v>
                </c:pt>
                <c:pt idx="117">
                  <c:v>12.125251436700159</c:v>
                </c:pt>
                <c:pt idx="118">
                  <c:v>11.81315731085515</c:v>
                </c:pt>
                <c:pt idx="119">
                  <c:v>11.510303219215212</c:v>
                </c:pt>
                <c:pt idx="120">
                  <c:v>11.216380144551431</c:v>
                </c:pt>
                <c:pt idx="121">
                  <c:v>10.93109058045297</c:v>
                </c:pt>
                <c:pt idx="122">
                  <c:v>10.654148059080699</c:v>
                </c:pt>
                <c:pt idx="123">
                  <c:v>10.385276700064908</c:v>
                </c:pt>
                <c:pt idx="124">
                  <c:v>10.124210779521679</c:v>
                </c:pt>
                <c:pt idx="125">
                  <c:v>9.8706943182161986</c:v>
                </c:pt>
                <c:pt idx="126">
                  <c:v>9.6244806879517899</c:v>
                </c:pt>
                <c:pt idx="127">
                  <c:v>9.3853322353108677</c:v>
                </c:pt>
                <c:pt idx="128">
                  <c:v>9.1530199219195651</c:v>
                </c:pt>
                <c:pt idx="129">
                  <c:v>8.9273229804499135</c:v>
                </c:pt>
                <c:pt idx="130">
                  <c:v>8.7080285856138495</c:v>
                </c:pt>
                <c:pt idx="131">
                  <c:v>8.4949315394415148</c:v>
                </c:pt>
                <c:pt idx="132">
                  <c:v>8.2878339701718549</c:v>
                </c:pt>
                <c:pt idx="133">
                  <c:v>8.08654504411804</c:v>
                </c:pt>
                <c:pt idx="134">
                  <c:v>7.8908806899019828</c:v>
                </c:pt>
                <c:pt idx="135">
                  <c:v>7.7006633344827637</c:v>
                </c:pt>
                <c:pt idx="136">
                  <c:v>7.5157216504325666</c:v>
                </c:pt>
                <c:pt idx="137">
                  <c:v>7.3358903139411886</c:v>
                </c:pt>
                <c:pt idx="138">
                  <c:v>7.161009773055536</c:v>
                </c:pt>
                <c:pt idx="139">
                  <c:v>6.9909260256852193</c:v>
                </c:pt>
                <c:pt idx="140">
                  <c:v>6.8254904069285383</c:v>
                </c:pt>
                <c:pt idx="141">
                  <c:v>6.6645593852948872</c:v>
                </c:pt>
                <c:pt idx="142">
                  <c:v>6.5079943674204364</c:v>
                </c:pt>
                <c:pt idx="143">
                  <c:v>6.3556615108935812</c:v>
                </c:pt>
                <c:pt idx="144">
                  <c:v>6.2074315448252566</c:v>
                </c:pt>
                <c:pt idx="145">
                  <c:v>6.0631795978171708</c:v>
                </c:pt>
                <c:pt idx="146">
                  <c:v>5.9227850329971714</c:v>
                </c:pt>
                <c:pt idx="147">
                  <c:v>5.7861312898074759</c:v>
                </c:pt>
                <c:pt idx="148">
                  <c:v>5.6531057322461846</c:v>
                </c:pt>
                <c:pt idx="149">
                  <c:v>5.5235995032769107</c:v>
                </c:pt>
                <c:pt idx="150">
                  <c:v>5.3975073851349062</c:v>
                </c:pt>
                <c:pt idx="151">
                  <c:v>5.2747276652709205</c:v>
                </c:pt>
                <c:pt idx="152">
                  <c:v>5.1551620076863607</c:v>
                </c:pt>
                <c:pt idx="153">
                  <c:v>5.03871532942477</c:v>
                </c:pt>
                <c:pt idx="154">
                  <c:v>4.925295681995741</c:v>
                </c:pt>
                <c:pt idx="155">
                  <c:v>4.8148141375177982</c:v>
                </c:pt>
                <c:pt idx="156">
                  <c:v>4.7071846793768799</c:v>
                </c:pt>
                <c:pt idx="157">
                  <c:v>4.602324097206278</c:v>
                </c:pt>
                <c:pt idx="158">
                  <c:v>4.5001518860029686</c:v>
                </c:pt>
                <c:pt idx="159">
                  <c:v>4.4005901492038504</c:v>
                </c:pt>
                <c:pt idx="160">
                  <c:v>4.3035635055534573</c:v>
                </c:pt>
                <c:pt idx="161">
                  <c:v>4.2089989996024331</c:v>
                </c:pt>
                <c:pt idx="162">
                  <c:v>4.1168260156833698</c:v>
                </c:pt>
                <c:pt idx="163">
                  <c:v>4.0269761952176166</c:v>
                </c:pt>
                <c:pt idx="164">
                  <c:v>3.939383357213349</c:v>
                </c:pt>
                <c:pt idx="165">
                  <c:v>3.8539834218213751</c:v>
                </c:pt>
                <c:pt idx="166">
                  <c:v>3.7707143368212828</c:v>
                </c:pt>
                <c:pt idx="167">
                  <c:v>3.6895160069161457</c:v>
                </c:pt>
                <c:pt idx="168">
                  <c:v>3.610330225719617</c:v>
                </c:pt>
                <c:pt idx="169">
                  <c:v>3.533100610324218</c:v>
                </c:pt>
                <c:pt idx="170">
                  <c:v>3.4577725383446793</c:v>
                </c:pt>
                <c:pt idx="171">
                  <c:v>3.3842930873349029</c:v>
                </c:pt>
                <c:pt idx="172">
                  <c:v>3.3126109764815466</c:v>
                </c:pt>
                <c:pt idx="173">
                  <c:v>3.2426765104815445</c:v>
                </c:pt>
                <c:pt idx="174">
                  <c:v>3.1744415255148541</c:v>
                </c:pt>
                <c:pt idx="175">
                  <c:v>3.1078593372277012</c:v>
                </c:pt>
                <c:pt idx="176">
                  <c:v>3.0428846906452494</c:v>
                </c:pt>
                <c:pt idx="177">
                  <c:v>2.9794737119361043</c:v>
                </c:pt>
                <c:pt idx="178">
                  <c:v>2.917583861954455</c:v>
                </c:pt>
                <c:pt idx="179">
                  <c:v>2.8571738914888671</c:v>
                </c:pt>
                <c:pt idx="180">
                  <c:v>2.7982037981497827</c:v>
                </c:pt>
                <c:pt idx="181">
                  <c:v>2.740634784830668</c:v>
                </c:pt>
                <c:pt idx="182">
                  <c:v>2.684429219680545</c:v>
                </c:pt>
                <c:pt idx="183">
                  <c:v>2.6295505975283797</c:v>
                </c:pt>
                <c:pt idx="184">
                  <c:v>2.5759635027021655</c:v>
                </c:pt>
                <c:pt idx="185">
                  <c:v>2.5236335731880759</c:v>
                </c:pt>
                <c:pt idx="186">
                  <c:v>2.4725274660773668</c:v>
                </c:pt>
                <c:pt idx="187">
                  <c:v>2.4226128242508351</c:v>
                </c:pt>
                <c:pt idx="188">
                  <c:v>2.3738582442528409</c:v>
                </c:pt>
                <c:pt idx="189">
                  <c:v>2.3262332453088006</c:v>
                </c:pt>
                <c:pt idx="190">
                  <c:v>2.2797082394420665</c:v>
                </c:pt>
                <c:pt idx="191">
                  <c:v>2.2342545026479153</c:v>
                </c:pt>
                <c:pt idx="192">
                  <c:v>2.1898441470840995</c:v>
                </c:pt>
                <c:pt idx="193">
                  <c:v>2.1464500942391087</c:v>
                </c:pt>
                <c:pt idx="194">
                  <c:v>2.1040460490408575</c:v>
                </c:pt>
                <c:pt idx="195">
                  <c:v>2.0626064748701158</c:v>
                </c:pt>
                <c:pt idx="196">
                  <c:v>2.0221065694443863</c:v>
                </c:pt>
                <c:pt idx="197">
                  <c:v>1.98252224153935</c:v>
                </c:pt>
                <c:pt idx="198">
                  <c:v>1.9438300885163606</c:v>
                </c:pt>
                <c:pt idx="199">
                  <c:v>1.9060073746257384</c:v>
                </c:pt>
                <c:pt idx="200">
                  <c:v>1.8690320100568278</c:v>
                </c:pt>
                <c:pt idx="201">
                  <c:v>1.8328825307069443</c:v>
                </c:pt>
                <c:pt idx="202">
                  <c:v>1.7975380786424722</c:v>
                </c:pt>
                <c:pt idx="203">
                  <c:v>1.7629783832264678</c:v>
                </c:pt>
                <c:pt idx="204">
                  <c:v>1.7291837428880978</c:v>
                </c:pt>
                <c:pt idx="205">
                  <c:v>1.6961350075102566</c:v>
                </c:pt>
                <c:pt idx="206">
                  <c:v>1.6638135614126166</c:v>
                </c:pt>
                <c:pt idx="207">
                  <c:v>1.6322013069083432</c:v>
                </c:pt>
                <c:pt idx="208">
                  <c:v>1.6012806484134641</c:v>
                </c:pt>
                <c:pt idx="209">
                  <c:v>1.5710344770887541</c:v>
                </c:pt>
                <c:pt idx="210">
                  <c:v>1.5414461559948192</c:v>
                </c:pt>
                <c:pt idx="211">
                  <c:v>1.5124995057417807</c:v>
                </c:pt>
                <c:pt idx="212">
                  <c:v>1.4841787906156625</c:v>
                </c:pt>
                <c:pt idx="213">
                  <c:v>1.4564687051643548</c:v>
                </c:pt>
                <c:pt idx="214">
                  <c:v>1.4293543612266335</c:v>
                </c:pt>
                <c:pt idx="215">
                  <c:v>1.4028212753883673</c:v>
                </c:pt>
                <c:pt idx="216">
                  <c:v>1.3768553568506536</c:v>
                </c:pt>
                <c:pt idx="217">
                  <c:v>1.3514428956952402</c:v>
                </c:pt>
                <c:pt idx="218">
                  <c:v>1.3265705515330914</c:v>
                </c:pt>
                <c:pt idx="219">
                  <c:v>1.3022253425225885</c:v>
                </c:pt>
                <c:pt idx="220">
                  <c:v>1.278394634744251</c:v>
                </c:pt>
                <c:pt idx="221">
                  <c:v>1.2550661319194765</c:v>
                </c:pt>
                <c:pt idx="222">
                  <c:v>1.2322278654612109</c:v>
                </c:pt>
                <c:pt idx="223">
                  <c:v>1.2098681848449258</c:v>
                </c:pt>
                <c:pt idx="224">
                  <c:v>1.1879757482887212</c:v>
                </c:pt>
                <c:pt idx="225">
                  <c:v>1.1665395137317898</c:v>
                </c:pt>
                <c:pt idx="226">
                  <c:v>1.1455487301009146</c:v>
                </c:pt>
                <c:pt idx="227">
                  <c:v>1.1249929288549916</c:v>
                </c:pt>
                <c:pt idx="228">
                  <c:v>1.1048619157979955</c:v>
                </c:pt>
                <c:pt idx="229">
                  <c:v>1.0851457631511618</c:v>
                </c:pt>
                <c:pt idx="230">
                  <c:v>1.0658348018754604</c:v>
                </c:pt>
                <c:pt idx="231">
                  <c:v>1.0469196142358248</c:v>
                </c:pt>
                <c:pt idx="232">
                  <c:v>1.0283910265988461</c:v>
                </c:pt>
                <c:pt idx="233">
                  <c:v>1.0102401024560088</c:v>
                </c:pt>
                <c:pt idx="234">
                  <c:v>0.99245813566480479</c:v>
                </c:pt>
                <c:pt idx="235">
                  <c:v>0.97503664390035127</c:v>
                </c:pt>
                <c:pt idx="236">
                  <c:v>0.95796736231038071</c:v>
                </c:pt>
                <c:pt idx="237">
                  <c:v>0.94124223736679502</c:v>
                </c:pt>
                <c:pt idx="238">
                  <c:v>0.92485342090713507</c:v>
                </c:pt>
                <c:pt idx="239">
                  <c:v>0.9087932643596478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E5B-41CA-A9DF-5941E151AE94}"/>
            </c:ext>
          </c:extLst>
        </c:ser>
        <c:ser>
          <c:idx val="2"/>
          <c:order val="2"/>
          <c:tx>
            <c:strRef>
              <c:f>'Decline and Model'!$I$8</c:f>
              <c:strCache>
                <c:ptCount val="1"/>
                <c:pt idx="0">
                  <c:v>Liquids</c:v>
                </c:pt>
              </c:strCache>
            </c:strRef>
          </c:tx>
          <c:marker>
            <c:symbol val="none"/>
          </c:marker>
          <c:val>
            <c:numRef>
              <c:f>'Decline and Model'!$I$9:$I$248</c:f>
              <c:numCache>
                <c:formatCode>_(* #,##0_);_(* \(#,##0\);_(* "-"??_);_(@_)</c:formatCode>
                <c:ptCount val="240"/>
                <c:pt idx="0">
                  <c:v>532.61868545860125</c:v>
                </c:pt>
                <c:pt idx="1">
                  <c:v>493.92465946633411</c:v>
                </c:pt>
                <c:pt idx="2">
                  <c:v>459.81174857818343</c:v>
                </c:pt>
                <c:pt idx="3">
                  <c:v>429.54775077615079</c:v>
                </c:pt>
                <c:pt idx="4">
                  <c:v>402.54510444567785</c:v>
                </c:pt>
                <c:pt idx="5">
                  <c:v>378.32733063799338</c:v>
                </c:pt>
                <c:pt idx="6">
                  <c:v>356.50432220798774</c:v>
                </c:pt>
                <c:pt idx="7">
                  <c:v>336.75388990511607</c:v>
                </c:pt>
                <c:pt idx="8">
                  <c:v>318.80780336362886</c:v>
                </c:pt>
                <c:pt idx="9">
                  <c:v>302.44110754347815</c:v>
                </c:pt>
                <c:pt idx="10">
                  <c:v>287.46385741679524</c:v>
                </c:pt>
                <c:pt idx="11">
                  <c:v>273.71465963898328</c:v>
                </c:pt>
                <c:pt idx="12">
                  <c:v>261.05557953292868</c:v>
                </c:pt>
                <c:pt idx="13">
                  <c:v>249.36809033680058</c:v>
                </c:pt>
                <c:pt idx="14">
                  <c:v>238.54982574185101</c:v>
                </c:pt>
                <c:pt idx="15">
                  <c:v>228.51195707281337</c:v>
                </c:pt>
                <c:pt idx="16">
                  <c:v>219.17706024570899</c:v>
                </c:pt>
                <c:pt idx="17">
                  <c:v>210.47736975341303</c:v>
                </c:pt>
                <c:pt idx="18">
                  <c:v>202.3533407228563</c:v>
                </c:pt>
                <c:pt idx="19">
                  <c:v>194.75245788106182</c:v>
                </c:pt>
                <c:pt idx="20">
                  <c:v>187.62824369065132</c:v>
                </c:pt>
                <c:pt idx="21">
                  <c:v>180.93942812613128</c:v>
                </c:pt>
                <c:pt idx="22">
                  <c:v>174.64925038978134</c:v>
                </c:pt>
                <c:pt idx="23">
                  <c:v>168.72486891080268</c:v>
                </c:pt>
                <c:pt idx="24">
                  <c:v>163.13686067209412</c:v>
                </c:pt>
                <c:pt idx="25">
                  <c:v>157.85879458863673</c:v>
                </c:pt>
                <c:pt idx="26">
                  <c:v>152.86686655983596</c:v>
                </c:pt>
                <c:pt idx="27">
                  <c:v>148.1395861147594</c:v>
                </c:pt>
                <c:pt idx="28">
                  <c:v>143.65750639926299</c:v>
                </c:pt>
                <c:pt idx="29">
                  <c:v>139.40299072015449</c:v>
                </c:pt>
                <c:pt idx="30">
                  <c:v>135.36001004220168</c:v>
                </c:pt>
                <c:pt idx="31">
                  <c:v>131.51396678920958</c:v>
                </c:pt>
                <c:pt idx="32">
                  <c:v>127.85154107716137</c:v>
                </c:pt>
                <c:pt idx="33">
                  <c:v>124.36055614178292</c:v>
                </c:pt>
                <c:pt idx="34">
                  <c:v>121.02986024317593</c:v>
                </c:pt>
                <c:pt idx="35">
                  <c:v>117.84922275864558</c:v>
                </c:pt>
                <c:pt idx="36">
                  <c:v>114.80924252911518</c:v>
                </c:pt>
                <c:pt idx="37">
                  <c:v>111.9012668185394</c:v>
                </c:pt>
                <c:pt idx="38">
                  <c:v>109.11731949062759</c:v>
                </c:pt>
                <c:pt idx="39">
                  <c:v>106.45003721189742</c:v>
                </c:pt>
                <c:pt idx="40">
                  <c:v>103.89261266176409</c:v>
                </c:pt>
                <c:pt idx="41">
                  <c:v>101.43874387482492</c:v>
                </c:pt>
                <c:pt idx="42">
                  <c:v>99.082588962428829</c:v>
                </c:pt>
                <c:pt idx="43">
                  <c:v>96.818725563840289</c:v>
                </c:pt>
                <c:pt idx="44">
                  <c:v>94.642114464947184</c:v>
                </c:pt>
                <c:pt idx="45">
                  <c:v>92.548066897082691</c:v>
                </c:pt>
                <c:pt idx="46">
                  <c:v>90.532215092235759</c:v>
                </c:pt>
                <c:pt idx="47">
                  <c:v>88.590485725457611</c:v>
                </c:pt>
                <c:pt idx="48">
                  <c:v>86.719075922066864</c:v>
                </c:pt>
                <c:pt idx="49">
                  <c:v>84.914431547514411</c:v>
                </c:pt>
                <c:pt idx="50">
                  <c:v>83.173227532483011</c:v>
                </c:pt>
                <c:pt idx="51">
                  <c:v>81.492350015800554</c:v>
                </c:pt>
                <c:pt idx="52">
                  <c:v>79.868880113736367</c:v>
                </c:pt>
                <c:pt idx="53">
                  <c:v>78.300079146811868</c:v>
                </c:pt>
                <c:pt idx="54">
                  <c:v>76.783375174884668</c:v>
                </c:pt>
                <c:pt idx="55">
                  <c:v>75.316350708375097</c:v>
                </c:pt>
                <c:pt idx="56">
                  <c:v>73.896731478448174</c:v>
                </c:pt>
                <c:pt idx="57">
                  <c:v>72.522376162041496</c:v>
                </c:pt>
                <c:pt idx="58">
                  <c:v>71.191266969095977</c:v>
                </c:pt>
                <c:pt idx="59">
                  <c:v>69.901501009418354</c:v>
                </c:pt>
                <c:pt idx="60">
                  <c:v>68.651282365463771</c:v>
                </c:pt>
                <c:pt idx="61">
                  <c:v>67.438914805140769</c:v>
                </c:pt>
                <c:pt idx="62">
                  <c:v>66.262795075634017</c:v>
                </c:pt>
                <c:pt idx="63">
                  <c:v>65.121406725341473</c:v>
                </c:pt>
                <c:pt idx="64">
                  <c:v>64.013314406422126</c:v>
                </c:pt>
                <c:pt idx="65">
                  <c:v>62.937158615243817</c:v>
                </c:pt>
                <c:pt idx="66">
                  <c:v>61.891650832277399</c:v>
                </c:pt>
                <c:pt idx="67">
                  <c:v>60.875569026772197</c:v>
                </c:pt>
                <c:pt idx="68">
                  <c:v>59.887753494922322</c:v>
                </c:pt>
                <c:pt idx="69">
                  <c:v>58.927103003245492</c:v>
                </c:pt>
                <c:pt idx="70">
                  <c:v>57.992571211587389</c:v>
                </c:pt>
                <c:pt idx="71">
                  <c:v>57.083163352571795</c:v>
                </c:pt>
                <c:pt idx="72">
                  <c:v>56.197933146474085</c:v>
                </c:pt>
                <c:pt idx="73">
                  <c:v>55.335979932429879</c:v>
                </c:pt>
                <c:pt idx="74">
                  <c:v>54.496445998629234</c:v>
                </c:pt>
                <c:pt idx="75">
                  <c:v>53.678514095708692</c:v>
                </c:pt>
                <c:pt idx="76">
                  <c:v>52.881405118960224</c:v>
                </c:pt>
                <c:pt idx="77">
                  <c:v>52.10437594624478</c:v>
                </c:pt>
                <c:pt idx="78">
                  <c:v>51.346717419641294</c:v>
                </c:pt>
                <c:pt idx="79">
                  <c:v>50.60775245989646</c:v>
                </c:pt>
                <c:pt idx="80">
                  <c:v>49.886834303674881</c:v>
                </c:pt>
                <c:pt idx="81">
                  <c:v>49.183344854455456</c:v>
                </c:pt>
                <c:pt idx="82">
                  <c:v>48.496693138686659</c:v>
                </c:pt>
                <c:pt idx="83">
                  <c:v>47.826313859509462</c:v>
                </c:pt>
                <c:pt idx="84">
                  <c:v>47.17166604098788</c:v>
                </c:pt>
                <c:pt idx="85">
                  <c:v>46.53223175636176</c:v>
                </c:pt>
                <c:pt idx="86">
                  <c:v>45.907514934358446</c:v>
                </c:pt>
                <c:pt idx="87">
                  <c:v>45.297040238076704</c:v>
                </c:pt>
                <c:pt idx="88">
                  <c:v>44.700352011388695</c:v>
                </c:pt>
                <c:pt idx="89">
                  <c:v>44.117013288202735</c:v>
                </c:pt>
                <c:pt idx="90">
                  <c:v>43.546604860290273</c:v>
                </c:pt>
                <c:pt idx="91">
                  <c:v>42.988724399710847</c:v>
                </c:pt>
                <c:pt idx="92">
                  <c:v>42.442985632171307</c:v>
                </c:pt>
                <c:pt idx="93">
                  <c:v>41.909017557931577</c:v>
                </c:pt>
                <c:pt idx="94">
                  <c:v>41.386463717123419</c:v>
                </c:pt>
                <c:pt idx="95">
                  <c:v>40.874981496580247</c:v>
                </c:pt>
                <c:pt idx="96">
                  <c:v>40.374241475490038</c:v>
                </c:pt>
                <c:pt idx="97">
                  <c:v>39.883926807378934</c:v>
                </c:pt>
                <c:pt idx="98">
                  <c:v>39.403732636113197</c:v>
                </c:pt>
                <c:pt idx="99">
                  <c:v>38.93336554377295</c:v>
                </c:pt>
                <c:pt idx="100">
                  <c:v>38.472543028403443</c:v>
                </c:pt>
                <c:pt idx="101">
                  <c:v>38.020993009790274</c:v>
                </c:pt>
                <c:pt idx="102">
                  <c:v>37.578453361533846</c:v>
                </c:pt>
                <c:pt idx="103">
                  <c:v>37.144671467819066</c:v>
                </c:pt>
                <c:pt idx="104">
                  <c:v>36.719403803384729</c:v>
                </c:pt>
                <c:pt idx="105">
                  <c:v>36.302415535300653</c:v>
                </c:pt>
                <c:pt idx="106">
                  <c:v>35.89348014525342</c:v>
                </c:pt>
                <c:pt idx="107">
                  <c:v>35.492379071129598</c:v>
                </c:pt>
                <c:pt idx="108">
                  <c:v>35.098901366765368</c:v>
                </c:pt>
                <c:pt idx="109">
                  <c:v>34.71284337880622</c:v>
                </c:pt>
                <c:pt idx="110">
                  <c:v>34.33400843968964</c:v>
                </c:pt>
                <c:pt idx="111">
                  <c:v>33.962206575828013</c:v>
                </c:pt>
                <c:pt idx="112">
                  <c:v>33.597254230128193</c:v>
                </c:pt>
                <c:pt idx="113">
                  <c:v>33.238973998039143</c:v>
                </c:pt>
                <c:pt idx="114">
                  <c:v>32.88719437637166</c:v>
                </c:pt>
                <c:pt idx="115">
                  <c:v>32.541749524180119</c:v>
                </c:pt>
                <c:pt idx="116">
                  <c:v>32.202479035042025</c:v>
                </c:pt>
                <c:pt idx="117">
                  <c:v>31.869227720111642</c:v>
                </c:pt>
                <c:pt idx="118">
                  <c:v>31.541845401362515</c:v>
                </c:pt>
                <c:pt idx="119">
                  <c:v>31.220186714469932</c:v>
                </c:pt>
                <c:pt idx="120">
                  <c:v>30.904110920817114</c:v>
                </c:pt>
                <c:pt idx="121">
                  <c:v>30.593481728140453</c:v>
                </c:pt>
                <c:pt idx="122">
                  <c:v>30.288167119358093</c:v>
                </c:pt>
                <c:pt idx="123">
                  <c:v>29.988039189153117</c:v>
                </c:pt>
                <c:pt idx="124">
                  <c:v>29.692973987908051</c:v>
                </c:pt>
                <c:pt idx="125">
                  <c:v>29.402851372610868</c:v>
                </c:pt>
                <c:pt idx="126">
                  <c:v>29.117554864375084</c:v>
                </c:pt>
                <c:pt idx="127">
                  <c:v>28.836971512236961</c:v>
                </c:pt>
                <c:pt idx="128">
                  <c:v>28.56099176291211</c:v>
                </c:pt>
                <c:pt idx="129">
                  <c:v>28.289509336212095</c:v>
                </c:pt>
                <c:pt idx="130">
                  <c:v>28.02242110583893</c:v>
                </c:pt>
                <c:pt idx="131">
                  <c:v>27.759626985290151</c:v>
                </c:pt>
                <c:pt idx="132">
                  <c:v>27.50102981862354</c:v>
                </c:pt>
                <c:pt idx="133">
                  <c:v>27.246535275843097</c:v>
                </c:pt>
                <c:pt idx="134">
                  <c:v>26.996051752682252</c:v>
                </c:pt>
                <c:pt idx="135">
                  <c:v>26.74949027457161</c:v>
                </c:pt>
                <c:pt idx="136">
                  <c:v>26.506764404590783</c:v>
                </c:pt>
                <c:pt idx="137">
                  <c:v>26.267790155214112</c:v>
                </c:pt>
                <c:pt idx="138">
                  <c:v>26.032485903671049</c:v>
                </c:pt>
                <c:pt idx="139">
                  <c:v>25.800772310750727</c:v>
                </c:pt>
                <c:pt idx="140">
                  <c:v>25.572572242889891</c:v>
                </c:pt>
                <c:pt idx="141">
                  <c:v>25.347810697391548</c:v>
                </c:pt>
                <c:pt idx="142">
                  <c:v>25.126414730629925</c:v>
                </c:pt>
                <c:pt idx="143">
                  <c:v>24.908313389104499</c:v>
                </c:pt>
                <c:pt idx="144">
                  <c:v>24.69343764321335</c:v>
                </c:pt>
                <c:pt idx="145">
                  <c:v>24.481720323622511</c:v>
                </c:pt>
                <c:pt idx="146">
                  <c:v>24.273096060114298</c:v>
                </c:pt>
                <c:pt idx="147">
                  <c:v>24.067501222803791</c:v>
                </c:pt>
                <c:pt idx="148">
                  <c:v>23.864873865617959</c:v>
                </c:pt>
                <c:pt idx="149">
                  <c:v>23.665153671937382</c:v>
                </c:pt>
                <c:pt idx="150">
                  <c:v>23.4682819023053</c:v>
                </c:pt>
                <c:pt idx="151">
                  <c:v>23.274201344113955</c:v>
                </c:pt>
                <c:pt idx="152">
                  <c:v>23.082856263181885</c:v>
                </c:pt>
                <c:pt idx="153">
                  <c:v>22.89419235714081</c:v>
                </c:pt>
                <c:pt idx="154">
                  <c:v>22.708156710554157</c:v>
                </c:pt>
                <c:pt idx="155">
                  <c:v>22.524697751693378</c:v>
                </c:pt>
                <c:pt idx="156">
                  <c:v>22.343765210901587</c:v>
                </c:pt>
                <c:pt idx="157">
                  <c:v>22.165310080477706</c:v>
                </c:pt>
                <c:pt idx="158">
                  <c:v>21.989284576016818</c:v>
                </c:pt>
                <c:pt idx="159">
                  <c:v>21.815642099146615</c:v>
                </c:pt>
                <c:pt idx="160">
                  <c:v>21.644337201601378</c:v>
                </c:pt>
                <c:pt idx="161">
                  <c:v>21.475325550578578</c:v>
                </c:pt>
                <c:pt idx="162">
                  <c:v>21.30856389532541</c:v>
                </c:pt>
                <c:pt idx="163">
                  <c:v>21.14401003490509</c:v>
                </c:pt>
                <c:pt idx="164">
                  <c:v>20.981622787094807</c:v>
                </c:pt>
                <c:pt idx="165">
                  <c:v>20.821361958369987</c:v>
                </c:pt>
                <c:pt idx="166">
                  <c:v>20.663188314930839</c:v>
                </c:pt>
                <c:pt idx="167">
                  <c:v>20.50706355472991</c:v>
                </c:pt>
                <c:pt idx="168">
                  <c:v>20.352950280460739</c:v>
                </c:pt>
                <c:pt idx="169">
                  <c:v>20.200811973469495</c:v>
                </c:pt>
                <c:pt idx="170">
                  <c:v>20.050612968553565</c:v>
                </c:pt>
                <c:pt idx="171">
                  <c:v>19.902318429612251</c:v>
                </c:pt>
                <c:pt idx="172">
                  <c:v>19.755894326116529</c:v>
                </c:pt>
                <c:pt idx="173">
                  <c:v>19.611307410366106</c:v>
                </c:pt>
                <c:pt idx="174">
                  <c:v>19.46852519550346</c:v>
                </c:pt>
                <c:pt idx="175">
                  <c:v>19.327515934256063</c:v>
                </c:pt>
                <c:pt idx="176">
                  <c:v>19.188248598378745</c:v>
                </c:pt>
                <c:pt idx="177">
                  <c:v>19.050692858769963</c:v>
                </c:pt>
                <c:pt idx="178">
                  <c:v>18.914819066236387</c:v>
                </c:pt>
                <c:pt idx="179">
                  <c:v>18.780598232881491</c:v>
                </c:pt>
                <c:pt idx="180">
                  <c:v>18.648002014095006</c:v>
                </c:pt>
                <c:pt idx="181">
                  <c:v>18.517002691120737</c:v>
                </c:pt>
                <c:pt idx="182">
                  <c:v>18.387573154181439</c:v>
                </c:pt>
                <c:pt idx="183">
                  <c:v>18.259686886140393</c:v>
                </c:pt>
                <c:pt idx="184">
                  <c:v>18.133317946679799</c:v>
                </c:pt>
                <c:pt idx="185">
                  <c:v>18.008440956977438</c:v>
                </c:pt>
                <c:pt idx="186">
                  <c:v>17.885031084863375</c:v>
                </c:pt>
                <c:pt idx="187">
                  <c:v>17.763064030439356</c:v>
                </c:pt>
                <c:pt idx="188">
                  <c:v>17.642516012144654</c:v>
                </c:pt>
                <c:pt idx="189">
                  <c:v>17.523363753251818</c:v>
                </c:pt>
                <c:pt idx="190">
                  <c:v>17.405584468777693</c:v>
                </c:pt>
                <c:pt idx="191">
                  <c:v>17.289155852794568</c:v>
                </c:pt>
                <c:pt idx="192">
                  <c:v>17.174056066127594</c:v>
                </c:pt>
                <c:pt idx="193">
                  <c:v>17.060263724424836</c:v>
                </c:pt>
                <c:pt idx="194">
                  <c:v>16.947757886587098</c:v>
                </c:pt>
                <c:pt idx="195">
                  <c:v>16.836518043544789</c:v>
                </c:pt>
                <c:pt idx="196">
                  <c:v>16.72652410737027</c:v>
                </c:pt>
                <c:pt idx="197">
                  <c:v>16.617756400713596</c:v>
                </c:pt>
                <c:pt idx="198">
                  <c:v>16.510195646551107</c:v>
                </c:pt>
                <c:pt idx="199">
                  <c:v>16.403822958235846</c:v>
                </c:pt>
                <c:pt idx="200">
                  <c:v>16.298619829839833</c:v>
                </c:pt>
                <c:pt idx="201">
                  <c:v>16.194568126778069</c:v>
                </c:pt>
                <c:pt idx="202">
                  <c:v>16.091650076705118</c:v>
                </c:pt>
                <c:pt idx="203">
                  <c:v>15.989848260674892</c:v>
                </c:pt>
                <c:pt idx="204">
                  <c:v>15.889145604555006</c:v>
                </c:pt>
                <c:pt idx="205">
                  <c:v>15.789525370687263</c:v>
                </c:pt>
                <c:pt idx="206">
                  <c:v>15.690971149786039</c:v>
                </c:pt>
                <c:pt idx="207">
                  <c:v>15.593466853066994</c:v>
                </c:pt>
                <c:pt idx="208">
                  <c:v>15.496996704598217</c:v>
                </c:pt>
                <c:pt idx="209">
                  <c:v>15.40154523386693</c:v>
                </c:pt>
                <c:pt idx="210">
                  <c:v>15.307097268554516</c:v>
                </c:pt>
                <c:pt idx="211">
                  <c:v>15.213637927513231</c:v>
                </c:pt>
                <c:pt idx="212">
                  <c:v>15.121152613938152</c:v>
                </c:pt>
                <c:pt idx="213">
                  <c:v>15.029627008728035</c:v>
                </c:pt>
                <c:pt idx="214">
                  <c:v>14.939047064029175</c:v>
                </c:pt>
                <c:pt idx="215">
                  <c:v>14.84939899695625</c:v>
                </c:pt>
                <c:pt idx="216">
                  <c:v>14.760669283484944</c:v>
                </c:pt>
                <c:pt idx="217">
                  <c:v>14.672844652510417</c:v>
                </c:pt>
                <c:pt idx="218">
                  <c:v>14.585912080066963</c:v>
                </c:pt>
                <c:pt idx="219">
                  <c:v>14.499858783703438</c:v>
                </c:pt>
                <c:pt idx="220">
                  <c:v>14.41467221700983</c:v>
                </c:pt>
                <c:pt idx="221">
                  <c:v>14.330340064290182</c:v>
                </c:pt>
                <c:pt idx="222">
                  <c:v>14.246850235377451</c:v>
                </c:pt>
                <c:pt idx="223">
                  <c:v>14.164190860585915</c:v>
                </c:pt>
                <c:pt idx="224">
                  <c:v>14.082350285796846</c:v>
                </c:pt>
                <c:pt idx="225">
                  <c:v>14.001317067673597</c:v>
                </c:pt>
                <c:pt idx="226">
                  <c:v>13.92107996900188</c:v>
                </c:pt>
                <c:pt idx="227">
                  <c:v>13.84162795415183</c:v>
                </c:pt>
                <c:pt idx="228">
                  <c:v>13.762950184657852</c:v>
                </c:pt>
                <c:pt idx="229">
                  <c:v>13.685036014912898</c:v>
                </c:pt>
                <c:pt idx="230">
                  <c:v>13.607874987973815</c:v>
                </c:pt>
                <c:pt idx="231">
                  <c:v>13.531456831474296</c:v>
                </c:pt>
                <c:pt idx="232">
                  <c:v>13.455771453642381</c:v>
                </c:pt>
                <c:pt idx="233">
                  <c:v>13.380808939419426</c:v>
                </c:pt>
                <c:pt idx="234">
                  <c:v>13.306559546677478</c:v>
                </c:pt>
                <c:pt idx="235">
                  <c:v>13.233013702532267</c:v>
                </c:pt>
                <c:pt idx="236">
                  <c:v>13.160161999748968</c:v>
                </c:pt>
                <c:pt idx="237">
                  <c:v>13.087995193238134</c:v>
                </c:pt>
                <c:pt idx="238">
                  <c:v>13.01650419663908</c:v>
                </c:pt>
                <c:pt idx="239">
                  <c:v>12.945680078988255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E5B-41CA-A9DF-5941E151A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683136"/>
        <c:axId val="268684672"/>
      </c:lineChart>
      <c:lineChart>
        <c:grouping val="standard"/>
        <c:varyColors val="0"/>
        <c:ser>
          <c:idx val="1"/>
          <c:order val="0"/>
          <c:tx>
            <c:v>Gas</c:v>
          </c:tx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Model'!$H$9:$H$248</c:f>
              <c:numCache>
                <c:formatCode>_(* #,##0_);_(* \(#,##0\);_(* "-"??_);_(@_)</c:formatCode>
                <c:ptCount val="240"/>
                <c:pt idx="0">
                  <c:v>2796.2480986576566</c:v>
                </c:pt>
                <c:pt idx="1">
                  <c:v>2593.1044621982542</c:v>
                </c:pt>
                <c:pt idx="2">
                  <c:v>2414.0116800354631</c:v>
                </c:pt>
                <c:pt idx="3">
                  <c:v>2255.1256915747917</c:v>
                </c:pt>
                <c:pt idx="4">
                  <c:v>2113.361798339809</c:v>
                </c:pt>
                <c:pt idx="5">
                  <c:v>1986.2184858494654</c:v>
                </c:pt>
                <c:pt idx="6">
                  <c:v>1871.6476915919359</c:v>
                </c:pt>
                <c:pt idx="7">
                  <c:v>1767.9579220018595</c:v>
                </c:pt>
                <c:pt idx="8">
                  <c:v>1673.7409676590516</c:v>
                </c:pt>
                <c:pt idx="9">
                  <c:v>1587.8158146032604</c:v>
                </c:pt>
                <c:pt idx="10">
                  <c:v>1509.1852514381751</c:v>
                </c:pt>
                <c:pt idx="11">
                  <c:v>1437.0019631046623</c:v>
                </c:pt>
                <c:pt idx="12">
                  <c:v>1370.5417925478755</c:v>
                </c:pt>
                <c:pt idx="13">
                  <c:v>1309.1824742682031</c:v>
                </c:pt>
                <c:pt idx="14">
                  <c:v>1252.3865851447179</c:v>
                </c:pt>
                <c:pt idx="15">
                  <c:v>1199.6877746322702</c:v>
                </c:pt>
                <c:pt idx="16">
                  <c:v>1150.6795662899722</c:v>
                </c:pt>
                <c:pt idx="17">
                  <c:v>1105.0061912054184</c:v>
                </c:pt>
                <c:pt idx="18">
                  <c:v>1062.3550387949956</c:v>
                </c:pt>
                <c:pt idx="19">
                  <c:v>1022.4504038755746</c:v>
                </c:pt>
                <c:pt idx="20">
                  <c:v>985.04827937591949</c:v>
                </c:pt>
                <c:pt idx="21">
                  <c:v>949.93199766218925</c:v>
                </c:pt>
                <c:pt idx="22">
                  <c:v>916.90856454635207</c:v>
                </c:pt>
                <c:pt idx="23">
                  <c:v>885.80556178171412</c:v>
                </c:pt>
                <c:pt idx="24">
                  <c:v>856.46851852849409</c:v>
                </c:pt>
                <c:pt idx="25">
                  <c:v>828.75867159034283</c:v>
                </c:pt>
                <c:pt idx="26">
                  <c:v>802.55104943913875</c:v>
                </c:pt>
                <c:pt idx="27">
                  <c:v>777.73282710248691</c:v>
                </c:pt>
                <c:pt idx="28">
                  <c:v>754.20190859613069</c:v>
                </c:pt>
                <c:pt idx="29">
                  <c:v>731.86570128081109</c:v>
                </c:pt>
                <c:pt idx="30">
                  <c:v>710.64005272155885</c:v>
                </c:pt>
                <c:pt idx="31">
                  <c:v>690.44832564335036</c:v>
                </c:pt>
                <c:pt idx="32">
                  <c:v>671.22059065509723</c:v>
                </c:pt>
                <c:pt idx="33">
                  <c:v>652.89291974436037</c:v>
                </c:pt>
                <c:pt idx="34">
                  <c:v>635.40676627667369</c:v>
                </c:pt>
                <c:pt idx="35">
                  <c:v>618.70841948288933</c:v>
                </c:pt>
                <c:pt idx="36">
                  <c:v>602.7485232778547</c:v>
                </c:pt>
                <c:pt idx="37">
                  <c:v>587.48165079733189</c:v>
                </c:pt>
                <c:pt idx="38">
                  <c:v>572.86592732579493</c:v>
                </c:pt>
                <c:pt idx="39">
                  <c:v>558.86269536246152</c:v>
                </c:pt>
                <c:pt idx="40">
                  <c:v>545.43621647426153</c:v>
                </c:pt>
                <c:pt idx="41">
                  <c:v>532.55340534283084</c:v>
                </c:pt>
                <c:pt idx="42">
                  <c:v>520.18359205275135</c:v>
                </c:pt>
                <c:pt idx="43">
                  <c:v>508.29830921016156</c:v>
                </c:pt>
                <c:pt idx="44">
                  <c:v>496.87110094097272</c:v>
                </c:pt>
                <c:pt idx="45">
                  <c:v>485.87735120968415</c:v>
                </c:pt>
                <c:pt idx="46">
                  <c:v>475.29412923423774</c:v>
                </c:pt>
                <c:pt idx="47">
                  <c:v>465.10005005865247</c:v>
                </c:pt>
                <c:pt idx="48">
                  <c:v>455.27514859085107</c:v>
                </c:pt>
                <c:pt idx="49">
                  <c:v>445.80076562445072</c:v>
                </c:pt>
                <c:pt idx="50">
                  <c:v>436.65944454553585</c:v>
                </c:pt>
                <c:pt idx="51">
                  <c:v>427.8348375829529</c:v>
                </c:pt>
                <c:pt idx="52">
                  <c:v>419.31162059711596</c:v>
                </c:pt>
                <c:pt idx="53">
                  <c:v>411.07541552076236</c:v>
                </c:pt>
                <c:pt idx="54">
                  <c:v>403.11271966814451</c:v>
                </c:pt>
                <c:pt idx="55">
                  <c:v>395.41084121896927</c:v>
                </c:pt>
                <c:pt idx="56">
                  <c:v>387.95784026185294</c:v>
                </c:pt>
                <c:pt idx="57">
                  <c:v>380.74247485071788</c:v>
                </c:pt>
                <c:pt idx="58">
                  <c:v>373.75415158775394</c:v>
                </c:pt>
                <c:pt idx="59">
                  <c:v>366.98288029944638</c:v>
                </c:pt>
                <c:pt idx="60">
                  <c:v>360.41923241868483</c:v>
                </c:pt>
                <c:pt idx="61">
                  <c:v>354.05430272698902</c:v>
                </c:pt>
                <c:pt idx="62">
                  <c:v>347.87967414707862</c:v>
                </c:pt>
                <c:pt idx="63">
                  <c:v>341.88738530804272</c:v>
                </c:pt>
                <c:pt idx="64">
                  <c:v>336.06990063371614</c:v>
                </c:pt>
                <c:pt idx="65">
                  <c:v>330.42008273003006</c:v>
                </c:pt>
                <c:pt idx="66">
                  <c:v>324.93116686945638</c:v>
                </c:pt>
                <c:pt idx="67">
                  <c:v>319.59673739055404</c:v>
                </c:pt>
                <c:pt idx="68">
                  <c:v>314.41070584834222</c:v>
                </c:pt>
                <c:pt idx="69">
                  <c:v>309.36729076703887</c:v>
                </c:pt>
                <c:pt idx="70">
                  <c:v>304.4609988608338</c:v>
                </c:pt>
                <c:pt idx="71">
                  <c:v>299.68660760100192</c:v>
                </c:pt>
                <c:pt idx="72">
                  <c:v>295.03914901898895</c:v>
                </c:pt>
                <c:pt idx="73">
                  <c:v>290.51389464525687</c:v>
                </c:pt>
                <c:pt idx="74">
                  <c:v>286.10634149280349</c:v>
                </c:pt>
                <c:pt idx="75">
                  <c:v>281.81219900247066</c:v>
                </c:pt>
                <c:pt idx="76">
                  <c:v>277.6273768745412</c:v>
                </c:pt>
                <c:pt idx="77">
                  <c:v>273.54797371778511</c:v>
                </c:pt>
                <c:pt idx="78">
                  <c:v>269.5702664531168</c:v>
                </c:pt>
                <c:pt idx="79">
                  <c:v>265.69070041445644</c:v>
                </c:pt>
                <c:pt idx="80">
                  <c:v>261.90588009429314</c:v>
                </c:pt>
                <c:pt idx="81">
                  <c:v>258.21256048589117</c:v>
                </c:pt>
                <c:pt idx="82">
                  <c:v>254.60763897810497</c:v>
                </c:pt>
                <c:pt idx="83">
                  <c:v>251.08814776242468</c:v>
                </c:pt>
                <c:pt idx="84">
                  <c:v>247.65124671518637</c:v>
                </c:pt>
                <c:pt idx="85">
                  <c:v>244.29421672089924</c:v>
                </c:pt>
                <c:pt idx="86">
                  <c:v>241.01445340538186</c:v>
                </c:pt>
                <c:pt idx="87">
                  <c:v>237.80946124990271</c:v>
                </c:pt>
                <c:pt idx="88">
                  <c:v>234.67684805979064</c:v>
                </c:pt>
                <c:pt idx="89">
                  <c:v>231.61431976306437</c:v>
                </c:pt>
                <c:pt idx="90">
                  <c:v>228.61967551652396</c:v>
                </c:pt>
                <c:pt idx="91">
                  <c:v>225.69080309848195</c:v>
                </c:pt>
                <c:pt idx="92">
                  <c:v>222.82567456889936</c:v>
                </c:pt>
                <c:pt idx="93">
                  <c:v>220.02234217914079</c:v>
                </c:pt>
                <c:pt idx="94">
                  <c:v>217.27893451489797</c:v>
                </c:pt>
                <c:pt idx="95">
                  <c:v>214.59365285704632</c:v>
                </c:pt>
                <c:pt idx="96">
                  <c:v>211.96476774632271</c:v>
                </c:pt>
                <c:pt idx="97">
                  <c:v>209.39061573873943</c:v>
                </c:pt>
                <c:pt idx="98">
                  <c:v>206.8695963395943</c:v>
                </c:pt>
                <c:pt idx="99">
                  <c:v>204.40016910480799</c:v>
                </c:pt>
                <c:pt idx="100">
                  <c:v>201.98085089911808</c:v>
                </c:pt>
                <c:pt idx="101">
                  <c:v>199.61021330139894</c:v>
                </c:pt>
                <c:pt idx="102">
                  <c:v>197.28688014805269</c:v>
                </c:pt>
                <c:pt idx="103">
                  <c:v>195.00952520605011</c:v>
                </c:pt>
                <c:pt idx="104">
                  <c:v>192.77686996776984</c:v>
                </c:pt>
                <c:pt idx="105">
                  <c:v>190.58768156032843</c:v>
                </c:pt>
                <c:pt idx="106">
                  <c:v>188.44077076258046</c:v>
                </c:pt>
                <c:pt idx="107">
                  <c:v>186.3349901234304</c:v>
                </c:pt>
                <c:pt idx="108">
                  <c:v>184.2692321755182</c:v>
                </c:pt>
                <c:pt idx="109">
                  <c:v>182.24242773873266</c:v>
                </c:pt>
                <c:pt idx="110">
                  <c:v>180.25354430837061</c:v>
                </c:pt>
                <c:pt idx="111">
                  <c:v>178.30158452309709</c:v>
                </c:pt>
                <c:pt idx="112">
                  <c:v>176.38558470817301</c:v>
                </c:pt>
                <c:pt idx="113">
                  <c:v>174.50461348970552</c:v>
                </c:pt>
                <c:pt idx="114">
                  <c:v>172.65777047595122</c:v>
                </c:pt>
                <c:pt idx="115">
                  <c:v>170.84418500194562</c:v>
                </c:pt>
                <c:pt idx="116">
                  <c:v>169.06301493397063</c:v>
                </c:pt>
                <c:pt idx="117">
                  <c:v>167.31344553058614</c:v>
                </c:pt>
                <c:pt idx="118">
                  <c:v>165.59468835715322</c:v>
                </c:pt>
                <c:pt idx="119">
                  <c:v>163.90598025096716</c:v>
                </c:pt>
                <c:pt idx="120">
                  <c:v>162.24658233428985</c:v>
                </c:pt>
                <c:pt idx="121">
                  <c:v>160.61577907273738</c:v>
                </c:pt>
                <c:pt idx="122">
                  <c:v>159.01287737663</c:v>
                </c:pt>
                <c:pt idx="123">
                  <c:v>157.43720574305388</c:v>
                </c:pt>
                <c:pt idx="124">
                  <c:v>155.88811343651727</c:v>
                </c:pt>
                <c:pt idx="125">
                  <c:v>154.36496970620706</c:v>
                </c:pt>
                <c:pt idx="126">
                  <c:v>152.86716303796919</c:v>
                </c:pt>
                <c:pt idx="127">
                  <c:v>151.39410043924406</c:v>
                </c:pt>
                <c:pt idx="128">
                  <c:v>149.94520675528858</c:v>
                </c:pt>
                <c:pt idx="129">
                  <c:v>148.5199240151135</c:v>
                </c:pt>
                <c:pt idx="130">
                  <c:v>147.11771080565438</c:v>
                </c:pt>
                <c:pt idx="131">
                  <c:v>145.73804167277331</c:v>
                </c:pt>
                <c:pt idx="132">
                  <c:v>144.38040654777359</c:v>
                </c:pt>
                <c:pt idx="133">
                  <c:v>143.04431019817628</c:v>
                </c:pt>
                <c:pt idx="134">
                  <c:v>141.72927170158184</c:v>
                </c:pt>
                <c:pt idx="135">
                  <c:v>140.43482394150095</c:v>
                </c:pt>
                <c:pt idx="136">
                  <c:v>139.16051312410161</c:v>
                </c:pt>
                <c:pt idx="137">
                  <c:v>137.90589831487409</c:v>
                </c:pt>
                <c:pt idx="138">
                  <c:v>136.67055099427301</c:v>
                </c:pt>
                <c:pt idx="139">
                  <c:v>135.45405463144132</c:v>
                </c:pt>
                <c:pt idx="140">
                  <c:v>134.25600427517193</c:v>
                </c:pt>
                <c:pt idx="141">
                  <c:v>133.07600616130563</c:v>
                </c:pt>
                <c:pt idx="142">
                  <c:v>131.91367733580711</c:v>
                </c:pt>
                <c:pt idx="143">
                  <c:v>130.76864529279862</c:v>
                </c:pt>
                <c:pt idx="144">
                  <c:v>129.6405476268701</c:v>
                </c:pt>
                <c:pt idx="145">
                  <c:v>128.52903169901819</c:v>
                </c:pt>
                <c:pt idx="146">
                  <c:v>127.43375431560007</c:v>
                </c:pt>
                <c:pt idx="147">
                  <c:v>126.35438141971991</c:v>
                </c:pt>
                <c:pt idx="148">
                  <c:v>125.29058779449429</c:v>
                </c:pt>
                <c:pt idx="149">
                  <c:v>124.24205677767127</c:v>
                </c:pt>
                <c:pt idx="150">
                  <c:v>123.20847998710283</c:v>
                </c:pt>
                <c:pt idx="151">
                  <c:v>122.18955705659826</c:v>
                </c:pt>
                <c:pt idx="152">
                  <c:v>121.18499538170489</c:v>
                </c:pt>
                <c:pt idx="153">
                  <c:v>120.19450987498927</c:v>
                </c:pt>
                <c:pt idx="154">
                  <c:v>119.21782273040932</c:v>
                </c:pt>
                <c:pt idx="155">
                  <c:v>118.25466319639024</c:v>
                </c:pt>
                <c:pt idx="156">
                  <c:v>117.30476735723335</c:v>
                </c:pt>
                <c:pt idx="157">
                  <c:v>116.36787792250797</c:v>
                </c:pt>
                <c:pt idx="158">
                  <c:v>115.4437440240883</c:v>
                </c:pt>
                <c:pt idx="159">
                  <c:v>114.53212102051974</c:v>
                </c:pt>
                <c:pt idx="160">
                  <c:v>113.63277030840723</c:v>
                </c:pt>
                <c:pt idx="161">
                  <c:v>112.74545914053753</c:v>
                </c:pt>
                <c:pt idx="162">
                  <c:v>111.86996045045841</c:v>
                </c:pt>
                <c:pt idx="163">
                  <c:v>111.00605268325172</c:v>
                </c:pt>
                <c:pt idx="164">
                  <c:v>110.15351963224775</c:v>
                </c:pt>
                <c:pt idx="165">
                  <c:v>109.31215028144244</c:v>
                </c:pt>
                <c:pt idx="166">
                  <c:v>108.48173865338691</c:v>
                </c:pt>
                <c:pt idx="167">
                  <c:v>107.66208366233204</c:v>
                </c:pt>
                <c:pt idx="168">
                  <c:v>106.85298897241888</c:v>
                </c:pt>
                <c:pt idx="169">
                  <c:v>106.05426286071486</c:v>
                </c:pt>
                <c:pt idx="170">
                  <c:v>105.26571808490623</c:v>
                </c:pt>
                <c:pt idx="171">
                  <c:v>104.48717175546432</c:v>
                </c:pt>
                <c:pt idx="172">
                  <c:v>103.71844521211177</c:v>
                </c:pt>
                <c:pt idx="173">
                  <c:v>102.95936390442206</c:v>
                </c:pt>
                <c:pt idx="174">
                  <c:v>102.20975727639316</c:v>
                </c:pt>
                <c:pt idx="175">
                  <c:v>101.46945865484433</c:v>
                </c:pt>
                <c:pt idx="176">
                  <c:v>100.73830514148842</c:v>
                </c:pt>
                <c:pt idx="177">
                  <c:v>100.01613750854231</c:v>
                </c:pt>
                <c:pt idx="178">
                  <c:v>99.302800097741041</c:v>
                </c:pt>
                <c:pt idx="179">
                  <c:v>98.598140722627832</c:v>
                </c:pt>
                <c:pt idx="180">
                  <c:v>97.902010573998794</c:v>
                </c:pt>
                <c:pt idx="181">
                  <c:v>97.214264128383874</c:v>
                </c:pt>
                <c:pt idx="182">
                  <c:v>96.534759059452554</c:v>
                </c:pt>
                <c:pt idx="183">
                  <c:v>95.863356152237074</c:v>
                </c:pt>
                <c:pt idx="184">
                  <c:v>95.199919220068949</c:v>
                </c:pt>
                <c:pt idx="185">
                  <c:v>94.544315024131564</c:v>
                </c:pt>
                <c:pt idx="186">
                  <c:v>93.896413195532716</c:v>
                </c:pt>
                <c:pt idx="187">
                  <c:v>93.256086159806628</c:v>
                </c:pt>
                <c:pt idx="188">
                  <c:v>92.623209063759433</c:v>
                </c:pt>
                <c:pt idx="189">
                  <c:v>91.997659704572058</c:v>
                </c:pt>
                <c:pt idx="190">
                  <c:v>91.379318461082889</c:v>
                </c:pt>
                <c:pt idx="191">
                  <c:v>90.768068227171483</c:v>
                </c:pt>
                <c:pt idx="192">
                  <c:v>90.163794347169883</c:v>
                </c:pt>
                <c:pt idx="193">
                  <c:v>89.566384553230392</c:v>
                </c:pt>
                <c:pt idx="194">
                  <c:v>88.975728904582269</c:v>
                </c:pt>
                <c:pt idx="195">
                  <c:v>88.391719728610155</c:v>
                </c:pt>
                <c:pt idx="196">
                  <c:v>87.814251563693929</c:v>
                </c:pt>
                <c:pt idx="197">
                  <c:v>87.243221103746379</c:v>
                </c:pt>
                <c:pt idx="198">
                  <c:v>86.678527144393314</c:v>
                </c:pt>
                <c:pt idx="199">
                  <c:v>86.120070530738204</c:v>
                </c:pt>
                <c:pt idx="200">
                  <c:v>85.567754106659123</c:v>
                </c:pt>
                <c:pt idx="201">
                  <c:v>85.02148266558487</c:v>
                </c:pt>
                <c:pt idx="202">
                  <c:v>84.481162902701882</c:v>
                </c:pt>
                <c:pt idx="203">
                  <c:v>83.946703368543183</c:v>
                </c:pt>
                <c:pt idx="204">
                  <c:v>83.418014423913789</c:v>
                </c:pt>
                <c:pt idx="205">
                  <c:v>82.895008196108137</c:v>
                </c:pt>
                <c:pt idx="206">
                  <c:v>82.377598536376709</c:v>
                </c:pt>
                <c:pt idx="207">
                  <c:v>81.865700978601723</c:v>
                </c:pt>
                <c:pt idx="208">
                  <c:v>81.359232699140648</c:v>
                </c:pt>
                <c:pt idx="209">
                  <c:v>80.858112477801384</c:v>
                </c:pt>
                <c:pt idx="210">
                  <c:v>80.362260659911215</c:v>
                </c:pt>
                <c:pt idx="211">
                  <c:v>79.871599119444468</c:v>
                </c:pt>
                <c:pt idx="212">
                  <c:v>79.386051223175301</c:v>
                </c:pt>
                <c:pt idx="213">
                  <c:v>78.905541795822188</c:v>
                </c:pt>
                <c:pt idx="214">
                  <c:v>78.429997086153179</c:v>
                </c:pt>
                <c:pt idx="215">
                  <c:v>77.95934473402032</c:v>
                </c:pt>
                <c:pt idx="216">
                  <c:v>77.49351373829596</c:v>
                </c:pt>
                <c:pt idx="217">
                  <c:v>77.032434425679696</c:v>
                </c:pt>
                <c:pt idx="218">
                  <c:v>76.576038420351566</c:v>
                </c:pt>
                <c:pt idx="219">
                  <c:v>76.12425861444305</c:v>
                </c:pt>
                <c:pt idx="220">
                  <c:v>75.677029139301609</c:v>
                </c:pt>
                <c:pt idx="221">
                  <c:v>75.23428533752346</c:v>
                </c:pt>
                <c:pt idx="222">
                  <c:v>74.795963735731618</c:v>
                </c:pt>
                <c:pt idx="223">
                  <c:v>74.362002018076055</c:v>
                </c:pt>
                <c:pt idx="224">
                  <c:v>73.932339000433444</c:v>
                </c:pt>
                <c:pt idx="225">
                  <c:v>73.506914605286383</c:v>
                </c:pt>
                <c:pt idx="226">
                  <c:v>73.085669837259871</c:v>
                </c:pt>
                <c:pt idx="227">
                  <c:v>72.668546759297115</c:v>
                </c:pt>
                <c:pt idx="228">
                  <c:v>72.255488469453724</c:v>
                </c:pt>
                <c:pt idx="229">
                  <c:v>71.846439078292718</c:v>
                </c:pt>
                <c:pt idx="230">
                  <c:v>71.441343686862538</c:v>
                </c:pt>
                <c:pt idx="231">
                  <c:v>71.040148365240057</c:v>
                </c:pt>
                <c:pt idx="232">
                  <c:v>70.642800131622508</c:v>
                </c:pt>
                <c:pt idx="233">
                  <c:v>70.249246931951987</c:v>
                </c:pt>
                <c:pt idx="234">
                  <c:v>69.859437620056767</c:v>
                </c:pt>
                <c:pt idx="235">
                  <c:v>69.473321938294404</c:v>
                </c:pt>
                <c:pt idx="236">
                  <c:v>69.090850498682087</c:v>
                </c:pt>
                <c:pt idx="237">
                  <c:v>68.711974764500212</c:v>
                </c:pt>
                <c:pt idx="238">
                  <c:v>68.336647032355174</c:v>
                </c:pt>
                <c:pt idx="239">
                  <c:v>67.964820414688347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E5B-41CA-A9DF-5941E151A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696960"/>
        <c:axId val="268695040"/>
      </c:lineChart>
      <c:dateAx>
        <c:axId val="2686831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 rot="-2760000"/>
          <a:lstStyle/>
          <a:p>
            <a:pPr>
              <a:defRPr/>
            </a:pPr>
            <a:endParaRPr lang="en-US"/>
          </a:p>
        </c:txPr>
        <c:crossAx val="268684672"/>
        <c:crosses val="autoZero"/>
        <c:auto val="1"/>
        <c:lblOffset val="100"/>
        <c:baseTimeUnit val="months"/>
      </c:dateAx>
      <c:valAx>
        <c:axId val="268684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Crude/Liquids</a:t>
                </a:r>
                <a:r>
                  <a:rPr lang="en-CA" sz="1200" baseline="0"/>
                  <a:t> Production (bbl/day)</a:t>
                </a:r>
                <a:endParaRPr lang="en-CA" sz="1200"/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68683136"/>
        <c:crosses val="autoZero"/>
        <c:crossBetween val="between"/>
      </c:valAx>
      <c:valAx>
        <c:axId val="2686950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Gas Production (mcf/day)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68696960"/>
        <c:crosses val="max"/>
        <c:crossBetween val="between"/>
      </c:valAx>
      <c:dateAx>
        <c:axId val="2686969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68695040"/>
        <c:crosses val="autoZero"/>
        <c:auto val="1"/>
        <c:lblOffset val="100"/>
        <c:baseTimeUnit val="months"/>
      </c:dateAx>
    </c:plotArea>
    <c:legend>
      <c:legendPos val="r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Original Projected Decline Curves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Crude</c:v>
          </c:tx>
          <c:marker>
            <c:symbol val="none"/>
          </c:marker>
          <c:cat>
            <c:numRef>
              <c:f>'Initial Data'!$C$3:$V$3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'Initial Data'!$C$12:$V$12</c:f>
              <c:numCache>
                <c:formatCode>0</c:formatCode>
                <c:ptCount val="20"/>
                <c:pt idx="0">
                  <c:v>850</c:v>
                </c:pt>
                <c:pt idx="1">
                  <c:v>459.30607451324136</c:v>
                </c:pt>
                <c:pt idx="2">
                  <c:v>264.32768243612225</c:v>
                </c:pt>
                <c:pt idx="3">
                  <c:v>160.94681879988016</c:v>
                </c:pt>
                <c:pt idx="4">
                  <c:v>103.07977596221646</c:v>
                </c:pt>
                <c:pt idx="5">
                  <c:v>69.078353704288347</c:v>
                </c:pt>
                <c:pt idx="6">
                  <c:v>48.212193408126438</c:v>
                </c:pt>
                <c:pt idx="7">
                  <c:v>34.898168378389052</c:v>
                </c:pt>
                <c:pt idx="8">
                  <c:v>26.100878611588584</c:v>
                </c:pt>
                <c:pt idx="9">
                  <c:v>20.102990446521911</c:v>
                </c:pt>
                <c:pt idx="10">
                  <c:v>15.897078744314294</c:v>
                </c:pt>
                <c:pt idx="11">
                  <c:v>12.872370273061243</c:v>
                </c:pt>
                <c:pt idx="12">
                  <c:v>10.647275366810932</c:v>
                </c:pt>
                <c:pt idx="13">
                  <c:v>8.9767546722551135</c:v>
                </c:pt>
                <c:pt idx="14">
                  <c:v>7.6994509356696632</c:v>
                </c:pt>
                <c:pt idx="15">
                  <c:v>6.7066341288935796</c:v>
                </c:pt>
                <c:pt idx="16">
                  <c:v>5.9234690201512636</c:v>
                </c:pt>
                <c:pt idx="17">
                  <c:v>5.2974352741078645</c:v>
                </c:pt>
                <c:pt idx="18">
                  <c:v>4.7910048791872208</c:v>
                </c:pt>
                <c:pt idx="19">
                  <c:v>4.3769133829052356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D-414C-BE83-2F52B2B6D47F}"/>
            </c:ext>
          </c:extLst>
        </c:ser>
        <c:ser>
          <c:idx val="2"/>
          <c:order val="2"/>
          <c:tx>
            <c:v>Liquids</c:v>
          </c:tx>
          <c:marker>
            <c:symbol val="none"/>
          </c:marker>
          <c:val>
            <c:numRef>
              <c:f>'Initial Data'!$C$21:$V$21</c:f>
              <c:numCache>
                <c:formatCode>_(* #,##0_);_(* \(#,##0\);_(* "-"??_);_(@_)</c:formatCode>
                <c:ptCount val="20"/>
                <c:pt idx="0">
                  <c:v>457.14285714285717</c:v>
                </c:pt>
                <c:pt idx="1">
                  <c:v>129.52380952380949</c:v>
                </c:pt>
                <c:pt idx="2">
                  <c:v>98.666666666666643</c:v>
                </c:pt>
                <c:pt idx="3">
                  <c:v>83.866666666666646</c:v>
                </c:pt>
                <c:pt idx="4">
                  <c:v>71.286666666666633</c:v>
                </c:pt>
                <c:pt idx="5">
                  <c:v>62.231333333333311</c:v>
                </c:pt>
                <c:pt idx="6">
                  <c:v>56.008199999999988</c:v>
                </c:pt>
                <c:pt idx="7">
                  <c:v>50.407379999999982</c:v>
                </c:pt>
                <c:pt idx="8">
                  <c:v>45.366641999999985</c:v>
                </c:pt>
                <c:pt idx="9">
                  <c:v>40.829977799999988</c:v>
                </c:pt>
                <c:pt idx="10">
                  <c:v>36.746980019999988</c:v>
                </c:pt>
                <c:pt idx="11">
                  <c:v>33.072282017999989</c:v>
                </c:pt>
                <c:pt idx="12">
                  <c:v>29.765053816199991</c:v>
                </c:pt>
                <c:pt idx="13">
                  <c:v>26.788548434579997</c:v>
                </c:pt>
                <c:pt idx="14">
                  <c:v>24.109693591121996</c:v>
                </c:pt>
                <c:pt idx="15">
                  <c:v>21.698724232009798</c:v>
                </c:pt>
                <c:pt idx="16">
                  <c:v>19.528851808808817</c:v>
                </c:pt>
                <c:pt idx="17">
                  <c:v>17.575966627927937</c:v>
                </c:pt>
                <c:pt idx="18">
                  <c:v>15.81836996513514</c:v>
                </c:pt>
                <c:pt idx="19">
                  <c:v>14.236532968621626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D-414C-BE83-2F52B2B6D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427712"/>
        <c:axId val="259437696"/>
      </c:lineChart>
      <c:lineChart>
        <c:grouping val="standard"/>
        <c:varyColors val="0"/>
        <c:ser>
          <c:idx val="0"/>
          <c:order val="0"/>
          <c:tx>
            <c:v>Gas</c:v>
          </c:tx>
          <c:marker>
            <c:symbol val="none"/>
          </c:marker>
          <c:cat>
            <c:numRef>
              <c:f>'Initial Data'!$C$3:$V$3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'Initial Data'!$C$19:$V$19</c:f>
              <c:numCache>
                <c:formatCode>_(* #,##0_);_(* \(#,##0\);_(* "-"??_);_(@_)</c:formatCode>
                <c:ptCount val="20"/>
                <c:pt idx="0">
                  <c:v>2400</c:v>
                </c:pt>
                <c:pt idx="1">
                  <c:v>679.99999999999989</c:v>
                </c:pt>
                <c:pt idx="2">
                  <c:v>517.99999999999989</c:v>
                </c:pt>
                <c:pt idx="3">
                  <c:v>440.2999999999999</c:v>
                </c:pt>
                <c:pt idx="4">
                  <c:v>374.25499999999982</c:v>
                </c:pt>
                <c:pt idx="5">
                  <c:v>326.71449999999987</c:v>
                </c:pt>
                <c:pt idx="6">
                  <c:v>294.04304999999994</c:v>
                </c:pt>
                <c:pt idx="7">
                  <c:v>264.63874499999991</c:v>
                </c:pt>
                <c:pt idx="8">
                  <c:v>238.17487049999991</c:v>
                </c:pt>
                <c:pt idx="9">
                  <c:v>214.35738344999993</c:v>
                </c:pt>
                <c:pt idx="10">
                  <c:v>192.92164510499993</c:v>
                </c:pt>
                <c:pt idx="11">
                  <c:v>173.62948059449994</c:v>
                </c:pt>
                <c:pt idx="12">
                  <c:v>156.26653253504995</c:v>
                </c:pt>
                <c:pt idx="13">
                  <c:v>140.63987928154498</c:v>
                </c:pt>
                <c:pt idx="14">
                  <c:v>126.57589135339047</c:v>
                </c:pt>
                <c:pt idx="15">
                  <c:v>113.91830221805144</c:v>
                </c:pt>
                <c:pt idx="16">
                  <c:v>102.52647199624629</c:v>
                </c:pt>
                <c:pt idx="17">
                  <c:v>92.273824796621668</c:v>
                </c:pt>
                <c:pt idx="18">
                  <c:v>83.046442316959485</c:v>
                </c:pt>
                <c:pt idx="19">
                  <c:v>74.74179808526354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D-414C-BE83-2F52B2B6D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445120"/>
        <c:axId val="259439232"/>
      </c:lineChart>
      <c:catAx>
        <c:axId val="259427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180000"/>
          <a:lstStyle/>
          <a:p>
            <a:pPr>
              <a:defRPr/>
            </a:pPr>
            <a:endParaRPr lang="en-US"/>
          </a:p>
        </c:txPr>
        <c:crossAx val="259437696"/>
        <c:crosses val="autoZero"/>
        <c:auto val="1"/>
        <c:lblAlgn val="ctr"/>
        <c:lblOffset val="100"/>
        <c:noMultiLvlLbl val="0"/>
      </c:catAx>
      <c:valAx>
        <c:axId val="2594376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59427712"/>
        <c:crosses val="autoZero"/>
        <c:crossBetween val="midCat"/>
      </c:valAx>
      <c:valAx>
        <c:axId val="259439232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259445120"/>
        <c:crosses val="max"/>
        <c:crossBetween val="between"/>
      </c:valAx>
      <c:catAx>
        <c:axId val="259445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9439232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CA" sz="2000"/>
              <a:t>Projected P90 Cumulative</a:t>
            </a:r>
            <a:r>
              <a:rPr lang="en-CA" sz="2000" baseline="0"/>
              <a:t> Production</a:t>
            </a:r>
            <a:endParaRPr lang="en-CA" sz="20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'Decline and Model'!$W$8</c:f>
              <c:strCache>
                <c:ptCount val="1"/>
                <c:pt idx="0">
                  <c:v>Cumulative Oil</c:v>
                </c:pt>
              </c:strCache>
            </c:strRef>
          </c:tx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Model'!$W$9:$W$248</c:f>
              <c:numCache>
                <c:formatCode>_(* #,##0_);_(* \(#,##0\);_(* "-"??_);_(@_)</c:formatCode>
                <c:ptCount val="240"/>
                <c:pt idx="0">
                  <c:v>23193.406673217971</c:v>
                </c:pt>
                <c:pt idx="1">
                  <c:v>45268.319662527327</c:v>
                </c:pt>
                <c:pt idx="2">
                  <c:v>66286.566859412793</c:v>
                </c:pt>
                <c:pt idx="3">
                  <c:v>86306.128798689781</c:v>
                </c:pt>
                <c:pt idx="4">
                  <c:v>105381.40441124057</c:v>
                </c:pt>
                <c:pt idx="5">
                  <c:v>123563.45662691603</c:v>
                </c:pt>
                <c:pt idx="6">
                  <c:v>140900.23948939826</c:v>
                </c:pt>
                <c:pt idx="7">
                  <c:v>157436.80829687582</c:v>
                </c:pt>
                <c:pt idx="8">
                  <c:v>173215.51414856539</c:v>
                </c:pt>
                <c:pt idx="9">
                  <c:v>188276.18415598469</c:v>
                </c:pt>
                <c:pt idx="10">
                  <c:v>202656.28846815653</c:v>
                </c:pt>
                <c:pt idx="11">
                  <c:v>216391.09516045841</c:v>
                </c:pt>
                <c:pt idx="12">
                  <c:v>229513.8139466024</c:v>
                </c:pt>
                <c:pt idx="13">
                  <c:v>242055.72959132088</c:v>
                </c:pt>
                <c:pt idx="14">
                  <c:v>254046.32582692677</c:v>
                </c:pt>
                <c:pt idx="15">
                  <c:v>265513.40050927934</c:v>
                </c:pt>
                <c:pt idx="16">
                  <c:v>276483.17268715956</c:v>
                </c:pt>
                <c:pt idx="17">
                  <c:v>286980.382203057</c:v>
                </c:pt>
                <c:pt idx="18">
                  <c:v>297028.38239235769</c:v>
                </c:pt>
                <c:pt idx="19">
                  <c:v>306649.22640143358</c:v>
                </c:pt>
                <c:pt idx="20">
                  <c:v>315863.74760273058</c:v>
                </c:pt>
                <c:pt idx="21">
                  <c:v>324691.63454626093</c:v>
                </c:pt>
                <c:pt idx="22">
                  <c:v>333151.50085157191</c:v>
                </c:pt>
                <c:pt idx="23">
                  <c:v>341260.95041197957</c:v>
                </c:pt>
                <c:pt idx="24">
                  <c:v>349036.6382533423</c:v>
                </c:pt>
                <c:pt idx="25">
                  <c:v>356494.32736264839</c:v>
                </c:pt>
                <c:pt idx="26">
                  <c:v>363648.94177697942</c:v>
                </c:pt>
                <c:pt idx="27">
                  <c:v>370514.61620077642</c:v>
                </c:pt>
                <c:pt idx="28">
                  <c:v>377104.74239859538</c:v>
                </c:pt>
                <c:pt idx="29">
                  <c:v>383432.01259152126</c:v>
                </c:pt>
                <c:pt idx="30">
                  <c:v>389508.46006796282</c:v>
                </c:pt>
                <c:pt idx="31">
                  <c:v>395345.4972035372</c:v>
                </c:pt>
                <c:pt idx="32">
                  <c:v>400953.9510700446</c:v>
                </c:pt>
                <c:pt idx="33">
                  <c:v>406344.09680001962</c:v>
                </c:pt>
                <c:pt idx="34">
                  <c:v>411525.68886092043</c:v>
                </c:pt>
                <c:pt idx="35">
                  <c:v>416507.99038158794</c:v>
                </c:pt>
                <c:pt idx="36">
                  <c:v>421299.80066308758</c:v>
                </c:pt>
                <c:pt idx="37">
                  <c:v>425909.48099636147</c:v>
                </c:pt>
                <c:pt idx="38">
                  <c:v>430344.97890019516</c:v>
                </c:pt>
                <c:pt idx="39">
                  <c:v>434613.8508847786</c:v>
                </c:pt>
                <c:pt idx="40">
                  <c:v>438723.28383855609</c:v>
                </c:pt>
                <c:pt idx="41">
                  <c:v>442680.11512906291</c:v>
                </c:pt>
                <c:pt idx="42">
                  <c:v>446490.85150198627</c:v>
                </c:pt>
                <c:pt idx="43">
                  <c:v>450161.68685672362</c:v>
                </c:pt>
                <c:pt idx="44">
                  <c:v>453698.51897119911</c:v>
                </c:pt>
                <c:pt idx="45">
                  <c:v>457106.96524360502</c:v>
                </c:pt>
                <c:pt idx="46">
                  <c:v>460392.3775140238</c:v>
                </c:pt>
                <c:pt idx="47">
                  <c:v>463559.85602452606</c:v>
                </c:pt>
                <c:pt idx="48">
                  <c:v>466614.2625723065</c:v>
                </c:pt>
                <c:pt idx="49">
                  <c:v>469560.23290668282</c:v>
                </c:pt>
                <c:pt idx="50">
                  <c:v>472402.1884173209</c:v>
                </c:pt>
                <c:pt idx="51">
                  <c:v>475144.34715784207</c:v>
                </c:pt>
                <c:pt idx="52">
                  <c:v>477790.73424599326</c:v>
                </c:pt>
                <c:pt idx="53">
                  <c:v>480345.1916788012</c:v>
                </c:pt>
                <c:pt idx="54">
                  <c:v>482811.38759857178</c:v>
                </c:pt>
                <c:pt idx="55">
                  <c:v>485192.82504321769</c:v>
                </c:pt>
                <c:pt idx="56">
                  <c:v>487492.85021219007</c:v>
                </c:pt>
                <c:pt idx="57">
                  <c:v>489714.66027723782</c:v>
                </c:pt>
                <c:pt idx="58">
                  <c:v>491861.31076531188</c:v>
                </c:pt>
                <c:pt idx="59">
                  <c:v>493935.72253915784</c:v>
                </c:pt>
                <c:pt idx="60">
                  <c:v>495940.68839949212</c:v>
                </c:pt>
                <c:pt idx="61">
                  <c:v>497878.87933111988</c:v>
                </c:pt>
                <c:pt idx="62">
                  <c:v>499752.85041392577</c:v>
                </c:pt>
                <c:pt idx="63">
                  <c:v>501565.04641833663</c:v>
                </c:pt>
                <c:pt idx="64">
                  <c:v>503317.80710361537</c:v>
                </c:pt>
                <c:pt idx="65">
                  <c:v>505013.37223619031</c:v>
                </c:pt>
                <c:pt idx="66">
                  <c:v>506653.88634414581</c:v>
                </c:pt>
                <c:pt idx="67">
                  <c:v>508241.40322299622</c:v>
                </c:pt>
                <c:pt idx="68">
                  <c:v>509777.8902069265</c:v>
                </c:pt>
                <c:pt idx="69">
                  <c:v>511265.23221880879</c:v>
                </c:pt>
                <c:pt idx="70">
                  <c:v>512705.23561148613</c:v>
                </c:pt>
                <c:pt idx="71">
                  <c:v>514099.63181205228</c:v>
                </c:pt>
                <c:pt idx="72">
                  <c:v>515450.0807801428</c:v>
                </c:pt>
                <c:pt idx="73">
                  <c:v>516758.17429058679</c:v>
                </c:pt>
                <c:pt idx="74">
                  <c:v>518025.43905014504</c:v>
                </c:pt>
                <c:pt idx="75">
                  <c:v>519253.33965747809</c:v>
                </c:pt>
                <c:pt idx="76">
                  <c:v>520443.28141494188</c:v>
                </c:pt>
                <c:pt idx="77">
                  <c:v>521596.61300029902</c:v>
                </c:pt>
                <c:pt idx="78">
                  <c:v>522714.62900595571</c:v>
                </c:pt>
                <c:pt idx="79">
                  <c:v>523798.57235288672</c:v>
                </c:pt>
                <c:pt idx="80">
                  <c:v>524849.63658599253</c:v>
                </c:pt>
                <c:pt idx="81">
                  <c:v>525868.96805723896</c:v>
                </c:pt>
                <c:pt idx="82">
                  <c:v>526857.66800256236</c:v>
                </c:pt>
                <c:pt idx="83">
                  <c:v>527816.79451817775</c:v>
                </c:pt>
                <c:pt idx="84">
                  <c:v>528747.36444160389</c:v>
                </c:pt>
                <c:pt idx="85">
                  <c:v>529650.3551424148</c:v>
                </c:pt>
                <c:pt idx="86">
                  <c:v>530526.70622744306</c:v>
                </c:pt>
                <c:pt idx="87">
                  <c:v>531377.32116489217</c:v>
                </c:pt>
                <c:pt idx="88">
                  <c:v>532203.06883156323</c:v>
                </c:pt>
                <c:pt idx="89">
                  <c:v>533004.78498716652</c:v>
                </c:pt>
                <c:pt idx="90">
                  <c:v>533783.27367946529</c:v>
                </c:pt>
                <c:pt idx="91">
                  <c:v>534539.30858379102</c:v>
                </c:pt>
                <c:pt idx="92">
                  <c:v>535273.63428027462</c:v>
                </c:pt>
                <c:pt idx="93">
                  <c:v>535986.96747195104</c:v>
                </c:pt>
                <c:pt idx="94">
                  <c:v>536679.99814672384</c:v>
                </c:pt>
                <c:pt idx="95">
                  <c:v>537353.39068601152</c:v>
                </c:pt>
                <c:pt idx="96">
                  <c:v>538007.7849227452</c:v>
                </c:pt>
                <c:pt idx="97">
                  <c:v>538643.79715124052</c:v>
                </c:pt>
                <c:pt idx="98">
                  <c:v>539262.02109133301</c:v>
                </c:pt>
                <c:pt idx="99">
                  <c:v>539863.02880903555</c:v>
                </c:pt>
                <c:pt idx="100">
                  <c:v>540447.3715958579</c:v>
                </c:pt>
                <c:pt idx="101">
                  <c:v>541015.58080881194</c:v>
                </c:pt>
                <c:pt idx="102">
                  <c:v>541568.16867302137</c:v>
                </c:pt>
                <c:pt idx="103">
                  <c:v>542105.62904875097</c:v>
                </c:pt>
                <c:pt idx="104">
                  <c:v>542628.43816457747</c:v>
                </c:pt>
                <c:pt idx="105">
                  <c:v>543137.05531833135</c:v>
                </c:pt>
                <c:pt idx="106">
                  <c:v>543631.92354735662</c:v>
                </c:pt>
                <c:pt idx="107">
                  <c:v>544113.47026955255</c:v>
                </c:pt>
                <c:pt idx="108">
                  <c:v>544582.10789658793</c:v>
                </c:pt>
                <c:pt idx="109">
                  <c:v>545038.23442060547</c:v>
                </c:pt>
                <c:pt idx="110">
                  <c:v>545482.23397566739</c:v>
                </c:pt>
                <c:pt idx="111">
                  <c:v>545914.47737512726</c:v>
                </c:pt>
                <c:pt idx="112">
                  <c:v>546335.32262605638</c:v>
                </c:pt>
                <c:pt idx="113">
                  <c:v>546745.11542179226</c:v>
                </c:pt>
                <c:pt idx="114">
                  <c:v>547144.18961362517</c:v>
                </c:pt>
                <c:pt idx="115">
                  <c:v>547532.86766258662</c:v>
                </c:pt>
                <c:pt idx="116">
                  <c:v>547911.46107225609</c:v>
                </c:pt>
                <c:pt idx="117">
                  <c:v>548280.27080345573</c:v>
                </c:pt>
                <c:pt idx="118">
                  <c:v>548639.58767166093</c:v>
                </c:pt>
                <c:pt idx="119">
                  <c:v>548989.6927279121</c:v>
                </c:pt>
                <c:pt idx="120">
                  <c:v>549330.85762397549</c:v>
                </c:pt>
                <c:pt idx="121">
                  <c:v>549663.3449624643</c:v>
                </c:pt>
                <c:pt idx="122">
                  <c:v>549987.40863259463</c:v>
                </c:pt>
                <c:pt idx="123">
                  <c:v>550303.29413222161</c:v>
                </c:pt>
                <c:pt idx="124">
                  <c:v>550611.23887676536</c:v>
                </c:pt>
                <c:pt idx="125">
                  <c:v>550911.47249561106</c:v>
                </c:pt>
                <c:pt idx="126">
                  <c:v>551204.21711653622</c:v>
                </c:pt>
                <c:pt idx="127">
                  <c:v>551489.68763869361</c:v>
                </c:pt>
                <c:pt idx="128">
                  <c:v>551768.09199465194</c:v>
                </c:pt>
                <c:pt idx="129">
                  <c:v>552039.63140197401</c:v>
                </c:pt>
                <c:pt idx="130">
                  <c:v>552304.50060478644</c:v>
                </c:pt>
                <c:pt idx="131">
                  <c:v>552562.88810577779</c:v>
                </c:pt>
                <c:pt idx="132">
                  <c:v>552814.97638903721</c:v>
                </c:pt>
                <c:pt idx="133">
                  <c:v>553060.94213412912</c:v>
                </c:pt>
                <c:pt idx="134">
                  <c:v>553300.95642178028</c:v>
                </c:pt>
                <c:pt idx="135">
                  <c:v>553535.18493153749</c:v>
                </c:pt>
                <c:pt idx="136">
                  <c:v>553763.7881317382</c:v>
                </c:pt>
                <c:pt idx="137">
                  <c:v>553986.9214621206</c:v>
                </c:pt>
                <c:pt idx="138">
                  <c:v>554204.73550938442</c:v>
                </c:pt>
                <c:pt idx="139">
                  <c:v>554417.37617599906</c:v>
                </c:pt>
                <c:pt idx="140">
                  <c:v>554624.98484254314</c:v>
                </c:pt>
                <c:pt idx="141">
                  <c:v>554827.69852384587</c:v>
                </c:pt>
                <c:pt idx="142">
                  <c:v>555025.6500191883</c:v>
                </c:pt>
                <c:pt idx="143">
                  <c:v>555218.96805681125</c:v>
                </c:pt>
                <c:pt idx="144">
                  <c:v>555407.7774329664</c:v>
                </c:pt>
                <c:pt idx="145">
                  <c:v>555592.19914573338</c:v>
                </c:pt>
                <c:pt idx="146">
                  <c:v>555772.35052382038</c:v>
                </c:pt>
                <c:pt idx="147">
                  <c:v>555948.345350552</c:v>
                </c:pt>
                <c:pt idx="148">
                  <c:v>556120.29398324119</c:v>
                </c:pt>
                <c:pt idx="149">
                  <c:v>556288.30346813251</c:v>
                </c:pt>
                <c:pt idx="150">
                  <c:v>556452.477651097</c:v>
                </c:pt>
                <c:pt idx="151">
                  <c:v>556612.91728424898</c:v>
                </c:pt>
                <c:pt idx="152">
                  <c:v>556769.7201286495</c:v>
                </c:pt>
                <c:pt idx="153">
                  <c:v>556922.98105325282</c:v>
                </c:pt>
                <c:pt idx="154">
                  <c:v>557072.79213024687</c:v>
                </c:pt>
                <c:pt idx="155">
                  <c:v>557219.24272692972</c:v>
                </c:pt>
                <c:pt idx="156">
                  <c:v>557362.41959426075</c:v>
                </c:pt>
                <c:pt idx="157">
                  <c:v>557502.40695221745</c:v>
                </c:pt>
                <c:pt idx="158">
                  <c:v>557639.28657208337</c:v>
                </c:pt>
                <c:pt idx="159">
                  <c:v>557773.13785578834</c:v>
                </c:pt>
                <c:pt idx="160">
                  <c:v>557904.03791241557</c:v>
                </c:pt>
                <c:pt idx="161">
                  <c:v>558032.06163198687</c:v>
                </c:pt>
                <c:pt idx="162">
                  <c:v>558157.28175663052</c:v>
                </c:pt>
                <c:pt idx="163">
                  <c:v>558279.76894923509</c:v>
                </c:pt>
                <c:pt idx="164">
                  <c:v>558399.59185968363</c:v>
                </c:pt>
                <c:pt idx="165">
                  <c:v>558516.81718876399</c:v>
                </c:pt>
                <c:pt idx="166">
                  <c:v>558631.50974984234</c:v>
                </c:pt>
                <c:pt idx="167">
                  <c:v>558743.73252838606</c:v>
                </c:pt>
                <c:pt idx="168">
                  <c:v>558853.54673941841</c:v>
                </c:pt>
                <c:pt idx="169">
                  <c:v>558961.01188298245</c:v>
                </c:pt>
                <c:pt idx="170">
                  <c:v>559066.18579769041</c:v>
                </c:pt>
                <c:pt idx="171">
                  <c:v>559169.12471243017</c:v>
                </c:pt>
                <c:pt idx="172">
                  <c:v>559269.8832962981</c:v>
                </c:pt>
                <c:pt idx="173">
                  <c:v>559368.51470682526</c:v>
                </c:pt>
                <c:pt idx="174">
                  <c:v>559465.07063655963</c:v>
                </c:pt>
                <c:pt idx="175">
                  <c:v>559559.60135806701</c:v>
                </c:pt>
                <c:pt idx="176">
                  <c:v>559652.1557674075</c:v>
                </c:pt>
                <c:pt idx="177">
                  <c:v>559742.78142614558</c:v>
                </c:pt>
                <c:pt idx="178">
                  <c:v>559831.5246019467</c:v>
                </c:pt>
                <c:pt idx="179">
                  <c:v>559918.43030781287</c:v>
                </c:pt>
                <c:pt idx="180">
                  <c:v>560003.54234000656</c:v>
                </c:pt>
                <c:pt idx="181">
                  <c:v>560086.90331471188</c:v>
                </c:pt>
                <c:pt idx="182">
                  <c:v>560168.55470347719</c:v>
                </c:pt>
                <c:pt idx="183">
                  <c:v>560248.53686748538</c:v>
                </c:pt>
                <c:pt idx="184">
                  <c:v>560326.88909069262</c:v>
                </c:pt>
                <c:pt idx="185">
                  <c:v>560403.64961187704</c:v>
                </c:pt>
                <c:pt idx="186">
                  <c:v>560478.85565563687</c:v>
                </c:pt>
                <c:pt idx="187">
                  <c:v>560552.54346237448</c:v>
                </c:pt>
                <c:pt idx="188">
                  <c:v>560624.74831730383</c:v>
                </c:pt>
                <c:pt idx="189">
                  <c:v>560695.50457851531</c:v>
                </c:pt>
                <c:pt idx="190">
                  <c:v>560764.84570413164</c:v>
                </c:pt>
                <c:pt idx="191">
                  <c:v>560832.80427858722</c:v>
                </c:pt>
                <c:pt idx="192">
                  <c:v>560899.41203806107</c:v>
                </c:pt>
                <c:pt idx="193">
                  <c:v>560964.69989509415</c:v>
                </c:pt>
                <c:pt idx="194">
                  <c:v>561028.69796241913</c:v>
                </c:pt>
                <c:pt idx="195">
                  <c:v>561091.43557602982</c:v>
                </c:pt>
                <c:pt idx="196">
                  <c:v>561152.94131751708</c:v>
                </c:pt>
                <c:pt idx="197">
                  <c:v>561213.24303569726</c:v>
                </c:pt>
                <c:pt idx="198">
                  <c:v>561272.36786755628</c:v>
                </c:pt>
                <c:pt idx="199">
                  <c:v>561330.34225853451</c:v>
                </c:pt>
                <c:pt idx="200">
                  <c:v>561387.19198217371</c:v>
                </c:pt>
                <c:pt idx="201">
                  <c:v>561442.94215914933</c:v>
                </c:pt>
                <c:pt idx="202">
                  <c:v>561497.61727570801</c:v>
                </c:pt>
                <c:pt idx="203">
                  <c:v>561551.24120153114</c:v>
                </c:pt>
                <c:pt idx="204">
                  <c:v>561603.83720704401</c:v>
                </c:pt>
                <c:pt idx="205">
                  <c:v>561655.4279801891</c:v>
                </c:pt>
                <c:pt idx="206">
                  <c:v>561706.03564268211</c:v>
                </c:pt>
                <c:pt idx="207">
                  <c:v>561755.68176576728</c:v>
                </c:pt>
                <c:pt idx="208">
                  <c:v>561804.38738548988</c:v>
                </c:pt>
                <c:pt idx="209">
                  <c:v>561852.17301750137</c:v>
                </c:pt>
                <c:pt idx="210">
                  <c:v>561899.05867141287</c:v>
                </c:pt>
                <c:pt idx="211">
                  <c:v>561945.06386471249</c:v>
                </c:pt>
                <c:pt idx="212">
                  <c:v>561990.20763626043</c:v>
                </c:pt>
                <c:pt idx="213">
                  <c:v>562034.50855937588</c:v>
                </c:pt>
                <c:pt idx="214">
                  <c:v>562077.9847545299</c:v>
                </c:pt>
                <c:pt idx="215">
                  <c:v>562120.65390165627</c:v>
                </c:pt>
                <c:pt idx="216">
                  <c:v>562162.53325209382</c:v>
                </c:pt>
                <c:pt idx="217">
                  <c:v>562203.6396401712</c:v>
                </c:pt>
                <c:pt idx="218">
                  <c:v>562243.98949444701</c:v>
                </c:pt>
                <c:pt idx="219">
                  <c:v>562283.59884861542</c:v>
                </c:pt>
                <c:pt idx="220">
                  <c:v>562322.48335208895</c:v>
                </c:pt>
                <c:pt idx="221">
                  <c:v>562360.6582802682</c:v>
                </c:pt>
                <c:pt idx="222">
                  <c:v>562398.1385445093</c:v>
                </c:pt>
                <c:pt idx="223">
                  <c:v>562434.93870179832</c:v>
                </c:pt>
                <c:pt idx="224">
                  <c:v>562471.07296414208</c:v>
                </c:pt>
                <c:pt idx="225">
                  <c:v>562506.55520768475</c:v>
                </c:pt>
                <c:pt idx="226">
                  <c:v>562541.39898155862</c:v>
                </c:pt>
                <c:pt idx="227">
                  <c:v>562575.61751647794</c:v>
                </c:pt>
                <c:pt idx="228">
                  <c:v>562609.22373308346</c:v>
                </c:pt>
                <c:pt idx="229">
                  <c:v>562642.23025004601</c:v>
                </c:pt>
                <c:pt idx="230">
                  <c:v>562674.64939193637</c:v>
                </c:pt>
                <c:pt idx="231">
                  <c:v>562706.49319686939</c:v>
                </c:pt>
                <c:pt idx="232">
                  <c:v>562737.77342392842</c:v>
                </c:pt>
                <c:pt idx="233">
                  <c:v>562768.50156037812</c:v>
                </c:pt>
                <c:pt idx="234">
                  <c:v>562798.68882867123</c:v>
                </c:pt>
                <c:pt idx="235">
                  <c:v>562828.34619325656</c:v>
                </c:pt>
                <c:pt idx="236">
                  <c:v>562857.48436719354</c:v>
                </c:pt>
                <c:pt idx="237">
                  <c:v>562886.11381858017</c:v>
                </c:pt>
                <c:pt idx="238">
                  <c:v>562914.24477679946</c:v>
                </c:pt>
                <c:pt idx="239">
                  <c:v>562941.8872385904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85-4EA6-A3AD-BD187E99F0E1}"/>
            </c:ext>
          </c:extLst>
        </c:ser>
        <c:ser>
          <c:idx val="2"/>
          <c:order val="2"/>
          <c:tx>
            <c:strRef>
              <c:f>'Decline and Model'!$Y$8</c:f>
              <c:strCache>
                <c:ptCount val="1"/>
                <c:pt idx="0">
                  <c:v>Cumulative Liquids</c:v>
                </c:pt>
              </c:strCache>
            </c:strRef>
          </c:tx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Model'!$Y$9:$Y$248</c:f>
              <c:numCache>
                <c:formatCode>_(* #,##0_);_(* \(#,##0\);_(* "-"??_);_(@_)</c:formatCode>
                <c:ptCount val="240"/>
                <c:pt idx="0">
                  <c:v>16200.485016032455</c:v>
                </c:pt>
                <c:pt idx="1">
                  <c:v>31224.026741466783</c:v>
                </c:pt>
                <c:pt idx="2">
                  <c:v>45209.967427386531</c:v>
                </c:pt>
                <c:pt idx="3">
                  <c:v>58275.378180161119</c:v>
                </c:pt>
                <c:pt idx="4">
                  <c:v>70519.458440383823</c:v>
                </c:pt>
                <c:pt idx="5">
                  <c:v>82026.914747289455</c:v>
                </c:pt>
                <c:pt idx="6">
                  <c:v>92870.587881115745</c:v>
                </c:pt>
                <c:pt idx="7">
                  <c:v>103113.51869906303</c:v>
                </c:pt>
                <c:pt idx="8">
                  <c:v>112810.58938470675</c:v>
                </c:pt>
                <c:pt idx="9">
                  <c:v>122009.83973915421</c:v>
                </c:pt>
                <c:pt idx="10">
                  <c:v>130753.53206891507</c:v>
                </c:pt>
                <c:pt idx="11">
                  <c:v>139079.01963293416</c:v>
                </c:pt>
                <c:pt idx="12">
                  <c:v>147019.46017706074</c:v>
                </c:pt>
                <c:pt idx="13">
                  <c:v>154604.40625813842</c:v>
                </c:pt>
                <c:pt idx="14">
                  <c:v>161860.29679111973</c:v>
                </c:pt>
                <c:pt idx="15">
                  <c:v>168810.86881875113</c:v>
                </c:pt>
                <c:pt idx="16">
                  <c:v>175477.50440122478</c:v>
                </c:pt>
                <c:pt idx="17">
                  <c:v>181879.5243978911</c:v>
                </c:pt>
                <c:pt idx="18">
                  <c:v>188034.43851154463</c:v>
                </c:pt>
                <c:pt idx="19">
                  <c:v>193958.15910542692</c:v>
                </c:pt>
                <c:pt idx="20">
                  <c:v>199665.18485101758</c:v>
                </c:pt>
                <c:pt idx="21">
                  <c:v>205168.7591231874</c:v>
                </c:pt>
                <c:pt idx="22">
                  <c:v>210481.00715587658</c:v>
                </c:pt>
                <c:pt idx="23">
                  <c:v>215613.05525191349</c:v>
                </c:pt>
                <c:pt idx="24">
                  <c:v>220575.13476402304</c:v>
                </c:pt>
                <c:pt idx="25">
                  <c:v>225376.6730994274</c:v>
                </c:pt>
                <c:pt idx="26">
                  <c:v>230026.37362395573</c:v>
                </c:pt>
                <c:pt idx="27">
                  <c:v>234532.28603494633</c:v>
                </c:pt>
                <c:pt idx="28">
                  <c:v>238901.86852125725</c:v>
                </c:pt>
                <c:pt idx="29">
                  <c:v>243142.0428223286</c:v>
                </c:pt>
                <c:pt idx="30">
                  <c:v>247259.2431277789</c:v>
                </c:pt>
                <c:pt idx="31">
                  <c:v>251259.45961761737</c:v>
                </c:pt>
                <c:pt idx="32">
                  <c:v>255148.27732538103</c:v>
                </c:pt>
                <c:pt idx="33">
                  <c:v>258930.91090802694</c:v>
                </c:pt>
                <c:pt idx="34">
                  <c:v>262612.2358237569</c:v>
                </c:pt>
                <c:pt idx="35">
                  <c:v>266196.8163493324</c:v>
                </c:pt>
                <c:pt idx="36">
                  <c:v>269688.930809593</c:v>
                </c:pt>
                <c:pt idx="37">
                  <c:v>273092.59434199025</c:v>
                </c:pt>
                <c:pt idx="38">
                  <c:v>276411.57947649685</c:v>
                </c:pt>
                <c:pt idx="39">
                  <c:v>279649.43477502541</c:v>
                </c:pt>
                <c:pt idx="40">
                  <c:v>282809.50174348737</c:v>
                </c:pt>
                <c:pt idx="41">
                  <c:v>285894.9302030133</c:v>
                </c:pt>
                <c:pt idx="42">
                  <c:v>288908.69228395383</c:v>
                </c:pt>
                <c:pt idx="43">
                  <c:v>291853.59518652066</c:v>
                </c:pt>
                <c:pt idx="44">
                  <c:v>294732.29283482948</c:v>
                </c:pt>
                <c:pt idx="45">
                  <c:v>297547.2965362824</c:v>
                </c:pt>
                <c:pt idx="46">
                  <c:v>300300.98474533792</c:v>
                </c:pt>
                <c:pt idx="47">
                  <c:v>302995.61201948725</c:v>
                </c:pt>
                <c:pt idx="48">
                  <c:v>305633.3172454501</c:v>
                </c:pt>
                <c:pt idx="49">
                  <c:v>308216.13120502036</c:v>
                </c:pt>
                <c:pt idx="50">
                  <c:v>310745.98354246671</c:v>
                </c:pt>
                <c:pt idx="51">
                  <c:v>313224.70918878063</c:v>
                </c:pt>
                <c:pt idx="52">
                  <c:v>315654.05429224012</c:v>
                </c:pt>
                <c:pt idx="53">
                  <c:v>318035.68169962231</c:v>
                </c:pt>
                <c:pt idx="54">
                  <c:v>320371.1760278584</c:v>
                </c:pt>
                <c:pt idx="55">
                  <c:v>322662.0483619048</c:v>
                </c:pt>
                <c:pt idx="56">
                  <c:v>324909.74061104091</c:v>
                </c:pt>
                <c:pt idx="57">
                  <c:v>327115.62955263635</c:v>
                </c:pt>
                <c:pt idx="58">
                  <c:v>329281.03058961302</c:v>
                </c:pt>
                <c:pt idx="59">
                  <c:v>331407.20124531613</c:v>
                </c:pt>
                <c:pt idx="60">
                  <c:v>333495.34441726567</c:v>
                </c:pt>
                <c:pt idx="61">
                  <c:v>335546.61140925536</c:v>
                </c:pt>
                <c:pt idx="62">
                  <c:v>337562.10475947254</c:v>
                </c:pt>
                <c:pt idx="63">
                  <c:v>339542.88088070165</c:v>
                </c:pt>
                <c:pt idx="64">
                  <c:v>341489.95252723031</c:v>
                </c:pt>
                <c:pt idx="65">
                  <c:v>343404.29110177729</c:v>
                </c:pt>
                <c:pt idx="66">
                  <c:v>345286.82881459239</c:v>
                </c:pt>
                <c:pt idx="67">
                  <c:v>347138.46070582338</c:v>
                </c:pt>
                <c:pt idx="68">
                  <c:v>348960.04654129391</c:v>
                </c:pt>
                <c:pt idx="69">
                  <c:v>350752.41259097593</c:v>
                </c:pt>
                <c:pt idx="70">
                  <c:v>352516.35329866171</c:v>
                </c:pt>
                <c:pt idx="71">
                  <c:v>354252.63285063574</c:v>
                </c:pt>
                <c:pt idx="72">
                  <c:v>355961.98665050766</c:v>
                </c:pt>
                <c:pt idx="73">
                  <c:v>357645.12270678574</c:v>
                </c:pt>
                <c:pt idx="74">
                  <c:v>359302.72293924406</c:v>
                </c:pt>
                <c:pt idx="75">
                  <c:v>360935.44440965523</c:v>
                </c:pt>
                <c:pt idx="76">
                  <c:v>362543.92048202362</c:v>
                </c:pt>
                <c:pt idx="77">
                  <c:v>364128.76191705524</c:v>
                </c:pt>
                <c:pt idx="78">
                  <c:v>365690.55790523597</c:v>
                </c:pt>
                <c:pt idx="79">
                  <c:v>367229.87704255781</c:v>
                </c:pt>
                <c:pt idx="80">
                  <c:v>368747.26825262792</c:v>
                </c:pt>
                <c:pt idx="81">
                  <c:v>370243.26165861759</c:v>
                </c:pt>
                <c:pt idx="82">
                  <c:v>371718.36940825265</c:v>
                </c:pt>
                <c:pt idx="83">
                  <c:v>373173.08645481273</c:v>
                </c:pt>
                <c:pt idx="84">
                  <c:v>374607.89129689278</c:v>
                </c:pt>
                <c:pt idx="85">
                  <c:v>376023.24667948211</c:v>
                </c:pt>
                <c:pt idx="86">
                  <c:v>377419.60025873553</c:v>
                </c:pt>
                <c:pt idx="87">
                  <c:v>378797.38523264369</c:v>
                </c:pt>
                <c:pt idx="88">
                  <c:v>380157.02093965677</c:v>
                </c:pt>
                <c:pt idx="89">
                  <c:v>381498.91342717293</c:v>
                </c:pt>
                <c:pt idx="90">
                  <c:v>382823.4559916734</c:v>
                </c:pt>
                <c:pt idx="91">
                  <c:v>384131.02969216462</c:v>
                </c:pt>
                <c:pt idx="92">
                  <c:v>385422.00383847649</c:v>
                </c:pt>
                <c:pt idx="93">
                  <c:v>386696.73645586357</c:v>
                </c:pt>
                <c:pt idx="94">
                  <c:v>387955.5747272594</c:v>
                </c:pt>
                <c:pt idx="95">
                  <c:v>389198.85541444703</c:v>
                </c:pt>
                <c:pt idx="96">
                  <c:v>390426.90525932651</c:v>
                </c:pt>
                <c:pt idx="97">
                  <c:v>391640.04136638431</c:v>
                </c:pt>
                <c:pt idx="98">
                  <c:v>392838.57156739943</c:v>
                </c:pt>
                <c:pt idx="99">
                  <c:v>394022.79476935585</c:v>
                </c:pt>
                <c:pt idx="100">
                  <c:v>395193.00128646981</c:v>
                </c:pt>
                <c:pt idx="101">
                  <c:v>396349.47315718426</c:v>
                </c:pt>
                <c:pt idx="102">
                  <c:v>397492.48444693093</c:v>
                </c:pt>
                <c:pt idx="103">
                  <c:v>398622.30153741041</c:v>
                </c:pt>
                <c:pt idx="104">
                  <c:v>399739.18340309669</c:v>
                </c:pt>
                <c:pt idx="105">
                  <c:v>400843.38187562872</c:v>
                </c:pt>
                <c:pt idx="106">
                  <c:v>401935.14189671353</c:v>
                </c:pt>
                <c:pt idx="107">
                  <c:v>403014.70176012703</c:v>
                </c:pt>
                <c:pt idx="108">
                  <c:v>404082.29334336612</c:v>
                </c:pt>
                <c:pt idx="109">
                  <c:v>405138.14232947148</c:v>
                </c:pt>
                <c:pt idx="110">
                  <c:v>406182.46841951204</c:v>
                </c:pt>
                <c:pt idx="111">
                  <c:v>407215.48553619348</c:v>
                </c:pt>
                <c:pt idx="112">
                  <c:v>408237.40201902651</c:v>
                </c:pt>
                <c:pt idx="113">
                  <c:v>409248.42081146687</c:v>
                </c:pt>
                <c:pt idx="114">
                  <c:v>410248.73964041483</c:v>
                </c:pt>
                <c:pt idx="115">
                  <c:v>411238.55118844198</c:v>
                </c:pt>
                <c:pt idx="116">
                  <c:v>412218.04325909115</c:v>
                </c:pt>
                <c:pt idx="117">
                  <c:v>413187.39893557789</c:v>
                </c:pt>
                <c:pt idx="118">
                  <c:v>414146.79673320265</c:v>
                </c:pt>
                <c:pt idx="119">
                  <c:v>415096.41074576776</c:v>
                </c:pt>
                <c:pt idx="120">
                  <c:v>416036.41078627593</c:v>
                </c:pt>
                <c:pt idx="121">
                  <c:v>416966.96252217353</c:v>
                </c:pt>
                <c:pt idx="122">
                  <c:v>417888.22760538734</c:v>
                </c:pt>
                <c:pt idx="123">
                  <c:v>418800.36379739072</c:v>
                </c:pt>
                <c:pt idx="124">
                  <c:v>419703.52508952294</c:v>
                </c:pt>
                <c:pt idx="125">
                  <c:v>420597.86181877321</c:v>
                </c:pt>
                <c:pt idx="126">
                  <c:v>421483.52077923127</c:v>
                </c:pt>
                <c:pt idx="127">
                  <c:v>422360.64532939513</c:v>
                </c:pt>
                <c:pt idx="128">
                  <c:v>423229.37549551704</c:v>
                </c:pt>
                <c:pt idx="129">
                  <c:v>424089.84807116014</c:v>
                </c:pt>
                <c:pt idx="130">
                  <c:v>424942.19671312941</c:v>
                </c:pt>
                <c:pt idx="131">
                  <c:v>425786.55203393201</c:v>
                </c:pt>
                <c:pt idx="132">
                  <c:v>426623.04169091512</c:v>
                </c:pt>
                <c:pt idx="133">
                  <c:v>427451.79047222203</c:v>
                </c:pt>
                <c:pt idx="134">
                  <c:v>428272.92037969944</c:v>
                </c:pt>
                <c:pt idx="135">
                  <c:v>429086.55070888432</c:v>
                </c:pt>
                <c:pt idx="136">
                  <c:v>429892.79812619061</c:v>
                </c:pt>
                <c:pt idx="137">
                  <c:v>430691.77674341173</c:v>
                </c:pt>
                <c:pt idx="138">
                  <c:v>431483.59818964842</c:v>
                </c:pt>
                <c:pt idx="139">
                  <c:v>432268.3716807671</c:v>
                </c:pt>
                <c:pt idx="140">
                  <c:v>433046.20408648835</c:v>
                </c:pt>
                <c:pt idx="141">
                  <c:v>433817.19999520067</c:v>
                </c:pt>
                <c:pt idx="142">
                  <c:v>434581.46177659067</c:v>
                </c:pt>
                <c:pt idx="143">
                  <c:v>435339.08964217594</c:v>
                </c:pt>
                <c:pt idx="144">
                  <c:v>436090.18170382368</c:v>
                </c:pt>
                <c:pt idx="145">
                  <c:v>436834.83403033385</c:v>
                </c:pt>
                <c:pt idx="146">
                  <c:v>437573.14070216235</c:v>
                </c:pt>
                <c:pt idx="147">
                  <c:v>438305.19386435597</c:v>
                </c:pt>
                <c:pt idx="148">
                  <c:v>439031.08377776854</c:v>
                </c:pt>
                <c:pt idx="149">
                  <c:v>439750.89886862331</c:v>
                </c:pt>
                <c:pt idx="150">
                  <c:v>440464.72577648511</c:v>
                </c:pt>
                <c:pt idx="151">
                  <c:v>441172.64940070192</c:v>
                </c:pt>
                <c:pt idx="152">
                  <c:v>441874.75294537371</c:v>
                </c:pt>
                <c:pt idx="153">
                  <c:v>442571.1179629034</c:v>
                </c:pt>
                <c:pt idx="154">
                  <c:v>443261.82439618278</c:v>
                </c:pt>
                <c:pt idx="155">
                  <c:v>443946.95061946346</c:v>
                </c:pt>
                <c:pt idx="156">
                  <c:v>444626.57347796171</c:v>
                </c:pt>
                <c:pt idx="157">
                  <c:v>445300.76832624292</c:v>
                </c:pt>
                <c:pt idx="158">
                  <c:v>445969.60906543012</c:v>
                </c:pt>
                <c:pt idx="159">
                  <c:v>446633.16817927919</c:v>
                </c:pt>
                <c:pt idx="160">
                  <c:v>447291.51676916122</c:v>
                </c:pt>
                <c:pt idx="161">
                  <c:v>447944.72458799131</c:v>
                </c:pt>
                <c:pt idx="162">
                  <c:v>448592.86007314076</c:v>
                </c:pt>
                <c:pt idx="163">
                  <c:v>449235.99037836911</c:v>
                </c:pt>
                <c:pt idx="164">
                  <c:v>449874.18140480993</c:v>
                </c:pt>
                <c:pt idx="165">
                  <c:v>450507.49783104367</c:v>
                </c:pt>
                <c:pt idx="166">
                  <c:v>451136.00314228947</c:v>
                </c:pt>
                <c:pt idx="167">
                  <c:v>451759.75965874584</c:v>
                </c:pt>
                <c:pt idx="168">
                  <c:v>452378.82856310986</c:v>
                </c:pt>
                <c:pt idx="169">
                  <c:v>452993.2699273029</c:v>
                </c:pt>
                <c:pt idx="170">
                  <c:v>453603.14273842971</c:v>
                </c:pt>
                <c:pt idx="171">
                  <c:v>454208.5049239971</c:v>
                </c:pt>
                <c:pt idx="172">
                  <c:v>454809.41337641649</c:v>
                </c:pt>
                <c:pt idx="173">
                  <c:v>455405.92397681513</c:v>
                </c:pt>
                <c:pt idx="174">
                  <c:v>455998.09161817835</c:v>
                </c:pt>
                <c:pt idx="175">
                  <c:v>456585.9702278453</c:v>
                </c:pt>
                <c:pt idx="176">
                  <c:v>457169.61278937932</c:v>
                </c:pt>
                <c:pt idx="177">
                  <c:v>457749.07136383356</c:v>
                </c:pt>
                <c:pt idx="178">
                  <c:v>458324.39711043157</c:v>
                </c:pt>
                <c:pt idx="179">
                  <c:v>458895.64030668174</c:v>
                </c:pt>
                <c:pt idx="180">
                  <c:v>459462.85036794381</c:v>
                </c:pt>
                <c:pt idx="181">
                  <c:v>460026.0758664654</c:v>
                </c:pt>
                <c:pt idx="182">
                  <c:v>460585.36454990506</c:v>
                </c:pt>
                <c:pt idx="183">
                  <c:v>461140.76335935848</c:v>
                </c:pt>
                <c:pt idx="184">
                  <c:v>461692.31844690331</c:v>
                </c:pt>
                <c:pt idx="185">
                  <c:v>462240.07519267802</c:v>
                </c:pt>
                <c:pt idx="186">
                  <c:v>462784.07822150929</c:v>
                </c:pt>
                <c:pt idx="187">
                  <c:v>463324.37141910184</c:v>
                </c:pt>
                <c:pt idx="188">
                  <c:v>463860.99794780457</c:v>
                </c:pt>
                <c:pt idx="189">
                  <c:v>464394.00026196596</c:v>
                </c:pt>
                <c:pt idx="190">
                  <c:v>464923.42012289126</c:v>
                </c:pt>
                <c:pt idx="191">
                  <c:v>465449.29861341376</c:v>
                </c:pt>
                <c:pt idx="192">
                  <c:v>465971.67615209182</c:v>
                </c:pt>
                <c:pt idx="193">
                  <c:v>466490.5925070431</c:v>
                </c:pt>
                <c:pt idx="194">
                  <c:v>467006.08680942678</c:v>
                </c:pt>
                <c:pt idx="195">
                  <c:v>467518.19756658463</c:v>
                </c:pt>
                <c:pt idx="196">
                  <c:v>468026.96267485048</c:v>
                </c:pt>
                <c:pt idx="197">
                  <c:v>468532.41943203885</c:v>
                </c:pt>
                <c:pt idx="198">
                  <c:v>469034.60454962146</c:v>
                </c:pt>
                <c:pt idx="199">
                  <c:v>469533.55416460114</c:v>
                </c:pt>
                <c:pt idx="200">
                  <c:v>470029.30385109212</c:v>
                </c:pt>
                <c:pt idx="201">
                  <c:v>470521.88863161497</c:v>
                </c:pt>
                <c:pt idx="202">
                  <c:v>471011.34298811475</c:v>
                </c:pt>
                <c:pt idx="203">
                  <c:v>471497.70087271027</c:v>
                </c:pt>
                <c:pt idx="204">
                  <c:v>471980.99571818212</c:v>
                </c:pt>
                <c:pt idx="205">
                  <c:v>472461.26044820721</c:v>
                </c:pt>
                <c:pt idx="206">
                  <c:v>472938.52748734655</c:v>
                </c:pt>
                <c:pt idx="207">
                  <c:v>473412.82877079403</c:v>
                </c:pt>
                <c:pt idx="208">
                  <c:v>473884.19575389224</c:v>
                </c:pt>
                <c:pt idx="209">
                  <c:v>474352.65942142234</c:v>
                </c:pt>
                <c:pt idx="210">
                  <c:v>474818.2502966742</c:v>
                </c:pt>
                <c:pt idx="211">
                  <c:v>475280.99845030275</c:v>
                </c:pt>
                <c:pt idx="212">
                  <c:v>475740.93350897671</c:v>
                </c:pt>
                <c:pt idx="213">
                  <c:v>476198.08466382552</c:v>
                </c:pt>
                <c:pt idx="214">
                  <c:v>476652.48067868972</c:v>
                </c:pt>
                <c:pt idx="215">
                  <c:v>477104.14989818051</c:v>
                </c:pt>
                <c:pt idx="216">
                  <c:v>477553.12025555316</c:v>
                </c:pt>
                <c:pt idx="217">
                  <c:v>477999.41928040038</c:v>
                </c:pt>
                <c:pt idx="218">
                  <c:v>478443.07410616911</c:v>
                </c:pt>
                <c:pt idx="219">
                  <c:v>478884.11147750675</c:v>
                </c:pt>
                <c:pt idx="220">
                  <c:v>479322.55775744078</c:v>
                </c:pt>
                <c:pt idx="221">
                  <c:v>479758.43893439625</c:v>
                </c:pt>
                <c:pt idx="222">
                  <c:v>480191.78062905563</c:v>
                </c:pt>
                <c:pt idx="223">
                  <c:v>480622.6081010651</c:v>
                </c:pt>
                <c:pt idx="224">
                  <c:v>481050.94625559141</c:v>
                </c:pt>
                <c:pt idx="225">
                  <c:v>481476.81964973314</c:v>
                </c:pt>
                <c:pt idx="226">
                  <c:v>481900.25249879027</c:v>
                </c:pt>
                <c:pt idx="227">
                  <c:v>482321.26868239575</c:v>
                </c:pt>
                <c:pt idx="228">
                  <c:v>482739.89175051241</c:v>
                </c:pt>
                <c:pt idx="229">
                  <c:v>483156.14492929936</c:v>
                </c:pt>
                <c:pt idx="230">
                  <c:v>483570.05112685025</c:v>
                </c:pt>
                <c:pt idx="231">
                  <c:v>483981.6329388076</c:v>
                </c:pt>
                <c:pt idx="232">
                  <c:v>484390.91265385586</c:v>
                </c:pt>
                <c:pt idx="233">
                  <c:v>484797.91225909651</c:v>
                </c:pt>
                <c:pt idx="234">
                  <c:v>485202.65344530798</c:v>
                </c:pt>
                <c:pt idx="235">
                  <c:v>485605.15761209332</c:v>
                </c:pt>
                <c:pt idx="236">
                  <c:v>486005.44587291899</c:v>
                </c:pt>
                <c:pt idx="237">
                  <c:v>486403.53906004666</c:v>
                </c:pt>
                <c:pt idx="238">
                  <c:v>486799.45772936108</c:v>
                </c:pt>
                <c:pt idx="239">
                  <c:v>487193.22216509696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285-4EA6-A3AD-BD187E99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790784"/>
        <c:axId val="268800768"/>
      </c:lineChart>
      <c:lineChart>
        <c:grouping val="standard"/>
        <c:varyColors val="0"/>
        <c:ser>
          <c:idx val="1"/>
          <c:order val="1"/>
          <c:tx>
            <c:strRef>
              <c:f>'Decline and Model'!$X$8</c:f>
              <c:strCache>
                <c:ptCount val="1"/>
                <c:pt idx="0">
                  <c:v>Cumulative Gas</c:v>
                </c:pt>
              </c:strCache>
            </c:strRef>
          </c:tx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Model'!$X$9:$X$248</c:f>
              <c:numCache>
                <c:formatCode>_(* #,##0_);_(* \(#,##0\);_(* "-"??_);_(@_)</c:formatCode>
                <c:ptCount val="240"/>
                <c:pt idx="0">
                  <c:v>85052.546334170387</c:v>
                </c:pt>
                <c:pt idx="1">
                  <c:v>163926.14039270062</c:v>
                </c:pt>
                <c:pt idx="2">
                  <c:v>237352.32899377929</c:v>
                </c:pt>
                <c:pt idx="3">
                  <c:v>305945.73544584587</c:v>
                </c:pt>
                <c:pt idx="4">
                  <c:v>370227.15681201505</c:v>
                </c:pt>
                <c:pt idx="5">
                  <c:v>430641.3024232696</c:v>
                </c:pt>
                <c:pt idx="6">
                  <c:v>487570.58637585765</c:v>
                </c:pt>
                <c:pt idx="7">
                  <c:v>541345.97317008092</c:v>
                </c:pt>
                <c:pt idx="8">
                  <c:v>592255.59426971036</c:v>
                </c:pt>
                <c:pt idx="9">
                  <c:v>640551.65863055957</c:v>
                </c:pt>
                <c:pt idx="10">
                  <c:v>686456.0433618041</c:v>
                </c:pt>
                <c:pt idx="11">
                  <c:v>730164.85307290428</c:v>
                </c:pt>
                <c:pt idx="12">
                  <c:v>771852.16592956882</c:v>
                </c:pt>
                <c:pt idx="13">
                  <c:v>811673.13285522664</c:v>
                </c:pt>
                <c:pt idx="14">
                  <c:v>849766.55815337843</c:v>
                </c:pt>
                <c:pt idx="15">
                  <c:v>886257.06129844335</c:v>
                </c:pt>
                <c:pt idx="16">
                  <c:v>921256.89810642996</c:v>
                </c:pt>
                <c:pt idx="17">
                  <c:v>954867.50308892806</c:v>
                </c:pt>
                <c:pt idx="18">
                  <c:v>987180.80218560924</c:v>
                </c:pt>
                <c:pt idx="19">
                  <c:v>1018280.3353034913</c:v>
                </c:pt>
                <c:pt idx="20">
                  <c:v>1048242.2204678422</c:v>
                </c:pt>
                <c:pt idx="21">
                  <c:v>1077135.9853967337</c:v>
                </c:pt>
                <c:pt idx="22">
                  <c:v>1105025.287568352</c:v>
                </c:pt>
                <c:pt idx="23">
                  <c:v>1131968.5400725459</c:v>
                </c:pt>
                <c:pt idx="24">
                  <c:v>1158019.4575111209</c:v>
                </c:pt>
                <c:pt idx="25">
                  <c:v>1183227.5337719938</c:v>
                </c:pt>
                <c:pt idx="26">
                  <c:v>1207638.4615257676</c:v>
                </c:pt>
                <c:pt idx="27">
                  <c:v>1231294.5016834682</c:v>
                </c:pt>
                <c:pt idx="28">
                  <c:v>1254234.8097366006</c:v>
                </c:pt>
                <c:pt idx="29">
                  <c:v>1276495.7248172252</c:v>
                </c:pt>
                <c:pt idx="30">
                  <c:v>1298111.0264208394</c:v>
                </c:pt>
                <c:pt idx="31">
                  <c:v>1319112.1629924914</c:v>
                </c:pt>
                <c:pt idx="32">
                  <c:v>1339528.4559582507</c:v>
                </c:pt>
                <c:pt idx="33">
                  <c:v>1359387.2822671416</c:v>
                </c:pt>
                <c:pt idx="34">
                  <c:v>1378714.2380747239</c:v>
                </c:pt>
                <c:pt idx="35">
                  <c:v>1397533.2858339951</c:v>
                </c:pt>
                <c:pt idx="36">
                  <c:v>1415866.8867503633</c:v>
                </c:pt>
                <c:pt idx="37">
                  <c:v>1433736.1202954487</c:v>
                </c:pt>
                <c:pt idx="38">
                  <c:v>1451160.7922516083</c:v>
                </c:pt>
                <c:pt idx="39">
                  <c:v>1468159.5325688832</c:v>
                </c:pt>
                <c:pt idx="40">
                  <c:v>1484749.8841533086</c:v>
                </c:pt>
                <c:pt idx="41">
                  <c:v>1500948.3835658196</c:v>
                </c:pt>
                <c:pt idx="42">
                  <c:v>1516770.6344907575</c:v>
                </c:pt>
                <c:pt idx="43">
                  <c:v>1532231.3747292333</c:v>
                </c:pt>
                <c:pt idx="44">
                  <c:v>1547344.5373828546</c:v>
                </c:pt>
                <c:pt idx="45">
                  <c:v>1562123.3068154824</c:v>
                </c:pt>
                <c:pt idx="46">
                  <c:v>1576580.1699130239</c:v>
                </c:pt>
                <c:pt idx="47">
                  <c:v>1590726.9631023079</c:v>
                </c:pt>
                <c:pt idx="48">
                  <c:v>1604574.915538613</c:v>
                </c:pt>
                <c:pt idx="49">
                  <c:v>1618134.6888263568</c:v>
                </c:pt>
                <c:pt idx="50">
                  <c:v>1631416.4135979502</c:v>
                </c:pt>
                <c:pt idx="51">
                  <c:v>1644429.7232410985</c:v>
                </c:pt>
                <c:pt idx="52">
                  <c:v>1657183.7850342607</c:v>
                </c:pt>
                <c:pt idx="53">
                  <c:v>1669687.3289230173</c:v>
                </c:pt>
                <c:pt idx="54">
                  <c:v>1681948.6741462566</c:v>
                </c:pt>
                <c:pt idx="55">
                  <c:v>1693975.7539000004</c:v>
                </c:pt>
                <c:pt idx="56">
                  <c:v>1705776.1382079651</c:v>
                </c:pt>
                <c:pt idx="57">
                  <c:v>1717357.055151341</c:v>
                </c:pt>
                <c:pt idx="58">
                  <c:v>1728725.4105954685</c:v>
                </c:pt>
                <c:pt idx="59">
                  <c:v>1739887.8065379099</c:v>
                </c:pt>
                <c:pt idx="60">
                  <c:v>1750850.558190645</c:v>
                </c:pt>
                <c:pt idx="61">
                  <c:v>1761619.7098985908</c:v>
                </c:pt>
                <c:pt idx="62">
                  <c:v>1772201.0499872311</c:v>
                </c:pt>
                <c:pt idx="63">
                  <c:v>1782600.1246236842</c:v>
                </c:pt>
                <c:pt idx="64">
                  <c:v>1792822.2507679597</c:v>
                </c:pt>
                <c:pt idx="65">
                  <c:v>1802872.5282843316</c:v>
                </c:pt>
                <c:pt idx="66">
                  <c:v>1812755.8512766107</c:v>
                </c:pt>
                <c:pt idx="67">
                  <c:v>1822476.9187055735</c:v>
                </c:pt>
                <c:pt idx="68">
                  <c:v>1832040.2443417939</c:v>
                </c:pt>
                <c:pt idx="69">
                  <c:v>1841450.1661026247</c:v>
                </c:pt>
                <c:pt idx="70">
                  <c:v>1850710.8548179751</c:v>
                </c:pt>
                <c:pt idx="71">
                  <c:v>1859826.3224658389</c:v>
                </c:pt>
                <c:pt idx="72">
                  <c:v>1868800.4299151665</c:v>
                </c:pt>
                <c:pt idx="73">
                  <c:v>1877636.8942106264</c:v>
                </c:pt>
                <c:pt idx="74">
                  <c:v>1886339.2954310325</c:v>
                </c:pt>
                <c:pt idx="75">
                  <c:v>1894911.0831506911</c:v>
                </c:pt>
                <c:pt idx="76">
                  <c:v>1903355.5825306252</c:v>
                </c:pt>
                <c:pt idx="77">
                  <c:v>1911676.0000645411</c:v>
                </c:pt>
                <c:pt idx="78">
                  <c:v>1919875.4290024901</c:v>
                </c:pt>
                <c:pt idx="79">
                  <c:v>1927956.8544734297</c:v>
                </c:pt>
                <c:pt idx="80">
                  <c:v>1935923.1583262978</c:v>
                </c:pt>
                <c:pt idx="81">
                  <c:v>1943777.1237077436</c:v>
                </c:pt>
                <c:pt idx="82">
                  <c:v>1951521.4393933276</c:v>
                </c:pt>
                <c:pt idx="83">
                  <c:v>1959158.7038877681</c:v>
                </c:pt>
                <c:pt idx="84">
                  <c:v>1966691.4293086883</c:v>
                </c:pt>
                <c:pt idx="85">
                  <c:v>1974122.0450672824</c:v>
                </c:pt>
                <c:pt idx="86">
                  <c:v>1981452.9013583628</c:v>
                </c:pt>
                <c:pt idx="87">
                  <c:v>1988686.2724713807</c:v>
                </c:pt>
                <c:pt idx="88">
                  <c:v>1995824.3599331994</c:v>
                </c:pt>
                <c:pt idx="89">
                  <c:v>2002869.2954926593</c:v>
                </c:pt>
                <c:pt idx="90">
                  <c:v>2009823.1439562868</c:v>
                </c:pt>
                <c:pt idx="91">
                  <c:v>2016687.9058838657</c:v>
                </c:pt>
                <c:pt idx="92">
                  <c:v>2023465.520152003</c:v>
                </c:pt>
                <c:pt idx="93">
                  <c:v>2030157.8663932853</c:v>
                </c:pt>
                <c:pt idx="94">
                  <c:v>2036766.7673181135</c:v>
                </c:pt>
                <c:pt idx="95">
                  <c:v>2043293.9909258487</c:v>
                </c:pt>
                <c:pt idx="96">
                  <c:v>2049741.252611466</c:v>
                </c:pt>
                <c:pt idx="97">
                  <c:v>2056110.2171735193</c:v>
                </c:pt>
                <c:pt idx="98">
                  <c:v>2062402.5007288486</c:v>
                </c:pt>
                <c:pt idx="99">
                  <c:v>2068619.6725391198</c:v>
                </c:pt>
                <c:pt idx="100">
                  <c:v>2074763.2567539681</c:v>
                </c:pt>
                <c:pt idx="101">
                  <c:v>2080834.7340752189</c:v>
                </c:pt>
                <c:pt idx="102">
                  <c:v>2086835.5433463887</c:v>
                </c:pt>
                <c:pt idx="103">
                  <c:v>2092767.083071406</c:v>
                </c:pt>
                <c:pt idx="104">
                  <c:v>2098630.7128662588</c:v>
                </c:pt>
                <c:pt idx="105">
                  <c:v>2104427.754847052</c:v>
                </c:pt>
                <c:pt idx="106">
                  <c:v>2110159.4949577474</c:v>
                </c:pt>
                <c:pt idx="107">
                  <c:v>2115827.1842406685</c:v>
                </c:pt>
                <c:pt idx="108">
                  <c:v>2121432.0400526738</c:v>
                </c:pt>
                <c:pt idx="109">
                  <c:v>2126975.247229727</c:v>
                </c:pt>
                <c:pt idx="110">
                  <c:v>2132457.95920244</c:v>
                </c:pt>
                <c:pt idx="111">
                  <c:v>2137881.2990650176</c:v>
                </c:pt>
                <c:pt idx="112">
                  <c:v>2143246.3605998913</c:v>
                </c:pt>
                <c:pt idx="113">
                  <c:v>2148554.2092602029</c:v>
                </c:pt>
                <c:pt idx="114">
                  <c:v>2153805.8831121796</c:v>
                </c:pt>
                <c:pt idx="115">
                  <c:v>2159002.3937393222</c:v>
                </c:pt>
                <c:pt idx="116">
                  <c:v>2164144.7271102304</c:v>
                </c:pt>
                <c:pt idx="117">
                  <c:v>2169233.8444117857</c:v>
                </c:pt>
                <c:pt idx="118">
                  <c:v>2174270.6828493159</c:v>
                </c:pt>
                <c:pt idx="119">
                  <c:v>2179256.1564152827</c:v>
                </c:pt>
                <c:pt idx="120">
                  <c:v>2184191.1566279507</c:v>
                </c:pt>
                <c:pt idx="121">
                  <c:v>2189076.5532414131</c:v>
                </c:pt>
                <c:pt idx="122">
                  <c:v>2193913.1949282857</c:v>
                </c:pt>
                <c:pt idx="123">
                  <c:v>2198701.9099363037</c:v>
                </c:pt>
                <c:pt idx="124">
                  <c:v>2203443.5067199976</c:v>
                </c:pt>
                <c:pt idx="125">
                  <c:v>2208138.7745485613</c:v>
                </c:pt>
                <c:pt idx="126">
                  <c:v>2212788.4840909662</c:v>
                </c:pt>
                <c:pt idx="127">
                  <c:v>2217393.3879793263</c:v>
                </c:pt>
                <c:pt idx="128">
                  <c:v>2221954.2213514661</c:v>
                </c:pt>
                <c:pt idx="129">
                  <c:v>2226471.7023735926</c:v>
                </c:pt>
                <c:pt idx="130">
                  <c:v>2230946.5327439313</c:v>
                </c:pt>
                <c:pt idx="131">
                  <c:v>2235379.3981781448</c:v>
                </c:pt>
                <c:pt idx="132">
                  <c:v>2239770.9688773062</c:v>
                </c:pt>
                <c:pt idx="133">
                  <c:v>2244121.8999791676</c:v>
                </c:pt>
                <c:pt idx="134">
                  <c:v>2248432.8319934239</c:v>
                </c:pt>
                <c:pt idx="135">
                  <c:v>2252704.3912216444</c:v>
                </c:pt>
                <c:pt idx="136">
                  <c:v>2256937.1901625022</c:v>
                </c:pt>
                <c:pt idx="137">
                  <c:v>2261131.8279029131</c:v>
                </c:pt>
                <c:pt idx="138">
                  <c:v>2265288.8904956556</c:v>
                </c:pt>
                <c:pt idx="139">
                  <c:v>2269408.9513240284</c:v>
                </c:pt>
                <c:pt idx="140">
                  <c:v>2273492.5714540649</c:v>
                </c:pt>
                <c:pt idx="141">
                  <c:v>2277540.2999748047</c:v>
                </c:pt>
                <c:pt idx="142">
                  <c:v>2281552.674327102</c:v>
                </c:pt>
                <c:pt idx="143">
                  <c:v>2285530.2206214247</c:v>
                </c:pt>
                <c:pt idx="144">
                  <c:v>2289473.4539450752</c:v>
                </c:pt>
                <c:pt idx="145">
                  <c:v>2293382.8786592535</c:v>
                </c:pt>
                <c:pt idx="146">
                  <c:v>2297258.988686353</c:v>
                </c:pt>
                <c:pt idx="147">
                  <c:v>2301102.2677878696</c:v>
                </c:pt>
                <c:pt idx="148">
                  <c:v>2304913.1898332853</c:v>
                </c:pt>
                <c:pt idx="149">
                  <c:v>2308692.2190602729</c:v>
                </c:pt>
                <c:pt idx="150">
                  <c:v>2312439.8103265474</c:v>
                </c:pt>
                <c:pt idx="151">
                  <c:v>2316156.4093536856</c:v>
                </c:pt>
                <c:pt idx="152">
                  <c:v>2319842.4529632125</c:v>
                </c:pt>
                <c:pt idx="153">
                  <c:v>2323498.3693052432</c:v>
                </c:pt>
                <c:pt idx="154">
                  <c:v>2327124.5780799598</c:v>
                </c:pt>
                <c:pt idx="155">
                  <c:v>2330721.4907521834</c:v>
                </c:pt>
                <c:pt idx="156">
                  <c:v>2334289.5107592992</c:v>
                </c:pt>
                <c:pt idx="157">
                  <c:v>2337829.0337127754</c:v>
                </c:pt>
                <c:pt idx="158">
                  <c:v>2341340.4475935083</c:v>
                </c:pt>
                <c:pt idx="159">
                  <c:v>2344824.1329412158</c:v>
                </c:pt>
                <c:pt idx="160">
                  <c:v>2348280.4630380967</c:v>
                </c:pt>
                <c:pt idx="161">
                  <c:v>2351709.8040869548</c:v>
                </c:pt>
                <c:pt idx="162">
                  <c:v>2355112.5153839896</c:v>
                </c:pt>
                <c:pt idx="163">
                  <c:v>2358488.9494864387</c:v>
                </c:pt>
                <c:pt idx="164">
                  <c:v>2361839.4523752527</c:v>
                </c:pt>
                <c:pt idx="165">
                  <c:v>2365164.3636129801</c:v>
                </c:pt>
                <c:pt idx="166">
                  <c:v>2368464.0164970206</c:v>
                </c:pt>
                <c:pt idx="167">
                  <c:v>2371738.7382084164</c:v>
                </c:pt>
                <c:pt idx="168">
                  <c:v>2374988.8499563276</c:v>
                </c:pt>
                <c:pt idx="169">
                  <c:v>2378214.6671183412</c:v>
                </c:pt>
                <c:pt idx="170">
                  <c:v>2381416.4993767571</c:v>
                </c:pt>
                <c:pt idx="171">
                  <c:v>2384594.6508509857</c:v>
                </c:pt>
                <c:pt idx="172">
                  <c:v>2387749.4202261874</c:v>
                </c:pt>
                <c:pt idx="173">
                  <c:v>2390881.1008782801</c:v>
                </c:pt>
                <c:pt idx="174">
                  <c:v>2393989.9809954371</c:v>
                </c:pt>
                <c:pt idx="175">
                  <c:v>2397076.3436961886</c:v>
                </c:pt>
                <c:pt idx="176">
                  <c:v>2400140.467144242</c:v>
                </c:pt>
                <c:pt idx="177">
                  <c:v>2403182.6246601269</c:v>
                </c:pt>
                <c:pt idx="178">
                  <c:v>2406203.0848297663</c:v>
                </c:pt>
                <c:pt idx="179">
                  <c:v>2409202.1116100796</c:v>
                </c:pt>
                <c:pt idx="180">
                  <c:v>2412179.9644317054</c:v>
                </c:pt>
                <c:pt idx="181">
                  <c:v>2415136.8982989439</c:v>
                </c:pt>
                <c:pt idx="182">
                  <c:v>2418073.163887002</c:v>
                </c:pt>
                <c:pt idx="183">
                  <c:v>2420989.0076366328</c:v>
                </c:pt>
                <c:pt idx="184">
                  <c:v>2423884.6718462431</c:v>
                </c:pt>
                <c:pt idx="185">
                  <c:v>2426760.3947615605</c:v>
                </c:pt>
                <c:pt idx="186">
                  <c:v>2429616.4106629244</c:v>
                </c:pt>
                <c:pt idx="187">
                  <c:v>2432452.9499502853</c:v>
                </c:pt>
                <c:pt idx="188">
                  <c:v>2435270.2392259748</c:v>
                </c:pt>
                <c:pt idx="189">
                  <c:v>2438068.5013753222</c:v>
                </c:pt>
                <c:pt idx="190">
                  <c:v>2440847.9556451803</c:v>
                </c:pt>
                <c:pt idx="191">
                  <c:v>2443608.8177204235</c:v>
                </c:pt>
                <c:pt idx="192">
                  <c:v>2446351.299798483</c:v>
                </c:pt>
                <c:pt idx="193">
                  <c:v>2449075.610661977</c:v>
                </c:pt>
                <c:pt idx="194">
                  <c:v>2451781.9557494912</c:v>
                </c:pt>
                <c:pt idx="195">
                  <c:v>2454470.5372245698</c:v>
                </c:pt>
                <c:pt idx="196">
                  <c:v>2457141.5540429656</c:v>
                </c:pt>
                <c:pt idx="197">
                  <c:v>2459795.2020182046</c:v>
                </c:pt>
                <c:pt idx="198">
                  <c:v>2462431.6738855131</c:v>
                </c:pt>
                <c:pt idx="199">
                  <c:v>2465051.1593641564</c:v>
                </c:pt>
                <c:pt idx="200">
                  <c:v>2467653.8452182338</c:v>
                </c:pt>
                <c:pt idx="201">
                  <c:v>2470239.9153159787</c:v>
                </c:pt>
                <c:pt idx="202">
                  <c:v>2472809.5506876027</c:v>
                </c:pt>
                <c:pt idx="203">
                  <c:v>2475362.9295817292</c:v>
                </c:pt>
                <c:pt idx="204">
                  <c:v>2477900.2275204565</c:v>
                </c:pt>
                <c:pt idx="205">
                  <c:v>2480421.6173530882</c:v>
                </c:pt>
                <c:pt idx="206">
                  <c:v>2482927.2693085698</c:v>
                </c:pt>
                <c:pt idx="207">
                  <c:v>2485417.3510466688</c:v>
                </c:pt>
                <c:pt idx="208">
                  <c:v>2487892.0277079344</c:v>
                </c:pt>
                <c:pt idx="209">
                  <c:v>2490351.4619624675</c:v>
                </c:pt>
                <c:pt idx="210">
                  <c:v>2492795.8140575397</c:v>
                </c:pt>
                <c:pt idx="211">
                  <c:v>2495225.2418640894</c:v>
                </c:pt>
                <c:pt idx="212">
                  <c:v>2497639.9009221275</c:v>
                </c:pt>
                <c:pt idx="213">
                  <c:v>2500039.9444850837</c:v>
                </c:pt>
                <c:pt idx="214">
                  <c:v>2502425.523563121</c:v>
                </c:pt>
                <c:pt idx="215">
                  <c:v>2504796.7869654475</c:v>
                </c:pt>
                <c:pt idx="216">
                  <c:v>2507153.8813416539</c:v>
                </c:pt>
                <c:pt idx="217">
                  <c:v>2509496.9512221017</c:v>
                </c:pt>
                <c:pt idx="218">
                  <c:v>2511826.1390573876</c:v>
                </c:pt>
                <c:pt idx="219">
                  <c:v>2514141.5852569104</c:v>
                </c:pt>
                <c:pt idx="220">
                  <c:v>2516443.4282265641</c:v>
                </c:pt>
                <c:pt idx="221">
                  <c:v>2518731.8044055803</c:v>
                </c:pt>
                <c:pt idx="222">
                  <c:v>2521006.8483025422</c:v>
                </c:pt>
                <c:pt idx="223">
                  <c:v>2523268.692530592</c:v>
                </c:pt>
                <c:pt idx="224">
                  <c:v>2525517.4678418553</c:v>
                </c:pt>
                <c:pt idx="225">
                  <c:v>2527753.3031610996</c:v>
                </c:pt>
                <c:pt idx="226">
                  <c:v>2529976.3256186494</c:v>
                </c:pt>
                <c:pt idx="227">
                  <c:v>2532186.6605825778</c:v>
                </c:pt>
                <c:pt idx="228">
                  <c:v>2534384.4316901905</c:v>
                </c:pt>
                <c:pt idx="229">
                  <c:v>2536569.7608788218</c:v>
                </c:pt>
                <c:pt idx="230">
                  <c:v>2538742.7684159637</c:v>
                </c:pt>
                <c:pt idx="231">
                  <c:v>2540903.5729287397</c:v>
                </c:pt>
                <c:pt idx="232">
                  <c:v>2543052.2914327434</c:v>
                </c:pt>
                <c:pt idx="233">
                  <c:v>2545189.0393602569</c:v>
                </c:pt>
                <c:pt idx="234">
                  <c:v>2547313.9305878668</c:v>
                </c:pt>
                <c:pt idx="235">
                  <c:v>2549427.07746349</c:v>
                </c:pt>
                <c:pt idx="236">
                  <c:v>2551528.5908328248</c:v>
                </c:pt>
                <c:pt idx="237">
                  <c:v>2553618.5800652448</c:v>
                </c:pt>
                <c:pt idx="238">
                  <c:v>2555697.1530791456</c:v>
                </c:pt>
                <c:pt idx="239">
                  <c:v>2557764.4163667592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285-4EA6-A3AD-BD187E99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813056"/>
        <c:axId val="268802688"/>
      </c:lineChart>
      <c:dateAx>
        <c:axId val="268790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 rot="-2760000"/>
          <a:lstStyle/>
          <a:p>
            <a:pPr>
              <a:defRPr/>
            </a:pPr>
            <a:endParaRPr lang="en-US"/>
          </a:p>
        </c:txPr>
        <c:crossAx val="268800768"/>
        <c:crosses val="autoZero"/>
        <c:auto val="1"/>
        <c:lblOffset val="100"/>
        <c:baseTimeUnit val="months"/>
      </c:dateAx>
      <c:valAx>
        <c:axId val="268800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Cumulative Crude/Liquids</a:t>
                </a:r>
                <a:r>
                  <a:rPr lang="en-CA" sz="1200" baseline="0"/>
                  <a:t> Production (bbl)</a:t>
                </a:r>
                <a:endParaRPr lang="en-CA" sz="1200"/>
              </a:p>
            </c:rich>
          </c:tx>
          <c:overlay val="0"/>
        </c:title>
        <c:numFmt formatCode="_(* #,##0_);_(* \(#,##0\);_(* &quot;-&quot;??_);_(@_)" sourceLinked="0"/>
        <c:majorTickMark val="out"/>
        <c:minorTickMark val="none"/>
        <c:tickLblPos val="nextTo"/>
        <c:crossAx val="268790784"/>
        <c:crosses val="autoZero"/>
        <c:crossBetween val="between"/>
      </c:valAx>
      <c:valAx>
        <c:axId val="2688026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Cumulative Gas</a:t>
                </a:r>
                <a:r>
                  <a:rPr lang="en-CA" sz="1200" baseline="0"/>
                  <a:t> Production (mcf)</a:t>
                </a:r>
                <a:endParaRPr lang="en-CA" sz="1200"/>
              </a:p>
            </c:rich>
          </c:tx>
          <c:overlay val="0"/>
        </c:title>
        <c:numFmt formatCode="_(* #,##0_);_(* \(#,##0\);_(* &quot;-&quot;??_);_(@_)" sourceLinked="0"/>
        <c:majorTickMark val="out"/>
        <c:minorTickMark val="none"/>
        <c:tickLblPos val="nextTo"/>
        <c:crossAx val="268813056"/>
        <c:crosses val="max"/>
        <c:crossBetween val="between"/>
      </c:valAx>
      <c:dateAx>
        <c:axId val="2688130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68802688"/>
        <c:crosses val="autoZero"/>
        <c:auto val="1"/>
        <c:lblOffset val="100"/>
        <c:baseTimeUnit val="months"/>
      </c:dateAx>
    </c:plotArea>
    <c:legend>
      <c:legendPos val="b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'Decline and Model'!$CC$9:$CC$248</c:f>
              <c:numCache>
                <c:formatCode>_-"$"* #,##0_-;\-"$"* #,##0_-;_-"$"* "-"??_-;_-@_-</c:formatCode>
                <c:ptCount val="240"/>
                <c:pt idx="0">
                  <c:v>1293303.7590581211</c:v>
                </c:pt>
                <c:pt idx="1">
                  <c:v>1225347.8702506768</c:v>
                </c:pt>
                <c:pt idx="2">
                  <c:v>1162473.8269039621</c:v>
                </c:pt>
                <c:pt idx="3">
                  <c:v>1104115.1369827096</c:v>
                </c:pt>
                <c:pt idx="4">
                  <c:v>1049797.3268097034</c:v>
                </c:pt>
                <c:pt idx="5">
                  <c:v>999118.25494041084</c:v>
                </c:pt>
                <c:pt idx="6">
                  <c:v>951733.46988565382</c:v>
                </c:pt>
                <c:pt idx="7">
                  <c:v>907345.14863399591</c:v>
                </c:pt>
                <c:pt idx="8">
                  <c:v>865693.61926296982</c:v>
                </c:pt>
                <c:pt idx="9">
                  <c:v>854504.34127668198</c:v>
                </c:pt>
                <c:pt idx="10">
                  <c:v>705857.84090835834</c:v>
                </c:pt>
                <c:pt idx="11">
                  <c:v>605627.6542506516</c:v>
                </c:pt>
                <c:pt idx="12">
                  <c:v>579605.4903547375</c:v>
                </c:pt>
                <c:pt idx="13">
                  <c:v>555018.98798022512</c:v>
                </c:pt>
                <c:pt idx="14">
                  <c:v>531766.52792282682</c:v>
                </c:pt>
                <c:pt idx="15">
                  <c:v>509755.95697686565</c:v>
                </c:pt>
                <c:pt idx="16">
                  <c:v>488903.41786553152</c:v>
                </c:pt>
                <c:pt idx="17">
                  <c:v>469132.3644304449</c:v>
                </c:pt>
                <c:pt idx="18">
                  <c:v>450372.72667398321</c:v>
                </c:pt>
                <c:pt idx="19">
                  <c:v>432560.1980051467</c:v>
                </c:pt>
                <c:pt idx="20">
                  <c:v>415635.62291353778</c:v>
                </c:pt>
                <c:pt idx="21">
                  <c:v>417018.4848466246</c:v>
                </c:pt>
                <c:pt idx="22">
                  <c:v>401028.88432046713</c:v>
                </c:pt>
                <c:pt idx="23">
                  <c:v>385810.75291470491</c:v>
                </c:pt>
                <c:pt idx="24">
                  <c:v>371318.63486329629</c:v>
                </c:pt>
                <c:pt idx="25">
                  <c:v>357510.35217231314</c:v>
                </c:pt>
                <c:pt idx="26">
                  <c:v>344346.71114451851</c:v>
                </c:pt>
                <c:pt idx="27">
                  <c:v>331791.24176141195</c:v>
                </c:pt>
                <c:pt idx="28">
                  <c:v>319809.96539826767</c:v>
                </c:pt>
                <c:pt idx="29">
                  <c:v>308371.18708690046</c:v>
                </c:pt>
                <c:pt idx="30">
                  <c:v>297445.30914219143</c:v>
                </c:pt>
                <c:pt idx="31">
                  <c:v>287004.6634603159</c:v>
                </c:pt>
                <c:pt idx="32">
                  <c:v>277023.36020122864</c:v>
                </c:pt>
                <c:pt idx="33">
                  <c:v>288822.94167964719</c:v>
                </c:pt>
                <c:pt idx="34">
                  <c:v>278968.4384787305</c:v>
                </c:pt>
                <c:pt idx="35">
                  <c:v>269537.13076369616</c:v>
                </c:pt>
                <c:pt idx="36">
                  <c:v>260507.24900710786</c:v>
                </c:pt>
                <c:pt idx="37">
                  <c:v>251858.34469821223</c:v>
                </c:pt>
                <c:pt idx="38">
                  <c:v>243571.19584706132</c:v>
                </c:pt>
                <c:pt idx="39">
                  <c:v>235627.72051681299</c:v>
                </c:pt>
                <c:pt idx="40">
                  <c:v>228010.89756942674</c:v>
                </c:pt>
                <c:pt idx="41">
                  <c:v>220704.69390818657</c:v>
                </c:pt>
                <c:pt idx="42">
                  <c:v>213693.99758491328</c:v>
                </c:pt>
                <c:pt idx="43">
                  <c:v>206964.55621255923</c:v>
                </c:pt>
                <c:pt idx="44">
                  <c:v>200502.92018691736</c:v>
                </c:pt>
                <c:pt idx="45">
                  <c:v>208131.15133835759</c:v>
                </c:pt>
                <c:pt idx="46">
                  <c:v>201759.99639209744</c:v>
                </c:pt>
                <c:pt idx="47">
                  <c:v>195636.85898867546</c:v>
                </c:pt>
                <c:pt idx="48">
                  <c:v>189750.23154786974</c:v>
                </c:pt>
                <c:pt idx="49">
                  <c:v>184089.22785414744</c:v>
                </c:pt>
                <c:pt idx="50">
                  <c:v>178643.54443152901</c:v>
                </c:pt>
                <c:pt idx="51">
                  <c:v>173403.42467818171</c:v>
                </c:pt>
                <c:pt idx="52">
                  <c:v>168359.6255331912</c:v>
                </c:pt>
                <c:pt idx="53">
                  <c:v>163503.38646968547</c:v>
                </c:pt>
                <c:pt idx="54">
                  <c:v>158826.40062783725</c:v>
                </c:pt>
                <c:pt idx="55">
                  <c:v>154320.78791850226</c:v>
                </c:pt>
                <c:pt idx="56">
                  <c:v>149979.06994366017</c:v>
                </c:pt>
                <c:pt idx="57">
                  <c:v>148225.04457735753</c:v>
                </c:pt>
                <c:pt idx="58">
                  <c:v>144123.71667991835</c:v>
                </c:pt>
                <c:pt idx="59">
                  <c:v>140168.46864652151</c:v>
                </c:pt>
                <c:pt idx="60">
                  <c:v>136353.10313979257</c:v>
                </c:pt>
                <c:pt idx="61">
                  <c:v>132671.72724268114</c:v>
                </c:pt>
                <c:pt idx="62">
                  <c:v>129118.73542353431</c:v>
                </c:pt>
                <c:pt idx="63">
                  <c:v>125688.79357809416</c:v>
                </c:pt>
                <c:pt idx="64">
                  <c:v>122376.82407164373</c:v>
                </c:pt>
                <c:pt idx="65">
                  <c:v>119177.99171071444</c:v>
                </c:pt>
                <c:pt idx="66">
                  <c:v>116087.69057938803</c:v>
                </c:pt>
                <c:pt idx="67">
                  <c:v>113101.53168033887</c:v>
                </c:pt>
                <c:pt idx="68">
                  <c:v>110215.33132542728</c:v>
                </c:pt>
                <c:pt idx="69">
                  <c:v>109677.54136076606</c:v>
                </c:pt>
                <c:pt idx="70">
                  <c:v>106928.9337240998</c:v>
                </c:pt>
                <c:pt idx="71">
                  <c:v>104270.50450931213</c:v>
                </c:pt>
                <c:pt idx="72">
                  <c:v>101698.72259862661</c:v>
                </c:pt>
                <c:pt idx="73">
                  <c:v>99210.216799274378</c:v>
                </c:pt>
                <c:pt idx="74">
                  <c:v>96801.767622954663</c:v>
                </c:pt>
                <c:pt idx="75">
                  <c:v>94470.299539009007</c:v>
                </c:pt>
                <c:pt idx="76">
                  <c:v>92212.87367090302</c:v>
                </c:pt>
                <c:pt idx="77">
                  <c:v>90026.68090778077</c:v>
                </c:pt>
                <c:pt idx="78">
                  <c:v>87909.035404853479</c:v>
                </c:pt>
                <c:pt idx="79">
                  <c:v>85857.368448225519</c:v>
                </c:pt>
                <c:pt idx="80">
                  <c:v>83869.222661456559</c:v>
                </c:pt>
                <c:pt idx="81">
                  <c:v>83819.191077538911</c:v>
                </c:pt>
                <c:pt idx="82">
                  <c:v>81914.002789733087</c:v>
                </c:pt>
                <c:pt idx="83">
                  <c:v>80066.679580755241</c:v>
                </c:pt>
                <c:pt idx="84">
                  <c:v>78275.116950731637</c:v>
                </c:pt>
                <c:pt idx="85">
                  <c:v>76537.298959222491</c:v>
                </c:pt>
                <c:pt idx="86">
                  <c:v>74851.293999294227</c:v>
                </c:pt>
                <c:pt idx="87">
                  <c:v>73215.250796971988</c:v>
                </c:pt>
                <c:pt idx="88">
                  <c:v>71627.394622763299</c:v>
                </c:pt>
                <c:pt idx="89">
                  <c:v>70086.023702813371</c:v>
                </c:pt>
                <c:pt idx="90">
                  <c:v>68589.505818052989</c:v>
                </c:pt>
                <c:pt idx="91">
                  <c:v>67136.275080448075</c:v>
                </c:pt>
                <c:pt idx="92">
                  <c:v>65724.828876153973</c:v>
                </c:pt>
                <c:pt idx="93">
                  <c:v>65424.682825439944</c:v>
                </c:pt>
                <c:pt idx="94">
                  <c:v>64071.504368791066</c:v>
                </c:pt>
                <c:pt idx="95">
                  <c:v>62756.557260542948</c:v>
                </c:pt>
                <c:pt idx="96">
                  <c:v>61478.543263815402</c:v>
                </c:pt>
                <c:pt idx="97">
                  <c:v>60236.215178103623</c:v>
                </c:pt>
                <c:pt idx="98">
                  <c:v>59028.374563881196</c:v>
                </c:pt>
                <c:pt idx="99">
                  <c:v>57853.869580481689</c:v>
                </c:pt>
                <c:pt idx="100">
                  <c:v>56711.592931032588</c:v>
                </c:pt>
                <c:pt idx="101">
                  <c:v>55600.479908591762</c:v>
                </c:pt>
                <c:pt idx="102">
                  <c:v>54519.506537984766</c:v>
                </c:pt>
                <c:pt idx="103">
                  <c:v>53467.687808171744</c:v>
                </c:pt>
                <c:pt idx="104">
                  <c:v>52444.075990275502</c:v>
                </c:pt>
                <c:pt idx="105">
                  <c:v>52480.593293563987</c:v>
                </c:pt>
                <c:pt idx="106">
                  <c:v>51493.773035435726</c:v>
                </c:pt>
                <c:pt idx="107">
                  <c:v>50532.956828062248</c:v>
                </c:pt>
                <c:pt idx="108">
                  <c:v>49597.31686558963</c:v>
                </c:pt>
                <c:pt idx="109">
                  <c:v>48686.055874954996</c:v>
                </c:pt>
                <c:pt idx="110">
                  <c:v>47798.405837956474</c:v>
                </c:pt>
                <c:pt idx="111">
                  <c:v>46933.626773066484</c:v>
                </c:pt>
                <c:pt idx="112">
                  <c:v>46091.005573908013</c:v>
                </c:pt>
                <c:pt idx="113">
                  <c:v>45269.854901485771</c:v>
                </c:pt>
                <c:pt idx="114">
                  <c:v>44469.51212742948</c:v>
                </c:pt>
                <c:pt idx="115">
                  <c:v>43689.338325656761</c:v>
                </c:pt>
                <c:pt idx="116">
                  <c:v>42928.717310009553</c:v>
                </c:pt>
                <c:pt idx="117">
                  <c:v>43003.10673848541</c:v>
                </c:pt>
                <c:pt idx="118">
                  <c:v>42267.963251176145</c:v>
                </c:pt>
                <c:pt idx="119">
                  <c:v>41550.929170560383</c:v>
                </c:pt>
                <c:pt idx="120">
                  <c:v>40851.462139373689</c:v>
                </c:pt>
                <c:pt idx="121">
                  <c:v>40169.038637632388</c:v>
                </c:pt>
                <c:pt idx="122">
                  <c:v>39503.153239801497</c:v>
                </c:pt>
                <c:pt idx="123">
                  <c:v>38853.31790470636</c:v>
                </c:pt>
                <c:pt idx="124">
                  <c:v>38219.061296595872</c:v>
                </c:pt>
                <c:pt idx="125">
                  <c:v>37599.928135849164</c:v>
                </c:pt>
                <c:pt idx="126">
                  <c:v>36995.478577897644</c:v>
                </c:pt>
                <c:pt idx="127">
                  <c:v>36405.287619009527</c:v>
                </c:pt>
                <c:pt idx="128">
                  <c:v>35828.944527654348</c:v>
                </c:pt>
                <c:pt idx="129">
                  <c:v>35977.990606282037</c:v>
                </c:pt>
                <c:pt idx="130">
                  <c:v>35418.635077338775</c:v>
                </c:pt>
                <c:pt idx="131">
                  <c:v>34872.184333130142</c:v>
                </c:pt>
                <c:pt idx="132">
                  <c:v>34338.273591156554</c:v>
                </c:pt>
                <c:pt idx="133">
                  <c:v>33816.550040230664</c:v>
                </c:pt>
                <c:pt idx="134">
                  <c:v>33306.672394287278</c:v>
                </c:pt>
                <c:pt idx="135">
                  <c:v>32808.310464796516</c:v>
                </c:pt>
                <c:pt idx="136">
                  <c:v>32321.144750923988</c:v>
                </c:pt>
                <c:pt idx="137">
                  <c:v>31844.866046624877</c:v>
                </c:pt>
                <c:pt idx="138">
                  <c:v>31379.175063898751</c:v>
                </c:pt>
                <c:pt idx="139">
                  <c:v>30923.782071471309</c:v>
                </c:pt>
                <c:pt idx="140">
                  <c:v>30478.406548205432</c:v>
                </c:pt>
                <c:pt idx="141">
                  <c:v>30532.092010016066</c:v>
                </c:pt>
                <c:pt idx="142">
                  <c:v>30099.724851739978</c:v>
                </c:pt>
                <c:pt idx="143">
                  <c:v>29676.715810094887</c:v>
                </c:pt>
                <c:pt idx="144">
                  <c:v>29262.814479085857</c:v>
                </c:pt>
                <c:pt idx="145">
                  <c:v>28857.778242034372</c:v>
                </c:pt>
                <c:pt idx="146">
                  <c:v>28461.371996392547</c:v>
                </c:pt>
                <c:pt idx="147">
                  <c:v>28073.367889438603</c:v>
                </c:pt>
                <c:pt idx="148">
                  <c:v>27693.545064378246</c:v>
                </c:pt>
                <c:pt idx="149">
                  <c:v>27321.689416398862</c:v>
                </c:pt>
                <c:pt idx="150">
                  <c:v>26957.593358245344</c:v>
                </c:pt>
                <c:pt idx="151">
                  <c:v>26601.055594907011</c:v>
                </c:pt>
                <c:pt idx="152">
                  <c:v>26251.880907023824</c:v>
                </c:pt>
                <c:pt idx="153">
                  <c:v>26844.169389582126</c:v>
                </c:pt>
                <c:pt idx="154">
                  <c:v>27276.971500061962</c:v>
                </c:pt>
                <c:pt idx="155">
                  <c:v>27685.464710901564</c:v>
                </c:pt>
                <c:pt idx="156">
                  <c:v>28070.76664429712</c:v>
                </c:pt>
                <c:pt idx="157">
                  <c:v>28433.941421849519</c:v>
                </c:pt>
                <c:pt idx="158">
                  <c:v>28776.0024041379</c:v>
                </c:pt>
                <c:pt idx="159">
                  <c:v>29097.914779894876</c:v>
                </c:pt>
                <c:pt idx="160">
                  <c:v>29400.598013613493</c:v>
                </c:pt>
                <c:pt idx="161">
                  <c:v>29684.928159861389</c:v>
                </c:pt>
                <c:pt idx="162">
                  <c:v>29951.740052064037</c:v>
                </c:pt>
                <c:pt idx="163">
                  <c:v>30201.829373036257</c:v>
                </c:pt>
                <c:pt idx="164">
                  <c:v>30435.954614092494</c:v>
                </c:pt>
                <c:pt idx="165">
                  <c:v>31278.483510973187</c:v>
                </c:pt>
                <c:pt idx="166">
                  <c:v>31487.991988086826</c:v>
                </c:pt>
                <c:pt idx="167">
                  <c:v>31309.244031462731</c:v>
                </c:pt>
                <c:pt idx="168">
                  <c:v>30948.411484916967</c:v>
                </c:pt>
                <c:pt idx="169">
                  <c:v>30594.402002062547</c:v>
                </c:pt>
                <c:pt idx="170">
                  <c:v>30247.050834489091</c:v>
                </c:pt>
                <c:pt idx="171">
                  <c:v>29906.197899993844</c:v>
                </c:pt>
                <c:pt idx="172">
                  <c:v>29571.687632509391</c:v>
                </c:pt>
                <c:pt idx="173">
                  <c:v>29243.368837421433</c:v>
                </c:pt>
                <c:pt idx="174">
                  <c:v>28921.094552062616</c:v>
                </c:pt>
                <c:pt idx="175">
                  <c:v>28604.7219111788</c:v>
                </c:pt>
                <c:pt idx="176">
                  <c:v>28294.112017171596</c:v>
                </c:pt>
                <c:pt idx="177">
                  <c:v>28713.340974246887</c:v>
                </c:pt>
                <c:pt idx="178">
                  <c:v>28406.831542118554</c:v>
                </c:pt>
                <c:pt idx="179">
                  <c:v>28105.809427366163</c:v>
                </c:pt>
                <c:pt idx="180">
                  <c:v>27810.147690565329</c:v>
                </c:pt>
                <c:pt idx="181">
                  <c:v>27519.722850962884</c:v>
                </c:pt>
                <c:pt idx="182">
                  <c:v>27234.414779365721</c:v>
                </c:pt>
                <c:pt idx="183">
                  <c:v>26954.106594735043</c:v>
                </c:pt>
                <c:pt idx="184">
                  <c:v>26678.684564344399</c:v>
                </c:pt>
                <c:pt idx="185">
                  <c:v>26408.038007366275</c:v>
                </c:pt>
                <c:pt idx="186">
                  <c:v>26142.059201756922</c:v>
                </c:pt>
                <c:pt idx="187">
                  <c:v>25880.64329431513</c:v>
                </c:pt>
                <c:pt idx="188">
                  <c:v>25623.688213795474</c:v>
                </c:pt>
                <c:pt idx="189">
                  <c:v>26031.240242060965</c:v>
                </c:pt>
                <c:pt idx="190">
                  <c:v>25777.033527734849</c:v>
                </c:pt>
                <c:pt idx="191">
                  <c:v>25527.089779038361</c:v>
                </c:pt>
                <c:pt idx="192">
                  <c:v>25281.315252599099</c:v>
                </c:pt>
                <c:pt idx="193">
                  <c:v>25039.618646601932</c:v>
                </c:pt>
                <c:pt idx="194">
                  <c:v>24801.911028409344</c:v>
                </c:pt>
                <c:pt idx="195">
                  <c:v>24568.10576457921</c:v>
                </c:pt>
                <c:pt idx="196">
                  <c:v>24338.118453192681</c:v>
                </c:pt>
                <c:pt idx="197">
                  <c:v>24111.866858407553</c:v>
                </c:pt>
                <c:pt idx="198">
                  <c:v>23889.270847156582</c:v>
                </c:pt>
                <c:pt idx="199">
                  <c:v>23670.252327912924</c:v>
                </c:pt>
                <c:pt idx="200">
                  <c:v>23454.735191448519</c:v>
                </c:pt>
                <c:pt idx="201">
                  <c:v>23849.854803733615</c:v>
                </c:pt>
                <c:pt idx="202">
                  <c:v>23636.133521018666</c:v>
                </c:pt>
                <c:pt idx="203">
                  <c:v>23425.769800464961</c:v>
                </c:pt>
                <c:pt idx="204">
                  <c:v>23218.693421470751</c:v>
                </c:pt>
                <c:pt idx="205">
                  <c:v>23014.83591404383</c:v>
                </c:pt>
                <c:pt idx="206">
                  <c:v>22814.130509036611</c:v>
                </c:pt>
                <c:pt idx="207">
                  <c:v>22616.512089962776</c:v>
                </c:pt>
                <c:pt idx="208">
                  <c:v>22421.917146339209</c:v>
                </c:pt>
                <c:pt idx="209">
                  <c:v>22230.283728500603</c:v>
                </c:pt>
                <c:pt idx="210">
                  <c:v>22041.551403834925</c:v>
                </c:pt>
                <c:pt idx="211">
                  <c:v>21855.661214390624</c:v>
                </c:pt>
                <c:pt idx="212">
                  <c:v>21672.555635808061</c:v>
                </c:pt>
                <c:pt idx="213">
                  <c:v>22055.11164600568</c:v>
                </c:pt>
                <c:pt idx="214">
                  <c:v>21873.125780395501</c:v>
                </c:pt>
                <c:pt idx="215">
                  <c:v>21693.818889989663</c:v>
                </c:pt>
                <c:pt idx="216">
                  <c:v>21517.137672308952</c:v>
                </c:pt>
                <c:pt idx="217">
                  <c:v>21343.030098212261</c:v>
                </c:pt>
                <c:pt idx="218">
                  <c:v>21171.445377131622</c:v>
                </c:pt>
                <c:pt idx="219">
                  <c:v>21002.333923368464</c:v>
                </c:pt>
                <c:pt idx="220">
                  <c:v>20835.647323415302</c:v>
                </c:pt>
                <c:pt idx="221">
                  <c:v>20671.338304268535</c:v>
                </c:pt>
                <c:pt idx="222">
                  <c:v>20509.360702699061</c:v>
                </c:pt>
                <c:pt idx="223">
                  <c:v>20349.669435448806</c:v>
                </c:pt>
                <c:pt idx="224">
                  <c:v>20192.220470322151</c:v>
                </c:pt>
                <c:pt idx="225">
                  <c:v>20562.458753597912</c:v>
                </c:pt>
                <c:pt idx="226">
                  <c:v>20405.646865253297</c:v>
                </c:pt>
                <c:pt idx="227">
                  <c:v>20250.998970518162</c:v>
                </c:pt>
                <c:pt idx="228">
                  <c:v>20098.474102578522</c:v>
                </c:pt>
                <c:pt idx="229">
                  <c:v>19948.032233193768</c:v>
                </c:pt>
                <c:pt idx="230">
                  <c:v>19799.634248051185</c:v>
                </c:pt>
                <c:pt idx="231">
                  <c:v>19653.241922844369</c:v>
                </c:pt>
                <c:pt idx="232">
                  <c:v>19508.817900052214</c:v>
                </c:pt>
                <c:pt idx="233">
                  <c:v>19366.325666395707</c:v>
                </c:pt>
                <c:pt idx="234">
                  <c:v>19225.729530950714</c:v>
                </c:pt>
                <c:pt idx="235">
                  <c:v>19086.994603895717</c:v>
                </c:pt>
                <c:pt idx="236">
                  <c:v>18950.086775873991</c:v>
                </c:pt>
                <c:pt idx="237">
                  <c:v>19308.473876086493</c:v>
                </c:pt>
                <c:pt idx="238">
                  <c:v>19171.857422513156</c:v>
                </c:pt>
                <c:pt idx="239">
                  <c:v>19037.009542455678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D-4436-8EDC-E17956131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373440"/>
        <c:axId val="269374976"/>
      </c:lineChart>
      <c:catAx>
        <c:axId val="26937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69374976"/>
        <c:crosses val="autoZero"/>
        <c:auto val="1"/>
        <c:lblAlgn val="ctr"/>
        <c:lblOffset val="100"/>
        <c:noMultiLvlLbl val="0"/>
      </c:catAx>
      <c:valAx>
        <c:axId val="269374976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269373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CA" sz="2000"/>
              <a:t>Figure B: Projected Discounted Cash Flows vs. Initial</a:t>
            </a:r>
            <a:r>
              <a:rPr lang="en-CA" sz="2000" baseline="0"/>
              <a:t> Investment</a:t>
            </a:r>
            <a:endParaRPr lang="en-CA" sz="2000"/>
          </a:p>
        </c:rich>
      </c:tx>
      <c:layout>
        <c:manualLayout>
          <c:xMode val="edge"/>
          <c:yMode val="edge"/>
          <c:x val="0.1792248573854717"/>
          <c:y val="1.970575709168499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195646276133596"/>
          <c:y val="2.2079400247386104E-2"/>
          <c:w val="0.80528392064549192"/>
          <c:h val="0.80964192403988722"/>
        </c:manualLayout>
      </c:layout>
      <c:lineChart>
        <c:grouping val="standard"/>
        <c:varyColors val="0"/>
        <c:ser>
          <c:idx val="0"/>
          <c:order val="0"/>
          <c:tx>
            <c:strRef>
              <c:f>'Decline and Model'!$CE$8</c:f>
              <c:strCache>
                <c:ptCount val="1"/>
                <c:pt idx="0">
                  <c:v>Cumulative DCF</c:v>
                </c:pt>
              </c:strCache>
            </c:strRef>
          </c:tx>
          <c:marker>
            <c:symbol val="none"/>
          </c:marker>
          <c:cat>
            <c:numRef>
              <c:f>'Decline and Model'!$E$9:$E$249</c:f>
              <c:numCache>
                <c:formatCode>m/d/yyyy</c:formatCode>
                <c:ptCount val="241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  <c:pt idx="240">
                  <c:v>50131</c:v>
                </c:pt>
              </c:numCache>
            </c:numRef>
          </c:cat>
          <c:val>
            <c:numRef>
              <c:f>'Decline and Model'!$CE$9:$CE$248</c:f>
              <c:numCache>
                <c:formatCode>_("$"* #,##0_);_("$"* \(#,##0\);_("$"* "-"??_);_(@_)</c:formatCode>
                <c:ptCount val="240"/>
                <c:pt idx="0">
                  <c:v>1283559.5725491091</c:v>
                </c:pt>
                <c:pt idx="1">
                  <c:v>2490512.6333178477</c:v>
                </c:pt>
                <c:pt idx="2">
                  <c:v>3626908.521738824</c:v>
                </c:pt>
                <c:pt idx="3">
                  <c:v>4698122.7295277417</c:v>
                </c:pt>
                <c:pt idx="4">
                  <c:v>5708963.8789131874</c:v>
                </c:pt>
                <c:pt idx="5">
                  <c:v>6663758.2158754123</c:v>
                </c:pt>
                <c:pt idx="6">
                  <c:v>7566417.3330138717</c:v>
                </c:pt>
                <c:pt idx="7">
                  <c:v>8420493.1833937019</c:v>
                </c:pt>
                <c:pt idx="8">
                  <c:v>9229223.3201861922</c:v>
                </c:pt>
                <c:pt idx="9">
                  <c:v>10021485.955408663</c:v>
                </c:pt>
                <c:pt idx="10">
                  <c:v>10670998.635693494</c:v>
                </c:pt>
                <c:pt idx="11">
                  <c:v>11224083.251447514</c:v>
                </c:pt>
                <c:pt idx="12">
                  <c:v>11749415.258021411</c:v>
                </c:pt>
                <c:pt idx="13">
                  <c:v>12248672.878113532</c:v>
                </c:pt>
                <c:pt idx="14">
                  <c:v>12723410.17015174</c:v>
                </c:pt>
                <c:pt idx="15">
                  <c:v>13175068.631520871</c:v>
                </c:pt>
                <c:pt idx="16">
                  <c:v>13604987.399511939</c:v>
                </c:pt>
                <c:pt idx="17">
                  <c:v>14014412.266170308</c:v>
                </c:pt>
                <c:pt idx="18">
                  <c:v>14404503.682662439</c:v>
                </c:pt>
                <c:pt idx="19">
                  <c:v>14776343.897023765</c:v>
                </c:pt>
                <c:pt idx="20">
                  <c:v>15130943.34406567</c:v>
                </c:pt>
                <c:pt idx="21">
                  <c:v>15484042.018787052</c:v>
                </c:pt>
                <c:pt idx="22">
                  <c:v>15821043.589936363</c:v>
                </c:pt>
                <c:pt idx="23">
                  <c:v>16142813.989147976</c:v>
                </c:pt>
                <c:pt idx="24">
                  <c:v>16450164.54071467</c:v>
                </c:pt>
                <c:pt idx="25">
                  <c:v>16743856.031434728</c:v>
                </c:pt>
                <c:pt idx="26">
                  <c:v>17024602.415415868</c:v>
                </c:pt>
                <c:pt idx="27">
                  <c:v>17293074.193887137</c:v>
                </c:pt>
                <c:pt idx="28">
                  <c:v>17549901.504704095</c:v>
                </c:pt>
                <c:pt idx="29">
                  <c:v>17795676.951723799</c:v>
                </c:pt>
                <c:pt idx="30">
                  <c:v>18030958.200416241</c:v>
                </c:pt>
                <c:pt idx="31">
                  <c:v>18256270.362843487</c:v>
                </c:pt>
                <c:pt idx="32">
                  <c:v>18472108.192376044</c:v>
                </c:pt>
                <c:pt idx="33">
                  <c:v>18695443.994785067</c:v>
                </c:pt>
                <c:pt idx="34">
                  <c:v>18909534.409720134</c:v>
                </c:pt>
                <c:pt idx="35">
                  <c:v>19114828.403452065</c:v>
                </c:pt>
                <c:pt idx="36">
                  <c:v>19311749.817300938</c:v>
                </c:pt>
                <c:pt idx="37">
                  <c:v>19500698.978069026</c:v>
                </c:pt>
                <c:pt idx="38">
                  <c:v>19682054.189933244</c:v>
                </c:pt>
                <c:pt idx="39">
                  <c:v>19856173.117911614</c:v>
                </c:pt>
                <c:pt idx="40">
                  <c:v>20023394.072007034</c:v>
                </c:pt>
                <c:pt idx="41">
                  <c:v>20184037.200239338</c:v>
                </c:pt>
                <c:pt idx="42">
                  <c:v>20338405.597986955</c:v>
                </c:pt>
                <c:pt idx="43">
                  <c:v>20486786.340358559</c:v>
                </c:pt>
                <c:pt idx="44">
                  <c:v>20629451.443691518</c:v>
                </c:pt>
                <c:pt idx="45">
                  <c:v>20776428.528712362</c:v>
                </c:pt>
                <c:pt idx="46">
                  <c:v>20917832.98449507</c:v>
                </c:pt>
                <c:pt idx="47">
                  <c:v>21053912.954465475</c:v>
                </c:pt>
                <c:pt idx="48">
                  <c:v>21184903.915341496</c:v>
                </c:pt>
                <c:pt idx="49">
                  <c:v>21311029.409134123</c:v>
                </c:pt>
                <c:pt idx="50">
                  <c:v>21432501.727524098</c:v>
                </c:pt>
                <c:pt idx="51">
                  <c:v>21549522.552103423</c:v>
                </c:pt>
                <c:pt idx="52">
                  <c:v>21662283.553681504</c:v>
                </c:pt>
                <c:pt idx="53">
                  <c:v>21770966.95359388</c:v>
                </c:pt>
                <c:pt idx="54">
                  <c:v>21875746.049713742</c:v>
                </c:pt>
                <c:pt idx="55">
                  <c:v>21976785.709650785</c:v>
                </c:pt>
                <c:pt idx="56">
                  <c:v>22074242.833425544</c:v>
                </c:pt>
                <c:pt idx="57">
                  <c:v>22169834.495666739</c:v>
                </c:pt>
                <c:pt idx="58">
                  <c:v>22262080.883105397</c:v>
                </c:pt>
                <c:pt idx="59">
                  <c:v>22351119.772189863</c:v>
                </c:pt>
                <c:pt idx="60">
                  <c:v>22437082.446958076</c:v>
                </c:pt>
                <c:pt idx="61">
                  <c:v>22520094.043663602</c:v>
                </c:pt>
                <c:pt idx="62">
                  <c:v>22600273.874988478</c:v>
                </c:pt>
                <c:pt idx="63">
                  <c:v>22677735.735185355</c:v>
                </c:pt>
                <c:pt idx="64">
                  <c:v>22752588.187393382</c:v>
                </c:pt>
                <c:pt idx="65">
                  <c:v>22824934.83428235</c:v>
                </c:pt>
                <c:pt idx="66">
                  <c:v>22894874.573096853</c:v>
                </c:pt>
                <c:pt idx="67">
                  <c:v>22962501.836096082</c:v>
                </c:pt>
                <c:pt idx="68">
                  <c:v>23027906.817314617</c:v>
                </c:pt>
                <c:pt idx="69">
                  <c:v>23092502.279668797</c:v>
                </c:pt>
                <c:pt idx="70">
                  <c:v>23155004.440346926</c:v>
                </c:pt>
                <c:pt idx="71">
                  <c:v>23215493.489787303</c:v>
                </c:pt>
                <c:pt idx="72">
                  <c:v>23274046.101715975</c:v>
                </c:pt>
                <c:pt idx="73">
                  <c:v>23330735.606573917</c:v>
                </c:pt>
                <c:pt idx="74">
                  <c:v>23385632.15543453</c:v>
                </c:pt>
                <c:pt idx="75">
                  <c:v>23438802.87498676</c:v>
                </c:pt>
                <c:pt idx="76">
                  <c:v>23490312.014121015</c:v>
                </c:pt>
                <c:pt idx="77">
                  <c:v>23540221.082619485</c:v>
                </c:pt>
                <c:pt idx="78">
                  <c:v>23588588.982419699</c:v>
                </c:pt>
                <c:pt idx="79">
                  <c:v>23635472.131889574</c:v>
                </c:pt>
                <c:pt idx="80">
                  <c:v>23680924.583523858</c:v>
                </c:pt>
                <c:pt idx="81">
                  <c:v>23726007.671019107</c:v>
                </c:pt>
                <c:pt idx="82">
                  <c:v>23769734.081186213</c:v>
                </c:pt>
                <c:pt idx="83">
                  <c:v>23812152.354313925</c:v>
                </c:pt>
                <c:pt idx="84">
                  <c:v>23853309.038756799</c:v>
                </c:pt>
                <c:pt idx="85">
                  <c:v>23893248.782823134</c:v>
                </c:pt>
                <c:pt idx="86">
                  <c:v>23932014.421956595</c:v>
                </c:pt>
                <c:pt idx="87">
                  <c:v>23969647.061476827</c:v>
                </c:pt>
                <c:pt idx="88">
                  <c:v>24006186.155127872</c:v>
                </c:pt>
                <c:pt idx="89">
                  <c:v>24041669.579668138</c:v>
                </c:pt>
                <c:pt idx="90">
                  <c:v>24076133.705721255</c:v>
                </c:pt>
                <c:pt idx="91">
                  <c:v>24109613.465094015</c:v>
                </c:pt>
                <c:pt idx="92">
                  <c:v>24142142.414755095</c:v>
                </c:pt>
                <c:pt idx="93">
                  <c:v>24174278.84938138</c:v>
                </c:pt>
                <c:pt idx="94">
                  <c:v>24205513.487431321</c:v>
                </c:pt>
                <c:pt idx="95">
                  <c:v>24235876.590747852</c:v>
                </c:pt>
                <c:pt idx="96">
                  <c:v>24265397.253610104</c:v>
                </c:pt>
                <c:pt idx="97">
                  <c:v>24294103.453374729</c:v>
                </c:pt>
                <c:pt idx="98">
                  <c:v>24322022.098680362</c:v>
                </c:pt>
                <c:pt idx="99">
                  <c:v>24349179.075344149</c:v>
                </c:pt>
                <c:pt idx="100">
                  <c:v>24375599.290071689</c:v>
                </c:pt>
                <c:pt idx="101">
                  <c:v>24401306.712094933</c:v>
                </c:pt>
                <c:pt idx="102">
                  <c:v>24426324.41284591</c:v>
                </c:pt>
                <c:pt idx="103">
                  <c:v>24450674.603768107</c:v>
                </c:pt>
                <c:pt idx="104">
                  <c:v>24474378.672361542</c:v>
                </c:pt>
                <c:pt idx="105">
                  <c:v>24497920.527520146</c:v>
                </c:pt>
                <c:pt idx="106">
                  <c:v>24520845.675718669</c:v>
                </c:pt>
                <c:pt idx="107">
                  <c:v>24543173.563369595</c:v>
                </c:pt>
                <c:pt idx="108">
                  <c:v>24564922.929284979</c:v>
                </c:pt>
                <c:pt idx="109">
                  <c:v>24586111.833645754</c:v>
                </c:pt>
                <c:pt idx="110">
                  <c:v>24606757.685655635</c:v>
                </c:pt>
                <c:pt idx="111">
                  <c:v>24626877.269945174</c:v>
                </c:pt>
                <c:pt idx="112">
                  <c:v>24646486.771788027</c:v>
                </c:pt>
                <c:pt idx="113">
                  <c:v>24665601.801188137</c:v>
                </c:pt>
                <c:pt idx="114">
                  <c:v>24684237.415893327</c:v>
                </c:pt>
                <c:pt idx="115">
                  <c:v>24702408.14338788</c:v>
                </c:pt>
                <c:pt idx="116">
                  <c:v>24720128.001913846</c:v>
                </c:pt>
                <c:pt idx="117">
                  <c:v>24737744.827724818</c:v>
                </c:pt>
                <c:pt idx="118">
                  <c:v>24754930.02964586</c:v>
                </c:pt>
                <c:pt idx="119">
                  <c:v>24771696.419038389</c:v>
                </c:pt>
                <c:pt idx="120">
                  <c:v>24788056.366458841</c:v>
                </c:pt>
                <c:pt idx="121">
                  <c:v>24804021.818748515</c:v>
                </c:pt>
                <c:pt idx="122">
                  <c:v>24819604.315388523</c:v>
                </c:pt>
                <c:pt idx="123">
                  <c:v>24834815.004154608</c:v>
                </c:pt>
                <c:pt idx="124">
                  <c:v>24849664.656104684</c:v>
                </c:pt>
                <c:pt idx="125">
                  <c:v>24864163.679930381</c:v>
                </c:pt>
                <c:pt idx="126">
                  <c:v>24878322.135702189</c:v>
                </c:pt>
                <c:pt idx="127">
                  <c:v>24892149.748036347</c:v>
                </c:pt>
                <c:pt idx="128">
                  <c:v>24905655.918710206</c:v>
                </c:pt>
                <c:pt idx="129">
                  <c:v>24919116.090817407</c:v>
                </c:pt>
                <c:pt idx="130">
                  <c:v>24932267.158710133</c:v>
                </c:pt>
                <c:pt idx="131">
                  <c:v>24945117.77158777</c:v>
                </c:pt>
                <c:pt idx="132">
                  <c:v>24957676.296623159</c:v>
                </c:pt>
                <c:pt idx="133">
                  <c:v>24969950.829346947</c:v>
                </c:pt>
                <c:pt idx="134">
                  <c:v>24981949.203607768</c:v>
                </c:pt>
                <c:pt idx="135">
                  <c:v>24993679.001127262</c:v>
                </c:pt>
                <c:pt idx="136">
                  <c:v>25005147.560668033</c:v>
                </c:pt>
                <c:pt idx="137">
                  <c:v>25016361.986831769</c:v>
                </c:pt>
                <c:pt idx="138">
                  <c:v>25027329.158503879</c:v>
                </c:pt>
                <c:pt idx="139">
                  <c:v>25038055.736960262</c:v>
                </c:pt>
                <c:pt idx="140">
                  <c:v>25048548.173651014</c:v>
                </c:pt>
                <c:pt idx="141">
                  <c:v>25058979.899191804</c:v>
                </c:pt>
                <c:pt idx="142">
                  <c:v>25069186.417183097</c:v>
                </c:pt>
                <c:pt idx="143">
                  <c:v>25079173.678370487</c:v>
                </c:pt>
                <c:pt idx="144">
                  <c:v>25088947.449250214</c:v>
                </c:pt>
                <c:pt idx="145">
                  <c:v>25098513.318528853</c:v>
                </c:pt>
                <c:pt idx="146">
                  <c:v>25107876.703331612</c:v>
                </c:pt>
                <c:pt idx="147">
                  <c:v>25117042.855170008</c:v>
                </c:pt>
                <c:pt idx="148">
                  <c:v>25126016.865679167</c:v>
                </c:pt>
                <c:pt idx="149">
                  <c:v>25134803.67213447</c:v>
                </c:pt>
                <c:pt idx="150">
                  <c:v>25143408.062756892</c:v>
                </c:pt>
                <c:pt idx="151">
                  <c:v>25151834.681815904</c:v>
                </c:pt>
                <c:pt idx="152">
                  <c:v>25160088.034538407</c:v>
                </c:pt>
                <c:pt idx="153">
                  <c:v>25168464.010864314</c:v>
                </c:pt>
                <c:pt idx="154">
                  <c:v>25176910.906154171</c:v>
                </c:pt>
                <c:pt idx="155">
                  <c:v>25185419.705228701</c:v>
                </c:pt>
                <c:pt idx="156">
                  <c:v>25193981.921919018</c:v>
                </c:pt>
                <c:pt idx="157">
                  <c:v>25202589.569849946</c:v>
                </c:pt>
                <c:pt idx="158">
                  <c:v>25211235.134883977</c:v>
                </c:pt>
                <c:pt idx="159">
                  <c:v>25219911.549126748</c:v>
                </c:pt>
                <c:pt idx="160">
                  <c:v>25228612.166401099</c:v>
                </c:pt>
                <c:pt idx="161">
                  <c:v>25237330.739102688</c:v>
                </c:pt>
                <c:pt idx="162">
                  <c:v>25246061.396355513</c:v>
                </c:pt>
                <c:pt idx="163">
                  <c:v>25254798.623390812</c:v>
                </c:pt>
                <c:pt idx="164">
                  <c:v>25263537.242077541</c:v>
                </c:pt>
                <c:pt idx="165">
                  <c:v>25272450.101161443</c:v>
                </c:pt>
                <c:pt idx="166">
                  <c:v>25281355.057772223</c:v>
                </c:pt>
                <c:pt idx="167">
                  <c:v>25290142.751516905</c:v>
                </c:pt>
                <c:pt idx="168">
                  <c:v>25298763.722516056</c:v>
                </c:pt>
                <c:pt idx="169">
                  <c:v>25307221.870524682</c:v>
                </c:pt>
                <c:pt idx="170">
                  <c:v>25315520.986582506</c:v>
                </c:pt>
                <c:pt idx="171">
                  <c:v>25323664.756489672</c:v>
                </c:pt>
                <c:pt idx="172">
                  <c:v>25331656.764158465</c:v>
                </c:pt>
                <c:pt idx="173">
                  <c:v>25339500.494845908</c:v>
                </c:pt>
                <c:pt idx="174">
                  <c:v>25347199.338271871</c:v>
                </c:pt>
                <c:pt idx="175">
                  <c:v>25354756.591627147</c:v>
                </c:pt>
                <c:pt idx="176">
                  <c:v>25362175.462475758</c:v>
                </c:pt>
                <c:pt idx="177">
                  <c:v>25369647.532969374</c:v>
                </c:pt>
                <c:pt idx="178">
                  <c:v>25376984.144400001</c:v>
                </c:pt>
                <c:pt idx="179">
                  <c:v>25384188.320322521</c:v>
                </c:pt>
                <c:pt idx="180">
                  <c:v>25391263.003530711</c:v>
                </c:pt>
                <c:pt idx="181">
                  <c:v>25398211.058542237</c:v>
                </c:pt>
                <c:pt idx="182">
                  <c:v>25405035.27399813</c:v>
                </c:pt>
                <c:pt idx="183">
                  <c:v>25411738.364979938</c:v>
                </c:pt>
                <c:pt idx="184">
                  <c:v>25418322.975247685</c:v>
                </c:pt>
                <c:pt idx="185">
                  <c:v>25424791.679401617</c:v>
                </c:pt>
                <c:pt idx="186">
                  <c:v>25431146.984970551</c:v>
                </c:pt>
                <c:pt idx="187">
                  <c:v>25437391.334429603</c:v>
                </c:pt>
                <c:pt idx="188">
                  <c:v>25443527.107149918</c:v>
                </c:pt>
                <c:pt idx="189">
                  <c:v>25449713.506810382</c:v>
                </c:pt>
                <c:pt idx="190">
                  <c:v>25455793.338259775</c:v>
                </c:pt>
                <c:pt idx="191">
                  <c:v>25461768.854058612</c:v>
                </c:pt>
                <c:pt idx="192">
                  <c:v>25467642.249576669</c:v>
                </c:pt>
                <c:pt idx="193">
                  <c:v>25473415.664674692</c:v>
                </c:pt>
                <c:pt idx="194">
                  <c:v>25479091.185330562</c:v>
                </c:pt>
                <c:pt idx="195">
                  <c:v>25484670.845211979</c:v>
                </c:pt>
                <c:pt idx="196">
                  <c:v>25490156.627197567</c:v>
                </c:pt>
                <c:pt idx="197">
                  <c:v>25495550.464848291</c:v>
                </c:pt>
                <c:pt idx="198">
                  <c:v>25500854.243830949</c:v>
                </c:pt>
                <c:pt idx="199">
                  <c:v>25506069.803295474</c:v>
                </c:pt>
                <c:pt idx="200">
                  <c:v>25511198.937207691</c:v>
                </c:pt>
                <c:pt idx="201">
                  <c:v>25516375.181126595</c:v>
                </c:pt>
                <c:pt idx="202">
                  <c:v>25521466.390043337</c:v>
                </c:pt>
                <c:pt idx="203">
                  <c:v>25526474.269254684</c:v>
                </c:pt>
                <c:pt idx="204">
                  <c:v>25531400.482881647</c:v>
                </c:pt>
                <c:pt idx="205">
                  <c:v>25536246.655026991</c:v>
                </c:pt>
                <c:pt idx="206">
                  <c:v>25541014.370896097</c:v>
                </c:pt>
                <c:pt idx="207">
                  <c:v>25545705.177882396</c:v>
                </c:pt>
                <c:pt idx="208">
                  <c:v>25550320.586618658</c:v>
                </c:pt>
                <c:pt idx="209">
                  <c:v>25554862.071995288</c:v>
                </c:pt>
                <c:pt idx="210">
                  <c:v>25559331.074146781</c:v>
                </c:pt>
                <c:pt idx="211">
                  <c:v>25563728.999407455</c:v>
                </c:pt>
                <c:pt idx="212">
                  <c:v>25568057.221237481</c:v>
                </c:pt>
                <c:pt idx="213">
                  <c:v>25572428.657346059</c:v>
                </c:pt>
                <c:pt idx="214">
                  <c:v>25576731.358818058</c:v>
                </c:pt>
                <c:pt idx="215">
                  <c:v>25580966.636258841</c:v>
                </c:pt>
                <c:pt idx="216">
                  <c:v>25585135.77015809</c:v>
                </c:pt>
                <c:pt idx="217">
                  <c:v>25589240.011699397</c:v>
                </c:pt>
                <c:pt idx="218">
                  <c:v>25593280.583545204</c:v>
                </c:pt>
                <c:pt idx="219">
                  <c:v>25597258.680597927</c:v>
                </c:pt>
                <c:pt idx="220">
                  <c:v>25601175.470738076</c:v>
                </c:pt>
                <c:pt idx="221">
                  <c:v>25605032.095540117</c:v>
                </c:pt>
                <c:pt idx="222">
                  <c:v>25608829.670966845</c:v>
                </c:pt>
                <c:pt idx="223">
                  <c:v>25612569.288042966</c:v>
                </c:pt>
                <c:pt idx="224">
                  <c:v>25616252.013508566</c:v>
                </c:pt>
                <c:pt idx="225">
                  <c:v>25619974.008630924</c:v>
                </c:pt>
                <c:pt idx="226">
                  <c:v>25623639.790443525</c:v>
                </c:pt>
                <c:pt idx="227">
                  <c:v>25627250.380545411</c:v>
                </c:pt>
                <c:pt idx="228">
                  <c:v>25630806.778176557</c:v>
                </c:pt>
                <c:pt idx="229">
                  <c:v>25634309.960792761</c:v>
                </c:pt>
                <c:pt idx="230">
                  <c:v>25637760.884623736</c:v>
                </c:pt>
                <c:pt idx="231">
                  <c:v>25641160.4852149</c:v>
                </c:pt>
                <c:pt idx="232">
                  <c:v>25644509.677953452</c:v>
                </c:pt>
                <c:pt idx="233">
                  <c:v>25647809.3585792</c:v>
                </c:pt>
                <c:pt idx="234">
                  <c:v>25651060.403680645</c:v>
                </c:pt>
                <c:pt idx="235">
                  <c:v>25654263.671176787</c:v>
                </c:pt>
                <c:pt idx="236">
                  <c:v>25657420.000785127</c:v>
                </c:pt>
                <c:pt idx="237">
                  <c:v>25660611.792809941</c:v>
                </c:pt>
                <c:pt idx="238">
                  <c:v>25663757.123532247</c:v>
                </c:pt>
                <c:pt idx="239">
                  <c:v>25666856.799841944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C1-49FE-BDA7-F12FBF4DC68D}"/>
            </c:ext>
          </c:extLst>
        </c:ser>
        <c:ser>
          <c:idx val="1"/>
          <c:order val="1"/>
          <c:tx>
            <c:v>Breakeven Threshold (NPV=$0)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'Decline and Model'!$E$9:$E$249</c:f>
              <c:numCache>
                <c:formatCode>m/d/yyyy</c:formatCode>
                <c:ptCount val="241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  <c:pt idx="240">
                  <c:v>50131</c:v>
                </c:pt>
              </c:numCache>
            </c:numRef>
          </c:cat>
          <c:val>
            <c:numRef>
              <c:f>'Decline and Model'!$CF$9:$CF$248</c:f>
              <c:numCache>
                <c:formatCode>_("$"* #,##0_);_("$"* \(#,##0\);_("$"* "-"??_);_(@_)</c:formatCode>
                <c:ptCount val="240"/>
                <c:pt idx="0">
                  <c:v>12000000</c:v>
                </c:pt>
                <c:pt idx="1">
                  <c:v>12000000</c:v>
                </c:pt>
                <c:pt idx="2">
                  <c:v>12000000</c:v>
                </c:pt>
                <c:pt idx="3">
                  <c:v>12000000</c:v>
                </c:pt>
                <c:pt idx="4">
                  <c:v>12000000</c:v>
                </c:pt>
                <c:pt idx="5">
                  <c:v>12000000</c:v>
                </c:pt>
                <c:pt idx="6">
                  <c:v>12000000</c:v>
                </c:pt>
                <c:pt idx="7">
                  <c:v>12000000</c:v>
                </c:pt>
                <c:pt idx="8">
                  <c:v>12000000</c:v>
                </c:pt>
                <c:pt idx="9">
                  <c:v>12000000</c:v>
                </c:pt>
                <c:pt idx="10">
                  <c:v>12000000</c:v>
                </c:pt>
                <c:pt idx="11">
                  <c:v>12000000</c:v>
                </c:pt>
                <c:pt idx="12">
                  <c:v>12000000</c:v>
                </c:pt>
                <c:pt idx="13">
                  <c:v>12000000</c:v>
                </c:pt>
                <c:pt idx="14">
                  <c:v>12000000</c:v>
                </c:pt>
                <c:pt idx="15">
                  <c:v>12000000</c:v>
                </c:pt>
                <c:pt idx="16">
                  <c:v>12000000</c:v>
                </c:pt>
                <c:pt idx="17">
                  <c:v>12000000</c:v>
                </c:pt>
                <c:pt idx="18">
                  <c:v>12000000</c:v>
                </c:pt>
                <c:pt idx="19">
                  <c:v>12000000</c:v>
                </c:pt>
                <c:pt idx="20">
                  <c:v>12000000</c:v>
                </c:pt>
                <c:pt idx="21">
                  <c:v>12000000</c:v>
                </c:pt>
                <c:pt idx="22">
                  <c:v>12000000</c:v>
                </c:pt>
                <c:pt idx="23">
                  <c:v>12000000</c:v>
                </c:pt>
                <c:pt idx="24">
                  <c:v>12000000</c:v>
                </c:pt>
                <c:pt idx="25">
                  <c:v>12000000</c:v>
                </c:pt>
                <c:pt idx="26">
                  <c:v>12000000</c:v>
                </c:pt>
                <c:pt idx="27">
                  <c:v>12000000</c:v>
                </c:pt>
                <c:pt idx="28">
                  <c:v>12000000</c:v>
                </c:pt>
                <c:pt idx="29">
                  <c:v>12000000</c:v>
                </c:pt>
                <c:pt idx="30">
                  <c:v>12000000</c:v>
                </c:pt>
                <c:pt idx="31">
                  <c:v>12000000</c:v>
                </c:pt>
                <c:pt idx="32">
                  <c:v>12000000</c:v>
                </c:pt>
                <c:pt idx="33">
                  <c:v>12000000</c:v>
                </c:pt>
                <c:pt idx="34">
                  <c:v>12000000</c:v>
                </c:pt>
                <c:pt idx="35">
                  <c:v>12000000</c:v>
                </c:pt>
                <c:pt idx="36">
                  <c:v>12000000</c:v>
                </c:pt>
                <c:pt idx="37">
                  <c:v>12000000</c:v>
                </c:pt>
                <c:pt idx="38">
                  <c:v>12000000</c:v>
                </c:pt>
                <c:pt idx="39">
                  <c:v>12000000</c:v>
                </c:pt>
                <c:pt idx="40">
                  <c:v>12000000</c:v>
                </c:pt>
                <c:pt idx="41">
                  <c:v>12000000</c:v>
                </c:pt>
                <c:pt idx="42">
                  <c:v>12000000</c:v>
                </c:pt>
                <c:pt idx="43">
                  <c:v>12000000</c:v>
                </c:pt>
                <c:pt idx="44">
                  <c:v>12000000</c:v>
                </c:pt>
                <c:pt idx="45">
                  <c:v>12000000</c:v>
                </c:pt>
                <c:pt idx="46">
                  <c:v>12000000</c:v>
                </c:pt>
                <c:pt idx="47">
                  <c:v>12000000</c:v>
                </c:pt>
                <c:pt idx="48">
                  <c:v>12000000</c:v>
                </c:pt>
                <c:pt idx="49">
                  <c:v>12000000</c:v>
                </c:pt>
                <c:pt idx="50">
                  <c:v>12000000</c:v>
                </c:pt>
                <c:pt idx="51">
                  <c:v>12000000</c:v>
                </c:pt>
                <c:pt idx="52">
                  <c:v>12000000</c:v>
                </c:pt>
                <c:pt idx="53">
                  <c:v>12000000</c:v>
                </c:pt>
                <c:pt idx="54">
                  <c:v>12000000</c:v>
                </c:pt>
                <c:pt idx="55">
                  <c:v>12000000</c:v>
                </c:pt>
                <c:pt idx="56">
                  <c:v>12000000</c:v>
                </c:pt>
                <c:pt idx="57">
                  <c:v>12000000</c:v>
                </c:pt>
                <c:pt idx="58">
                  <c:v>12000000</c:v>
                </c:pt>
                <c:pt idx="59">
                  <c:v>12000000</c:v>
                </c:pt>
                <c:pt idx="60">
                  <c:v>12000000</c:v>
                </c:pt>
                <c:pt idx="61">
                  <c:v>12000000</c:v>
                </c:pt>
                <c:pt idx="62">
                  <c:v>12000000</c:v>
                </c:pt>
                <c:pt idx="63">
                  <c:v>12000000</c:v>
                </c:pt>
                <c:pt idx="64">
                  <c:v>12000000</c:v>
                </c:pt>
                <c:pt idx="65">
                  <c:v>12000000</c:v>
                </c:pt>
                <c:pt idx="66">
                  <c:v>12000000</c:v>
                </c:pt>
                <c:pt idx="67">
                  <c:v>12000000</c:v>
                </c:pt>
                <c:pt idx="68">
                  <c:v>12000000</c:v>
                </c:pt>
                <c:pt idx="69">
                  <c:v>12000000</c:v>
                </c:pt>
                <c:pt idx="70">
                  <c:v>12000000</c:v>
                </c:pt>
                <c:pt idx="71">
                  <c:v>12000000</c:v>
                </c:pt>
                <c:pt idx="72">
                  <c:v>12000000</c:v>
                </c:pt>
                <c:pt idx="73">
                  <c:v>12000000</c:v>
                </c:pt>
                <c:pt idx="74">
                  <c:v>12000000</c:v>
                </c:pt>
                <c:pt idx="75">
                  <c:v>12000000</c:v>
                </c:pt>
                <c:pt idx="76">
                  <c:v>12000000</c:v>
                </c:pt>
                <c:pt idx="77">
                  <c:v>12000000</c:v>
                </c:pt>
                <c:pt idx="78">
                  <c:v>12000000</c:v>
                </c:pt>
                <c:pt idx="79">
                  <c:v>12000000</c:v>
                </c:pt>
                <c:pt idx="80">
                  <c:v>12000000</c:v>
                </c:pt>
                <c:pt idx="81">
                  <c:v>12000000</c:v>
                </c:pt>
                <c:pt idx="82">
                  <c:v>12000000</c:v>
                </c:pt>
                <c:pt idx="83">
                  <c:v>12000000</c:v>
                </c:pt>
                <c:pt idx="84">
                  <c:v>12000000</c:v>
                </c:pt>
                <c:pt idx="85">
                  <c:v>12000000</c:v>
                </c:pt>
                <c:pt idx="86">
                  <c:v>12000000</c:v>
                </c:pt>
                <c:pt idx="87">
                  <c:v>12000000</c:v>
                </c:pt>
                <c:pt idx="88">
                  <c:v>12000000</c:v>
                </c:pt>
                <c:pt idx="89">
                  <c:v>12000000</c:v>
                </c:pt>
                <c:pt idx="90">
                  <c:v>12000000</c:v>
                </c:pt>
                <c:pt idx="91">
                  <c:v>12000000</c:v>
                </c:pt>
                <c:pt idx="92">
                  <c:v>12000000</c:v>
                </c:pt>
                <c:pt idx="93">
                  <c:v>12000000</c:v>
                </c:pt>
                <c:pt idx="94">
                  <c:v>12000000</c:v>
                </c:pt>
                <c:pt idx="95">
                  <c:v>12000000</c:v>
                </c:pt>
                <c:pt idx="96">
                  <c:v>12000000</c:v>
                </c:pt>
                <c:pt idx="97">
                  <c:v>12000000</c:v>
                </c:pt>
                <c:pt idx="98">
                  <c:v>12000000</c:v>
                </c:pt>
                <c:pt idx="99">
                  <c:v>12000000</c:v>
                </c:pt>
                <c:pt idx="100">
                  <c:v>12000000</c:v>
                </c:pt>
                <c:pt idx="101">
                  <c:v>12000000</c:v>
                </c:pt>
                <c:pt idx="102">
                  <c:v>12000000</c:v>
                </c:pt>
                <c:pt idx="103">
                  <c:v>12000000</c:v>
                </c:pt>
                <c:pt idx="104">
                  <c:v>12000000</c:v>
                </c:pt>
                <c:pt idx="105">
                  <c:v>12000000</c:v>
                </c:pt>
                <c:pt idx="106">
                  <c:v>12000000</c:v>
                </c:pt>
                <c:pt idx="107">
                  <c:v>12000000</c:v>
                </c:pt>
                <c:pt idx="108">
                  <c:v>12000000</c:v>
                </c:pt>
                <c:pt idx="109">
                  <c:v>12000000</c:v>
                </c:pt>
                <c:pt idx="110">
                  <c:v>12000000</c:v>
                </c:pt>
                <c:pt idx="111">
                  <c:v>12000000</c:v>
                </c:pt>
                <c:pt idx="112">
                  <c:v>12000000</c:v>
                </c:pt>
                <c:pt idx="113">
                  <c:v>12000000</c:v>
                </c:pt>
                <c:pt idx="114">
                  <c:v>12000000</c:v>
                </c:pt>
                <c:pt idx="115">
                  <c:v>12000000</c:v>
                </c:pt>
                <c:pt idx="116">
                  <c:v>12000000</c:v>
                </c:pt>
                <c:pt idx="117">
                  <c:v>12000000</c:v>
                </c:pt>
                <c:pt idx="118">
                  <c:v>12000000</c:v>
                </c:pt>
                <c:pt idx="119">
                  <c:v>12000000</c:v>
                </c:pt>
                <c:pt idx="120">
                  <c:v>12000000</c:v>
                </c:pt>
                <c:pt idx="121">
                  <c:v>12000000</c:v>
                </c:pt>
                <c:pt idx="122">
                  <c:v>12000000</c:v>
                </c:pt>
                <c:pt idx="123">
                  <c:v>12000000</c:v>
                </c:pt>
                <c:pt idx="124">
                  <c:v>12000000</c:v>
                </c:pt>
                <c:pt idx="125">
                  <c:v>12000000</c:v>
                </c:pt>
                <c:pt idx="126">
                  <c:v>12000000</c:v>
                </c:pt>
                <c:pt idx="127">
                  <c:v>12000000</c:v>
                </c:pt>
                <c:pt idx="128">
                  <c:v>12000000</c:v>
                </c:pt>
                <c:pt idx="129">
                  <c:v>12000000</c:v>
                </c:pt>
                <c:pt idx="130">
                  <c:v>12000000</c:v>
                </c:pt>
                <c:pt idx="131">
                  <c:v>12000000</c:v>
                </c:pt>
                <c:pt idx="132">
                  <c:v>12000000</c:v>
                </c:pt>
                <c:pt idx="133">
                  <c:v>12000000</c:v>
                </c:pt>
                <c:pt idx="134">
                  <c:v>12000000</c:v>
                </c:pt>
                <c:pt idx="135">
                  <c:v>12000000</c:v>
                </c:pt>
                <c:pt idx="136">
                  <c:v>12000000</c:v>
                </c:pt>
                <c:pt idx="137">
                  <c:v>12000000</c:v>
                </c:pt>
                <c:pt idx="138">
                  <c:v>12000000</c:v>
                </c:pt>
                <c:pt idx="139">
                  <c:v>12000000</c:v>
                </c:pt>
                <c:pt idx="140">
                  <c:v>12000000</c:v>
                </c:pt>
                <c:pt idx="141">
                  <c:v>12000000</c:v>
                </c:pt>
                <c:pt idx="142">
                  <c:v>12000000</c:v>
                </c:pt>
                <c:pt idx="143">
                  <c:v>12000000</c:v>
                </c:pt>
                <c:pt idx="144">
                  <c:v>12000000</c:v>
                </c:pt>
                <c:pt idx="145">
                  <c:v>12000000</c:v>
                </c:pt>
                <c:pt idx="146">
                  <c:v>12000000</c:v>
                </c:pt>
                <c:pt idx="147">
                  <c:v>12000000</c:v>
                </c:pt>
                <c:pt idx="148">
                  <c:v>12000000</c:v>
                </c:pt>
                <c:pt idx="149">
                  <c:v>12000000</c:v>
                </c:pt>
                <c:pt idx="150">
                  <c:v>12000000</c:v>
                </c:pt>
                <c:pt idx="151">
                  <c:v>12000000</c:v>
                </c:pt>
                <c:pt idx="152">
                  <c:v>12000000</c:v>
                </c:pt>
                <c:pt idx="153">
                  <c:v>12000000</c:v>
                </c:pt>
                <c:pt idx="154">
                  <c:v>12000000</c:v>
                </c:pt>
                <c:pt idx="155">
                  <c:v>12000000</c:v>
                </c:pt>
                <c:pt idx="156">
                  <c:v>12000000</c:v>
                </c:pt>
                <c:pt idx="157">
                  <c:v>12000000</c:v>
                </c:pt>
                <c:pt idx="158">
                  <c:v>12000000</c:v>
                </c:pt>
                <c:pt idx="159">
                  <c:v>12000000</c:v>
                </c:pt>
                <c:pt idx="160">
                  <c:v>12000000</c:v>
                </c:pt>
                <c:pt idx="161">
                  <c:v>12000000</c:v>
                </c:pt>
                <c:pt idx="162">
                  <c:v>12000000</c:v>
                </c:pt>
                <c:pt idx="163">
                  <c:v>12000000</c:v>
                </c:pt>
                <c:pt idx="164">
                  <c:v>12000000</c:v>
                </c:pt>
                <c:pt idx="165">
                  <c:v>12000000</c:v>
                </c:pt>
                <c:pt idx="166">
                  <c:v>12000000</c:v>
                </c:pt>
                <c:pt idx="167">
                  <c:v>12000000</c:v>
                </c:pt>
                <c:pt idx="168">
                  <c:v>12000000</c:v>
                </c:pt>
                <c:pt idx="169">
                  <c:v>12000000</c:v>
                </c:pt>
                <c:pt idx="170">
                  <c:v>12000000</c:v>
                </c:pt>
                <c:pt idx="171">
                  <c:v>12000000</c:v>
                </c:pt>
                <c:pt idx="172">
                  <c:v>12000000</c:v>
                </c:pt>
                <c:pt idx="173">
                  <c:v>12000000</c:v>
                </c:pt>
                <c:pt idx="174">
                  <c:v>12000000</c:v>
                </c:pt>
                <c:pt idx="175">
                  <c:v>12000000</c:v>
                </c:pt>
                <c:pt idx="176">
                  <c:v>12000000</c:v>
                </c:pt>
                <c:pt idx="177">
                  <c:v>12000000</c:v>
                </c:pt>
                <c:pt idx="178">
                  <c:v>12000000</c:v>
                </c:pt>
                <c:pt idx="179">
                  <c:v>12000000</c:v>
                </c:pt>
                <c:pt idx="180">
                  <c:v>12000000</c:v>
                </c:pt>
                <c:pt idx="181">
                  <c:v>12000000</c:v>
                </c:pt>
                <c:pt idx="182">
                  <c:v>12000000</c:v>
                </c:pt>
                <c:pt idx="183">
                  <c:v>12000000</c:v>
                </c:pt>
                <c:pt idx="184">
                  <c:v>12000000</c:v>
                </c:pt>
                <c:pt idx="185">
                  <c:v>12000000</c:v>
                </c:pt>
                <c:pt idx="186">
                  <c:v>12000000</c:v>
                </c:pt>
                <c:pt idx="187">
                  <c:v>12000000</c:v>
                </c:pt>
                <c:pt idx="188">
                  <c:v>12000000</c:v>
                </c:pt>
                <c:pt idx="189">
                  <c:v>12000000</c:v>
                </c:pt>
                <c:pt idx="190">
                  <c:v>12000000</c:v>
                </c:pt>
                <c:pt idx="191">
                  <c:v>12000000</c:v>
                </c:pt>
                <c:pt idx="192">
                  <c:v>12000000</c:v>
                </c:pt>
                <c:pt idx="193">
                  <c:v>12000000</c:v>
                </c:pt>
                <c:pt idx="194">
                  <c:v>12000000</c:v>
                </c:pt>
                <c:pt idx="195">
                  <c:v>12000000</c:v>
                </c:pt>
                <c:pt idx="196">
                  <c:v>12000000</c:v>
                </c:pt>
                <c:pt idx="197">
                  <c:v>12000000</c:v>
                </c:pt>
                <c:pt idx="198">
                  <c:v>12000000</c:v>
                </c:pt>
                <c:pt idx="199">
                  <c:v>12000000</c:v>
                </c:pt>
                <c:pt idx="200">
                  <c:v>12000000</c:v>
                </c:pt>
                <c:pt idx="201">
                  <c:v>12000000</c:v>
                </c:pt>
                <c:pt idx="202">
                  <c:v>12000000</c:v>
                </c:pt>
                <c:pt idx="203">
                  <c:v>12000000</c:v>
                </c:pt>
                <c:pt idx="204">
                  <c:v>12000000</c:v>
                </c:pt>
                <c:pt idx="205">
                  <c:v>12000000</c:v>
                </c:pt>
                <c:pt idx="206">
                  <c:v>12000000</c:v>
                </c:pt>
                <c:pt idx="207">
                  <c:v>12000000</c:v>
                </c:pt>
                <c:pt idx="208">
                  <c:v>12000000</c:v>
                </c:pt>
                <c:pt idx="209">
                  <c:v>12000000</c:v>
                </c:pt>
                <c:pt idx="210">
                  <c:v>12000000</c:v>
                </c:pt>
                <c:pt idx="211">
                  <c:v>12000000</c:v>
                </c:pt>
                <c:pt idx="212">
                  <c:v>12000000</c:v>
                </c:pt>
                <c:pt idx="213">
                  <c:v>12000000</c:v>
                </c:pt>
                <c:pt idx="214">
                  <c:v>12000000</c:v>
                </c:pt>
                <c:pt idx="215">
                  <c:v>12000000</c:v>
                </c:pt>
                <c:pt idx="216">
                  <c:v>12000000</c:v>
                </c:pt>
                <c:pt idx="217">
                  <c:v>12000000</c:v>
                </c:pt>
                <c:pt idx="218">
                  <c:v>12000000</c:v>
                </c:pt>
                <c:pt idx="219">
                  <c:v>12000000</c:v>
                </c:pt>
                <c:pt idx="220">
                  <c:v>12000000</c:v>
                </c:pt>
                <c:pt idx="221">
                  <c:v>12000000</c:v>
                </c:pt>
                <c:pt idx="222">
                  <c:v>12000000</c:v>
                </c:pt>
                <c:pt idx="223">
                  <c:v>12000000</c:v>
                </c:pt>
                <c:pt idx="224">
                  <c:v>12000000</c:v>
                </c:pt>
                <c:pt idx="225">
                  <c:v>12000000</c:v>
                </c:pt>
                <c:pt idx="226">
                  <c:v>12000000</c:v>
                </c:pt>
                <c:pt idx="227">
                  <c:v>12000000</c:v>
                </c:pt>
                <c:pt idx="228">
                  <c:v>12000000</c:v>
                </c:pt>
                <c:pt idx="229">
                  <c:v>12000000</c:v>
                </c:pt>
                <c:pt idx="230">
                  <c:v>12000000</c:v>
                </c:pt>
                <c:pt idx="231">
                  <c:v>12000000</c:v>
                </c:pt>
                <c:pt idx="232">
                  <c:v>12000000</c:v>
                </c:pt>
                <c:pt idx="233">
                  <c:v>12000000</c:v>
                </c:pt>
                <c:pt idx="234">
                  <c:v>12000000</c:v>
                </c:pt>
                <c:pt idx="235">
                  <c:v>12000000</c:v>
                </c:pt>
                <c:pt idx="236">
                  <c:v>12000000</c:v>
                </c:pt>
                <c:pt idx="237">
                  <c:v>12000000</c:v>
                </c:pt>
                <c:pt idx="238">
                  <c:v>12000000</c:v>
                </c:pt>
                <c:pt idx="239">
                  <c:v>12000000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1-49FE-BDA7-F12FBF4D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395840"/>
        <c:axId val="269397376"/>
      </c:lineChart>
      <c:dateAx>
        <c:axId val="2693958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 rot="-1200000"/>
          <a:lstStyle/>
          <a:p>
            <a:pPr>
              <a:defRPr sz="1400"/>
            </a:pPr>
            <a:endParaRPr lang="en-US"/>
          </a:p>
        </c:txPr>
        <c:crossAx val="269397376"/>
        <c:crosses val="autoZero"/>
        <c:auto val="1"/>
        <c:lblOffset val="100"/>
        <c:baseTimeUnit val="months"/>
        <c:majorUnit val="26"/>
        <c:majorTimeUnit val="months"/>
      </c:dateAx>
      <c:valAx>
        <c:axId val="2693973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9395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48900923168219"/>
          <c:y val="0.91528838515212962"/>
          <c:w val="0.70943049658038781"/>
          <c:h val="5.8213133218170225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CA" sz="2000"/>
              <a:t> Projected</a:t>
            </a:r>
            <a:r>
              <a:rPr lang="en-CA" sz="2000" baseline="0"/>
              <a:t> Monthly Production vs. Royalties</a:t>
            </a:r>
            <a:endParaRPr lang="en-CA" sz="20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Monthly Royalties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Model'!$BT$9:$BT$248</c:f>
              <c:numCache>
                <c:formatCode>_("$"* #,##0.00_);_("$"* \(#,##0.00\);_("$"* "-"??_);_(@_)</c:formatCode>
                <c:ptCount val="240"/>
                <c:pt idx="0">
                  <c:v>118859.50278807199</c:v>
                </c:pt>
                <c:pt idx="1">
                  <c:v>112201.52178605879</c:v>
                </c:pt>
                <c:pt idx="2">
                  <c:v>106085.42725449023</c:v>
                </c:pt>
                <c:pt idx="3">
                  <c:v>100445.67004593913</c:v>
                </c:pt>
                <c:pt idx="4">
                  <c:v>95227.9247313698</c:v>
                </c:pt>
                <c:pt idx="5">
                  <c:v>90386.63046636041</c:v>
                </c:pt>
                <c:pt idx="6">
                  <c:v>85883.167422696948</c:v>
                </c:pt>
                <c:pt idx="7">
                  <c:v>81684.483905124885</c:v>
                </c:pt>
                <c:pt idx="8">
                  <c:v>77762.048254270543</c:v>
                </c:pt>
                <c:pt idx="9">
                  <c:v>76052.69195993476</c:v>
                </c:pt>
                <c:pt idx="10">
                  <c:v>219938.57474234686</c:v>
                </c:pt>
                <c:pt idx="11">
                  <c:v>302400.81448788219</c:v>
                </c:pt>
                <c:pt idx="12">
                  <c:v>288815.5356254091</c:v>
                </c:pt>
                <c:pt idx="13">
                  <c:v>276001.26037273899</c:v>
                </c:pt>
                <c:pt idx="14">
                  <c:v>263902.63876642258</c:v>
                </c:pt>
                <c:pt idx="15">
                  <c:v>252469.51096620483</c:v>
                </c:pt>
                <c:pt idx="16">
                  <c:v>241656.26359455136</c:v>
                </c:pt>
                <c:pt idx="17">
                  <c:v>231421.28816257275</c:v>
                </c:pt>
                <c:pt idx="18">
                  <c:v>221726.52205556058</c:v>
                </c:pt>
                <c:pt idx="19">
                  <c:v>212537.05683108876</c:v>
                </c:pt>
                <c:pt idx="20">
                  <c:v>203820.80182307446</c:v>
                </c:pt>
                <c:pt idx="21">
                  <c:v>210384.97140521603</c:v>
                </c:pt>
                <c:pt idx="22">
                  <c:v>201940.47964173238</c:v>
                </c:pt>
                <c:pt idx="23">
                  <c:v>193916.8178823003</c:v>
                </c:pt>
                <c:pt idx="24">
                  <c:v>186288.77647706581</c:v>
                </c:pt>
                <c:pt idx="25">
                  <c:v>179032.97570759043</c:v>
                </c:pt>
                <c:pt idx="26">
                  <c:v>172127.70162161705</c:v>
                </c:pt>
                <c:pt idx="27">
                  <c:v>165552.76025303564</c:v>
                </c:pt>
                <c:pt idx="28">
                  <c:v>159289.34769570499</c:v>
                </c:pt>
                <c:pt idx="29">
                  <c:v>153319.93391330395</c:v>
                </c:pt>
                <c:pt idx="30">
                  <c:v>147628.15850376096</c:v>
                </c:pt>
                <c:pt idx="31">
                  <c:v>142198.73691199478</c:v>
                </c:pt>
                <c:pt idx="32">
                  <c:v>137017.37581105833</c:v>
                </c:pt>
                <c:pt idx="33">
                  <c:v>150932.28494493008</c:v>
                </c:pt>
                <c:pt idx="34">
                  <c:v>145541.73403974413</c:v>
                </c:pt>
                <c:pt idx="35">
                  <c:v>140391.25381376751</c:v>
                </c:pt>
                <c:pt idx="36">
                  <c:v>135468.25080029236</c:v>
                </c:pt>
                <c:pt idx="37">
                  <c:v>130760.90080683454</c:v>
                </c:pt>
                <c:pt idx="38">
                  <c:v>126258.09394986965</c:v>
                </c:pt>
                <c:pt idx="39">
                  <c:v>121949.38433551704</c:v>
                </c:pt>
                <c:pt idx="40">
                  <c:v>117824.94391767183</c:v>
                </c:pt>
                <c:pt idx="41">
                  <c:v>113875.52012122927</c:v>
                </c:pt>
                <c:pt idx="42">
                  <c:v>110092.39686634282</c:v>
                </c:pt>
                <c:pt idx="43">
                  <c:v>106467.35867134476</c:v>
                </c:pt>
                <c:pt idx="44">
                  <c:v>102992.65754807615</c:v>
                </c:pt>
                <c:pt idx="45">
                  <c:v>112745.23110964918</c:v>
                </c:pt>
                <c:pt idx="46">
                  <c:v>109138.17772378946</c:v>
                </c:pt>
                <c:pt idx="47">
                  <c:v>105677.35312593028</c:v>
                </c:pt>
                <c:pt idx="48">
                  <c:v>102355.80299651682</c:v>
                </c:pt>
                <c:pt idx="49">
                  <c:v>99166.952398309382</c:v>
                </c:pt>
                <c:pt idx="50">
                  <c:v>96104.582181308506</c:v>
                </c:pt>
                <c:pt idx="51">
                  <c:v>93162.807064399633</c:v>
                </c:pt>
                <c:pt idx="52">
                  <c:v>90336.055256677442</c:v>
                </c:pt>
                <c:pt idx="53">
                  <c:v>87619.049494362334</c:v>
                </c:pt>
                <c:pt idx="54">
                  <c:v>85006.789380769158</c:v>
                </c:pt>
                <c:pt idx="55">
                  <c:v>82494.534927087894</c:v>
                </c:pt>
                <c:pt idx="56">
                  <c:v>80077.791200952212</c:v>
                </c:pt>
                <c:pt idx="57">
                  <c:v>80436.334624942363</c:v>
                </c:pt>
                <c:pt idx="58">
                  <c:v>78119.444798621524</c:v>
                </c:pt>
                <c:pt idx="59">
                  <c:v>75888.853927518736</c:v>
                </c:pt>
                <c:pt idx="60">
                  <c:v>73740.784353628245</c:v>
                </c:pt>
                <c:pt idx="61">
                  <c:v>71671.647025248385</c:v>
                </c:pt>
                <c:pt idx="62">
                  <c:v>69678.030888628273</c:v>
                </c:pt>
                <c:pt idx="63">
                  <c:v>67756.692948971933</c:v>
                </c:pt>
                <c:pt idx="64">
                  <c:v>65904.548953378195</c:v>
                </c:pt>
                <c:pt idx="65">
                  <c:v>64118.664652082472</c:v>
                </c:pt>
                <c:pt idx="66">
                  <c:v>62396.247597810878</c:v>
                </c:pt>
                <c:pt idx="67">
                  <c:v>60734.6394461948</c:v>
                </c:pt>
                <c:pt idx="68">
                  <c:v>59131.30872305503</c:v>
                </c:pt>
                <c:pt idx="69">
                  <c:v>59915.163039413354</c:v>
                </c:pt>
                <c:pt idx="70">
                  <c:v>58363.67637070913</c:v>
                </c:pt>
                <c:pt idx="71">
                  <c:v>56865.514471372262</c:v>
                </c:pt>
                <c:pt idx="72">
                  <c:v>55418.510558167065</c:v>
                </c:pt>
                <c:pt idx="73">
                  <c:v>54020.598186600568</c:v>
                </c:pt>
                <c:pt idx="74">
                  <c:v>52669.806041998534</c:v>
                </c:pt>
                <c:pt idx="75">
                  <c:v>51364.253031263819</c:v>
                </c:pt>
                <c:pt idx="76">
                  <c:v>50102.143656079861</c:v>
                </c:pt>
                <c:pt idx="77">
                  <c:v>48881.763649689128</c:v>
                </c:pt>
                <c:pt idx="78">
                  <c:v>47701.475860630002</c:v>
                </c:pt>
                <c:pt idx="79">
                  <c:v>46559.716367976434</c:v>
                </c:pt>
                <c:pt idx="80">
                  <c:v>45454.990813691649</c:v>
                </c:pt>
                <c:pt idx="81">
                  <c:v>46276.597583117495</c:v>
                </c:pt>
                <c:pt idx="82">
                  <c:v>45200.369511467077</c:v>
                </c:pt>
                <c:pt idx="83">
                  <c:v>44158.358712691079</c:v>
                </c:pt>
                <c:pt idx="84">
                  <c:v>43149.268106564225</c:v>
                </c:pt>
                <c:pt idx="85">
                  <c:v>42171.856738882001</c:v>
                </c:pt>
                <c:pt idx="86">
                  <c:v>41224.937063407939</c:v>
                </c:pt>
                <c:pt idx="87">
                  <c:v>40307.372369561024</c:v>
                </c:pt>
                <c:pt idx="88">
                  <c:v>39418.07434724077</c:v>
                </c:pt>
                <c:pt idx="89">
                  <c:v>38556.0007807484</c:v>
                </c:pt>
                <c:pt idx="90">
                  <c:v>37720.153364277125</c:v>
                </c:pt>
                <c:pt idx="91">
                  <c:v>36909.575631926964</c:v>
                </c:pt>
                <c:pt idx="92">
                  <c:v>36123.350995646644</c:v>
                </c:pt>
                <c:pt idx="93">
                  <c:v>36599.919451709437</c:v>
                </c:pt>
                <c:pt idx="94">
                  <c:v>35832.911590910422</c:v>
                </c:pt>
                <c:pt idx="95">
                  <c:v>35088.532749742888</c:v>
                </c:pt>
                <c:pt idx="96">
                  <c:v>34365.979449940132</c:v>
                </c:pt>
                <c:pt idx="97">
                  <c:v>33664.480866078717</c:v>
                </c:pt>
                <c:pt idx="98">
                  <c:v>32983.29734078663</c:v>
                </c:pt>
                <c:pt idx="99">
                  <c:v>32321.718974546573</c:v>
                </c:pt>
                <c:pt idx="100">
                  <c:v>31679.064285985743</c:v>
                </c:pt>
                <c:pt idx="101">
                  <c:v>31054.678938790756</c:v>
                </c:pt>
                <c:pt idx="102">
                  <c:v>30447.934531616418</c:v>
                </c:pt>
                <c:pt idx="103">
                  <c:v>29858.227447573998</c:v>
                </c:pt>
                <c:pt idx="104">
                  <c:v>29284.977760084981</c:v>
                </c:pt>
                <c:pt idx="105">
                  <c:v>29853.369574255757</c:v>
                </c:pt>
                <c:pt idx="106">
                  <c:v>29290.513941264966</c:v>
                </c:pt>
                <c:pt idx="107">
                  <c:v>28743.075237293851</c:v>
                </c:pt>
                <c:pt idx="108">
                  <c:v>28210.539533074225</c:v>
                </c:pt>
                <c:pt idx="109">
                  <c:v>27692.412585454458</c:v>
                </c:pt>
                <c:pt idx="110">
                  <c:v>27188.218992824335</c:v>
                </c:pt>
                <c:pt idx="111">
                  <c:v>26697.501390546058</c:v>
                </c:pt>
                <c:pt idx="112">
                  <c:v>26219.81968431835</c:v>
                </c:pt>
                <c:pt idx="113">
                  <c:v>25754.750319516213</c:v>
                </c:pt>
                <c:pt idx="114">
                  <c:v>25301.885584660846</c:v>
                </c:pt>
                <c:pt idx="115">
                  <c:v>24860.832947274339</c:v>
                </c:pt>
                <c:pt idx="116">
                  <c:v>24431.214420473727</c:v>
                </c:pt>
                <c:pt idx="117">
                  <c:v>24896.744999764454</c:v>
                </c:pt>
                <c:pt idx="118">
                  <c:v>24474.210308660859</c:v>
                </c:pt>
                <c:pt idx="119">
                  <c:v>24062.427698624175</c:v>
                </c:pt>
                <c:pt idx="120">
                  <c:v>23661.060027982825</c:v>
                </c:pt>
                <c:pt idx="121">
                  <c:v>23269.782360940888</c:v>
                </c:pt>
                <c:pt idx="122">
                  <c:v>22888.281471796472</c:v>
                </c:pt>
                <c:pt idx="123">
                  <c:v>22516.255371398107</c:v>
                </c:pt>
                <c:pt idx="124">
                  <c:v>22153.412854748589</c:v>
                </c:pt>
                <c:pt idx="125">
                  <c:v>21799.473068723899</c:v>
                </c:pt>
                <c:pt idx="126">
                  <c:v>21454.165098929705</c:v>
                </c:pt>
                <c:pt idx="127">
                  <c:v>21117.227574769106</c:v>
                </c:pt>
                <c:pt idx="128">
                  <c:v>20788.408291844287</c:v>
                </c:pt>
                <c:pt idx="129">
                  <c:v>21258.630575053245</c:v>
                </c:pt>
                <c:pt idx="130">
                  <c:v>20933.388413253226</c:v>
                </c:pt>
                <c:pt idx="131">
                  <c:v>20615.839686499778</c:v>
                </c:pt>
                <c:pt idx="132">
                  <c:v>20305.757146781405</c:v>
                </c:pt>
                <c:pt idx="133">
                  <c:v>20002.921339101547</c:v>
                </c:pt>
                <c:pt idx="134">
                  <c:v>19707.120300971321</c:v>
                </c:pt>
                <c:pt idx="135">
                  <c:v>19418.149274707586</c:v>
                </c:pt>
                <c:pt idx="136">
                  <c:v>19135.810431940077</c:v>
                </c:pt>
                <c:pt idx="137">
                  <c:v>18859.91260976129</c:v>
                </c:pt>
                <c:pt idx="138">
                  <c:v>18590.271057981387</c:v>
                </c:pt>
                <c:pt idx="139">
                  <c:v>18326.707196977088</c:v>
                </c:pt>
                <c:pt idx="140">
                  <c:v>18069.048385649443</c:v>
                </c:pt>
                <c:pt idx="141">
                  <c:v>18399.533697847448</c:v>
                </c:pt>
                <c:pt idx="142">
                  <c:v>18144.71470624072</c:v>
                </c:pt>
                <c:pt idx="143">
                  <c:v>17895.507941245563</c:v>
                </c:pt>
                <c:pt idx="144">
                  <c:v>17651.756968006674</c:v>
                </c:pt>
                <c:pt idx="145">
                  <c:v>17413.310443689239</c:v>
                </c:pt>
                <c:pt idx="146">
                  <c:v>17180.021930626684</c:v>
                </c:pt>
                <c:pt idx="147">
                  <c:v>16951.749717053186</c:v>
                </c:pt>
                <c:pt idx="148">
                  <c:v>16728.356645084248</c:v>
                </c:pt>
                <c:pt idx="149">
                  <c:v>16509.709945625033</c:v>
                </c:pt>
                <c:pt idx="150">
                  <c:v>16295.681079901318</c:v>
                </c:pt>
                <c:pt idx="151">
                  <c:v>16086.145587322833</c:v>
                </c:pt>
                <c:pt idx="152">
                  <c:v>15880.982939402147</c:v>
                </c:pt>
                <c:pt idx="153">
                  <c:v>15755.516733297887</c:v>
                </c:pt>
                <c:pt idx="154">
                  <c:v>14519.637532114806</c:v>
                </c:pt>
                <c:pt idx="155">
                  <c:v>13329.586252913836</c:v>
                </c:pt>
                <c:pt idx="156">
                  <c:v>12183.52833415112</c:v>
                </c:pt>
                <c:pt idx="157">
                  <c:v>11079.710881151932</c:v>
                </c:pt>
                <c:pt idx="158">
                  <c:v>10016.458661639121</c:v>
                </c:pt>
                <c:pt idx="159">
                  <c:v>8992.1703151518996</c:v>
                </c:pt>
                <c:pt idx="160">
                  <c:v>8005.3147640212428</c:v>
                </c:pt>
                <c:pt idx="161">
                  <c:v>7054.4278143349011</c:v>
                </c:pt>
                <c:pt idx="162">
                  <c:v>6138.108936033409</c:v>
                </c:pt>
                <c:pt idx="163">
                  <c:v>5255.0182119454303</c:v>
                </c:pt>
                <c:pt idx="164">
                  <c:v>4403.8734461903314</c:v>
                </c:pt>
                <c:pt idx="165">
                  <c:v>3904.5921257554487</c:v>
                </c:pt>
                <c:pt idx="166">
                  <c:v>3094.7683422435048</c:v>
                </c:pt>
                <c:pt idx="167">
                  <c:v>2812.7301804272324</c:v>
                </c:pt>
                <c:pt idx="168">
                  <c:v>2783.3357213169215</c:v>
                </c:pt>
                <c:pt idx="169">
                  <c:v>2754.4689984851002</c:v>
                </c:pt>
                <c:pt idx="170">
                  <c:v>2726.1173856206015</c:v>
                </c:pt>
                <c:pt idx="171">
                  <c:v>2698.2686189492265</c:v>
                </c:pt>
                <c:pt idx="172">
                  <c:v>2670.9107853304613</c:v>
                </c:pt>
                <c:pt idx="173">
                  <c:v>2644.0323107898603</c:v>
                </c:pt>
                <c:pt idx="174">
                  <c:v>2617.6219494695706</c:v>
                </c:pt>
                <c:pt idx="175">
                  <c:v>2591.6687729803111</c:v>
                </c:pt>
                <c:pt idx="176">
                  <c:v>2566.1621601387242</c:v>
                </c:pt>
                <c:pt idx="177">
                  <c:v>2591.9136228163393</c:v>
                </c:pt>
                <c:pt idx="178">
                  <c:v>2566.7765700488762</c:v>
                </c:pt>
                <c:pt idx="179">
                  <c:v>2542.0642923757259</c:v>
                </c:pt>
                <c:pt idx="180">
                  <c:v>2517.7671122406191</c:v>
                </c:pt>
                <c:pt idx="181">
                  <c:v>2493.8756184707545</c:v>
                </c:pt>
                <c:pt idx="182">
                  <c:v>2470.3806578620392</c:v>
                </c:pt>
                <c:pt idx="183">
                  <c:v>2447.273327061213</c:v>
                </c:pt>
                <c:pt idx="184">
                  <c:v>2424.5449647333071</c:v>
                </c:pt>
                <c:pt idx="185">
                  <c:v>2402.187144003467</c:v>
                </c:pt>
                <c:pt idx="186">
                  <c:v>2380.1916651625274</c:v>
                </c:pt>
                <c:pt idx="187">
                  <c:v>2358.5505486262527</c:v>
                </c:pt>
                <c:pt idx="188">
                  <c:v>2337.2560281385508</c:v>
                </c:pt>
                <c:pt idx="189">
                  <c:v>2362.6265550935132</c:v>
                </c:pt>
                <c:pt idx="190">
                  <c:v>2341.5902725336796</c:v>
                </c:pt>
                <c:pt idx="191">
                  <c:v>2320.8849929768303</c:v>
                </c:pt>
                <c:pt idx="192">
                  <c:v>2300.5036005463289</c:v>
                </c:pt>
                <c:pt idx="193">
                  <c:v>2280.4391657107535</c:v>
                </c:pt>
                <c:pt idx="194">
                  <c:v>2260.6849396582843</c:v>
                </c:pt>
                <c:pt idx="195">
                  <c:v>2241.2343488612123</c:v>
                </c:pt>
                <c:pt idx="196">
                  <c:v>2222.0809898235552</c:v>
                </c:pt>
                <c:pt idx="197">
                  <c:v>2203.2186240049232</c:v>
                </c:pt>
                <c:pt idx="198">
                  <c:v>2184.6411729141851</c:v>
                </c:pt>
                <c:pt idx="199">
                  <c:v>2166.3427133666441</c:v>
                </c:pt>
                <c:pt idx="200">
                  <c:v>2148.3174728987556</c:v>
                </c:pt>
                <c:pt idx="201">
                  <c:v>2173.1710218412841</c:v>
                </c:pt>
                <c:pt idx="202">
                  <c:v>2155.3255722285235</c:v>
                </c:pt>
                <c:pt idx="203">
                  <c:v>2137.7420202703743</c:v>
                </c:pt>
                <c:pt idx="204">
                  <c:v>2120.415049239039</c:v>
                </c:pt>
                <c:pt idx="205">
                  <c:v>2103.3394749697786</c:v>
                </c:pt>
                <c:pt idx="206">
                  <c:v>2086.5102420324197</c:v>
                </c:pt>
                <c:pt idx="207">
                  <c:v>2069.9224200270069</c:v>
                </c:pt>
                <c:pt idx="208">
                  <c:v>2053.5711999991131</c:v>
                </c:pt>
                <c:pt idx="209">
                  <c:v>2037.4518909706001</c:v>
                </c:pt>
                <c:pt idx="210">
                  <c:v>2021.5599165816952</c:v>
                </c:pt>
                <c:pt idx="211">
                  <c:v>2005.8908118404638</c:v>
                </c:pt>
                <c:pt idx="212">
                  <c:v>1990.4402199758858</c:v>
                </c:pt>
                <c:pt idx="213">
                  <c:v>2014.7079671787067</c:v>
                </c:pt>
                <c:pt idx="214">
                  <c:v>1999.381224126096</c:v>
                </c:pt>
                <c:pt idx="215">
                  <c:v>1984.264664209843</c:v>
                </c:pt>
                <c:pt idx="216">
                  <c:v>1969.3542549526899</c:v>
                </c:pt>
                <c:pt idx="217">
                  <c:v>1954.646059673395</c:v>
                </c:pt>
                <c:pt idx="218">
                  <c:v>1940.1362348377211</c:v>
                </c:pt>
                <c:pt idx="219">
                  <c:v>1925.8210274918763</c:v>
                </c:pt>
                <c:pt idx="220">
                  <c:v>1911.6967727755873</c:v>
                </c:pt>
                <c:pt idx="221">
                  <c:v>1897.7598915120809</c:v>
                </c:pt>
                <c:pt idx="222">
                  <c:v>1884.0068878723444</c:v>
                </c:pt>
                <c:pt idx="223">
                  <c:v>1870.4343471111433</c:v>
                </c:pt>
                <c:pt idx="224">
                  <c:v>1857.0389333723433</c:v>
                </c:pt>
                <c:pt idx="225">
                  <c:v>1880.6937353124495</c:v>
                </c:pt>
                <c:pt idx="226">
                  <c:v>1867.3818557871186</c:v>
                </c:pt>
                <c:pt idx="227">
                  <c:v>1854.2408995315291</c:v>
                </c:pt>
                <c:pt idx="228">
                  <c:v>1841.2677647865648</c:v>
                </c:pt>
                <c:pt idx="229">
                  <c:v>1828.4594200470638</c:v>
                </c:pt>
                <c:pt idx="230">
                  <c:v>1815.8129022002381</c:v>
                </c:pt>
                <c:pt idx="231">
                  <c:v>1803.325314719782</c:v>
                </c:pt>
                <c:pt idx="232">
                  <c:v>1790.9938259138444</c:v>
                </c:pt>
                <c:pt idx="233">
                  <c:v>1778.8156672250807</c:v>
                </c:pt>
                <c:pt idx="234">
                  <c:v>1766.788131581073</c:v>
                </c:pt>
                <c:pt idx="235">
                  <c:v>1754.9085717934661</c:v>
                </c:pt>
                <c:pt idx="236">
                  <c:v>1743.1743990042291</c:v>
                </c:pt>
                <c:pt idx="237">
                  <c:v>1766.2147428010649</c:v>
                </c:pt>
                <c:pt idx="238">
                  <c:v>1754.5347844683311</c:v>
                </c:pt>
                <c:pt idx="239">
                  <c:v>1742.9955407903772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E-4841-ABAE-DEF223FBC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497280"/>
        <c:axId val="270498816"/>
      </c:lineChart>
      <c:lineChart>
        <c:grouping val="standard"/>
        <c:varyColors val="0"/>
        <c:ser>
          <c:idx val="0"/>
          <c:order val="0"/>
          <c:tx>
            <c:v>Monthly Total Prod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'Decline and Model'!$E$9:$E$248</c:f>
              <c:numCache>
                <c:formatCode>m/d/yyyy</c:formatCode>
                <c:ptCount val="24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  <c:pt idx="50">
                  <c:v>44348</c:v>
                </c:pt>
                <c:pt idx="51">
                  <c:v>44378</c:v>
                </c:pt>
                <c:pt idx="52">
                  <c:v>44409</c:v>
                </c:pt>
                <c:pt idx="53">
                  <c:v>44440</c:v>
                </c:pt>
                <c:pt idx="54">
                  <c:v>44470</c:v>
                </c:pt>
                <c:pt idx="55">
                  <c:v>44501</c:v>
                </c:pt>
                <c:pt idx="56">
                  <c:v>44531</c:v>
                </c:pt>
                <c:pt idx="57">
                  <c:v>44562</c:v>
                </c:pt>
                <c:pt idx="58">
                  <c:v>44593</c:v>
                </c:pt>
                <c:pt idx="59">
                  <c:v>44621</c:v>
                </c:pt>
                <c:pt idx="60">
                  <c:v>44652</c:v>
                </c:pt>
                <c:pt idx="61">
                  <c:v>44682</c:v>
                </c:pt>
                <c:pt idx="62">
                  <c:v>44713</c:v>
                </c:pt>
                <c:pt idx="63">
                  <c:v>44743</c:v>
                </c:pt>
                <c:pt idx="64">
                  <c:v>44774</c:v>
                </c:pt>
                <c:pt idx="65">
                  <c:v>44805</c:v>
                </c:pt>
                <c:pt idx="66">
                  <c:v>44835</c:v>
                </c:pt>
                <c:pt idx="67">
                  <c:v>44866</c:v>
                </c:pt>
                <c:pt idx="68">
                  <c:v>44896</c:v>
                </c:pt>
                <c:pt idx="69">
                  <c:v>44927</c:v>
                </c:pt>
                <c:pt idx="70">
                  <c:v>44958</c:v>
                </c:pt>
                <c:pt idx="71">
                  <c:v>44986</c:v>
                </c:pt>
                <c:pt idx="72">
                  <c:v>45017</c:v>
                </c:pt>
                <c:pt idx="73">
                  <c:v>45047</c:v>
                </c:pt>
                <c:pt idx="74">
                  <c:v>45078</c:v>
                </c:pt>
                <c:pt idx="75">
                  <c:v>45108</c:v>
                </c:pt>
                <c:pt idx="76">
                  <c:v>45139</c:v>
                </c:pt>
                <c:pt idx="77">
                  <c:v>45170</c:v>
                </c:pt>
                <c:pt idx="78">
                  <c:v>45200</c:v>
                </c:pt>
                <c:pt idx="79">
                  <c:v>45231</c:v>
                </c:pt>
                <c:pt idx="80">
                  <c:v>45261</c:v>
                </c:pt>
                <c:pt idx="81">
                  <c:v>45292</c:v>
                </c:pt>
                <c:pt idx="82">
                  <c:v>45323</c:v>
                </c:pt>
                <c:pt idx="83">
                  <c:v>45352</c:v>
                </c:pt>
                <c:pt idx="84">
                  <c:v>45383</c:v>
                </c:pt>
                <c:pt idx="85">
                  <c:v>45413</c:v>
                </c:pt>
                <c:pt idx="86">
                  <c:v>45444</c:v>
                </c:pt>
                <c:pt idx="87">
                  <c:v>45474</c:v>
                </c:pt>
                <c:pt idx="88">
                  <c:v>45505</c:v>
                </c:pt>
                <c:pt idx="89">
                  <c:v>45536</c:v>
                </c:pt>
                <c:pt idx="90">
                  <c:v>45566</c:v>
                </c:pt>
                <c:pt idx="91">
                  <c:v>45597</c:v>
                </c:pt>
                <c:pt idx="92">
                  <c:v>45627</c:v>
                </c:pt>
                <c:pt idx="93">
                  <c:v>45658</c:v>
                </c:pt>
                <c:pt idx="94">
                  <c:v>45689</c:v>
                </c:pt>
                <c:pt idx="95">
                  <c:v>45717</c:v>
                </c:pt>
                <c:pt idx="96">
                  <c:v>45748</c:v>
                </c:pt>
                <c:pt idx="97">
                  <c:v>45778</c:v>
                </c:pt>
                <c:pt idx="98">
                  <c:v>45809</c:v>
                </c:pt>
                <c:pt idx="99">
                  <c:v>45839</c:v>
                </c:pt>
                <c:pt idx="100">
                  <c:v>45870</c:v>
                </c:pt>
                <c:pt idx="101">
                  <c:v>45901</c:v>
                </c:pt>
                <c:pt idx="102">
                  <c:v>45931</c:v>
                </c:pt>
                <c:pt idx="103">
                  <c:v>45962</c:v>
                </c:pt>
                <c:pt idx="104">
                  <c:v>45992</c:v>
                </c:pt>
                <c:pt idx="105">
                  <c:v>46023</c:v>
                </c:pt>
                <c:pt idx="106">
                  <c:v>46054</c:v>
                </c:pt>
                <c:pt idx="107">
                  <c:v>46082</c:v>
                </c:pt>
                <c:pt idx="108">
                  <c:v>46113</c:v>
                </c:pt>
                <c:pt idx="109">
                  <c:v>46143</c:v>
                </c:pt>
                <c:pt idx="110">
                  <c:v>46174</c:v>
                </c:pt>
                <c:pt idx="111">
                  <c:v>46204</c:v>
                </c:pt>
                <c:pt idx="112">
                  <c:v>46235</c:v>
                </c:pt>
                <c:pt idx="113">
                  <c:v>46266</c:v>
                </c:pt>
                <c:pt idx="114">
                  <c:v>46296</c:v>
                </c:pt>
                <c:pt idx="115">
                  <c:v>46327</c:v>
                </c:pt>
                <c:pt idx="116">
                  <c:v>46357</c:v>
                </c:pt>
                <c:pt idx="117">
                  <c:v>46388</c:v>
                </c:pt>
                <c:pt idx="118">
                  <c:v>46419</c:v>
                </c:pt>
                <c:pt idx="119">
                  <c:v>46447</c:v>
                </c:pt>
                <c:pt idx="120">
                  <c:v>46478</c:v>
                </c:pt>
                <c:pt idx="121">
                  <c:v>46508</c:v>
                </c:pt>
                <c:pt idx="122">
                  <c:v>46539</c:v>
                </c:pt>
                <c:pt idx="123">
                  <c:v>46569</c:v>
                </c:pt>
                <c:pt idx="124">
                  <c:v>46600</c:v>
                </c:pt>
                <c:pt idx="125">
                  <c:v>46631</c:v>
                </c:pt>
                <c:pt idx="126">
                  <c:v>46661</c:v>
                </c:pt>
                <c:pt idx="127">
                  <c:v>46692</c:v>
                </c:pt>
                <c:pt idx="128">
                  <c:v>46722</c:v>
                </c:pt>
                <c:pt idx="129">
                  <c:v>46753</c:v>
                </c:pt>
                <c:pt idx="130">
                  <c:v>46784</c:v>
                </c:pt>
                <c:pt idx="131">
                  <c:v>46813</c:v>
                </c:pt>
                <c:pt idx="132">
                  <c:v>46844</c:v>
                </c:pt>
                <c:pt idx="133">
                  <c:v>46874</c:v>
                </c:pt>
                <c:pt idx="134">
                  <c:v>46905</c:v>
                </c:pt>
                <c:pt idx="135">
                  <c:v>46935</c:v>
                </c:pt>
                <c:pt idx="136">
                  <c:v>46966</c:v>
                </c:pt>
                <c:pt idx="137">
                  <c:v>46997</c:v>
                </c:pt>
                <c:pt idx="138">
                  <c:v>47027</c:v>
                </c:pt>
                <c:pt idx="139">
                  <c:v>47058</c:v>
                </c:pt>
                <c:pt idx="140">
                  <c:v>47088</c:v>
                </c:pt>
                <c:pt idx="141">
                  <c:v>47119</c:v>
                </c:pt>
                <c:pt idx="142">
                  <c:v>47150</c:v>
                </c:pt>
                <c:pt idx="143">
                  <c:v>47178</c:v>
                </c:pt>
                <c:pt idx="144">
                  <c:v>47209</c:v>
                </c:pt>
                <c:pt idx="145">
                  <c:v>47239</c:v>
                </c:pt>
                <c:pt idx="146">
                  <c:v>47270</c:v>
                </c:pt>
                <c:pt idx="147">
                  <c:v>47300</c:v>
                </c:pt>
                <c:pt idx="148">
                  <c:v>47331</c:v>
                </c:pt>
                <c:pt idx="149">
                  <c:v>47362</c:v>
                </c:pt>
                <c:pt idx="150">
                  <c:v>47392</c:v>
                </c:pt>
                <c:pt idx="151">
                  <c:v>47423</c:v>
                </c:pt>
                <c:pt idx="152">
                  <c:v>47453</c:v>
                </c:pt>
                <c:pt idx="153">
                  <c:v>47484</c:v>
                </c:pt>
                <c:pt idx="154">
                  <c:v>47515</c:v>
                </c:pt>
                <c:pt idx="155">
                  <c:v>47543</c:v>
                </c:pt>
                <c:pt idx="156">
                  <c:v>47574</c:v>
                </c:pt>
                <c:pt idx="157">
                  <c:v>47604</c:v>
                </c:pt>
                <c:pt idx="158">
                  <c:v>47635</c:v>
                </c:pt>
                <c:pt idx="159">
                  <c:v>47665</c:v>
                </c:pt>
                <c:pt idx="160">
                  <c:v>47696</c:v>
                </c:pt>
                <c:pt idx="161">
                  <c:v>47727</c:v>
                </c:pt>
                <c:pt idx="162">
                  <c:v>47757</c:v>
                </c:pt>
                <c:pt idx="163">
                  <c:v>47788</c:v>
                </c:pt>
                <c:pt idx="164">
                  <c:v>47818</c:v>
                </c:pt>
                <c:pt idx="165">
                  <c:v>47849</c:v>
                </c:pt>
                <c:pt idx="166">
                  <c:v>47880</c:v>
                </c:pt>
                <c:pt idx="167">
                  <c:v>47908</c:v>
                </c:pt>
                <c:pt idx="168">
                  <c:v>47939</c:v>
                </c:pt>
                <c:pt idx="169">
                  <c:v>47969</c:v>
                </c:pt>
                <c:pt idx="170">
                  <c:v>48000</c:v>
                </c:pt>
                <c:pt idx="171">
                  <c:v>48030</c:v>
                </c:pt>
                <c:pt idx="172">
                  <c:v>48061</c:v>
                </c:pt>
                <c:pt idx="173">
                  <c:v>48092</c:v>
                </c:pt>
                <c:pt idx="174">
                  <c:v>48122</c:v>
                </c:pt>
                <c:pt idx="175">
                  <c:v>48153</c:v>
                </c:pt>
                <c:pt idx="176">
                  <c:v>48183</c:v>
                </c:pt>
                <c:pt idx="177">
                  <c:v>48214</c:v>
                </c:pt>
                <c:pt idx="178">
                  <c:v>48245</c:v>
                </c:pt>
                <c:pt idx="179">
                  <c:v>48274</c:v>
                </c:pt>
                <c:pt idx="180">
                  <c:v>48305</c:v>
                </c:pt>
                <c:pt idx="181">
                  <c:v>48335</c:v>
                </c:pt>
                <c:pt idx="182">
                  <c:v>48366</c:v>
                </c:pt>
                <c:pt idx="183">
                  <c:v>48396</c:v>
                </c:pt>
                <c:pt idx="184">
                  <c:v>48427</c:v>
                </c:pt>
                <c:pt idx="185">
                  <c:v>48458</c:v>
                </c:pt>
                <c:pt idx="186">
                  <c:v>48488</c:v>
                </c:pt>
                <c:pt idx="187">
                  <c:v>48519</c:v>
                </c:pt>
                <c:pt idx="188">
                  <c:v>48549</c:v>
                </c:pt>
                <c:pt idx="189">
                  <c:v>48580</c:v>
                </c:pt>
                <c:pt idx="190">
                  <c:v>48611</c:v>
                </c:pt>
                <c:pt idx="191">
                  <c:v>48639</c:v>
                </c:pt>
                <c:pt idx="192">
                  <c:v>48670</c:v>
                </c:pt>
                <c:pt idx="193">
                  <c:v>48700</c:v>
                </c:pt>
                <c:pt idx="194">
                  <c:v>48731</c:v>
                </c:pt>
                <c:pt idx="195">
                  <c:v>48761</c:v>
                </c:pt>
                <c:pt idx="196">
                  <c:v>48792</c:v>
                </c:pt>
                <c:pt idx="197">
                  <c:v>48823</c:v>
                </c:pt>
                <c:pt idx="198">
                  <c:v>48853</c:v>
                </c:pt>
                <c:pt idx="199">
                  <c:v>48884</c:v>
                </c:pt>
                <c:pt idx="200">
                  <c:v>48914</c:v>
                </c:pt>
                <c:pt idx="201">
                  <c:v>48945</c:v>
                </c:pt>
                <c:pt idx="202">
                  <c:v>48976</c:v>
                </c:pt>
                <c:pt idx="203">
                  <c:v>49004</c:v>
                </c:pt>
                <c:pt idx="204">
                  <c:v>49035</c:v>
                </c:pt>
                <c:pt idx="205">
                  <c:v>49065</c:v>
                </c:pt>
                <c:pt idx="206">
                  <c:v>49096</c:v>
                </c:pt>
                <c:pt idx="207">
                  <c:v>49126</c:v>
                </c:pt>
                <c:pt idx="208">
                  <c:v>49157</c:v>
                </c:pt>
                <c:pt idx="209">
                  <c:v>49188</c:v>
                </c:pt>
                <c:pt idx="210">
                  <c:v>49218</c:v>
                </c:pt>
                <c:pt idx="211">
                  <c:v>49249</c:v>
                </c:pt>
                <c:pt idx="212">
                  <c:v>49279</c:v>
                </c:pt>
                <c:pt idx="213">
                  <c:v>49310</c:v>
                </c:pt>
                <c:pt idx="214">
                  <c:v>49341</c:v>
                </c:pt>
                <c:pt idx="215">
                  <c:v>49369</c:v>
                </c:pt>
                <c:pt idx="216">
                  <c:v>49400</c:v>
                </c:pt>
                <c:pt idx="217">
                  <c:v>49430</c:v>
                </c:pt>
                <c:pt idx="218">
                  <c:v>49461</c:v>
                </c:pt>
                <c:pt idx="219">
                  <c:v>49491</c:v>
                </c:pt>
                <c:pt idx="220">
                  <c:v>49522</c:v>
                </c:pt>
                <c:pt idx="221">
                  <c:v>49553</c:v>
                </c:pt>
                <c:pt idx="222">
                  <c:v>49583</c:v>
                </c:pt>
                <c:pt idx="223">
                  <c:v>49614</c:v>
                </c:pt>
                <c:pt idx="224">
                  <c:v>49644</c:v>
                </c:pt>
                <c:pt idx="225">
                  <c:v>49675</c:v>
                </c:pt>
                <c:pt idx="226">
                  <c:v>49706</c:v>
                </c:pt>
                <c:pt idx="227">
                  <c:v>49735</c:v>
                </c:pt>
                <c:pt idx="228">
                  <c:v>49766</c:v>
                </c:pt>
                <c:pt idx="229">
                  <c:v>49796</c:v>
                </c:pt>
                <c:pt idx="230">
                  <c:v>49827</c:v>
                </c:pt>
                <c:pt idx="231">
                  <c:v>49857</c:v>
                </c:pt>
                <c:pt idx="232">
                  <c:v>49888</c:v>
                </c:pt>
                <c:pt idx="233">
                  <c:v>49919</c:v>
                </c:pt>
                <c:pt idx="234">
                  <c:v>49949</c:v>
                </c:pt>
                <c:pt idx="235">
                  <c:v>49980</c:v>
                </c:pt>
                <c:pt idx="236">
                  <c:v>50010</c:v>
                </c:pt>
                <c:pt idx="237">
                  <c:v>50041</c:v>
                </c:pt>
                <c:pt idx="238">
                  <c:v>50072</c:v>
                </c:pt>
                <c:pt idx="239">
                  <c:v>50100</c:v>
                </c:pt>
              </c:numCache>
            </c:numRef>
          </c:cat>
          <c:val>
            <c:numRef>
              <c:f>'Decline and Model'!$V$9:$V$248</c:f>
              <c:numCache>
                <c:formatCode>_(* #,##0_);_(* \(#,##0\);_(* "-"??_);_(@_)</c:formatCode>
                <c:ptCount val="240"/>
                <c:pt idx="0">
                  <c:v>47872.564866948975</c:v>
                </c:pt>
                <c:pt idx="1">
                  <c:v>44961.163771627871</c:v>
                </c:pt>
                <c:pt idx="2">
                  <c:v>42323.858870509495</c:v>
                </c:pt>
                <c:pt idx="3">
                  <c:v>39922.875853317149</c:v>
                </c:pt>
                <c:pt idx="4">
                  <c:v>37727.408149307295</c:v>
                </c:pt>
                <c:pt idx="5">
                  <c:v>35712.041862560895</c:v>
                </c:pt>
                <c:pt idx="6">
                  <c:v>33855.592293556227</c:v>
                </c:pt>
                <c:pt idx="7">
                  <c:v>32140.231893699874</c:v>
                </c:pt>
                <c:pt idx="8">
                  <c:v>30550.827873342594</c:v>
                </c:pt>
                <c:pt idx="9">
                  <c:v>29074.432838375909</c:v>
                </c:pt>
                <c:pt idx="10">
                  <c:v>27699.888626649572</c:v>
                </c:pt>
                <c:pt idx="11">
                  <c:v>26417.514921656242</c:v>
                </c:pt>
                <c:pt idx="12">
                  <c:v>25218.86208817998</c:v>
                </c:pt>
                <c:pt idx="13">
                  <c:v>24096.513179334725</c:v>
                </c:pt>
                <c:pt idx="14">
                  <c:v>23043.923967623097</c:v>
                </c:pt>
                <c:pt idx="15">
                  <c:v>22055.292654659057</c:v>
                </c:pt>
                <c:pt idx="16">
                  <c:v>21125.452948980776</c:v>
                </c:pt>
                <c:pt idx="17">
                  <c:v>20249.785694993254</c:v>
                </c:pt>
                <c:pt idx="18">
                  <c:v>19424.145343557568</c:v>
                </c:pt>
                <c:pt idx="19">
                  <c:v>18644.798383726233</c:v>
                </c:pt>
                <c:pt idx="20">
                  <c:v>17908.371481195612</c:v>
                </c:pt>
                <c:pt idx="21">
                  <c:v>17211.807545871125</c:v>
                </c:pt>
                <c:pt idx="22">
                  <c:v>16552.3283169934</c:v>
                </c:pt>
                <c:pt idx="23">
                  <c:v>15927.402337413432</c:v>
                </c:pt>
                <c:pt idx="24">
                  <c:v>15334.71740918322</c:v>
                </c:pt>
                <c:pt idx="25">
                  <c:v>14772.156795640101</c:v>
                </c:pt>
                <c:pt idx="26">
                  <c:v>14237.778571746578</c:v>
                </c:pt>
                <c:pt idx="27">
                  <c:v>13729.797632940672</c:v>
                </c:pt>
                <c:pt idx="28">
                  <c:v>13246.569959441184</c:v>
                </c:pt>
                <c:pt idx="29">
                  <c:v>12786.57880261096</c:v>
                </c:pt>
                <c:pt idx="30">
                  <c:v>12348.422516258604</c:v>
                </c:pt>
                <c:pt idx="31">
                  <c:v>11930.803801461043</c:v>
                </c:pt>
                <c:pt idx="32">
                  <c:v>11532.520170788068</c:v>
                </c:pt>
                <c:pt idx="33">
                  <c:v>11152.455468396622</c:v>
                </c:pt>
                <c:pt idx="34">
                  <c:v>10789.572307659657</c:v>
                </c:pt>
                <c:pt idx="35">
                  <c:v>10442.905308844085</c:v>
                </c:pt>
                <c:pt idx="36">
                  <c:v>10111.555036678148</c:v>
                </c:pt>
                <c:pt idx="37">
                  <c:v>9794.682552104774</c:v>
                </c:pt>
                <c:pt idx="38">
                  <c:v>9491.5045046280356</c:v>
                </c:pt>
                <c:pt idx="39">
                  <c:v>9201.2887018432757</c:v>
                </c:pt>
                <c:pt idx="40">
                  <c:v>8923.3501013368459</c:v>
                </c:pt>
                <c:pt idx="41">
                  <c:v>8657.0471774215384</c:v>
                </c:pt>
                <c:pt idx="42">
                  <c:v>8401.7786213618692</c:v>
                </c:pt>
                <c:pt idx="43">
                  <c:v>8156.9803390202524</c:v>
                </c:pt>
                <c:pt idx="44">
                  <c:v>7922.1227143697124</c:v>
                </c:pt>
                <c:pt idx="45">
                  <c:v>7696.7081111930875</c:v>
                </c:pt>
                <c:pt idx="46">
                  <c:v>7480.268588623996</c:v>
                </c:pt>
                <c:pt idx="47">
                  <c:v>7272.3638090635031</c:v>
                </c:pt>
                <c:pt idx="48">
                  <c:v>7072.5791194996009</c:v>
                </c:pt>
                <c:pt idx="49">
                  <c:v>6880.5237894198035</c:v>
                </c:pt>
                <c:pt idx="50">
                  <c:v>6695.8293903911863</c:v>
                </c:pt>
                <c:pt idx="51">
                  <c:v>6518.1483040250923</c:v>
                </c:pt>
                <c:pt idx="52">
                  <c:v>6347.152346482053</c:v>
                </c:pt>
                <c:pt idx="53">
                  <c:v>6182.5314989327408</c:v>
                </c:pt>
                <c:pt idx="54">
                  <c:v>6023.9927344992338</c:v>
                </c:pt>
                <c:pt idx="55">
                  <c:v>5871.258933176834</c:v>
                </c:pt>
                <c:pt idx="56">
                  <c:v>5724.067877098596</c:v>
                </c:pt>
                <c:pt idx="57">
                  <c:v>5582.1713192670586</c:v>
                </c:pt>
                <c:pt idx="58">
                  <c:v>5445.3341195536113</c:v>
                </c:pt>
                <c:pt idx="59">
                  <c:v>5313.3334423663246</c:v>
                </c:pt>
                <c:pt idx="60">
                  <c:v>5185.9580109212893</c:v>
                </c:pt>
                <c:pt idx="61">
                  <c:v>5063.007413529017</c:v>
                </c:pt>
                <c:pt idx="62">
                  <c:v>4944.2914577328584</c:v>
                </c:pt>
                <c:pt idx="63">
                  <c:v>4829.629568517239</c:v>
                </c:pt>
                <c:pt idx="64">
                  <c:v>4718.8502271446832</c:v>
                </c:pt>
                <c:pt idx="65">
                  <c:v>4611.7904474869765</c:v>
                </c:pt>
                <c:pt idx="66">
                  <c:v>4508.2952869912615</c:v>
                </c:pt>
                <c:pt idx="67">
                  <c:v>4408.2173896699323</c:v>
                </c:pt>
                <c:pt idx="68">
                  <c:v>4311.4165587268863</c:v>
                </c:pt>
                <c:pt idx="69">
                  <c:v>4217.7593566346877</c:v>
                </c:pt>
                <c:pt idx="70">
                  <c:v>4127.118730660045</c:v>
                </c:pt>
                <c:pt idx="71">
                  <c:v>4039.3736620003547</c:v>
                </c:pt>
                <c:pt idx="72">
                  <c:v>3954.4088368442276</c:v>
                </c:pt>
                <c:pt idx="73">
                  <c:v>3872.1143378051042</c:v>
                </c:pt>
                <c:pt idx="74">
                  <c:v>3792.3853543009423</c:v>
                </c:pt>
                <c:pt idx="75">
                  <c:v>3715.1219105657337</c:v>
                </c:pt>
                <c:pt idx="76">
                  <c:v>3640.2286100812466</c:v>
                </c:pt>
                <c:pt idx="77">
                  <c:v>3567.6143953111832</c:v>
                </c:pt>
                <c:pt idx="78">
                  <c:v>3497.1923217054414</c:v>
                </c:pt>
                <c:pt idx="79">
                  <c:v>3428.879345020468</c:v>
                </c:pt>
                <c:pt idx="80">
                  <c:v>3362.5961210731916</c:v>
                </c:pt>
                <c:pt idx="81">
                  <c:v>3298.266817111717</c:v>
                </c:pt>
                <c:pt idx="82">
                  <c:v>3235.8189340459276</c:v>
                </c:pt>
                <c:pt idx="83">
                  <c:v>3175.1831388365135</c:v>
                </c:pt>
                <c:pt idx="84">
                  <c:v>3116.2931063914521</c:v>
                </c:pt>
                <c:pt idx="85">
                  <c:v>3059.0853703657194</c:v>
                </c:pt>
                <c:pt idx="86">
                  <c:v>3003.4991823027422</c:v>
                </c:pt>
                <c:pt idx="87">
                  <c:v>2949.4763785957916</c:v>
                </c:pt>
                <c:pt idx="88">
                  <c:v>2896.9612547836978</c:v>
                </c:pt>
                <c:pt idx="89">
                  <c:v>2845.9004467290379</c:v>
                </c:pt>
                <c:pt idx="90">
                  <c:v>2796.2428182578274</c:v>
                </c:pt>
                <c:pt idx="91">
                  <c:v>2747.9393548684238</c:v>
                </c:pt>
                <c:pt idx="92">
                  <c:v>2700.9430631438454</c:v>
                </c:pt>
                <c:pt idx="93">
                  <c:v>2655.2088755261566</c:v>
                </c:pt>
                <c:pt idx="94">
                  <c:v>2610.693560134303</c:v>
                </c:pt>
                <c:pt idx="95">
                  <c:v>2567.355635327734</c:v>
                </c:pt>
                <c:pt idx="96">
                  <c:v>2525.1552887376774</c:v>
                </c:pt>
                <c:pt idx="97">
                  <c:v>2484.0543005059617</c:v>
                </c:pt>
                <c:pt idx="98">
                  <c:v>2444.0159704880748</c:v>
                </c:pt>
                <c:pt idx="99">
                  <c:v>2405.0050491927159</c:v>
                </c:pt>
                <c:pt idx="100">
                  <c:v>2366.9876722445633</c:v>
                </c:pt>
                <c:pt idx="101">
                  <c:v>2329.9312981704797</c:v>
                </c:pt>
                <c:pt idx="102">
                  <c:v>2293.8046493218326</c:v>
                </c:pt>
                <c:pt idx="103">
                  <c:v>2258.5776557573663</c:v>
                </c:pt>
                <c:pt idx="104">
                  <c:v>2224.2214019218063</c:v>
                </c:pt>
                <c:pt idx="105">
                  <c:v>2190.7080759656105</c:v>
                </c:pt>
                <c:pt idx="106">
                  <c:v>2158.0109215606276</c:v>
                </c:pt>
                <c:pt idx="107">
                  <c:v>2126.1041920752859</c:v>
                </c:pt>
                <c:pt idx="108">
                  <c:v>2094.9631069811448</c:v>
                </c:pt>
                <c:pt idx="109">
                  <c:v>2064.5638103702754</c:v>
                </c:pt>
                <c:pt idx="110">
                  <c:v>2034.8833314701601</c:v>
                </c:pt>
                <c:pt idx="111">
                  <c:v>2005.8995470494719</c:v>
                </c:pt>
                <c:pt idx="112">
                  <c:v>1977.5911456143781</c:v>
                </c:pt>
                <c:pt idx="113">
                  <c:v>1949.9375933008241</c:v>
                </c:pt>
                <c:pt idx="114">
                  <c:v>1922.9191013738578</c:v>
                </c:pt>
                <c:pt idx="115">
                  <c:v>1896.5165952500408</c:v>
                </c:pt>
                <c:pt idx="116">
                  <c:v>1870.711684963944</c:v>
                </c:pt>
                <c:pt idx="117">
                  <c:v>1845.4866370041395</c:v>
                </c:pt>
                <c:pt idx="118">
                  <c:v>1820.824347448387</c:v>
                </c:pt>
                <c:pt idx="119">
                  <c:v>1796.7083163316661</c:v>
                </c:pt>
                <c:pt idx="120">
                  <c:v>1773.1226231844055</c:v>
                </c:pt>
                <c:pt idx="121">
                  <c:v>1750.0519036817927</c:v>
                </c:pt>
                <c:pt idx="122">
                  <c:v>1727.4813273482951</c:v>
                </c:pt>
                <c:pt idx="123">
                  <c:v>1705.3965762646312</c:v>
                </c:pt>
                <c:pt idx="124">
                  <c:v>1683.7838247273139</c:v>
                </c:pt>
                <c:pt idx="125">
                  <c:v>1662.6297198136008</c:v>
                </c:pt>
                <c:pt idx="126">
                  <c:v>1641.9213628072848</c:v>
                </c:pt>
                <c:pt idx="127">
                  <c:v>1621.6462914431199</c:v>
                </c:pt>
                <c:pt idx="128">
                  <c:v>1601.7924629299787</c:v>
                </c:pt>
                <c:pt idx="129">
                  <c:v>1582.3482377149473</c:v>
                </c:pt>
                <c:pt idx="130">
                  <c:v>1563.3023639526136</c:v>
                </c:pt>
                <c:pt idx="131">
                  <c:v>1544.6439626456361</c:v>
                </c:pt>
                <c:pt idx="132">
                  <c:v>1526.3625134245262</c:v>
                </c:pt>
                <c:pt idx="133">
                  <c:v>1508.4478409362109</c:v>
                </c:pt>
                <c:pt idx="134">
                  <c:v>1490.8901018125703</c:v>
                </c:pt>
                <c:pt idx="135">
                  <c:v>1473.6797721915989</c:v>
                </c:pt>
                <c:pt idx="136">
                  <c:v>1456.8076357652822</c:v>
                </c:pt>
                <c:pt idx="137">
                  <c:v>1440.2647723295956</c:v>
                </c:pt>
                <c:pt idx="138">
                  <c:v>1424.0425468133001</c:v>
                </c:pt>
                <c:pt idx="139">
                  <c:v>1408.1325987633822</c:v>
                </c:pt>
                <c:pt idx="140">
                  <c:v>1392.5268322661241</c:v>
                </c:pt>
                <c:pt idx="141">
                  <c:v>1377.2174062838365</c:v>
                </c:pt>
                <c:pt idx="142">
                  <c:v>1362.1967253882997</c:v>
                </c:pt>
                <c:pt idx="143">
                  <c:v>1347.4574308728918</c:v>
                </c:pt>
                <c:pt idx="144">
                  <c:v>1332.9923922262908</c:v>
                </c:pt>
                <c:pt idx="145">
                  <c:v>1318.7946989514821</c:v>
                </c:pt>
                <c:pt idx="146">
                  <c:v>1304.857652714591</c:v>
                </c:pt>
                <c:pt idx="147">
                  <c:v>1291.1747598088441</c:v>
                </c:pt>
                <c:pt idx="148">
                  <c:v>1277.7397239196571</c:v>
                </c:pt>
                <c:pt idx="149">
                  <c:v>1264.5464391775445</c:v>
                </c:pt>
                <c:pt idx="150">
                  <c:v>1251.5889834861673</c:v>
                </c:pt>
                <c:pt idx="151">
                  <c:v>1238.861612113486</c:v>
                </c:pt>
                <c:pt idx="152">
                  <c:v>1226.3587515345116</c:v>
                </c:pt>
                <c:pt idx="153">
                  <c:v>1214.0749935147469</c:v>
                </c:pt>
                <c:pt idx="154">
                  <c:v>1202.0050894238916</c:v>
                </c:pt>
                <c:pt idx="155">
                  <c:v>1190.1439447698963</c:v>
                </c:pt>
                <c:pt idx="156">
                  <c:v>1178.4866139439155</c:v>
                </c:pt>
                <c:pt idx="157">
                  <c:v>1167.02829516716</c:v>
                </c:pt>
                <c:pt idx="158">
                  <c:v>1155.7643256310366</c:v>
                </c:pt>
                <c:pt idx="159">
                  <c:v>1144.6901768224259</c:v>
                </c:pt>
                <c:pt idx="160">
                  <c:v>1133.8014500262557</c:v>
                </c:pt>
                <c:pt idx="161">
                  <c:v>1123.0938719979465</c:v>
                </c:pt>
                <c:pt idx="162">
                  <c:v>1112.563290798611</c:v>
                </c:pt>
                <c:pt idx="163">
                  <c:v>1102.2056717862386</c:v>
                </c:pt>
                <c:pt idx="164">
                  <c:v>1092.0170937563823</c:v>
                </c:pt>
                <c:pt idx="165">
                  <c:v>1081.9937452261868</c:v>
                </c:pt>
                <c:pt idx="166">
                  <c:v>1072.1319208558427</c:v>
                </c:pt>
                <c:pt idx="167">
                  <c:v>1062.4280180018493</c:v>
                </c:pt>
                <c:pt idx="168">
                  <c:v>1052.8785333967035</c:v>
                </c:pt>
                <c:pt idx="169">
                  <c:v>1043.4800599498692</c:v>
                </c:pt>
                <c:pt idx="170">
                  <c:v>1034.2292836651245</c:v>
                </c:pt>
                <c:pt idx="171">
                  <c:v>1025.1229806695899</c:v>
                </c:pt>
                <c:pt idx="172">
                  <c:v>1016.1580143499569</c:v>
                </c:pt>
                <c:pt idx="173">
                  <c:v>1007.3313325916224</c:v>
                </c:pt>
                <c:pt idx="174">
                  <c:v>998.63996511662901</c:v>
                </c:pt>
                <c:pt idx="175">
                  <c:v>990.08102091649971</c:v>
                </c:pt>
                <c:pt idx="176">
                  <c:v>981.65168577619954</c:v>
                </c:pt>
                <c:pt idx="177">
                  <c:v>973.34921988564815</c:v>
                </c:pt>
                <c:pt idx="178">
                  <c:v>965.17095553534659</c:v>
                </c:pt>
                <c:pt idx="179">
                  <c:v>957.11429489282375</c:v>
                </c:pt>
                <c:pt idx="180">
                  <c:v>949.17670785677024</c:v>
                </c:pt>
                <c:pt idx="181">
                  <c:v>941.35572998583598</c:v>
                </c:pt>
                <c:pt idx="182">
                  <c:v>933.6489604992114</c:v>
                </c:pt>
                <c:pt idx="183">
                  <c:v>926.05406034623525</c:v>
                </c:pt>
                <c:pt idx="184">
                  <c:v>918.56875034237351</c:v>
                </c:pt>
                <c:pt idx="185">
                  <c:v>911.19080936904686</c:v>
                </c:pt>
                <c:pt idx="186">
                  <c:v>903.91807263486601</c:v>
                </c:pt>
                <c:pt idx="187">
                  <c:v>896.74842999595421</c:v>
                </c:pt>
                <c:pt idx="188">
                  <c:v>889.67982433313455</c:v>
                </c:pt>
                <c:pt idx="189">
                  <c:v>882.71024998381972</c:v>
                </c:pt>
                <c:pt idx="190">
                  <c:v>875.83775122658108</c:v>
                </c:pt>
                <c:pt idx="191">
                  <c:v>869.06042081641544</c:v>
                </c:pt>
                <c:pt idx="192">
                  <c:v>862.37639856882606</c:v>
                </c:pt>
                <c:pt idx="193">
                  <c:v>855.78386999091026</c:v>
                </c:pt>
                <c:pt idx="194">
                  <c:v>849.28106495772408</c:v>
                </c:pt>
                <c:pt idx="195">
                  <c:v>842.86625643224215</c:v>
                </c:pt>
                <c:pt idx="196">
                  <c:v>836.53775922734189</c:v>
                </c:pt>
                <c:pt idx="197">
                  <c:v>830.29392880824719</c:v>
                </c:pt>
                <c:pt idx="198">
                  <c:v>824.13316013398503</c:v>
                </c:pt>
                <c:pt idx="199">
                  <c:v>818.05388653642535</c:v>
                </c:pt>
                <c:pt idx="200">
                  <c:v>812.0545786355575</c:v>
                </c:pt>
                <c:pt idx="201">
                  <c:v>806.13374328968871</c:v>
                </c:pt>
                <c:pt idx="202">
                  <c:v>800.28992257932236</c:v>
                </c:pt>
                <c:pt idx="203">
                  <c:v>794.52169282350872</c:v>
                </c:pt>
                <c:pt idx="204">
                  <c:v>788.82766362751033</c:v>
                </c:pt>
                <c:pt idx="205">
                  <c:v>783.20647696067726</c:v>
                </c:pt>
                <c:pt idx="206">
                  <c:v>777.65680626345511</c:v>
                </c:pt>
                <c:pt idx="207">
                  <c:v>772.17735558251547</c:v>
                </c:pt>
                <c:pt idx="208">
                  <c:v>766.76685873300198</c:v>
                </c:pt>
                <c:pt idx="209">
                  <c:v>761.42407848696189</c:v>
                </c:pt>
                <c:pt idx="210">
                  <c:v>756.14780578704108</c:v>
                </c:pt>
                <c:pt idx="211">
                  <c:v>750.93685898456715</c:v>
                </c:pt>
                <c:pt idx="212">
                  <c:v>745.79008310117899</c:v>
                </c:pt>
                <c:pt idx="213">
                  <c:v>740.70634911318928</c:v>
                </c:pt>
                <c:pt idx="214">
                  <c:v>735.68455325790092</c:v>
                </c:pt>
                <c:pt idx="215">
                  <c:v>730.72361636111918</c:v>
                </c:pt>
                <c:pt idx="216">
                  <c:v>725.82248318515326</c:v>
                </c:pt>
                <c:pt idx="217">
                  <c:v>720.98012179658417</c:v>
                </c:pt>
                <c:pt idx="218">
                  <c:v>716.19552295315782</c:v>
                </c:pt>
                <c:pt idx="219">
                  <c:v>711.46769950913779</c:v>
                </c:pt>
                <c:pt idx="220">
                  <c:v>706.79568583850551</c:v>
                </c:pt>
                <c:pt idx="221">
                  <c:v>702.17853727540569</c:v>
                </c:pt>
                <c:pt idx="222">
                  <c:v>697.61532957126474</c:v>
                </c:pt>
                <c:pt idx="223">
                  <c:v>693.1051583680254</c:v>
                </c:pt>
                <c:pt idx="224">
                  <c:v>688.64713868695821</c:v>
                </c:pt>
                <c:pt idx="225">
                  <c:v>684.2404044325458</c:v>
                </c:pt>
                <c:pt idx="226">
                  <c:v>679.8841079109277</c:v>
                </c:pt>
                <c:pt idx="227">
                  <c:v>675.57741936244577</c:v>
                </c:pt>
                <c:pt idx="228">
                  <c:v>671.31952650781068</c:v>
                </c:pt>
                <c:pt idx="229">
                  <c:v>667.10963410745853</c:v>
                </c:pt>
                <c:pt idx="230">
                  <c:v>662.94696353366237</c:v>
                </c:pt>
                <c:pt idx="231">
                  <c:v>658.83075235498654</c:v>
                </c:pt>
                <c:pt idx="232">
                  <c:v>654.7602539326856</c:v>
                </c:pt>
                <c:pt idx="233">
                  <c:v>650.73473702866409</c:v>
                </c:pt>
                <c:pt idx="234">
                  <c:v>646.75348542462461</c:v>
                </c:pt>
                <c:pt idx="235">
                  <c:v>642.81579755204791</c:v>
                </c:pt>
                <c:pt idx="236">
                  <c:v>638.92098613265819</c:v>
                </c:pt>
                <c:pt idx="237">
                  <c:v>635.06837782904552</c:v>
                </c:pt>
                <c:pt idx="238">
                  <c:v>631.2573129051159</c:v>
                </c:pt>
                <c:pt idx="239">
                  <c:v>627.48714489606482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5E-4841-ABAE-DEF223FBC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02912"/>
        <c:axId val="270500992"/>
      </c:lineChart>
      <c:dateAx>
        <c:axId val="27049728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 rot="-2220000"/>
          <a:lstStyle/>
          <a:p>
            <a:pPr>
              <a:defRPr/>
            </a:pPr>
            <a:endParaRPr lang="en-US"/>
          </a:p>
        </c:txPr>
        <c:crossAx val="270498816"/>
        <c:crosses val="autoZero"/>
        <c:auto val="1"/>
        <c:lblOffset val="100"/>
        <c:baseTimeUnit val="months"/>
      </c:dateAx>
      <c:valAx>
        <c:axId val="270498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CA" sz="1200"/>
                  <a:t>Royalties</a:t>
                </a:r>
                <a:r>
                  <a:rPr lang="en-CA" sz="1200" baseline="0"/>
                  <a:t> (C$)</a:t>
                </a:r>
                <a:endParaRPr lang="en-CA" sz="1200"/>
              </a:p>
            </c:rich>
          </c:tx>
          <c:overlay val="0"/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crossAx val="270497280"/>
        <c:crosses val="autoZero"/>
        <c:crossBetween val="between"/>
      </c:valAx>
      <c:valAx>
        <c:axId val="2705009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Production (boe)</a:t>
                </a:r>
              </a:p>
            </c:rich>
          </c:tx>
          <c:overlay val="0"/>
        </c:title>
        <c:numFmt formatCode="_(* #,##0_);_(* \(#,##0\);_(* &quot;-&quot;??_);_(@_)" sourceLinked="0"/>
        <c:majorTickMark val="out"/>
        <c:minorTickMark val="none"/>
        <c:tickLblPos val="nextTo"/>
        <c:crossAx val="270502912"/>
        <c:crosses val="max"/>
        <c:crossBetween val="between"/>
      </c:valAx>
      <c:dateAx>
        <c:axId val="2705029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70500992"/>
        <c:crosses val="autoZero"/>
        <c:auto val="1"/>
        <c:lblOffset val="100"/>
        <c:baseTimeUnit val="months"/>
      </c:dateAx>
    </c:plotArea>
    <c:legend>
      <c:legendPos val="r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404112927321476"/>
          <c:y val="1.693438044252403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Simultaneous TVD,TLL,TPP Increase</c:v>
          </c:tx>
          <c:marker>
            <c:symbol val="none"/>
          </c:marker>
          <c:cat>
            <c:strRef>
              <c:f>'C'!$S$16:$S$20</c:f>
              <c:strCache>
                <c:ptCount val="5"/>
                <c:pt idx="0">
                  <c:v>+0x</c:v>
                </c:pt>
                <c:pt idx="1">
                  <c:v>+1x</c:v>
                </c:pt>
                <c:pt idx="2">
                  <c:v>+2x</c:v>
                </c:pt>
                <c:pt idx="3">
                  <c:v>+3x</c:v>
                </c:pt>
                <c:pt idx="4">
                  <c:v>+4x</c:v>
                </c:pt>
              </c:strCache>
            </c:strRef>
          </c:cat>
          <c:val>
            <c:numRef>
              <c:f>'C'!$T$25:$T$29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1659567.9559373755</c:v>
                </c:pt>
                <c:pt idx="2">
                  <c:v>3716768.5330088064</c:v>
                </c:pt>
                <c:pt idx="3">
                  <c:v>6225618.1169869006</c:v>
                </c:pt>
                <c:pt idx="4">
                  <c:v>9240133.0936442558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4FB-4B7D-96C5-A937A1199F69}"/>
            </c:ext>
          </c:extLst>
        </c:ser>
        <c:ser>
          <c:idx val="4"/>
          <c:order val="1"/>
          <c:tx>
            <c:v>Sum of individual TVD,TLL,TPP Increases</c:v>
          </c:tx>
          <c:marker>
            <c:symbol val="none"/>
          </c:marker>
          <c:cat>
            <c:strRef>
              <c:f>'C'!$S$16:$S$20</c:f>
              <c:strCache>
                <c:ptCount val="5"/>
                <c:pt idx="0">
                  <c:v>+0x</c:v>
                </c:pt>
                <c:pt idx="1">
                  <c:v>+1x</c:v>
                </c:pt>
                <c:pt idx="2">
                  <c:v>+2x</c:v>
                </c:pt>
                <c:pt idx="3">
                  <c:v>+3x</c:v>
                </c:pt>
                <c:pt idx="4">
                  <c:v>+4x</c:v>
                </c:pt>
              </c:strCache>
            </c:strRef>
          </c:cat>
          <c:val>
            <c:numRef>
              <c:f>'C'!$U$25:$U$29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1478757.1072945483</c:v>
                </c:pt>
                <c:pt idx="2">
                  <c:v>2957514.2145890971</c:v>
                </c:pt>
                <c:pt idx="3">
                  <c:v>4436271.3218836449</c:v>
                </c:pt>
                <c:pt idx="4">
                  <c:v>5915028.4291781913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FB-4B7D-96C5-A937A1199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20640"/>
        <c:axId val="269122560"/>
      </c:lineChart>
      <c:catAx>
        <c:axId val="26912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Increase</a:t>
                </a:r>
                <a:r>
                  <a:rPr lang="en-CA" baseline="0"/>
                  <a:t> in TVD, TLL, TPP (lbs/ft)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46293719829781149"/>
              <c:y val="0.899900977210424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9122560"/>
        <c:crosses val="autoZero"/>
        <c:auto val="1"/>
        <c:lblAlgn val="ctr"/>
        <c:lblOffset val="100"/>
        <c:noMultiLvlLbl val="0"/>
      </c:catAx>
      <c:valAx>
        <c:axId val="269122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Total Royalty Reduction ($)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69120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'C'!$S$24</c:f>
              <c:strCache>
                <c:ptCount val="1"/>
                <c:pt idx="0">
                  <c:v>Synergy Gain</c:v>
                </c:pt>
              </c:strCache>
            </c:strRef>
          </c:tx>
          <c:spPr>
            <a:solidFill>
              <a:srgbClr val="92D050">
                <a:alpha val="60000"/>
              </a:srgbClr>
            </a:solidFill>
          </c:spPr>
          <c:invertIfNegative val="0"/>
          <c:val>
            <c:numRef>
              <c:f>'C'!$S$25:$S$29</c:f>
              <c:numCache>
                <c:formatCode>_("$"* #,##0_);_("$"* \(#,##0\);_("$"* "-"??_);_(@_)</c:formatCode>
                <c:ptCount val="5"/>
                <c:pt idx="1">
                  <c:v>180810.84864282724</c:v>
                </c:pt>
                <c:pt idx="2">
                  <c:v>578443.46977688232</c:v>
                </c:pt>
                <c:pt idx="3">
                  <c:v>1030092.4766835461</c:v>
                </c:pt>
                <c:pt idx="4">
                  <c:v>1535757.8693628088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B-4B7D-96C5-A937A1199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252864"/>
        <c:axId val="269262848"/>
      </c:barChart>
      <c:lineChart>
        <c:grouping val="standard"/>
        <c:varyColors val="0"/>
        <c:ser>
          <c:idx val="0"/>
          <c:order val="0"/>
          <c:tx>
            <c:v>TVD Increase (500m increments)</c:v>
          </c:tx>
          <c:marker>
            <c:symbol val="none"/>
          </c:marker>
          <c:cat>
            <c:strRef>
              <c:f>'C'!$S$16:$S$20</c:f>
              <c:strCache>
                <c:ptCount val="5"/>
                <c:pt idx="0">
                  <c:v>+0x</c:v>
                </c:pt>
                <c:pt idx="1">
                  <c:v>+1x</c:v>
                </c:pt>
                <c:pt idx="2">
                  <c:v>+2x</c:v>
                </c:pt>
                <c:pt idx="3">
                  <c:v>+3x</c:v>
                </c:pt>
                <c:pt idx="4">
                  <c:v>+4x</c:v>
                </c:pt>
              </c:strCache>
            </c:strRef>
          </c:cat>
          <c:val>
            <c:numRef>
              <c:f>'C'!$L$16:$L$20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806756.15804113063</c:v>
                </c:pt>
                <c:pt idx="2">
                  <c:v>1613512.3160822613</c:v>
                </c:pt>
                <c:pt idx="3">
                  <c:v>2420268.4741233913</c:v>
                </c:pt>
                <c:pt idx="4">
                  <c:v>3227024.6321645211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B-4B7D-96C5-A937A1199F69}"/>
            </c:ext>
          </c:extLst>
        </c:ser>
        <c:ser>
          <c:idx val="1"/>
          <c:order val="1"/>
          <c:tx>
            <c:v>TLL Increase (500m increments)</c:v>
          </c:tx>
          <c:marker>
            <c:symbol val="none"/>
          </c:marker>
          <c:cat>
            <c:strRef>
              <c:f>'C'!$S$16:$S$20</c:f>
              <c:strCache>
                <c:ptCount val="5"/>
                <c:pt idx="0">
                  <c:v>+0x</c:v>
                </c:pt>
                <c:pt idx="1">
                  <c:v>+1x</c:v>
                </c:pt>
                <c:pt idx="2">
                  <c:v>+2x</c:v>
                </c:pt>
                <c:pt idx="3">
                  <c:v>+3x</c:v>
                </c:pt>
                <c:pt idx="4">
                  <c:v>+4x</c:v>
                </c:pt>
              </c:strCache>
            </c:strRef>
          </c:cat>
          <c:val>
            <c:numRef>
              <c:f>'C'!$R$16:$R$20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402077.49582363648</c:v>
                </c:pt>
                <c:pt idx="2">
                  <c:v>804154.99164727237</c:v>
                </c:pt>
                <c:pt idx="3">
                  <c:v>1206232.4874709088</c:v>
                </c:pt>
                <c:pt idx="4">
                  <c:v>1608309.9832945447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FB-4B7D-96C5-A937A1199F69}"/>
            </c:ext>
          </c:extLst>
        </c:ser>
        <c:ser>
          <c:idx val="2"/>
          <c:order val="2"/>
          <c:tx>
            <c:v>TPP Increase (250 lbs/ft increments)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'C'!$S$16:$S$20</c:f>
              <c:strCache>
                <c:ptCount val="5"/>
                <c:pt idx="0">
                  <c:v>+0x</c:v>
                </c:pt>
                <c:pt idx="1">
                  <c:v>+1x</c:v>
                </c:pt>
                <c:pt idx="2">
                  <c:v>+2x</c:v>
                </c:pt>
                <c:pt idx="3">
                  <c:v>+3x</c:v>
                </c:pt>
                <c:pt idx="4">
                  <c:v>+4x</c:v>
                </c:pt>
              </c:strCache>
            </c:strRef>
          </c:cat>
          <c:val>
            <c:numRef>
              <c:f>'C'!$L$25:$L$29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269923.45342978108</c:v>
                </c:pt>
                <c:pt idx="2">
                  <c:v>539846.90685956331</c:v>
                </c:pt>
                <c:pt idx="3">
                  <c:v>809770.36028934433</c:v>
                </c:pt>
                <c:pt idx="4">
                  <c:v>1079693.8137191255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FB-4B7D-96C5-A937A1199F69}"/>
            </c:ext>
          </c:extLst>
        </c:ser>
        <c:ser>
          <c:idx val="3"/>
          <c:order val="3"/>
          <c:tx>
            <c:v>Simultaneous TVD,TLL,TPP Increase</c:v>
          </c:tx>
          <c:marker>
            <c:symbol val="none"/>
          </c:marker>
          <c:val>
            <c:numRef>
              <c:f>'C'!$T$25:$T$29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1659567.9559373755</c:v>
                </c:pt>
                <c:pt idx="2">
                  <c:v>3716768.5330088064</c:v>
                </c:pt>
                <c:pt idx="3">
                  <c:v>6225618.1169869006</c:v>
                </c:pt>
                <c:pt idx="4">
                  <c:v>9240133.0936442558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4FB-4B7D-96C5-A937A1199F69}"/>
            </c:ext>
          </c:extLst>
        </c:ser>
        <c:ser>
          <c:idx val="4"/>
          <c:order val="4"/>
          <c:tx>
            <c:v>Sum of incremental TVD,TLL,TPP Increases</c:v>
          </c:tx>
          <c:marker>
            <c:symbol val="none"/>
          </c:marker>
          <c:val>
            <c:numRef>
              <c:f>'C'!$U$25:$U$29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1478757.1072945483</c:v>
                </c:pt>
                <c:pt idx="2">
                  <c:v>2957514.2145890971</c:v>
                </c:pt>
                <c:pt idx="3">
                  <c:v>4436271.3218836449</c:v>
                </c:pt>
                <c:pt idx="4">
                  <c:v>5915028.4291781913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FB-4B7D-96C5-A937A1199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252864"/>
        <c:axId val="269262848"/>
      </c:lineChart>
      <c:catAx>
        <c:axId val="26925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9262848"/>
        <c:crosses val="autoZero"/>
        <c:auto val="1"/>
        <c:lblAlgn val="ctr"/>
        <c:lblOffset val="100"/>
        <c:noMultiLvlLbl val="0"/>
      </c:catAx>
      <c:valAx>
        <c:axId val="269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25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Stats!$O$4:$O$206</c:f>
              <c:numCache>
                <c:formatCode>General</c:formatCode>
                <c:ptCount val="203"/>
                <c:pt idx="0">
                  <c:v>-5.05</c:v>
                </c:pt>
                <c:pt idx="1">
                  <c:v>-5</c:v>
                </c:pt>
                <c:pt idx="2">
                  <c:v>-4.95</c:v>
                </c:pt>
                <c:pt idx="3">
                  <c:v>-4.9000000000000004</c:v>
                </c:pt>
                <c:pt idx="4">
                  <c:v>-4.8499999999999996</c:v>
                </c:pt>
                <c:pt idx="5">
                  <c:v>-4.8</c:v>
                </c:pt>
                <c:pt idx="6">
                  <c:v>-4.75</c:v>
                </c:pt>
                <c:pt idx="7">
                  <c:v>-4.7</c:v>
                </c:pt>
                <c:pt idx="8">
                  <c:v>-4.6500000000000004</c:v>
                </c:pt>
                <c:pt idx="9">
                  <c:v>-4.5999999999999996</c:v>
                </c:pt>
                <c:pt idx="10">
                  <c:v>-4.55</c:v>
                </c:pt>
                <c:pt idx="11">
                  <c:v>-4.5</c:v>
                </c:pt>
                <c:pt idx="12">
                  <c:v>-4.45</c:v>
                </c:pt>
                <c:pt idx="13">
                  <c:v>-4.4000000000000004</c:v>
                </c:pt>
                <c:pt idx="14">
                  <c:v>-4.3499999999999996</c:v>
                </c:pt>
                <c:pt idx="15">
                  <c:v>-4.3</c:v>
                </c:pt>
                <c:pt idx="16">
                  <c:v>-4.25</c:v>
                </c:pt>
                <c:pt idx="17">
                  <c:v>-4.2</c:v>
                </c:pt>
                <c:pt idx="18">
                  <c:v>-4.1500000000000004</c:v>
                </c:pt>
                <c:pt idx="19">
                  <c:v>-4.0999999999999996</c:v>
                </c:pt>
                <c:pt idx="20">
                  <c:v>-4.05</c:v>
                </c:pt>
                <c:pt idx="21">
                  <c:v>-4</c:v>
                </c:pt>
                <c:pt idx="22">
                  <c:v>-3.95</c:v>
                </c:pt>
                <c:pt idx="23">
                  <c:v>-3.9</c:v>
                </c:pt>
                <c:pt idx="24">
                  <c:v>-3.85</c:v>
                </c:pt>
                <c:pt idx="25">
                  <c:v>-3.8</c:v>
                </c:pt>
                <c:pt idx="26">
                  <c:v>-3.75</c:v>
                </c:pt>
                <c:pt idx="27">
                  <c:v>-3.7</c:v>
                </c:pt>
                <c:pt idx="28">
                  <c:v>-3.65</c:v>
                </c:pt>
                <c:pt idx="29">
                  <c:v>-3.6000000000000099</c:v>
                </c:pt>
                <c:pt idx="30">
                  <c:v>-3.55000000000001</c:v>
                </c:pt>
                <c:pt idx="31">
                  <c:v>-3.5000000000000102</c:v>
                </c:pt>
                <c:pt idx="32">
                  <c:v>-3.4500000000000099</c:v>
                </c:pt>
                <c:pt idx="33">
                  <c:v>-3.4000000000000101</c:v>
                </c:pt>
                <c:pt idx="34">
                  <c:v>-3.3500000000000099</c:v>
                </c:pt>
                <c:pt idx="35">
                  <c:v>-3.30000000000001</c:v>
                </c:pt>
                <c:pt idx="36">
                  <c:v>-3.2500000000000102</c:v>
                </c:pt>
                <c:pt idx="37">
                  <c:v>-3.2000000000000099</c:v>
                </c:pt>
                <c:pt idx="38">
                  <c:v>-3.1500000000000101</c:v>
                </c:pt>
                <c:pt idx="39">
                  <c:v>-3.1000000000000099</c:v>
                </c:pt>
                <c:pt idx="40">
                  <c:v>-3.05000000000001</c:v>
                </c:pt>
                <c:pt idx="41">
                  <c:v>-3.0000000000000102</c:v>
                </c:pt>
                <c:pt idx="42">
                  <c:v>-2.9500000000000099</c:v>
                </c:pt>
                <c:pt idx="43">
                  <c:v>-2.9000000000000101</c:v>
                </c:pt>
                <c:pt idx="44">
                  <c:v>-2.8500000000000099</c:v>
                </c:pt>
                <c:pt idx="45">
                  <c:v>-2.80000000000001</c:v>
                </c:pt>
                <c:pt idx="46">
                  <c:v>-2.7500000000000102</c:v>
                </c:pt>
                <c:pt idx="47">
                  <c:v>-2.7000000000000099</c:v>
                </c:pt>
                <c:pt idx="48">
                  <c:v>-2.6500000000000101</c:v>
                </c:pt>
                <c:pt idx="49">
                  <c:v>-2.6000000000000099</c:v>
                </c:pt>
                <c:pt idx="50">
                  <c:v>-2.55000000000001</c:v>
                </c:pt>
                <c:pt idx="51">
                  <c:v>-2.5000000000000102</c:v>
                </c:pt>
                <c:pt idx="52">
                  <c:v>-2.4500000000000099</c:v>
                </c:pt>
                <c:pt idx="53">
                  <c:v>-2.4000000000000101</c:v>
                </c:pt>
                <c:pt idx="54">
                  <c:v>-2.3500000000000099</c:v>
                </c:pt>
                <c:pt idx="55">
                  <c:v>-2.30000000000001</c:v>
                </c:pt>
                <c:pt idx="56">
                  <c:v>-2.2500000000000102</c:v>
                </c:pt>
                <c:pt idx="57">
                  <c:v>-2.2000000000000099</c:v>
                </c:pt>
                <c:pt idx="58">
                  <c:v>-2.1500000000000101</c:v>
                </c:pt>
                <c:pt idx="59">
                  <c:v>-2.1000000000000099</c:v>
                </c:pt>
                <c:pt idx="60">
                  <c:v>-2.05000000000001</c:v>
                </c:pt>
                <c:pt idx="61">
                  <c:v>-2.0000000000000102</c:v>
                </c:pt>
                <c:pt idx="62">
                  <c:v>-1.9500000000000099</c:v>
                </c:pt>
                <c:pt idx="63">
                  <c:v>-1.9000000000000099</c:v>
                </c:pt>
                <c:pt idx="64">
                  <c:v>-1.8500000000000101</c:v>
                </c:pt>
                <c:pt idx="65">
                  <c:v>-1.80000000000001</c:v>
                </c:pt>
                <c:pt idx="66">
                  <c:v>-1.75000000000001</c:v>
                </c:pt>
                <c:pt idx="67">
                  <c:v>-1.7000000000000099</c:v>
                </c:pt>
                <c:pt idx="68">
                  <c:v>-1.6500000000000099</c:v>
                </c:pt>
                <c:pt idx="69">
                  <c:v>-1.6000000000000101</c:v>
                </c:pt>
                <c:pt idx="70">
                  <c:v>-1.55000000000001</c:v>
                </c:pt>
                <c:pt idx="71">
                  <c:v>-1.50000000000001</c:v>
                </c:pt>
                <c:pt idx="72">
                  <c:v>-1.4500000000000099</c:v>
                </c:pt>
                <c:pt idx="73">
                  <c:v>-1.4000000000000099</c:v>
                </c:pt>
                <c:pt idx="74">
                  <c:v>-1.3500000000000101</c:v>
                </c:pt>
                <c:pt idx="75">
                  <c:v>-1.2869999999999999</c:v>
                </c:pt>
                <c:pt idx="76">
                  <c:v>-1.25000000000001</c:v>
                </c:pt>
                <c:pt idx="77">
                  <c:v>-1.2000000000000099</c:v>
                </c:pt>
                <c:pt idx="78">
                  <c:v>-1.1500000000000099</c:v>
                </c:pt>
                <c:pt idx="79">
                  <c:v>-1.1000000000000101</c:v>
                </c:pt>
                <c:pt idx="80">
                  <c:v>-1.05000000000001</c:v>
                </c:pt>
                <c:pt idx="81">
                  <c:v>-1.00000000000001</c:v>
                </c:pt>
                <c:pt idx="82">
                  <c:v>-0.95000000000000995</c:v>
                </c:pt>
                <c:pt idx="83">
                  <c:v>-0.90000000000001001</c:v>
                </c:pt>
                <c:pt idx="84">
                  <c:v>-0.85000000000000897</c:v>
                </c:pt>
                <c:pt idx="85">
                  <c:v>-0.80000000000002003</c:v>
                </c:pt>
                <c:pt idx="86">
                  <c:v>-0.75000000000001998</c:v>
                </c:pt>
                <c:pt idx="87">
                  <c:v>-0.70000000000002005</c:v>
                </c:pt>
                <c:pt idx="88">
                  <c:v>-0.65000000000002001</c:v>
                </c:pt>
                <c:pt idx="89">
                  <c:v>-0.60000000000001996</c:v>
                </c:pt>
                <c:pt idx="90">
                  <c:v>-0.55000000000002003</c:v>
                </c:pt>
                <c:pt idx="91">
                  <c:v>-0.50000000000001998</c:v>
                </c:pt>
                <c:pt idx="92">
                  <c:v>-0.45000000000002</c:v>
                </c:pt>
                <c:pt idx="93">
                  <c:v>-0.40000000000002001</c:v>
                </c:pt>
                <c:pt idx="94">
                  <c:v>-0.35000000000002002</c:v>
                </c:pt>
                <c:pt idx="95">
                  <c:v>-0.30000000000001997</c:v>
                </c:pt>
                <c:pt idx="96">
                  <c:v>-0.25000000000001998</c:v>
                </c:pt>
                <c:pt idx="97">
                  <c:v>-0.20000000000002</c:v>
                </c:pt>
                <c:pt idx="98">
                  <c:v>-0.15000000000002001</c:v>
                </c:pt>
                <c:pt idx="99">
                  <c:v>-0.10000000000002</c:v>
                </c:pt>
                <c:pt idx="100">
                  <c:v>-5.0000000000020299E-2</c:v>
                </c:pt>
                <c:pt idx="101">
                  <c:v>-1.9539925233402799E-14</c:v>
                </c:pt>
                <c:pt idx="102">
                  <c:v>4.9999999999980303E-2</c:v>
                </c:pt>
                <c:pt idx="103">
                  <c:v>9.9999999999980105E-2</c:v>
                </c:pt>
                <c:pt idx="104">
                  <c:v>0.14999999999998001</c:v>
                </c:pt>
                <c:pt idx="105">
                  <c:v>0.19999999999998</c:v>
                </c:pt>
                <c:pt idx="106">
                  <c:v>0.24999999999997999</c:v>
                </c:pt>
                <c:pt idx="107">
                  <c:v>0.29999999999998</c:v>
                </c:pt>
                <c:pt idx="108">
                  <c:v>0.34999999999997999</c:v>
                </c:pt>
                <c:pt idx="109">
                  <c:v>0.39999999999997998</c:v>
                </c:pt>
                <c:pt idx="110">
                  <c:v>0.44999999999998003</c:v>
                </c:pt>
                <c:pt idx="111">
                  <c:v>0.49999999999998002</c:v>
                </c:pt>
                <c:pt idx="112">
                  <c:v>0.54999999999997995</c:v>
                </c:pt>
                <c:pt idx="113">
                  <c:v>0.59999999999997999</c:v>
                </c:pt>
                <c:pt idx="114">
                  <c:v>0.64999999999998004</c:v>
                </c:pt>
                <c:pt idx="115">
                  <c:v>0.69999999999997997</c:v>
                </c:pt>
                <c:pt idx="116">
                  <c:v>0.74999999999998002</c:v>
                </c:pt>
                <c:pt idx="117">
                  <c:v>0.79999999999997995</c:v>
                </c:pt>
                <c:pt idx="118">
                  <c:v>0.84999999999997999</c:v>
                </c:pt>
                <c:pt idx="119">
                  <c:v>0.89999999999998004</c:v>
                </c:pt>
                <c:pt idx="120">
                  <c:v>0.94999999999997997</c:v>
                </c:pt>
                <c:pt idx="121">
                  <c:v>0.99999999999998002</c:v>
                </c:pt>
                <c:pt idx="122">
                  <c:v>1.0499999999999801</c:v>
                </c:pt>
                <c:pt idx="123">
                  <c:v>1.0999999999999801</c:v>
                </c:pt>
                <c:pt idx="124">
                  <c:v>1.1499999999999799</c:v>
                </c:pt>
                <c:pt idx="125">
                  <c:v>1.19999999999998</c:v>
                </c:pt>
                <c:pt idx="126">
                  <c:v>1.24999999999998</c:v>
                </c:pt>
                <c:pt idx="127">
                  <c:v>1.2999999999999801</c:v>
                </c:pt>
                <c:pt idx="128">
                  <c:v>1.3499999999999801</c:v>
                </c:pt>
                <c:pt idx="129">
                  <c:v>1.3999999999999799</c:v>
                </c:pt>
                <c:pt idx="130">
                  <c:v>1.44999999999998</c:v>
                </c:pt>
                <c:pt idx="131">
                  <c:v>1.49999999999998</c:v>
                </c:pt>
                <c:pt idx="132">
                  <c:v>1.5499999999999801</c:v>
                </c:pt>
                <c:pt idx="133">
                  <c:v>1.5999999999999801</c:v>
                </c:pt>
                <c:pt idx="134">
                  <c:v>1.6499999999999799</c:v>
                </c:pt>
                <c:pt idx="135">
                  <c:v>1.69999999999998</c:v>
                </c:pt>
                <c:pt idx="136">
                  <c:v>1.74999999999998</c:v>
                </c:pt>
                <c:pt idx="137">
                  <c:v>1.7999999999999801</c:v>
                </c:pt>
                <c:pt idx="138">
                  <c:v>1.8499999999999801</c:v>
                </c:pt>
                <c:pt idx="139">
                  <c:v>1.8999999999999799</c:v>
                </c:pt>
                <c:pt idx="140">
                  <c:v>1.94999999999998</c:v>
                </c:pt>
                <c:pt idx="141">
                  <c:v>1.99999999999997</c:v>
                </c:pt>
                <c:pt idx="142">
                  <c:v>2.0499999999999701</c:v>
                </c:pt>
                <c:pt idx="143">
                  <c:v>2.0999999999999699</c:v>
                </c:pt>
                <c:pt idx="144">
                  <c:v>2.1499999999999702</c:v>
                </c:pt>
                <c:pt idx="145">
                  <c:v>2.19999999999997</c:v>
                </c:pt>
                <c:pt idx="146">
                  <c:v>2.2499999999999698</c:v>
                </c:pt>
                <c:pt idx="147">
                  <c:v>2.2999999999999701</c:v>
                </c:pt>
                <c:pt idx="148">
                  <c:v>2.3499999999999699</c:v>
                </c:pt>
                <c:pt idx="149">
                  <c:v>2.3999999999999702</c:v>
                </c:pt>
                <c:pt idx="150">
                  <c:v>2.44999999999997</c:v>
                </c:pt>
                <c:pt idx="151">
                  <c:v>2.4999999999999698</c:v>
                </c:pt>
                <c:pt idx="152">
                  <c:v>2.5499999999999701</c:v>
                </c:pt>
                <c:pt idx="153">
                  <c:v>2.5999999999999699</c:v>
                </c:pt>
                <c:pt idx="154">
                  <c:v>2.6499999999999702</c:v>
                </c:pt>
                <c:pt idx="155">
                  <c:v>2.69999999999997</c:v>
                </c:pt>
                <c:pt idx="156">
                  <c:v>2.7499999999999698</c:v>
                </c:pt>
                <c:pt idx="157">
                  <c:v>2.7999999999999701</c:v>
                </c:pt>
                <c:pt idx="158">
                  <c:v>2.8499999999999699</c:v>
                </c:pt>
                <c:pt idx="159">
                  <c:v>2.8999999999999702</c:v>
                </c:pt>
                <c:pt idx="160">
                  <c:v>2.94999999999997</c:v>
                </c:pt>
                <c:pt idx="161">
                  <c:v>2.9999999999999698</c:v>
                </c:pt>
                <c:pt idx="162">
                  <c:v>3.0499999999999701</c:v>
                </c:pt>
                <c:pt idx="163">
                  <c:v>3.0999999999999699</c:v>
                </c:pt>
                <c:pt idx="164">
                  <c:v>3.1499999999999702</c:v>
                </c:pt>
                <c:pt idx="165">
                  <c:v>3.19999999999997</c:v>
                </c:pt>
                <c:pt idx="166">
                  <c:v>3.2499999999999698</c:v>
                </c:pt>
                <c:pt idx="167">
                  <c:v>3.2999999999999701</c:v>
                </c:pt>
                <c:pt idx="168">
                  <c:v>3.3499999999999699</c:v>
                </c:pt>
                <c:pt idx="169">
                  <c:v>3.3999999999999702</c:v>
                </c:pt>
                <c:pt idx="170">
                  <c:v>3.44999999999997</c:v>
                </c:pt>
                <c:pt idx="171">
                  <c:v>3.4999999999999698</c:v>
                </c:pt>
                <c:pt idx="172">
                  <c:v>3.5499999999999701</c:v>
                </c:pt>
                <c:pt idx="173">
                  <c:v>3.5999999999999699</c:v>
                </c:pt>
                <c:pt idx="174">
                  <c:v>3.6499999999999702</c:v>
                </c:pt>
                <c:pt idx="175">
                  <c:v>3.69999999999997</c:v>
                </c:pt>
                <c:pt idx="176">
                  <c:v>3.7499999999999698</c:v>
                </c:pt>
                <c:pt idx="177">
                  <c:v>3.7999999999999701</c:v>
                </c:pt>
                <c:pt idx="178">
                  <c:v>3.8499999999999699</c:v>
                </c:pt>
                <c:pt idx="179">
                  <c:v>3.8999999999999702</c:v>
                </c:pt>
                <c:pt idx="180">
                  <c:v>3.94999999999997</c:v>
                </c:pt>
                <c:pt idx="181">
                  <c:v>3.9999999999999698</c:v>
                </c:pt>
                <c:pt idx="182">
                  <c:v>4.0499999999999696</c:v>
                </c:pt>
                <c:pt idx="183">
                  <c:v>4.0999999999999703</c:v>
                </c:pt>
                <c:pt idx="184">
                  <c:v>4.1499999999999702</c:v>
                </c:pt>
                <c:pt idx="185">
                  <c:v>4.19999999999997</c:v>
                </c:pt>
                <c:pt idx="186">
                  <c:v>4.2499999999999698</c:v>
                </c:pt>
                <c:pt idx="187">
                  <c:v>4.2999999999999696</c:v>
                </c:pt>
                <c:pt idx="188">
                  <c:v>4.3499999999999703</c:v>
                </c:pt>
                <c:pt idx="189">
                  <c:v>4.3999999999999702</c:v>
                </c:pt>
                <c:pt idx="190">
                  <c:v>4.44999999999997</c:v>
                </c:pt>
                <c:pt idx="191">
                  <c:v>4.4999999999999698</c:v>
                </c:pt>
                <c:pt idx="192">
                  <c:v>4.5499999999999696</c:v>
                </c:pt>
                <c:pt idx="193">
                  <c:v>4.5999999999999703</c:v>
                </c:pt>
                <c:pt idx="194">
                  <c:v>4.6499999999999702</c:v>
                </c:pt>
                <c:pt idx="195">
                  <c:v>4.6999999999999602</c:v>
                </c:pt>
                <c:pt idx="196">
                  <c:v>4.7499999999999698</c:v>
                </c:pt>
                <c:pt idx="197">
                  <c:v>4.7999999999999696</c:v>
                </c:pt>
                <c:pt idx="198">
                  <c:v>4.8499999999999597</c:v>
                </c:pt>
                <c:pt idx="199">
                  <c:v>4.8999999999999604</c:v>
                </c:pt>
                <c:pt idx="200">
                  <c:v>4.9499999999999602</c:v>
                </c:pt>
                <c:pt idx="201">
                  <c:v>5</c:v>
                </c:pt>
                <c:pt idx="202">
                  <c:v>5.05</c:v>
                </c:pt>
              </c:numCache>
            </c:numRef>
          </c:cat>
          <c:val>
            <c:numRef>
              <c:f>Stats!$P$4:$P$206</c:f>
              <c:numCache>
                <c:formatCode>General</c:formatCode>
                <c:ptCount val="203"/>
                <c:pt idx="0">
                  <c:v>1.1564119035797834E-6</c:v>
                </c:pt>
                <c:pt idx="1">
                  <c:v>1.4867195147342977E-6</c:v>
                </c:pt>
                <c:pt idx="2">
                  <c:v>1.9066009031228108E-6</c:v>
                </c:pt>
                <c:pt idx="3">
                  <c:v>2.4389607458933522E-6</c:v>
                </c:pt>
                <c:pt idx="4">
                  <c:v>3.1121755791489445E-6</c:v>
                </c:pt>
                <c:pt idx="5">
                  <c:v>3.9612990910320753E-6</c:v>
                </c:pt>
                <c:pt idx="6">
                  <c:v>5.0295072885924454E-6</c:v>
                </c:pt>
                <c:pt idx="7">
                  <c:v>6.3698251788670899E-6</c:v>
                </c:pt>
                <c:pt idx="8">
                  <c:v>8.0471824564922952E-6</c:v>
                </c:pt>
                <c:pt idx="9">
                  <c:v>1.0140852065486758E-5</c:v>
                </c:pt>
                <c:pt idx="10">
                  <c:v>1.2747332381833466E-5</c:v>
                </c:pt>
                <c:pt idx="11">
                  <c:v>1.5983741106905475E-5</c:v>
                </c:pt>
                <c:pt idx="12">
                  <c:v>1.9991796706922791E-5</c:v>
                </c:pt>
                <c:pt idx="13">
                  <c:v>2.4942471290053535E-5</c:v>
                </c:pt>
                <c:pt idx="14">
                  <c:v>3.1041407057850266E-5</c:v>
                </c:pt>
                <c:pt idx="15">
                  <c:v>3.8535196742087129E-5</c:v>
                </c:pt>
                <c:pt idx="16">
                  <c:v>4.7718636541204952E-5</c:v>
                </c:pt>
                <c:pt idx="17">
                  <c:v>5.8943067756539855E-5</c:v>
                </c:pt>
                <c:pt idx="18">
                  <c:v>7.2625930302252324E-5</c:v>
                </c:pt>
                <c:pt idx="19">
                  <c:v>8.9261657177132928E-5</c:v>
                </c:pt>
                <c:pt idx="20">
                  <c:v>1.0943404343980055E-4</c:v>
                </c:pt>
                <c:pt idx="21">
                  <c:v>1.3383022576488537E-4</c:v>
                </c:pt>
                <c:pt idx="22">
                  <c:v>1.6325640876624199E-4</c:v>
                </c:pt>
                <c:pt idx="23">
                  <c:v>1.9865547139277272E-4</c:v>
                </c:pt>
                <c:pt idx="24">
                  <c:v>2.4112658022599324E-4</c:v>
                </c:pt>
                <c:pt idx="25">
                  <c:v>2.9194692579146027E-4</c:v>
                </c:pt>
                <c:pt idx="26">
                  <c:v>3.5259568236744541E-4</c:v>
                </c:pt>
                <c:pt idx="27">
                  <c:v>4.2478027055075143E-4</c:v>
                </c:pt>
                <c:pt idx="28">
                  <c:v>5.104649743441856E-4</c:v>
                </c:pt>
                <c:pt idx="29">
                  <c:v>6.1190193011375076E-4</c:v>
                </c:pt>
                <c:pt idx="30">
                  <c:v>7.3166446283028422E-4</c:v>
                </c:pt>
                <c:pt idx="31">
                  <c:v>8.7268269504572915E-4</c:v>
                </c:pt>
                <c:pt idx="32">
                  <c:v>1.0382812956613752E-3</c:v>
                </c:pt>
                <c:pt idx="33">
                  <c:v>1.2322191684729772E-3</c:v>
                </c:pt>
                <c:pt idx="34">
                  <c:v>1.458730804666698E-3</c:v>
                </c:pt>
                <c:pt idx="35">
                  <c:v>1.7225689390536229E-3</c:v>
                </c:pt>
                <c:pt idx="36">
                  <c:v>2.0290480572997013E-3</c:v>
                </c:pt>
                <c:pt idx="37">
                  <c:v>2.3840882014647662E-3</c:v>
                </c:pt>
                <c:pt idx="38">
                  <c:v>2.7942584148793578E-3</c:v>
                </c:pt>
                <c:pt idx="39">
                  <c:v>3.2668190561998202E-3</c:v>
                </c:pt>
                <c:pt idx="40">
                  <c:v>3.809762098221692E-3</c:v>
                </c:pt>
                <c:pt idx="41">
                  <c:v>4.431848411937874E-3</c:v>
                </c:pt>
                <c:pt idx="42">
                  <c:v>5.1426409230537883E-3</c:v>
                </c:pt>
                <c:pt idx="43">
                  <c:v>5.9525324197756795E-3</c:v>
                </c:pt>
                <c:pt idx="44">
                  <c:v>6.8727666906137829E-3</c:v>
                </c:pt>
                <c:pt idx="45">
                  <c:v>7.915451582979743E-3</c:v>
                </c:pt>
                <c:pt idx="46">
                  <c:v>9.0935625015907996E-3</c:v>
                </c:pt>
                <c:pt idx="47">
                  <c:v>1.0420934814422318E-2</c:v>
                </c:pt>
                <c:pt idx="48">
                  <c:v>1.1912243607604862E-2</c:v>
                </c:pt>
                <c:pt idx="49">
                  <c:v>1.3582969233685271E-2</c:v>
                </c:pt>
                <c:pt idx="50">
                  <c:v>1.5449347134394779E-2</c:v>
                </c:pt>
                <c:pt idx="51">
                  <c:v>1.7528300493568086E-2</c:v>
                </c:pt>
                <c:pt idx="52">
                  <c:v>1.9837354391794845E-2</c:v>
                </c:pt>
                <c:pt idx="53">
                  <c:v>2.2394530294842355E-2</c:v>
                </c:pt>
                <c:pt idx="54">
                  <c:v>2.5218219915193813E-2</c:v>
                </c:pt>
                <c:pt idx="55">
                  <c:v>2.8327037741600516E-2</c:v>
                </c:pt>
                <c:pt idx="56">
                  <c:v>3.1739651835666682E-2</c:v>
                </c:pt>
                <c:pt idx="57">
                  <c:v>3.5474592846230668E-2</c:v>
                </c:pt>
                <c:pt idx="58">
                  <c:v>3.955004158936936E-2</c:v>
                </c:pt>
                <c:pt idx="59">
                  <c:v>4.3983595980426296E-2</c:v>
                </c:pt>
                <c:pt idx="60">
                  <c:v>4.8792018579181751E-2</c:v>
                </c:pt>
                <c:pt idx="61">
                  <c:v>5.3990966513186953E-2</c:v>
                </c:pt>
                <c:pt idx="62">
                  <c:v>5.9594706068814909E-2</c:v>
                </c:pt>
                <c:pt idx="63">
                  <c:v>6.561581477467536E-2</c:v>
                </c:pt>
                <c:pt idx="64">
                  <c:v>7.2064874336216667E-2</c:v>
                </c:pt>
                <c:pt idx="65">
                  <c:v>7.8950158300892734E-2</c:v>
                </c:pt>
                <c:pt idx="66">
                  <c:v>8.6277318826510005E-2</c:v>
                </c:pt>
                <c:pt idx="67">
                  <c:v>9.4049077376885337E-2</c:v>
                </c:pt>
                <c:pt idx="68">
                  <c:v>0.10226492456397634</c:v>
                </c:pt>
                <c:pt idx="69">
                  <c:v>0.11092083467945377</c:v>
                </c:pt>
                <c:pt idx="70">
                  <c:v>0.12000900069698374</c:v>
                </c:pt>
                <c:pt idx="71">
                  <c:v>0.1295175956658898</c:v>
                </c:pt>
                <c:pt idx="72">
                  <c:v>0.13943056644535826</c:v>
                </c:pt>
                <c:pt idx="73">
                  <c:v>0.1497274656357428</c:v>
                </c:pt>
                <c:pt idx="74">
                  <c:v>0.1603833273419174</c:v>
                </c:pt>
                <c:pt idx="75">
                  <c:v>0.17427460516387899</c:v>
                </c:pt>
                <c:pt idx="76">
                  <c:v>0.18264908538901964</c:v>
                </c:pt>
                <c:pt idx="77">
                  <c:v>0.19418605498321065</c:v>
                </c:pt>
                <c:pt idx="78">
                  <c:v>0.20593626871997239</c:v>
                </c:pt>
                <c:pt idx="79">
                  <c:v>0.21785217703254814</c:v>
                </c:pt>
                <c:pt idx="80">
                  <c:v>0.22988214068423063</c:v>
                </c:pt>
                <c:pt idx="81">
                  <c:v>0.24197072451914092</c:v>
                </c:pt>
                <c:pt idx="82">
                  <c:v>0.25405905646918658</c:v>
                </c:pt>
                <c:pt idx="83">
                  <c:v>0.26608524989875243</c:v>
                </c:pt>
                <c:pt idx="84">
                  <c:v>0.27798488613099437</c:v>
                </c:pt>
                <c:pt idx="85">
                  <c:v>0.28969155276147812</c:v>
                </c:pt>
                <c:pt idx="86">
                  <c:v>0.30113743215479993</c:v>
                </c:pt>
                <c:pt idx="87">
                  <c:v>0.31225393336675689</c:v>
                </c:pt>
                <c:pt idx="88">
                  <c:v>0.3229723596679101</c:v>
                </c:pt>
                <c:pt idx="89">
                  <c:v>0.33322460289179567</c:v>
                </c:pt>
                <c:pt idx="90">
                  <c:v>0.34294385501938013</c:v>
                </c:pt>
                <c:pt idx="91">
                  <c:v>0.35206532676429597</c:v>
                </c:pt>
                <c:pt idx="92">
                  <c:v>0.36052696246164473</c:v>
                </c:pt>
                <c:pt idx="93">
                  <c:v>0.36827014030332039</c:v>
                </c:pt>
                <c:pt idx="94">
                  <c:v>0.37524034691693525</c:v>
                </c:pt>
                <c:pt idx="95">
                  <c:v>0.38138781546052181</c:v>
                </c:pt>
                <c:pt idx="96">
                  <c:v>0.38666811680284729</c:v>
                </c:pt>
                <c:pt idx="97">
                  <c:v>0.39104269397545433</c:v>
                </c:pt>
                <c:pt idx="98">
                  <c:v>0.39447933090788773</c:v>
                </c:pt>
                <c:pt idx="99">
                  <c:v>0.39695254747701098</c:v>
                </c:pt>
                <c:pt idx="100">
                  <c:v>0.3984439140947636</c:v>
                </c:pt>
                <c:pt idx="101">
                  <c:v>0.3989422804014327</c:v>
                </c:pt>
                <c:pt idx="102">
                  <c:v>0.39844391409476437</c:v>
                </c:pt>
                <c:pt idx="103">
                  <c:v>0.39695254747701259</c:v>
                </c:pt>
                <c:pt idx="104">
                  <c:v>0.39447933090789011</c:v>
                </c:pt>
                <c:pt idx="105">
                  <c:v>0.39104269397545749</c:v>
                </c:pt>
                <c:pt idx="106">
                  <c:v>0.38666811680285118</c:v>
                </c:pt>
                <c:pt idx="107">
                  <c:v>0.38138781546052641</c:v>
                </c:pt>
                <c:pt idx="108">
                  <c:v>0.37524034691694053</c:v>
                </c:pt>
                <c:pt idx="109">
                  <c:v>0.36827014030332628</c:v>
                </c:pt>
                <c:pt idx="110">
                  <c:v>0.36052696246165117</c:v>
                </c:pt>
                <c:pt idx="111">
                  <c:v>0.35206532676430302</c:v>
                </c:pt>
                <c:pt idx="112">
                  <c:v>0.34294385501938768</c:v>
                </c:pt>
                <c:pt idx="113">
                  <c:v>0.33322460289180361</c:v>
                </c:pt>
                <c:pt idx="114">
                  <c:v>0.32297235966791848</c:v>
                </c:pt>
                <c:pt idx="115">
                  <c:v>0.31225393336676566</c:v>
                </c:pt>
                <c:pt idx="116">
                  <c:v>0.30113743215480893</c:v>
                </c:pt>
                <c:pt idx="117">
                  <c:v>0.28969155276148739</c:v>
                </c:pt>
                <c:pt idx="118">
                  <c:v>0.2779848861310012</c:v>
                </c:pt>
                <c:pt idx="119">
                  <c:v>0.26608524989875959</c:v>
                </c:pt>
                <c:pt idx="120">
                  <c:v>0.25405905646919386</c:v>
                </c:pt>
                <c:pt idx="121">
                  <c:v>0.24197072451914819</c:v>
                </c:pt>
                <c:pt idx="122">
                  <c:v>0.22988214068423785</c:v>
                </c:pt>
                <c:pt idx="123">
                  <c:v>0.21785217703255533</c:v>
                </c:pt>
                <c:pt idx="124">
                  <c:v>0.20593626871997953</c:v>
                </c:pt>
                <c:pt idx="125">
                  <c:v>0.19418605498321762</c:v>
                </c:pt>
                <c:pt idx="126">
                  <c:v>0.18264908538902649</c:v>
                </c:pt>
                <c:pt idx="127">
                  <c:v>0.1713685920478118</c:v>
                </c:pt>
                <c:pt idx="128">
                  <c:v>0.1603833273419239</c:v>
                </c:pt>
                <c:pt idx="129">
                  <c:v>0.14972746563574907</c:v>
                </c:pt>
                <c:pt idx="130">
                  <c:v>0.13943056644536433</c:v>
                </c:pt>
                <c:pt idx="131">
                  <c:v>0.1295175956658956</c:v>
                </c:pt>
                <c:pt idx="132">
                  <c:v>0.12000900069698932</c:v>
                </c:pt>
                <c:pt idx="133">
                  <c:v>0.11092083467945908</c:v>
                </c:pt>
                <c:pt idx="134">
                  <c:v>0.10226492456398137</c:v>
                </c:pt>
                <c:pt idx="135">
                  <c:v>9.4049077376890139E-2</c:v>
                </c:pt>
                <c:pt idx="136">
                  <c:v>8.6277318826514543E-2</c:v>
                </c:pt>
                <c:pt idx="137">
                  <c:v>7.8950158300896994E-2</c:v>
                </c:pt>
                <c:pt idx="138">
                  <c:v>7.206487433622065E-2</c:v>
                </c:pt>
                <c:pt idx="139">
                  <c:v>6.5615814774679093E-2</c:v>
                </c:pt>
                <c:pt idx="140">
                  <c:v>5.95947060688184E-2</c:v>
                </c:pt>
                <c:pt idx="141">
                  <c:v>5.3990966513191289E-2</c:v>
                </c:pt>
                <c:pt idx="142">
                  <c:v>4.8792018579185754E-2</c:v>
                </c:pt>
                <c:pt idx="143">
                  <c:v>4.3983595980429988E-2</c:v>
                </c:pt>
                <c:pt idx="144">
                  <c:v>3.9550041589372753E-2</c:v>
                </c:pt>
                <c:pt idx="145">
                  <c:v>3.5474592846233791E-2</c:v>
                </c:pt>
                <c:pt idx="146">
                  <c:v>3.1739651835669576E-2</c:v>
                </c:pt>
                <c:pt idx="147">
                  <c:v>2.8327037741603125E-2</c:v>
                </c:pt>
                <c:pt idx="148">
                  <c:v>2.5218219915196169E-2</c:v>
                </c:pt>
                <c:pt idx="149">
                  <c:v>2.2394530294844502E-2</c:v>
                </c:pt>
                <c:pt idx="150">
                  <c:v>1.9837354391796781E-2</c:v>
                </c:pt>
                <c:pt idx="151">
                  <c:v>1.7528300493569862E-2</c:v>
                </c:pt>
                <c:pt idx="152">
                  <c:v>1.5449347134396347E-2</c:v>
                </c:pt>
                <c:pt idx="153">
                  <c:v>1.3582969233686681E-2</c:v>
                </c:pt>
                <c:pt idx="154">
                  <c:v>1.1912243607606121E-2</c:v>
                </c:pt>
                <c:pt idx="155">
                  <c:v>1.0420934814423442E-2</c:v>
                </c:pt>
                <c:pt idx="156">
                  <c:v>9.0935625015918092E-3</c:v>
                </c:pt>
                <c:pt idx="157">
                  <c:v>7.9154515829806277E-3</c:v>
                </c:pt>
                <c:pt idx="158">
                  <c:v>6.8727666906145636E-3</c:v>
                </c:pt>
                <c:pt idx="159">
                  <c:v>5.9525324197763725E-3</c:v>
                </c:pt>
                <c:pt idx="160">
                  <c:v>5.1426409230543963E-3</c:v>
                </c:pt>
                <c:pt idx="161">
                  <c:v>4.4318484119384082E-3</c:v>
                </c:pt>
                <c:pt idx="162">
                  <c:v>3.8097620982221556E-3</c:v>
                </c:pt>
                <c:pt idx="163">
                  <c:v>3.2668190562002266E-3</c:v>
                </c:pt>
                <c:pt idx="164">
                  <c:v>2.7942584148797104E-3</c:v>
                </c:pt>
                <c:pt idx="165">
                  <c:v>2.3840882014650711E-3</c:v>
                </c:pt>
                <c:pt idx="166">
                  <c:v>2.0290480572999663E-3</c:v>
                </c:pt>
                <c:pt idx="167">
                  <c:v>1.722568939053851E-3</c:v>
                </c:pt>
                <c:pt idx="168">
                  <c:v>1.4587308046668938E-3</c:v>
                </c:pt>
                <c:pt idx="169">
                  <c:v>1.2322191684731446E-3</c:v>
                </c:pt>
                <c:pt idx="170">
                  <c:v>1.0382812956615192E-3</c:v>
                </c:pt>
                <c:pt idx="171">
                  <c:v>8.7268269504585231E-4</c:v>
                </c:pt>
                <c:pt idx="172">
                  <c:v>7.316644628303882E-4</c:v>
                </c:pt>
                <c:pt idx="173">
                  <c:v>6.1190193011383879E-4</c:v>
                </c:pt>
                <c:pt idx="174">
                  <c:v>5.1046497434424133E-4</c:v>
                </c:pt>
                <c:pt idx="175">
                  <c:v>4.2478027055079903E-4</c:v>
                </c:pt>
                <c:pt idx="176">
                  <c:v>3.5259568236748547E-4</c:v>
                </c:pt>
                <c:pt idx="177">
                  <c:v>2.9194692579149345E-4</c:v>
                </c:pt>
                <c:pt idx="178">
                  <c:v>2.4112658022602132E-4</c:v>
                </c:pt>
                <c:pt idx="179">
                  <c:v>1.9865547139279581E-4</c:v>
                </c:pt>
                <c:pt idx="180">
                  <c:v>1.6325640876626142E-4</c:v>
                </c:pt>
                <c:pt idx="181">
                  <c:v>1.3383022576490152E-4</c:v>
                </c:pt>
                <c:pt idx="182">
                  <c:v>1.0943404343981396E-4</c:v>
                </c:pt>
                <c:pt idx="183">
                  <c:v>8.9261657177143702E-5</c:v>
                </c:pt>
                <c:pt idx="184">
                  <c:v>7.2625930302261485E-5</c:v>
                </c:pt>
                <c:pt idx="185">
                  <c:v>5.8943067756547288E-5</c:v>
                </c:pt>
                <c:pt idx="186">
                  <c:v>4.771863654121105E-5</c:v>
                </c:pt>
                <c:pt idx="187">
                  <c:v>3.8535196742092124E-5</c:v>
                </c:pt>
                <c:pt idx="188">
                  <c:v>3.1041407057854183E-5</c:v>
                </c:pt>
                <c:pt idx="189">
                  <c:v>2.4942471290056852E-5</c:v>
                </c:pt>
                <c:pt idx="190">
                  <c:v>1.9991796706925491E-5</c:v>
                </c:pt>
                <c:pt idx="191">
                  <c:v>1.5983741106907633E-5</c:v>
                </c:pt>
                <c:pt idx="192">
                  <c:v>1.2747332381835207E-5</c:v>
                </c:pt>
                <c:pt idx="193">
                  <c:v>1.0140852065488129E-5</c:v>
                </c:pt>
                <c:pt idx="194">
                  <c:v>8.0471824564934235E-6</c:v>
                </c:pt>
                <c:pt idx="195">
                  <c:v>6.3698251788682901E-6</c:v>
                </c:pt>
                <c:pt idx="196">
                  <c:v>5.0295072885931696E-6</c:v>
                </c:pt>
                <c:pt idx="197">
                  <c:v>3.961299091032653E-6</c:v>
                </c:pt>
                <c:pt idx="198">
                  <c:v>3.1121755791495475E-6</c:v>
                </c:pt>
                <c:pt idx="199">
                  <c:v>2.4389607458938333E-6</c:v>
                </c:pt>
                <c:pt idx="200">
                  <c:v>1.9066009031231868E-6</c:v>
                </c:pt>
                <c:pt idx="201">
                  <c:v>1.4867195147342977E-6</c:v>
                </c:pt>
                <c:pt idx="202">
                  <c:v>1.1564119035797834E-6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D-4B3B-92FC-BD436485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475840"/>
        <c:axId val="271477376"/>
      </c:lineChart>
      <c:catAx>
        <c:axId val="27147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1477376"/>
        <c:crosses val="autoZero"/>
        <c:auto val="1"/>
        <c:lblAlgn val="ctr"/>
        <c:lblOffset val="100"/>
        <c:noMultiLvlLbl val="0"/>
      </c:catAx>
      <c:valAx>
        <c:axId val="27147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475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Distribution of Possible EUR </a:t>
            </a:r>
            <a:endParaRPr lang="en-CA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578369083174948"/>
          <c:y val="0.15715241477168296"/>
          <c:w val="0.60481401031767568"/>
          <c:h val="0.69680642860818864"/>
        </c:manualLayout>
      </c:layout>
      <c:areaChart>
        <c:grouping val="standard"/>
        <c:varyColors val="0"/>
        <c:ser>
          <c:idx val="1"/>
          <c:order val="0"/>
          <c:tx>
            <c:v>Potential Upside</c:v>
          </c:tx>
          <c:spPr>
            <a:solidFill>
              <a:srgbClr val="92D050"/>
            </a:solidFill>
          </c:spPr>
          <c:cat>
            <c:strRef>
              <c:f>Stats!$M$4:$M$206</c:f>
              <c:strCache>
                <c:ptCount val="203"/>
                <c:pt idx="0">
                  <c:v>μ - 5.1σ</c:v>
                </c:pt>
                <c:pt idx="1">
                  <c:v>μ - 5σ</c:v>
                </c:pt>
                <c:pt idx="2">
                  <c:v>μ - 5σ</c:v>
                </c:pt>
                <c:pt idx="3">
                  <c:v>μ - 4.9σ</c:v>
                </c:pt>
                <c:pt idx="4">
                  <c:v>μ - 4.9σ</c:v>
                </c:pt>
                <c:pt idx="5">
                  <c:v>μ - 4.8σ</c:v>
                </c:pt>
                <c:pt idx="6">
                  <c:v>μ - 4.8σ</c:v>
                </c:pt>
                <c:pt idx="7">
                  <c:v>μ - 4.7σ</c:v>
                </c:pt>
                <c:pt idx="8">
                  <c:v>μ - 4.7σ</c:v>
                </c:pt>
                <c:pt idx="9">
                  <c:v>μ - 4.6σ</c:v>
                </c:pt>
                <c:pt idx="10">
                  <c:v>μ - 4.6σ</c:v>
                </c:pt>
                <c:pt idx="11">
                  <c:v>μ - 4.5σ</c:v>
                </c:pt>
                <c:pt idx="12">
                  <c:v>μ - 4.5σ</c:v>
                </c:pt>
                <c:pt idx="13">
                  <c:v>μ - 4.4σ</c:v>
                </c:pt>
                <c:pt idx="14">
                  <c:v>μ - 4.4σ</c:v>
                </c:pt>
                <c:pt idx="15">
                  <c:v>μ - 4.3σ</c:v>
                </c:pt>
                <c:pt idx="16">
                  <c:v>μ - 4.3σ</c:v>
                </c:pt>
                <c:pt idx="17">
                  <c:v>μ - 4.2σ</c:v>
                </c:pt>
                <c:pt idx="18">
                  <c:v>μ - 4.2σ</c:v>
                </c:pt>
                <c:pt idx="19">
                  <c:v>μ - 4.1σ</c:v>
                </c:pt>
                <c:pt idx="20">
                  <c:v>μ - 4.1σ</c:v>
                </c:pt>
                <c:pt idx="21">
                  <c:v>μ - 4σ</c:v>
                </c:pt>
                <c:pt idx="22">
                  <c:v>μ - 4σ</c:v>
                </c:pt>
                <c:pt idx="23">
                  <c:v>μ - 3.9σ</c:v>
                </c:pt>
                <c:pt idx="24">
                  <c:v>μ - 3.9σ</c:v>
                </c:pt>
                <c:pt idx="25">
                  <c:v>μ - 3.8σ</c:v>
                </c:pt>
                <c:pt idx="26">
                  <c:v>μ - 3.8σ</c:v>
                </c:pt>
                <c:pt idx="27">
                  <c:v>μ - 3.7σ</c:v>
                </c:pt>
                <c:pt idx="28">
                  <c:v>μ - 3.7σ</c:v>
                </c:pt>
                <c:pt idx="29">
                  <c:v>μ - 3.6σ</c:v>
                </c:pt>
                <c:pt idx="30">
                  <c:v>μ - 3.6σ</c:v>
                </c:pt>
                <c:pt idx="31">
                  <c:v>μ - 3.5σ</c:v>
                </c:pt>
                <c:pt idx="32">
                  <c:v>μ - 3.5σ</c:v>
                </c:pt>
                <c:pt idx="33">
                  <c:v>μ - 3.4σ</c:v>
                </c:pt>
                <c:pt idx="34">
                  <c:v>μ - 3.4σ</c:v>
                </c:pt>
                <c:pt idx="35">
                  <c:v>μ - 3.3σ</c:v>
                </c:pt>
                <c:pt idx="36">
                  <c:v>μ - 3.3σ</c:v>
                </c:pt>
                <c:pt idx="37">
                  <c:v>μ - 3.2σ</c:v>
                </c:pt>
                <c:pt idx="38">
                  <c:v>μ - 3.2σ</c:v>
                </c:pt>
                <c:pt idx="39">
                  <c:v>μ - 3.1σ</c:v>
                </c:pt>
                <c:pt idx="40">
                  <c:v>μ - 3.1σ</c:v>
                </c:pt>
                <c:pt idx="41">
                  <c:v>μ - 3σ</c:v>
                </c:pt>
                <c:pt idx="42">
                  <c:v>μ - 3σ</c:v>
                </c:pt>
                <c:pt idx="43">
                  <c:v>μ - 2.9σ</c:v>
                </c:pt>
                <c:pt idx="44">
                  <c:v>μ - 2.9σ</c:v>
                </c:pt>
                <c:pt idx="45">
                  <c:v>μ - 2.8σ</c:v>
                </c:pt>
                <c:pt idx="46">
                  <c:v>μ - 2.8σ</c:v>
                </c:pt>
                <c:pt idx="47">
                  <c:v>μ - 2.7σ</c:v>
                </c:pt>
                <c:pt idx="48">
                  <c:v>μ - 2.7σ</c:v>
                </c:pt>
                <c:pt idx="49">
                  <c:v>μ - 2.6σ</c:v>
                </c:pt>
                <c:pt idx="50">
                  <c:v>μ - 2.6σ</c:v>
                </c:pt>
                <c:pt idx="51">
                  <c:v>μ - 2.5σ</c:v>
                </c:pt>
                <c:pt idx="52">
                  <c:v>μ - 2.5σ</c:v>
                </c:pt>
                <c:pt idx="53">
                  <c:v>μ - 2.4σ</c:v>
                </c:pt>
                <c:pt idx="54">
                  <c:v>μ - 2.4σ</c:v>
                </c:pt>
                <c:pt idx="55">
                  <c:v>μ - 2.3σ</c:v>
                </c:pt>
                <c:pt idx="56">
                  <c:v>μ - 2.3σ</c:v>
                </c:pt>
                <c:pt idx="57">
                  <c:v>μ - 2.2σ</c:v>
                </c:pt>
                <c:pt idx="58">
                  <c:v>μ - 2.2σ</c:v>
                </c:pt>
                <c:pt idx="59">
                  <c:v>μ - 2.1σ</c:v>
                </c:pt>
                <c:pt idx="60">
                  <c:v>μ - 2.1σ</c:v>
                </c:pt>
                <c:pt idx="61">
                  <c:v>μ - 2σ</c:v>
                </c:pt>
                <c:pt idx="62">
                  <c:v>μ - 2σ</c:v>
                </c:pt>
                <c:pt idx="63">
                  <c:v>μ - 1.9σ</c:v>
                </c:pt>
                <c:pt idx="64">
                  <c:v>μ - 1.9σ</c:v>
                </c:pt>
                <c:pt idx="65">
                  <c:v>μ - 1.8σ</c:v>
                </c:pt>
                <c:pt idx="66">
                  <c:v>μ - 1.8σ</c:v>
                </c:pt>
                <c:pt idx="67">
                  <c:v>μ - 1.7σ</c:v>
                </c:pt>
                <c:pt idx="68">
                  <c:v>μ - 1.7σ</c:v>
                </c:pt>
                <c:pt idx="69">
                  <c:v>μ - 1.6σ</c:v>
                </c:pt>
                <c:pt idx="70">
                  <c:v>μ - 1.6σ</c:v>
                </c:pt>
                <c:pt idx="71">
                  <c:v>μ - 1.5σ</c:v>
                </c:pt>
                <c:pt idx="72">
                  <c:v>μ - 1.5σ</c:v>
                </c:pt>
                <c:pt idx="73">
                  <c:v>μ - 1.4σ</c:v>
                </c:pt>
                <c:pt idx="74">
                  <c:v>μ - 1.4σ</c:v>
                </c:pt>
                <c:pt idx="75">
                  <c:v>μ - 1.3σ</c:v>
                </c:pt>
                <c:pt idx="76">
                  <c:v>μ - 1.3σ</c:v>
                </c:pt>
                <c:pt idx="77">
                  <c:v>μ - 1.2σ</c:v>
                </c:pt>
                <c:pt idx="78">
                  <c:v>μ - 1.2σ</c:v>
                </c:pt>
                <c:pt idx="79">
                  <c:v>μ - 1.1σ</c:v>
                </c:pt>
                <c:pt idx="80">
                  <c:v>μ - 1.1σ</c:v>
                </c:pt>
                <c:pt idx="81">
                  <c:v>μ - 1σ</c:v>
                </c:pt>
                <c:pt idx="82">
                  <c:v>μ - 1σ</c:v>
                </c:pt>
                <c:pt idx="83">
                  <c:v>μ - 0.9σ</c:v>
                </c:pt>
                <c:pt idx="84">
                  <c:v>μ - 0.9σ</c:v>
                </c:pt>
                <c:pt idx="85">
                  <c:v>μ - 0.8σ</c:v>
                </c:pt>
                <c:pt idx="86">
                  <c:v>μ - 0.8σ</c:v>
                </c:pt>
                <c:pt idx="87">
                  <c:v>μ - 0.7σ</c:v>
                </c:pt>
                <c:pt idx="88">
                  <c:v>μ - 0.7σ</c:v>
                </c:pt>
                <c:pt idx="89">
                  <c:v>μ - 0.6σ</c:v>
                </c:pt>
                <c:pt idx="90">
                  <c:v>μ - 0.6σ</c:v>
                </c:pt>
                <c:pt idx="91">
                  <c:v>μ - 0.5σ</c:v>
                </c:pt>
                <c:pt idx="92">
                  <c:v>μ - 0.5σ</c:v>
                </c:pt>
                <c:pt idx="93">
                  <c:v>μ - 0.4σ</c:v>
                </c:pt>
                <c:pt idx="94">
                  <c:v>μ - 0.4σ</c:v>
                </c:pt>
                <c:pt idx="95">
                  <c:v>μ - 0.3σ</c:v>
                </c:pt>
                <c:pt idx="96">
                  <c:v>μ - 0.3σ</c:v>
                </c:pt>
                <c:pt idx="97">
                  <c:v>μ - 0.2σ</c:v>
                </c:pt>
                <c:pt idx="98">
                  <c:v>μ - 0.2σ</c:v>
                </c:pt>
                <c:pt idx="99">
                  <c:v>μ - 0.1σ</c:v>
                </c:pt>
                <c:pt idx="100">
                  <c:v>μ - 0.1σ</c:v>
                </c:pt>
                <c:pt idx="101">
                  <c:v>μ - 0σ</c:v>
                </c:pt>
                <c:pt idx="102">
                  <c:v>μ + 0σ</c:v>
                </c:pt>
                <c:pt idx="103">
                  <c:v>μ + 0.1σ</c:v>
                </c:pt>
                <c:pt idx="104">
                  <c:v>μ + 0.1σ</c:v>
                </c:pt>
                <c:pt idx="105">
                  <c:v>μ + 0.2σ</c:v>
                </c:pt>
                <c:pt idx="106">
                  <c:v>μ + 0.2σ</c:v>
                </c:pt>
                <c:pt idx="107">
                  <c:v>μ + 0.3σ</c:v>
                </c:pt>
                <c:pt idx="108">
                  <c:v>μ + 0.3σ</c:v>
                </c:pt>
                <c:pt idx="109">
                  <c:v>μ + 0.4σ</c:v>
                </c:pt>
                <c:pt idx="110">
                  <c:v>μ + 0.4σ</c:v>
                </c:pt>
                <c:pt idx="111">
                  <c:v>μ + 0.5σ</c:v>
                </c:pt>
                <c:pt idx="112">
                  <c:v>μ + 0.5σ</c:v>
                </c:pt>
                <c:pt idx="113">
                  <c:v>μ + 0.6σ</c:v>
                </c:pt>
                <c:pt idx="114">
                  <c:v>μ + 0.6σ</c:v>
                </c:pt>
                <c:pt idx="115">
                  <c:v>μ + 0.7σ</c:v>
                </c:pt>
                <c:pt idx="116">
                  <c:v>μ + 0.7σ</c:v>
                </c:pt>
                <c:pt idx="117">
                  <c:v>μ + 0.8σ</c:v>
                </c:pt>
                <c:pt idx="118">
                  <c:v>μ + 0.8σ</c:v>
                </c:pt>
                <c:pt idx="119">
                  <c:v>μ + 0.9σ</c:v>
                </c:pt>
                <c:pt idx="120">
                  <c:v>μ + 0.9σ</c:v>
                </c:pt>
                <c:pt idx="121">
                  <c:v>μ + 1σ</c:v>
                </c:pt>
                <c:pt idx="122">
                  <c:v>μ + 1σ</c:v>
                </c:pt>
                <c:pt idx="123">
                  <c:v>μ + 1.1σ</c:v>
                </c:pt>
                <c:pt idx="124">
                  <c:v>μ + 1.1σ</c:v>
                </c:pt>
                <c:pt idx="125">
                  <c:v>μ + 1.2σ</c:v>
                </c:pt>
                <c:pt idx="126">
                  <c:v>μ + 1.2σ</c:v>
                </c:pt>
                <c:pt idx="127">
                  <c:v>μ + 1.3σ</c:v>
                </c:pt>
                <c:pt idx="128">
                  <c:v>μ + 1.3σ</c:v>
                </c:pt>
                <c:pt idx="129">
                  <c:v>μ + 1.4σ</c:v>
                </c:pt>
                <c:pt idx="130">
                  <c:v>μ + 1.4σ</c:v>
                </c:pt>
                <c:pt idx="131">
                  <c:v>μ + 1.5σ</c:v>
                </c:pt>
                <c:pt idx="132">
                  <c:v>μ + 1.5σ</c:v>
                </c:pt>
                <c:pt idx="133">
                  <c:v>μ + 1.6σ</c:v>
                </c:pt>
                <c:pt idx="134">
                  <c:v>μ + 1.6σ</c:v>
                </c:pt>
                <c:pt idx="135">
                  <c:v>μ + 1.7σ</c:v>
                </c:pt>
                <c:pt idx="136">
                  <c:v>μ + 1.7σ</c:v>
                </c:pt>
                <c:pt idx="137">
                  <c:v>μ + 1.8σ</c:v>
                </c:pt>
                <c:pt idx="138">
                  <c:v>μ + 1.8σ</c:v>
                </c:pt>
                <c:pt idx="139">
                  <c:v>μ + 1.9σ</c:v>
                </c:pt>
                <c:pt idx="140">
                  <c:v>μ + 1.9σ</c:v>
                </c:pt>
                <c:pt idx="141">
                  <c:v>μ + 2σ</c:v>
                </c:pt>
                <c:pt idx="142">
                  <c:v>μ + 2σ</c:v>
                </c:pt>
                <c:pt idx="143">
                  <c:v>μ + 2.1σ</c:v>
                </c:pt>
                <c:pt idx="144">
                  <c:v>μ + 2.1σ</c:v>
                </c:pt>
                <c:pt idx="145">
                  <c:v>μ + 2.2σ</c:v>
                </c:pt>
                <c:pt idx="146">
                  <c:v>μ + 2.2σ</c:v>
                </c:pt>
                <c:pt idx="147">
                  <c:v>μ + 2.3σ</c:v>
                </c:pt>
                <c:pt idx="148">
                  <c:v>μ + 2.3σ</c:v>
                </c:pt>
                <c:pt idx="149">
                  <c:v>μ + 2.4σ</c:v>
                </c:pt>
                <c:pt idx="150">
                  <c:v>μ + 2.4σ</c:v>
                </c:pt>
                <c:pt idx="151">
                  <c:v>μ + 2.5σ</c:v>
                </c:pt>
                <c:pt idx="152">
                  <c:v>μ + 2.5σ</c:v>
                </c:pt>
                <c:pt idx="153">
                  <c:v>μ + 2.6σ</c:v>
                </c:pt>
                <c:pt idx="154">
                  <c:v>μ + 2.6σ</c:v>
                </c:pt>
                <c:pt idx="155">
                  <c:v>μ + 2.7σ</c:v>
                </c:pt>
                <c:pt idx="156">
                  <c:v>μ + 2.7σ</c:v>
                </c:pt>
                <c:pt idx="157">
                  <c:v>μ + 2.8σ</c:v>
                </c:pt>
                <c:pt idx="158">
                  <c:v>μ + 2.8σ</c:v>
                </c:pt>
                <c:pt idx="159">
                  <c:v>μ + 2.9σ</c:v>
                </c:pt>
                <c:pt idx="160">
                  <c:v>μ + 2.9σ</c:v>
                </c:pt>
                <c:pt idx="161">
                  <c:v>μ + 3σ</c:v>
                </c:pt>
                <c:pt idx="162">
                  <c:v>μ + 3σ</c:v>
                </c:pt>
                <c:pt idx="163">
                  <c:v>μ + 3.1σ</c:v>
                </c:pt>
                <c:pt idx="164">
                  <c:v>μ + 3.1σ</c:v>
                </c:pt>
                <c:pt idx="165">
                  <c:v>μ + 3.2σ</c:v>
                </c:pt>
                <c:pt idx="166">
                  <c:v>μ + 3.2σ</c:v>
                </c:pt>
                <c:pt idx="167">
                  <c:v>μ + 3.3σ</c:v>
                </c:pt>
                <c:pt idx="168">
                  <c:v>μ + 3.3σ</c:v>
                </c:pt>
                <c:pt idx="169">
                  <c:v>μ + 3.4σ</c:v>
                </c:pt>
                <c:pt idx="170">
                  <c:v>μ + 3.4σ</c:v>
                </c:pt>
                <c:pt idx="171">
                  <c:v>μ + 3.5σ</c:v>
                </c:pt>
                <c:pt idx="172">
                  <c:v>μ + 3.5σ</c:v>
                </c:pt>
                <c:pt idx="173">
                  <c:v>μ + 3.6σ</c:v>
                </c:pt>
                <c:pt idx="174">
                  <c:v>μ + 3.6σ</c:v>
                </c:pt>
                <c:pt idx="175">
                  <c:v>μ + 3.7σ</c:v>
                </c:pt>
                <c:pt idx="176">
                  <c:v>μ + 3.7σ</c:v>
                </c:pt>
                <c:pt idx="177">
                  <c:v>μ + 3.8σ</c:v>
                </c:pt>
                <c:pt idx="178">
                  <c:v>μ + 3.8σ</c:v>
                </c:pt>
                <c:pt idx="179">
                  <c:v>μ + 3.9σ</c:v>
                </c:pt>
                <c:pt idx="180">
                  <c:v>μ + 3.9σ</c:v>
                </c:pt>
                <c:pt idx="181">
                  <c:v>μ + 4σ</c:v>
                </c:pt>
                <c:pt idx="182">
                  <c:v>μ + 4σ</c:v>
                </c:pt>
                <c:pt idx="183">
                  <c:v>μ + 4.1σ</c:v>
                </c:pt>
                <c:pt idx="184">
                  <c:v>μ + 4.1σ</c:v>
                </c:pt>
                <c:pt idx="185">
                  <c:v>μ + 4.2σ</c:v>
                </c:pt>
                <c:pt idx="186">
                  <c:v>μ + 4.2σ</c:v>
                </c:pt>
                <c:pt idx="187">
                  <c:v>μ + 4.3σ</c:v>
                </c:pt>
                <c:pt idx="188">
                  <c:v>μ + 4.3σ</c:v>
                </c:pt>
                <c:pt idx="189">
                  <c:v>μ + 4.4σ</c:v>
                </c:pt>
                <c:pt idx="190">
                  <c:v>μ + 4.4σ</c:v>
                </c:pt>
                <c:pt idx="191">
                  <c:v>μ + 4.5σ</c:v>
                </c:pt>
                <c:pt idx="192">
                  <c:v>μ + 4.5σ</c:v>
                </c:pt>
                <c:pt idx="193">
                  <c:v>μ + 4.6σ</c:v>
                </c:pt>
                <c:pt idx="194">
                  <c:v>μ + 4.6σ</c:v>
                </c:pt>
                <c:pt idx="195">
                  <c:v>μ + 4.7σ</c:v>
                </c:pt>
                <c:pt idx="196">
                  <c:v>μ + 4.7σ</c:v>
                </c:pt>
                <c:pt idx="197">
                  <c:v>μ + 4.8σ</c:v>
                </c:pt>
                <c:pt idx="198">
                  <c:v>μ + 4.8σ</c:v>
                </c:pt>
                <c:pt idx="199">
                  <c:v>μ + 4.9σ</c:v>
                </c:pt>
                <c:pt idx="200">
                  <c:v>μ + 4.9σ</c:v>
                </c:pt>
                <c:pt idx="201">
                  <c:v>μ + 5σ</c:v>
                </c:pt>
                <c:pt idx="202">
                  <c:v>μ + 5.1σ</c:v>
                </c:pt>
              </c:strCache>
            </c:strRef>
          </c:cat>
          <c:val>
            <c:numRef>
              <c:f>Stats!$R$4:$R$206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0.18264908538901964</c:v>
                </c:pt>
                <c:pt idx="77">
                  <c:v>0.19418605498321065</c:v>
                </c:pt>
                <c:pt idx="78">
                  <c:v>0.20593626871997239</c:v>
                </c:pt>
                <c:pt idx="79">
                  <c:v>0.21785217703254814</c:v>
                </c:pt>
                <c:pt idx="80">
                  <c:v>0.22988214068423063</c:v>
                </c:pt>
                <c:pt idx="81">
                  <c:v>0.24197072451914092</c:v>
                </c:pt>
                <c:pt idx="82">
                  <c:v>0.25405905646918658</c:v>
                </c:pt>
                <c:pt idx="83">
                  <c:v>0.26608524989875243</c:v>
                </c:pt>
                <c:pt idx="84">
                  <c:v>0.27798488613099437</c:v>
                </c:pt>
                <c:pt idx="85">
                  <c:v>0.28969155276147812</c:v>
                </c:pt>
                <c:pt idx="86">
                  <c:v>0.30113743215479993</c:v>
                </c:pt>
                <c:pt idx="87">
                  <c:v>0.31225393336675689</c:v>
                </c:pt>
                <c:pt idx="88">
                  <c:v>0.3229723596679101</c:v>
                </c:pt>
                <c:pt idx="89">
                  <c:v>0.33322460289179567</c:v>
                </c:pt>
                <c:pt idx="90">
                  <c:v>0.34294385501938013</c:v>
                </c:pt>
                <c:pt idx="91">
                  <c:v>0.35206532676429597</c:v>
                </c:pt>
                <c:pt idx="92">
                  <c:v>0.36052696246164473</c:v>
                </c:pt>
                <c:pt idx="93">
                  <c:v>0.36827014030332039</c:v>
                </c:pt>
                <c:pt idx="94">
                  <c:v>0.37524034691693525</c:v>
                </c:pt>
                <c:pt idx="95">
                  <c:v>0.38138781546052181</c:v>
                </c:pt>
                <c:pt idx="96">
                  <c:v>0.38666811680284729</c:v>
                </c:pt>
                <c:pt idx="97">
                  <c:v>0.39104269397545433</c:v>
                </c:pt>
                <c:pt idx="98">
                  <c:v>0.39447933090788773</c:v>
                </c:pt>
                <c:pt idx="99">
                  <c:v>0.39695254747701098</c:v>
                </c:pt>
                <c:pt idx="100">
                  <c:v>0.3984439140947636</c:v>
                </c:pt>
                <c:pt idx="101">
                  <c:v>0.3989422804014327</c:v>
                </c:pt>
                <c:pt idx="102">
                  <c:v>0.39844391409476437</c:v>
                </c:pt>
                <c:pt idx="103">
                  <c:v>0.39695254747701259</c:v>
                </c:pt>
                <c:pt idx="104">
                  <c:v>0.39447933090789011</c:v>
                </c:pt>
                <c:pt idx="105">
                  <c:v>0.39104269397545749</c:v>
                </c:pt>
                <c:pt idx="106">
                  <c:v>0.38666811680285118</c:v>
                </c:pt>
                <c:pt idx="107">
                  <c:v>0.38138781546052641</c:v>
                </c:pt>
                <c:pt idx="108">
                  <c:v>0.37524034691694053</c:v>
                </c:pt>
                <c:pt idx="109">
                  <c:v>0.36827014030332628</c:v>
                </c:pt>
                <c:pt idx="110">
                  <c:v>0.36052696246165117</c:v>
                </c:pt>
                <c:pt idx="111">
                  <c:v>0.35206532676430302</c:v>
                </c:pt>
                <c:pt idx="112">
                  <c:v>0.34294385501938768</c:v>
                </c:pt>
                <c:pt idx="113">
                  <c:v>0.33322460289180361</c:v>
                </c:pt>
                <c:pt idx="114">
                  <c:v>0.32297235966791848</c:v>
                </c:pt>
                <c:pt idx="115">
                  <c:v>0.31225393336676566</c:v>
                </c:pt>
                <c:pt idx="116">
                  <c:v>0.30113743215480893</c:v>
                </c:pt>
                <c:pt idx="117">
                  <c:v>0.28969155276148739</c:v>
                </c:pt>
                <c:pt idx="118">
                  <c:v>0.2779848861310012</c:v>
                </c:pt>
                <c:pt idx="119">
                  <c:v>0.26608524989875959</c:v>
                </c:pt>
                <c:pt idx="120">
                  <c:v>0.25405905646919386</c:v>
                </c:pt>
                <c:pt idx="121">
                  <c:v>0.24197072451914819</c:v>
                </c:pt>
                <c:pt idx="122">
                  <c:v>0.22988214068423785</c:v>
                </c:pt>
                <c:pt idx="123">
                  <c:v>0.21785217703255533</c:v>
                </c:pt>
                <c:pt idx="124">
                  <c:v>0.20593626871997953</c:v>
                </c:pt>
                <c:pt idx="125">
                  <c:v>0.19418605498321762</c:v>
                </c:pt>
                <c:pt idx="126">
                  <c:v>0.18264908538902649</c:v>
                </c:pt>
                <c:pt idx="127">
                  <c:v>0.1713685920478118</c:v>
                </c:pt>
                <c:pt idx="128">
                  <c:v>0.1603833273419239</c:v>
                </c:pt>
                <c:pt idx="129">
                  <c:v>0.14972746563574907</c:v>
                </c:pt>
                <c:pt idx="130">
                  <c:v>0.13943056644536433</c:v>
                </c:pt>
                <c:pt idx="131">
                  <c:v>0.1295175956658956</c:v>
                </c:pt>
                <c:pt idx="132">
                  <c:v>0.12000900069698932</c:v>
                </c:pt>
                <c:pt idx="133">
                  <c:v>0.11092083467945908</c:v>
                </c:pt>
                <c:pt idx="134">
                  <c:v>0.10226492456398137</c:v>
                </c:pt>
                <c:pt idx="135">
                  <c:v>9.4049077376890139E-2</c:v>
                </c:pt>
                <c:pt idx="136">
                  <c:v>8.6277318826514543E-2</c:v>
                </c:pt>
                <c:pt idx="137">
                  <c:v>7.8950158300896994E-2</c:v>
                </c:pt>
                <c:pt idx="138">
                  <c:v>7.206487433622065E-2</c:v>
                </c:pt>
                <c:pt idx="139">
                  <c:v>6.5615814774679093E-2</c:v>
                </c:pt>
                <c:pt idx="140">
                  <c:v>5.95947060688184E-2</c:v>
                </c:pt>
                <c:pt idx="141">
                  <c:v>5.3990966513191289E-2</c:v>
                </c:pt>
                <c:pt idx="142">
                  <c:v>4.8792018579185754E-2</c:v>
                </c:pt>
                <c:pt idx="143">
                  <c:v>4.3983595980429988E-2</c:v>
                </c:pt>
                <c:pt idx="144">
                  <c:v>3.9550041589372753E-2</c:v>
                </c:pt>
                <c:pt idx="145">
                  <c:v>3.5474592846233791E-2</c:v>
                </c:pt>
                <c:pt idx="146">
                  <c:v>3.1739651835669576E-2</c:v>
                </c:pt>
                <c:pt idx="147">
                  <c:v>2.8327037741603125E-2</c:v>
                </c:pt>
                <c:pt idx="148">
                  <c:v>2.5218219915196169E-2</c:v>
                </c:pt>
                <c:pt idx="149">
                  <c:v>2.2394530294844502E-2</c:v>
                </c:pt>
                <c:pt idx="150">
                  <c:v>1.9837354391796781E-2</c:v>
                </c:pt>
                <c:pt idx="151">
                  <c:v>1.7528300493569862E-2</c:v>
                </c:pt>
                <c:pt idx="152">
                  <c:v>1.5449347134396347E-2</c:v>
                </c:pt>
                <c:pt idx="153">
                  <c:v>1.3582969233686681E-2</c:v>
                </c:pt>
                <c:pt idx="154">
                  <c:v>1.1912243607606121E-2</c:v>
                </c:pt>
                <c:pt idx="155">
                  <c:v>1.0420934814423442E-2</c:v>
                </c:pt>
                <c:pt idx="156">
                  <c:v>9.0935625015918092E-3</c:v>
                </c:pt>
                <c:pt idx="157">
                  <c:v>7.9154515829806277E-3</c:v>
                </c:pt>
                <c:pt idx="158">
                  <c:v>6.8727666906145636E-3</c:v>
                </c:pt>
                <c:pt idx="159">
                  <c:v>5.9525324197763725E-3</c:v>
                </c:pt>
                <c:pt idx="160">
                  <c:v>5.1426409230543963E-3</c:v>
                </c:pt>
                <c:pt idx="161">
                  <c:v>4.4318484119384082E-3</c:v>
                </c:pt>
                <c:pt idx="162">
                  <c:v>3.8097620982221556E-3</c:v>
                </c:pt>
                <c:pt idx="163">
                  <c:v>3.2668190562002266E-3</c:v>
                </c:pt>
                <c:pt idx="164">
                  <c:v>2.7942584148797104E-3</c:v>
                </c:pt>
                <c:pt idx="165">
                  <c:v>2.3840882014650711E-3</c:v>
                </c:pt>
                <c:pt idx="166">
                  <c:v>2.0290480572999663E-3</c:v>
                </c:pt>
                <c:pt idx="167">
                  <c:v>1.722568939053851E-3</c:v>
                </c:pt>
                <c:pt idx="168">
                  <c:v>1.4587308046668938E-3</c:v>
                </c:pt>
                <c:pt idx="169">
                  <c:v>1.2322191684731446E-3</c:v>
                </c:pt>
                <c:pt idx="170">
                  <c:v>1.0382812956615192E-3</c:v>
                </c:pt>
                <c:pt idx="171">
                  <c:v>8.7268269504585231E-4</c:v>
                </c:pt>
                <c:pt idx="172">
                  <c:v>7.316644628303882E-4</c:v>
                </c:pt>
                <c:pt idx="173">
                  <c:v>6.1190193011383879E-4</c:v>
                </c:pt>
                <c:pt idx="174">
                  <c:v>5.1046497434424133E-4</c:v>
                </c:pt>
                <c:pt idx="175">
                  <c:v>4.2478027055079903E-4</c:v>
                </c:pt>
                <c:pt idx="176">
                  <c:v>3.5259568236748547E-4</c:v>
                </c:pt>
                <c:pt idx="177">
                  <c:v>2.9194692579149345E-4</c:v>
                </c:pt>
                <c:pt idx="178">
                  <c:v>2.4112658022602132E-4</c:v>
                </c:pt>
                <c:pt idx="179">
                  <c:v>1.9865547139279581E-4</c:v>
                </c:pt>
                <c:pt idx="180">
                  <c:v>1.6325640876626142E-4</c:v>
                </c:pt>
                <c:pt idx="181">
                  <c:v>1.3383022576490152E-4</c:v>
                </c:pt>
                <c:pt idx="182">
                  <c:v>1.0943404343981396E-4</c:v>
                </c:pt>
                <c:pt idx="183">
                  <c:v>8.9261657177143702E-5</c:v>
                </c:pt>
                <c:pt idx="184">
                  <c:v>7.2625930302261485E-5</c:v>
                </c:pt>
                <c:pt idx="185">
                  <c:v>5.8943067756547288E-5</c:v>
                </c:pt>
                <c:pt idx="186">
                  <c:v>4.771863654121105E-5</c:v>
                </c:pt>
                <c:pt idx="187">
                  <c:v>3.8535196742092124E-5</c:v>
                </c:pt>
                <c:pt idx="188">
                  <c:v>3.1041407057854183E-5</c:v>
                </c:pt>
                <c:pt idx="189">
                  <c:v>2.4942471290056852E-5</c:v>
                </c:pt>
                <c:pt idx="190">
                  <c:v>1.9991796706925491E-5</c:v>
                </c:pt>
                <c:pt idx="191">
                  <c:v>1.5983741106907633E-5</c:v>
                </c:pt>
                <c:pt idx="192">
                  <c:v>1.2747332381835207E-5</c:v>
                </c:pt>
                <c:pt idx="193">
                  <c:v>1.0140852065488129E-5</c:v>
                </c:pt>
                <c:pt idx="194">
                  <c:v>8.0471824564934235E-6</c:v>
                </c:pt>
                <c:pt idx="195">
                  <c:v>6.3698251788682901E-6</c:v>
                </c:pt>
                <c:pt idx="196">
                  <c:v>5.0295072885931696E-6</c:v>
                </c:pt>
                <c:pt idx="197">
                  <c:v>3.961299091032653E-6</c:v>
                </c:pt>
                <c:pt idx="198">
                  <c:v>3.1121755791495475E-6</c:v>
                </c:pt>
                <c:pt idx="199">
                  <c:v>2.4389607458938333E-6</c:v>
                </c:pt>
                <c:pt idx="200">
                  <c:v>1.9066009031231868E-6</c:v>
                </c:pt>
                <c:pt idx="201">
                  <c:v>1.4867195147342977E-6</c:v>
                </c:pt>
                <c:pt idx="202">
                  <c:v>1.1564119035797834E-6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A-40A7-9811-6B763F0D4F76}"/>
            </c:ext>
          </c:extLst>
        </c:ser>
        <c:ser>
          <c:idx val="2"/>
          <c:order val="1"/>
          <c:tx>
            <c:v>Potential Downside</c:v>
          </c:tx>
          <c:spPr>
            <a:solidFill>
              <a:srgbClr val="C00000"/>
            </a:solidFill>
          </c:spPr>
          <c:cat>
            <c:strRef>
              <c:f>Stats!$M$4:$M$206</c:f>
              <c:strCache>
                <c:ptCount val="203"/>
                <c:pt idx="0">
                  <c:v>μ - 5.1σ</c:v>
                </c:pt>
                <c:pt idx="1">
                  <c:v>μ - 5σ</c:v>
                </c:pt>
                <c:pt idx="2">
                  <c:v>μ - 5σ</c:v>
                </c:pt>
                <c:pt idx="3">
                  <c:v>μ - 4.9σ</c:v>
                </c:pt>
                <c:pt idx="4">
                  <c:v>μ - 4.9σ</c:v>
                </c:pt>
                <c:pt idx="5">
                  <c:v>μ - 4.8σ</c:v>
                </c:pt>
                <c:pt idx="6">
                  <c:v>μ - 4.8σ</c:v>
                </c:pt>
                <c:pt idx="7">
                  <c:v>μ - 4.7σ</c:v>
                </c:pt>
                <c:pt idx="8">
                  <c:v>μ - 4.7σ</c:v>
                </c:pt>
                <c:pt idx="9">
                  <c:v>μ - 4.6σ</c:v>
                </c:pt>
                <c:pt idx="10">
                  <c:v>μ - 4.6σ</c:v>
                </c:pt>
                <c:pt idx="11">
                  <c:v>μ - 4.5σ</c:v>
                </c:pt>
                <c:pt idx="12">
                  <c:v>μ - 4.5σ</c:v>
                </c:pt>
                <c:pt idx="13">
                  <c:v>μ - 4.4σ</c:v>
                </c:pt>
                <c:pt idx="14">
                  <c:v>μ - 4.4σ</c:v>
                </c:pt>
                <c:pt idx="15">
                  <c:v>μ - 4.3σ</c:v>
                </c:pt>
                <c:pt idx="16">
                  <c:v>μ - 4.3σ</c:v>
                </c:pt>
                <c:pt idx="17">
                  <c:v>μ - 4.2σ</c:v>
                </c:pt>
                <c:pt idx="18">
                  <c:v>μ - 4.2σ</c:v>
                </c:pt>
                <c:pt idx="19">
                  <c:v>μ - 4.1σ</c:v>
                </c:pt>
                <c:pt idx="20">
                  <c:v>μ - 4.1σ</c:v>
                </c:pt>
                <c:pt idx="21">
                  <c:v>μ - 4σ</c:v>
                </c:pt>
                <c:pt idx="22">
                  <c:v>μ - 4σ</c:v>
                </c:pt>
                <c:pt idx="23">
                  <c:v>μ - 3.9σ</c:v>
                </c:pt>
                <c:pt idx="24">
                  <c:v>μ - 3.9σ</c:v>
                </c:pt>
                <c:pt idx="25">
                  <c:v>μ - 3.8σ</c:v>
                </c:pt>
                <c:pt idx="26">
                  <c:v>μ - 3.8σ</c:v>
                </c:pt>
                <c:pt idx="27">
                  <c:v>μ - 3.7σ</c:v>
                </c:pt>
                <c:pt idx="28">
                  <c:v>μ - 3.7σ</c:v>
                </c:pt>
                <c:pt idx="29">
                  <c:v>μ - 3.6σ</c:v>
                </c:pt>
                <c:pt idx="30">
                  <c:v>μ - 3.6σ</c:v>
                </c:pt>
                <c:pt idx="31">
                  <c:v>μ - 3.5σ</c:v>
                </c:pt>
                <c:pt idx="32">
                  <c:v>μ - 3.5σ</c:v>
                </c:pt>
                <c:pt idx="33">
                  <c:v>μ - 3.4σ</c:v>
                </c:pt>
                <c:pt idx="34">
                  <c:v>μ - 3.4σ</c:v>
                </c:pt>
                <c:pt idx="35">
                  <c:v>μ - 3.3σ</c:v>
                </c:pt>
                <c:pt idx="36">
                  <c:v>μ - 3.3σ</c:v>
                </c:pt>
                <c:pt idx="37">
                  <c:v>μ - 3.2σ</c:v>
                </c:pt>
                <c:pt idx="38">
                  <c:v>μ - 3.2σ</c:v>
                </c:pt>
                <c:pt idx="39">
                  <c:v>μ - 3.1σ</c:v>
                </c:pt>
                <c:pt idx="40">
                  <c:v>μ - 3.1σ</c:v>
                </c:pt>
                <c:pt idx="41">
                  <c:v>μ - 3σ</c:v>
                </c:pt>
                <c:pt idx="42">
                  <c:v>μ - 3σ</c:v>
                </c:pt>
                <c:pt idx="43">
                  <c:v>μ - 2.9σ</c:v>
                </c:pt>
                <c:pt idx="44">
                  <c:v>μ - 2.9σ</c:v>
                </c:pt>
                <c:pt idx="45">
                  <c:v>μ - 2.8σ</c:v>
                </c:pt>
                <c:pt idx="46">
                  <c:v>μ - 2.8σ</c:v>
                </c:pt>
                <c:pt idx="47">
                  <c:v>μ - 2.7σ</c:v>
                </c:pt>
                <c:pt idx="48">
                  <c:v>μ - 2.7σ</c:v>
                </c:pt>
                <c:pt idx="49">
                  <c:v>μ - 2.6σ</c:v>
                </c:pt>
                <c:pt idx="50">
                  <c:v>μ - 2.6σ</c:v>
                </c:pt>
                <c:pt idx="51">
                  <c:v>μ - 2.5σ</c:v>
                </c:pt>
                <c:pt idx="52">
                  <c:v>μ - 2.5σ</c:v>
                </c:pt>
                <c:pt idx="53">
                  <c:v>μ - 2.4σ</c:v>
                </c:pt>
                <c:pt idx="54">
                  <c:v>μ - 2.4σ</c:v>
                </c:pt>
                <c:pt idx="55">
                  <c:v>μ - 2.3σ</c:v>
                </c:pt>
                <c:pt idx="56">
                  <c:v>μ - 2.3σ</c:v>
                </c:pt>
                <c:pt idx="57">
                  <c:v>μ - 2.2σ</c:v>
                </c:pt>
                <c:pt idx="58">
                  <c:v>μ - 2.2σ</c:v>
                </c:pt>
                <c:pt idx="59">
                  <c:v>μ - 2.1σ</c:v>
                </c:pt>
                <c:pt idx="60">
                  <c:v>μ - 2.1σ</c:v>
                </c:pt>
                <c:pt idx="61">
                  <c:v>μ - 2σ</c:v>
                </c:pt>
                <c:pt idx="62">
                  <c:v>μ - 2σ</c:v>
                </c:pt>
                <c:pt idx="63">
                  <c:v>μ - 1.9σ</c:v>
                </c:pt>
                <c:pt idx="64">
                  <c:v>μ - 1.9σ</c:v>
                </c:pt>
                <c:pt idx="65">
                  <c:v>μ - 1.8σ</c:v>
                </c:pt>
                <c:pt idx="66">
                  <c:v>μ - 1.8σ</c:v>
                </c:pt>
                <c:pt idx="67">
                  <c:v>μ - 1.7σ</c:v>
                </c:pt>
                <c:pt idx="68">
                  <c:v>μ - 1.7σ</c:v>
                </c:pt>
                <c:pt idx="69">
                  <c:v>μ - 1.6σ</c:v>
                </c:pt>
                <c:pt idx="70">
                  <c:v>μ - 1.6σ</c:v>
                </c:pt>
                <c:pt idx="71">
                  <c:v>μ - 1.5σ</c:v>
                </c:pt>
                <c:pt idx="72">
                  <c:v>μ - 1.5σ</c:v>
                </c:pt>
                <c:pt idx="73">
                  <c:v>μ - 1.4σ</c:v>
                </c:pt>
                <c:pt idx="74">
                  <c:v>μ - 1.4σ</c:v>
                </c:pt>
                <c:pt idx="75">
                  <c:v>μ - 1.3σ</c:v>
                </c:pt>
                <c:pt idx="76">
                  <c:v>μ - 1.3σ</c:v>
                </c:pt>
                <c:pt idx="77">
                  <c:v>μ - 1.2σ</c:v>
                </c:pt>
                <c:pt idx="78">
                  <c:v>μ - 1.2σ</c:v>
                </c:pt>
                <c:pt idx="79">
                  <c:v>μ - 1.1σ</c:v>
                </c:pt>
                <c:pt idx="80">
                  <c:v>μ - 1.1σ</c:v>
                </c:pt>
                <c:pt idx="81">
                  <c:v>μ - 1σ</c:v>
                </c:pt>
                <c:pt idx="82">
                  <c:v>μ - 1σ</c:v>
                </c:pt>
                <c:pt idx="83">
                  <c:v>μ - 0.9σ</c:v>
                </c:pt>
                <c:pt idx="84">
                  <c:v>μ - 0.9σ</c:v>
                </c:pt>
                <c:pt idx="85">
                  <c:v>μ - 0.8σ</c:v>
                </c:pt>
                <c:pt idx="86">
                  <c:v>μ - 0.8σ</c:v>
                </c:pt>
                <c:pt idx="87">
                  <c:v>μ - 0.7σ</c:v>
                </c:pt>
                <c:pt idx="88">
                  <c:v>μ - 0.7σ</c:v>
                </c:pt>
                <c:pt idx="89">
                  <c:v>μ - 0.6σ</c:v>
                </c:pt>
                <c:pt idx="90">
                  <c:v>μ - 0.6σ</c:v>
                </c:pt>
                <c:pt idx="91">
                  <c:v>μ - 0.5σ</c:v>
                </c:pt>
                <c:pt idx="92">
                  <c:v>μ - 0.5σ</c:v>
                </c:pt>
                <c:pt idx="93">
                  <c:v>μ - 0.4σ</c:v>
                </c:pt>
                <c:pt idx="94">
                  <c:v>μ - 0.4σ</c:v>
                </c:pt>
                <c:pt idx="95">
                  <c:v>μ - 0.3σ</c:v>
                </c:pt>
                <c:pt idx="96">
                  <c:v>μ - 0.3σ</c:v>
                </c:pt>
                <c:pt idx="97">
                  <c:v>μ - 0.2σ</c:v>
                </c:pt>
                <c:pt idx="98">
                  <c:v>μ - 0.2σ</c:v>
                </c:pt>
                <c:pt idx="99">
                  <c:v>μ - 0.1σ</c:v>
                </c:pt>
                <c:pt idx="100">
                  <c:v>μ - 0.1σ</c:v>
                </c:pt>
                <c:pt idx="101">
                  <c:v>μ - 0σ</c:v>
                </c:pt>
                <c:pt idx="102">
                  <c:v>μ + 0σ</c:v>
                </c:pt>
                <c:pt idx="103">
                  <c:v>μ + 0.1σ</c:v>
                </c:pt>
                <c:pt idx="104">
                  <c:v>μ + 0.1σ</c:v>
                </c:pt>
                <c:pt idx="105">
                  <c:v>μ + 0.2σ</c:v>
                </c:pt>
                <c:pt idx="106">
                  <c:v>μ + 0.2σ</c:v>
                </c:pt>
                <c:pt idx="107">
                  <c:v>μ + 0.3σ</c:v>
                </c:pt>
                <c:pt idx="108">
                  <c:v>μ + 0.3σ</c:v>
                </c:pt>
                <c:pt idx="109">
                  <c:v>μ + 0.4σ</c:v>
                </c:pt>
                <c:pt idx="110">
                  <c:v>μ + 0.4σ</c:v>
                </c:pt>
                <c:pt idx="111">
                  <c:v>μ + 0.5σ</c:v>
                </c:pt>
                <c:pt idx="112">
                  <c:v>μ + 0.5σ</c:v>
                </c:pt>
                <c:pt idx="113">
                  <c:v>μ + 0.6σ</c:v>
                </c:pt>
                <c:pt idx="114">
                  <c:v>μ + 0.6σ</c:v>
                </c:pt>
                <c:pt idx="115">
                  <c:v>μ + 0.7σ</c:v>
                </c:pt>
                <c:pt idx="116">
                  <c:v>μ + 0.7σ</c:v>
                </c:pt>
                <c:pt idx="117">
                  <c:v>μ + 0.8σ</c:v>
                </c:pt>
                <c:pt idx="118">
                  <c:v>μ + 0.8σ</c:v>
                </c:pt>
                <c:pt idx="119">
                  <c:v>μ + 0.9σ</c:v>
                </c:pt>
                <c:pt idx="120">
                  <c:v>μ + 0.9σ</c:v>
                </c:pt>
                <c:pt idx="121">
                  <c:v>μ + 1σ</c:v>
                </c:pt>
                <c:pt idx="122">
                  <c:v>μ + 1σ</c:v>
                </c:pt>
                <c:pt idx="123">
                  <c:v>μ + 1.1σ</c:v>
                </c:pt>
                <c:pt idx="124">
                  <c:v>μ + 1.1σ</c:v>
                </c:pt>
                <c:pt idx="125">
                  <c:v>μ + 1.2σ</c:v>
                </c:pt>
                <c:pt idx="126">
                  <c:v>μ + 1.2σ</c:v>
                </c:pt>
                <c:pt idx="127">
                  <c:v>μ + 1.3σ</c:v>
                </c:pt>
                <c:pt idx="128">
                  <c:v>μ + 1.3σ</c:v>
                </c:pt>
                <c:pt idx="129">
                  <c:v>μ + 1.4σ</c:v>
                </c:pt>
                <c:pt idx="130">
                  <c:v>μ + 1.4σ</c:v>
                </c:pt>
                <c:pt idx="131">
                  <c:v>μ + 1.5σ</c:v>
                </c:pt>
                <c:pt idx="132">
                  <c:v>μ + 1.5σ</c:v>
                </c:pt>
                <c:pt idx="133">
                  <c:v>μ + 1.6σ</c:v>
                </c:pt>
                <c:pt idx="134">
                  <c:v>μ + 1.6σ</c:v>
                </c:pt>
                <c:pt idx="135">
                  <c:v>μ + 1.7σ</c:v>
                </c:pt>
                <c:pt idx="136">
                  <c:v>μ + 1.7σ</c:v>
                </c:pt>
                <c:pt idx="137">
                  <c:v>μ + 1.8σ</c:v>
                </c:pt>
                <c:pt idx="138">
                  <c:v>μ + 1.8σ</c:v>
                </c:pt>
                <c:pt idx="139">
                  <c:v>μ + 1.9σ</c:v>
                </c:pt>
                <c:pt idx="140">
                  <c:v>μ + 1.9σ</c:v>
                </c:pt>
                <c:pt idx="141">
                  <c:v>μ + 2σ</c:v>
                </c:pt>
                <c:pt idx="142">
                  <c:v>μ + 2σ</c:v>
                </c:pt>
                <c:pt idx="143">
                  <c:v>μ + 2.1σ</c:v>
                </c:pt>
                <c:pt idx="144">
                  <c:v>μ + 2.1σ</c:v>
                </c:pt>
                <c:pt idx="145">
                  <c:v>μ + 2.2σ</c:v>
                </c:pt>
                <c:pt idx="146">
                  <c:v>μ + 2.2σ</c:v>
                </c:pt>
                <c:pt idx="147">
                  <c:v>μ + 2.3σ</c:v>
                </c:pt>
                <c:pt idx="148">
                  <c:v>μ + 2.3σ</c:v>
                </c:pt>
                <c:pt idx="149">
                  <c:v>μ + 2.4σ</c:v>
                </c:pt>
                <c:pt idx="150">
                  <c:v>μ + 2.4σ</c:v>
                </c:pt>
                <c:pt idx="151">
                  <c:v>μ + 2.5σ</c:v>
                </c:pt>
                <c:pt idx="152">
                  <c:v>μ + 2.5σ</c:v>
                </c:pt>
                <c:pt idx="153">
                  <c:v>μ + 2.6σ</c:v>
                </c:pt>
                <c:pt idx="154">
                  <c:v>μ + 2.6σ</c:v>
                </c:pt>
                <c:pt idx="155">
                  <c:v>μ + 2.7σ</c:v>
                </c:pt>
                <c:pt idx="156">
                  <c:v>μ + 2.7σ</c:v>
                </c:pt>
                <c:pt idx="157">
                  <c:v>μ + 2.8σ</c:v>
                </c:pt>
                <c:pt idx="158">
                  <c:v>μ + 2.8σ</c:v>
                </c:pt>
                <c:pt idx="159">
                  <c:v>μ + 2.9σ</c:v>
                </c:pt>
                <c:pt idx="160">
                  <c:v>μ + 2.9σ</c:v>
                </c:pt>
                <c:pt idx="161">
                  <c:v>μ + 3σ</c:v>
                </c:pt>
                <c:pt idx="162">
                  <c:v>μ + 3σ</c:v>
                </c:pt>
                <c:pt idx="163">
                  <c:v>μ + 3.1σ</c:v>
                </c:pt>
                <c:pt idx="164">
                  <c:v>μ + 3.1σ</c:v>
                </c:pt>
                <c:pt idx="165">
                  <c:v>μ + 3.2σ</c:v>
                </c:pt>
                <c:pt idx="166">
                  <c:v>μ + 3.2σ</c:v>
                </c:pt>
                <c:pt idx="167">
                  <c:v>μ + 3.3σ</c:v>
                </c:pt>
                <c:pt idx="168">
                  <c:v>μ + 3.3σ</c:v>
                </c:pt>
                <c:pt idx="169">
                  <c:v>μ + 3.4σ</c:v>
                </c:pt>
                <c:pt idx="170">
                  <c:v>μ + 3.4σ</c:v>
                </c:pt>
                <c:pt idx="171">
                  <c:v>μ + 3.5σ</c:v>
                </c:pt>
                <c:pt idx="172">
                  <c:v>μ + 3.5σ</c:v>
                </c:pt>
                <c:pt idx="173">
                  <c:v>μ + 3.6σ</c:v>
                </c:pt>
                <c:pt idx="174">
                  <c:v>μ + 3.6σ</c:v>
                </c:pt>
                <c:pt idx="175">
                  <c:v>μ + 3.7σ</c:v>
                </c:pt>
                <c:pt idx="176">
                  <c:v>μ + 3.7σ</c:v>
                </c:pt>
                <c:pt idx="177">
                  <c:v>μ + 3.8σ</c:v>
                </c:pt>
                <c:pt idx="178">
                  <c:v>μ + 3.8σ</c:v>
                </c:pt>
                <c:pt idx="179">
                  <c:v>μ + 3.9σ</c:v>
                </c:pt>
                <c:pt idx="180">
                  <c:v>μ + 3.9σ</c:v>
                </c:pt>
                <c:pt idx="181">
                  <c:v>μ + 4σ</c:v>
                </c:pt>
                <c:pt idx="182">
                  <c:v>μ + 4σ</c:v>
                </c:pt>
                <c:pt idx="183">
                  <c:v>μ + 4.1σ</c:v>
                </c:pt>
                <c:pt idx="184">
                  <c:v>μ + 4.1σ</c:v>
                </c:pt>
                <c:pt idx="185">
                  <c:v>μ + 4.2σ</c:v>
                </c:pt>
                <c:pt idx="186">
                  <c:v>μ + 4.2σ</c:v>
                </c:pt>
                <c:pt idx="187">
                  <c:v>μ + 4.3σ</c:v>
                </c:pt>
                <c:pt idx="188">
                  <c:v>μ + 4.3σ</c:v>
                </c:pt>
                <c:pt idx="189">
                  <c:v>μ + 4.4σ</c:v>
                </c:pt>
                <c:pt idx="190">
                  <c:v>μ + 4.4σ</c:v>
                </c:pt>
                <c:pt idx="191">
                  <c:v>μ + 4.5σ</c:v>
                </c:pt>
                <c:pt idx="192">
                  <c:v>μ + 4.5σ</c:v>
                </c:pt>
                <c:pt idx="193">
                  <c:v>μ + 4.6σ</c:v>
                </c:pt>
                <c:pt idx="194">
                  <c:v>μ + 4.6σ</c:v>
                </c:pt>
                <c:pt idx="195">
                  <c:v>μ + 4.7σ</c:v>
                </c:pt>
                <c:pt idx="196">
                  <c:v>μ + 4.7σ</c:v>
                </c:pt>
                <c:pt idx="197">
                  <c:v>μ + 4.8σ</c:v>
                </c:pt>
                <c:pt idx="198">
                  <c:v>μ + 4.8σ</c:v>
                </c:pt>
                <c:pt idx="199">
                  <c:v>μ + 4.9σ</c:v>
                </c:pt>
                <c:pt idx="200">
                  <c:v>μ + 4.9σ</c:v>
                </c:pt>
                <c:pt idx="201">
                  <c:v>μ + 5σ</c:v>
                </c:pt>
                <c:pt idx="202">
                  <c:v>μ + 5.1σ</c:v>
                </c:pt>
              </c:strCache>
            </c:strRef>
          </c:cat>
          <c:val>
            <c:numRef>
              <c:f>Stats!$S$4:$S$206</c:f>
              <c:numCache>
                <c:formatCode>General</c:formatCode>
                <c:ptCount val="203"/>
                <c:pt idx="0">
                  <c:v>1.1564119035797834E-6</c:v>
                </c:pt>
                <c:pt idx="1">
                  <c:v>1.4867195147342977E-6</c:v>
                </c:pt>
                <c:pt idx="2">
                  <c:v>1.9066009031228108E-6</c:v>
                </c:pt>
                <c:pt idx="3">
                  <c:v>2.4389607458933522E-6</c:v>
                </c:pt>
                <c:pt idx="4">
                  <c:v>3.1121755791489445E-6</c:v>
                </c:pt>
                <c:pt idx="5">
                  <c:v>3.9612990910320753E-6</c:v>
                </c:pt>
                <c:pt idx="6">
                  <c:v>5.0295072885924454E-6</c:v>
                </c:pt>
                <c:pt idx="7">
                  <c:v>6.3698251788670899E-6</c:v>
                </c:pt>
                <c:pt idx="8">
                  <c:v>8.0471824564922952E-6</c:v>
                </c:pt>
                <c:pt idx="9">
                  <c:v>1.0140852065486758E-5</c:v>
                </c:pt>
                <c:pt idx="10">
                  <c:v>1.2747332381833466E-5</c:v>
                </c:pt>
                <c:pt idx="11">
                  <c:v>1.5983741106905475E-5</c:v>
                </c:pt>
                <c:pt idx="12">
                  <c:v>1.9991796706922791E-5</c:v>
                </c:pt>
                <c:pt idx="13">
                  <c:v>2.4942471290053535E-5</c:v>
                </c:pt>
                <c:pt idx="14">
                  <c:v>3.1041407057850266E-5</c:v>
                </c:pt>
                <c:pt idx="15">
                  <c:v>3.8535196742087129E-5</c:v>
                </c:pt>
                <c:pt idx="16">
                  <c:v>4.7718636541204952E-5</c:v>
                </c:pt>
                <c:pt idx="17">
                  <c:v>5.8943067756539855E-5</c:v>
                </c:pt>
                <c:pt idx="18">
                  <c:v>7.2625930302252324E-5</c:v>
                </c:pt>
                <c:pt idx="19">
                  <c:v>8.9261657177132928E-5</c:v>
                </c:pt>
                <c:pt idx="20">
                  <c:v>1.0943404343980055E-4</c:v>
                </c:pt>
                <c:pt idx="21">
                  <c:v>1.3383022576488537E-4</c:v>
                </c:pt>
                <c:pt idx="22">
                  <c:v>1.6325640876624199E-4</c:v>
                </c:pt>
                <c:pt idx="23">
                  <c:v>1.9865547139277272E-4</c:v>
                </c:pt>
                <c:pt idx="24">
                  <c:v>2.4112658022599324E-4</c:v>
                </c:pt>
                <c:pt idx="25">
                  <c:v>2.9194692579146027E-4</c:v>
                </c:pt>
                <c:pt idx="26">
                  <c:v>3.5259568236744541E-4</c:v>
                </c:pt>
                <c:pt idx="27">
                  <c:v>4.2478027055075143E-4</c:v>
                </c:pt>
                <c:pt idx="28">
                  <c:v>5.104649743441856E-4</c:v>
                </c:pt>
                <c:pt idx="29">
                  <c:v>6.1190193011375076E-4</c:v>
                </c:pt>
                <c:pt idx="30">
                  <c:v>7.3166446283028422E-4</c:v>
                </c:pt>
                <c:pt idx="31">
                  <c:v>8.7268269504572915E-4</c:v>
                </c:pt>
                <c:pt idx="32">
                  <c:v>1.0382812956613752E-3</c:v>
                </c:pt>
                <c:pt idx="33">
                  <c:v>1.2322191684729772E-3</c:v>
                </c:pt>
                <c:pt idx="34">
                  <c:v>1.458730804666698E-3</c:v>
                </c:pt>
                <c:pt idx="35">
                  <c:v>1.7225689390536229E-3</c:v>
                </c:pt>
                <c:pt idx="36">
                  <c:v>2.0290480572997013E-3</c:v>
                </c:pt>
                <c:pt idx="37">
                  <c:v>2.3840882014647662E-3</c:v>
                </c:pt>
                <c:pt idx="38">
                  <c:v>2.7942584148793578E-3</c:v>
                </c:pt>
                <c:pt idx="39">
                  <c:v>3.2668190561998202E-3</c:v>
                </c:pt>
                <c:pt idx="40">
                  <c:v>3.809762098221692E-3</c:v>
                </c:pt>
                <c:pt idx="41">
                  <c:v>4.431848411937874E-3</c:v>
                </c:pt>
                <c:pt idx="42">
                  <c:v>5.1426409230537883E-3</c:v>
                </c:pt>
                <c:pt idx="43">
                  <c:v>5.9525324197756795E-3</c:v>
                </c:pt>
                <c:pt idx="44">
                  <c:v>6.8727666906137829E-3</c:v>
                </c:pt>
                <c:pt idx="45">
                  <c:v>7.915451582979743E-3</c:v>
                </c:pt>
                <c:pt idx="46">
                  <c:v>9.0935625015907996E-3</c:v>
                </c:pt>
                <c:pt idx="47">
                  <c:v>1.0420934814422318E-2</c:v>
                </c:pt>
                <c:pt idx="48">
                  <c:v>1.1912243607604862E-2</c:v>
                </c:pt>
                <c:pt idx="49">
                  <c:v>1.3582969233685271E-2</c:v>
                </c:pt>
                <c:pt idx="50">
                  <c:v>1.5449347134394779E-2</c:v>
                </c:pt>
                <c:pt idx="51">
                  <c:v>1.7528300493568086E-2</c:v>
                </c:pt>
                <c:pt idx="52">
                  <c:v>1.9837354391794845E-2</c:v>
                </c:pt>
                <c:pt idx="53">
                  <c:v>2.2394530294842355E-2</c:v>
                </c:pt>
                <c:pt idx="54">
                  <c:v>2.5218219915193813E-2</c:v>
                </c:pt>
                <c:pt idx="55">
                  <c:v>2.8327037741600516E-2</c:v>
                </c:pt>
                <c:pt idx="56">
                  <c:v>3.1739651835666682E-2</c:v>
                </c:pt>
                <c:pt idx="57">
                  <c:v>3.5474592846230668E-2</c:v>
                </c:pt>
                <c:pt idx="58">
                  <c:v>3.955004158936936E-2</c:v>
                </c:pt>
                <c:pt idx="59">
                  <c:v>4.3983595980426296E-2</c:v>
                </c:pt>
                <c:pt idx="60">
                  <c:v>4.8792018579181751E-2</c:v>
                </c:pt>
                <c:pt idx="61">
                  <c:v>5.3990966513186953E-2</c:v>
                </c:pt>
                <c:pt idx="62">
                  <c:v>5.9594706068814909E-2</c:v>
                </c:pt>
                <c:pt idx="63">
                  <c:v>6.561581477467536E-2</c:v>
                </c:pt>
                <c:pt idx="64">
                  <c:v>7.2064874336216667E-2</c:v>
                </c:pt>
                <c:pt idx="65">
                  <c:v>7.8950158300892734E-2</c:v>
                </c:pt>
                <c:pt idx="66">
                  <c:v>8.6277318826510005E-2</c:v>
                </c:pt>
                <c:pt idx="67">
                  <c:v>9.4049077376885337E-2</c:v>
                </c:pt>
                <c:pt idx="68">
                  <c:v>0.10226492456397634</c:v>
                </c:pt>
                <c:pt idx="69">
                  <c:v>0.11092083467945377</c:v>
                </c:pt>
                <c:pt idx="70">
                  <c:v>0.12000900069698374</c:v>
                </c:pt>
                <c:pt idx="71">
                  <c:v>0.1295175956658898</c:v>
                </c:pt>
                <c:pt idx="72">
                  <c:v>0.13943056644535826</c:v>
                </c:pt>
                <c:pt idx="73">
                  <c:v>0.1497274656357428</c:v>
                </c:pt>
                <c:pt idx="74">
                  <c:v>0.1603833273419174</c:v>
                </c:pt>
                <c:pt idx="75">
                  <c:v>0.17427460516387899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A-40A7-9811-6B763F0D4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494144"/>
        <c:axId val="271008512"/>
      </c:areaChart>
      <c:catAx>
        <c:axId val="271494144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txPr>
          <a:bodyPr rot="-2160000"/>
          <a:lstStyle/>
          <a:p>
            <a:pPr>
              <a:defRPr/>
            </a:pPr>
            <a:endParaRPr lang="en-US"/>
          </a:p>
        </c:txPr>
        <c:crossAx val="271008512"/>
        <c:crosses val="autoZero"/>
        <c:auto val="1"/>
        <c:lblAlgn val="ctr"/>
        <c:lblOffset val="100"/>
        <c:tickLblSkip val="25"/>
        <c:tickMarkSkip val="7"/>
        <c:noMultiLvlLbl val="0"/>
      </c:catAx>
      <c:valAx>
        <c:axId val="2710085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149414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Stats!$V$4:$V$206</c:f>
              <c:numCache>
                <c:formatCode>General</c:formatCode>
                <c:ptCount val="203"/>
                <c:pt idx="0">
                  <c:v>-5.05</c:v>
                </c:pt>
                <c:pt idx="1">
                  <c:v>-5</c:v>
                </c:pt>
                <c:pt idx="2">
                  <c:v>-4.95</c:v>
                </c:pt>
                <c:pt idx="3">
                  <c:v>-4.9000000000000004</c:v>
                </c:pt>
                <c:pt idx="4">
                  <c:v>-4.8499999999999996</c:v>
                </c:pt>
                <c:pt idx="5">
                  <c:v>-4.8</c:v>
                </c:pt>
                <c:pt idx="6">
                  <c:v>-4.75</c:v>
                </c:pt>
                <c:pt idx="7">
                  <c:v>-4.7</c:v>
                </c:pt>
                <c:pt idx="8">
                  <c:v>-4.6500000000000004</c:v>
                </c:pt>
                <c:pt idx="9">
                  <c:v>-4.5999999999999996</c:v>
                </c:pt>
                <c:pt idx="10">
                  <c:v>-4.55</c:v>
                </c:pt>
                <c:pt idx="11">
                  <c:v>-4.5</c:v>
                </c:pt>
                <c:pt idx="12">
                  <c:v>-4.45</c:v>
                </c:pt>
                <c:pt idx="13">
                  <c:v>-4.4000000000000004</c:v>
                </c:pt>
                <c:pt idx="14">
                  <c:v>-4.3499999999999996</c:v>
                </c:pt>
                <c:pt idx="15">
                  <c:v>-4.3</c:v>
                </c:pt>
                <c:pt idx="16">
                  <c:v>-4.25</c:v>
                </c:pt>
                <c:pt idx="17">
                  <c:v>-4.2</c:v>
                </c:pt>
                <c:pt idx="18">
                  <c:v>-4.1500000000000004</c:v>
                </c:pt>
                <c:pt idx="19">
                  <c:v>-4.0999999999999996</c:v>
                </c:pt>
                <c:pt idx="20">
                  <c:v>-4.05</c:v>
                </c:pt>
                <c:pt idx="21">
                  <c:v>-4</c:v>
                </c:pt>
                <c:pt idx="22">
                  <c:v>-3.95</c:v>
                </c:pt>
                <c:pt idx="23">
                  <c:v>-3.9</c:v>
                </c:pt>
                <c:pt idx="24">
                  <c:v>-3.85</c:v>
                </c:pt>
                <c:pt idx="25">
                  <c:v>-3.8</c:v>
                </c:pt>
                <c:pt idx="26">
                  <c:v>-3.75</c:v>
                </c:pt>
                <c:pt idx="27">
                  <c:v>-3.7</c:v>
                </c:pt>
                <c:pt idx="28">
                  <c:v>-3.65</c:v>
                </c:pt>
                <c:pt idx="29">
                  <c:v>-3.6000000000000099</c:v>
                </c:pt>
                <c:pt idx="30">
                  <c:v>-3.55000000000001</c:v>
                </c:pt>
                <c:pt idx="31">
                  <c:v>-3.5000000000000102</c:v>
                </c:pt>
                <c:pt idx="32">
                  <c:v>-3.4500000000000099</c:v>
                </c:pt>
                <c:pt idx="33">
                  <c:v>-3.4000000000000101</c:v>
                </c:pt>
                <c:pt idx="34">
                  <c:v>-3.3500000000000099</c:v>
                </c:pt>
                <c:pt idx="35">
                  <c:v>-3.30000000000001</c:v>
                </c:pt>
                <c:pt idx="36">
                  <c:v>-3.2500000000000102</c:v>
                </c:pt>
                <c:pt idx="37">
                  <c:v>-3.2000000000000099</c:v>
                </c:pt>
                <c:pt idx="38">
                  <c:v>-3.1500000000000101</c:v>
                </c:pt>
                <c:pt idx="39">
                  <c:v>-3.1000000000000099</c:v>
                </c:pt>
                <c:pt idx="40">
                  <c:v>-3.05000000000001</c:v>
                </c:pt>
                <c:pt idx="41">
                  <c:v>-3.0000000000000102</c:v>
                </c:pt>
                <c:pt idx="42">
                  <c:v>-2.9500000000000099</c:v>
                </c:pt>
                <c:pt idx="43">
                  <c:v>-2.9000000000000101</c:v>
                </c:pt>
                <c:pt idx="44">
                  <c:v>-2.8500000000000099</c:v>
                </c:pt>
                <c:pt idx="45">
                  <c:v>-2.80000000000001</c:v>
                </c:pt>
                <c:pt idx="46">
                  <c:v>-2.7500000000000102</c:v>
                </c:pt>
                <c:pt idx="47">
                  <c:v>-2.7000000000000099</c:v>
                </c:pt>
                <c:pt idx="48">
                  <c:v>-2.6500000000000101</c:v>
                </c:pt>
                <c:pt idx="49">
                  <c:v>-2.6000000000000099</c:v>
                </c:pt>
                <c:pt idx="50">
                  <c:v>-2.55000000000001</c:v>
                </c:pt>
                <c:pt idx="51">
                  <c:v>-2.5000000000000102</c:v>
                </c:pt>
                <c:pt idx="52">
                  <c:v>-2.4500000000000099</c:v>
                </c:pt>
                <c:pt idx="53">
                  <c:v>-2.4000000000000101</c:v>
                </c:pt>
                <c:pt idx="54">
                  <c:v>-2.3500000000000099</c:v>
                </c:pt>
                <c:pt idx="55">
                  <c:v>-2.30000000000001</c:v>
                </c:pt>
                <c:pt idx="56">
                  <c:v>-2.2500000000000102</c:v>
                </c:pt>
                <c:pt idx="57">
                  <c:v>-2.2000000000000099</c:v>
                </c:pt>
                <c:pt idx="58">
                  <c:v>-2.1500000000000101</c:v>
                </c:pt>
                <c:pt idx="59">
                  <c:v>-2.1000000000000099</c:v>
                </c:pt>
                <c:pt idx="60">
                  <c:v>-2.05000000000001</c:v>
                </c:pt>
                <c:pt idx="61">
                  <c:v>-2.0000000000000102</c:v>
                </c:pt>
                <c:pt idx="62">
                  <c:v>-1.9500000000000099</c:v>
                </c:pt>
                <c:pt idx="63">
                  <c:v>-1.9000000000000099</c:v>
                </c:pt>
                <c:pt idx="64">
                  <c:v>-1.8500000000000101</c:v>
                </c:pt>
                <c:pt idx="65">
                  <c:v>-1.80000000000001</c:v>
                </c:pt>
                <c:pt idx="66">
                  <c:v>-1.75000000000001</c:v>
                </c:pt>
                <c:pt idx="67">
                  <c:v>-1.7000000000000099</c:v>
                </c:pt>
                <c:pt idx="68">
                  <c:v>-1.6500000000000099</c:v>
                </c:pt>
                <c:pt idx="69">
                  <c:v>-1.6000000000000101</c:v>
                </c:pt>
                <c:pt idx="70">
                  <c:v>-1.55000000000001</c:v>
                </c:pt>
                <c:pt idx="71">
                  <c:v>-1.50000000000001</c:v>
                </c:pt>
                <c:pt idx="72">
                  <c:v>-1.4500000000000099</c:v>
                </c:pt>
                <c:pt idx="73">
                  <c:v>-1.4000000000000099</c:v>
                </c:pt>
                <c:pt idx="74">
                  <c:v>-1.3500000000000101</c:v>
                </c:pt>
                <c:pt idx="75">
                  <c:v>-1.30000000000001</c:v>
                </c:pt>
                <c:pt idx="76">
                  <c:v>-1.25000000000001</c:v>
                </c:pt>
                <c:pt idx="77">
                  <c:v>-1.2000000000000099</c:v>
                </c:pt>
                <c:pt idx="78">
                  <c:v>-1.1500000000000099</c:v>
                </c:pt>
                <c:pt idx="79">
                  <c:v>-1.1000000000000101</c:v>
                </c:pt>
                <c:pt idx="80">
                  <c:v>-1.05000000000001</c:v>
                </c:pt>
                <c:pt idx="81">
                  <c:v>-1.00000000000001</c:v>
                </c:pt>
                <c:pt idx="82">
                  <c:v>-0.95000000000000995</c:v>
                </c:pt>
                <c:pt idx="83">
                  <c:v>-0.90000000000001001</c:v>
                </c:pt>
                <c:pt idx="84">
                  <c:v>-0.85000000000000897</c:v>
                </c:pt>
                <c:pt idx="85">
                  <c:v>-0.80000000000002003</c:v>
                </c:pt>
                <c:pt idx="86">
                  <c:v>-0.75000000000001998</c:v>
                </c:pt>
                <c:pt idx="87">
                  <c:v>-0.70000000000002005</c:v>
                </c:pt>
                <c:pt idx="88">
                  <c:v>-0.65000000000002001</c:v>
                </c:pt>
                <c:pt idx="89">
                  <c:v>-0.60000000000001996</c:v>
                </c:pt>
                <c:pt idx="90">
                  <c:v>-0.55000000000002003</c:v>
                </c:pt>
                <c:pt idx="91">
                  <c:v>-0.50000000000001998</c:v>
                </c:pt>
                <c:pt idx="92">
                  <c:v>-0.45000000000002</c:v>
                </c:pt>
                <c:pt idx="93">
                  <c:v>-0.40000000000002001</c:v>
                </c:pt>
                <c:pt idx="94">
                  <c:v>-0.35000000000002002</c:v>
                </c:pt>
                <c:pt idx="95">
                  <c:v>-0.30000000000001997</c:v>
                </c:pt>
                <c:pt idx="96">
                  <c:v>-0.25000000000001998</c:v>
                </c:pt>
                <c:pt idx="97">
                  <c:v>-0.20000000000002</c:v>
                </c:pt>
                <c:pt idx="98">
                  <c:v>-0.15000000000002001</c:v>
                </c:pt>
                <c:pt idx="99">
                  <c:v>-0.10000000000002</c:v>
                </c:pt>
                <c:pt idx="100">
                  <c:v>-5.0000000000020299E-2</c:v>
                </c:pt>
                <c:pt idx="101">
                  <c:v>-1.9539925233402799E-14</c:v>
                </c:pt>
                <c:pt idx="102">
                  <c:v>4.9999999999980303E-2</c:v>
                </c:pt>
                <c:pt idx="103">
                  <c:v>9.9999999999980105E-2</c:v>
                </c:pt>
                <c:pt idx="104">
                  <c:v>0.14999999999998001</c:v>
                </c:pt>
                <c:pt idx="105">
                  <c:v>0.19999999999998</c:v>
                </c:pt>
                <c:pt idx="106">
                  <c:v>0.24999999999997999</c:v>
                </c:pt>
                <c:pt idx="107">
                  <c:v>0.29999999999998</c:v>
                </c:pt>
                <c:pt idx="108">
                  <c:v>0.34999999999997999</c:v>
                </c:pt>
                <c:pt idx="109">
                  <c:v>0.39999999999997998</c:v>
                </c:pt>
                <c:pt idx="110">
                  <c:v>0.44999999999998003</c:v>
                </c:pt>
                <c:pt idx="111">
                  <c:v>0.49999999999998002</c:v>
                </c:pt>
                <c:pt idx="112">
                  <c:v>0.54999999999997995</c:v>
                </c:pt>
                <c:pt idx="113">
                  <c:v>0.59999999999997999</c:v>
                </c:pt>
                <c:pt idx="114">
                  <c:v>0.64999999999998004</c:v>
                </c:pt>
                <c:pt idx="115">
                  <c:v>0.69999999999997997</c:v>
                </c:pt>
                <c:pt idx="116">
                  <c:v>0.74999999999998002</c:v>
                </c:pt>
                <c:pt idx="117">
                  <c:v>0.79999999999997995</c:v>
                </c:pt>
                <c:pt idx="118">
                  <c:v>0.84999999999997999</c:v>
                </c:pt>
                <c:pt idx="119">
                  <c:v>0.89999999999998004</c:v>
                </c:pt>
                <c:pt idx="120">
                  <c:v>0.94999999999997997</c:v>
                </c:pt>
                <c:pt idx="121">
                  <c:v>0.99999999999998002</c:v>
                </c:pt>
                <c:pt idx="122">
                  <c:v>1.0499999999999801</c:v>
                </c:pt>
                <c:pt idx="123">
                  <c:v>1.0999999999999801</c:v>
                </c:pt>
                <c:pt idx="124">
                  <c:v>1.1499999999999799</c:v>
                </c:pt>
                <c:pt idx="125">
                  <c:v>1.19999999999998</c:v>
                </c:pt>
                <c:pt idx="126">
                  <c:v>1.24999999999998</c:v>
                </c:pt>
                <c:pt idx="127">
                  <c:v>1.2999999999999801</c:v>
                </c:pt>
                <c:pt idx="128">
                  <c:v>1.3499999999999801</c:v>
                </c:pt>
                <c:pt idx="129">
                  <c:v>1.3999999999999799</c:v>
                </c:pt>
                <c:pt idx="130">
                  <c:v>1.44999999999998</c:v>
                </c:pt>
                <c:pt idx="131">
                  <c:v>1.49999999999998</c:v>
                </c:pt>
                <c:pt idx="132">
                  <c:v>1.5499999999999801</c:v>
                </c:pt>
                <c:pt idx="133">
                  <c:v>1.5999999999999801</c:v>
                </c:pt>
                <c:pt idx="134">
                  <c:v>1.6499999999999799</c:v>
                </c:pt>
                <c:pt idx="135">
                  <c:v>1.69999999999998</c:v>
                </c:pt>
                <c:pt idx="136">
                  <c:v>1.74999999999998</c:v>
                </c:pt>
                <c:pt idx="137">
                  <c:v>1.7999999999999801</c:v>
                </c:pt>
                <c:pt idx="138">
                  <c:v>1.8499999999999801</c:v>
                </c:pt>
                <c:pt idx="139">
                  <c:v>1.8999999999999799</c:v>
                </c:pt>
                <c:pt idx="140">
                  <c:v>1.94999999999998</c:v>
                </c:pt>
                <c:pt idx="141">
                  <c:v>1.99999999999997</c:v>
                </c:pt>
                <c:pt idx="142">
                  <c:v>2.0499999999999701</c:v>
                </c:pt>
                <c:pt idx="143">
                  <c:v>2.0999999999999699</c:v>
                </c:pt>
                <c:pt idx="144">
                  <c:v>2.1499999999999702</c:v>
                </c:pt>
                <c:pt idx="145">
                  <c:v>2.19999999999997</c:v>
                </c:pt>
                <c:pt idx="146">
                  <c:v>2.2499999999999698</c:v>
                </c:pt>
                <c:pt idx="147">
                  <c:v>2.2999999999999701</c:v>
                </c:pt>
                <c:pt idx="148">
                  <c:v>2.3499999999999699</c:v>
                </c:pt>
                <c:pt idx="149">
                  <c:v>2.3999999999999702</c:v>
                </c:pt>
                <c:pt idx="150">
                  <c:v>2.44999999999997</c:v>
                </c:pt>
                <c:pt idx="151">
                  <c:v>2.4999999999999698</c:v>
                </c:pt>
                <c:pt idx="152">
                  <c:v>2.5499999999999701</c:v>
                </c:pt>
                <c:pt idx="153">
                  <c:v>2.5999999999999699</c:v>
                </c:pt>
                <c:pt idx="154">
                  <c:v>2.6499999999999702</c:v>
                </c:pt>
                <c:pt idx="155">
                  <c:v>2.69999999999997</c:v>
                </c:pt>
                <c:pt idx="156">
                  <c:v>2.7499999999999698</c:v>
                </c:pt>
                <c:pt idx="157">
                  <c:v>2.7999999999999701</c:v>
                </c:pt>
                <c:pt idx="158">
                  <c:v>2.8499999999999699</c:v>
                </c:pt>
                <c:pt idx="159">
                  <c:v>2.8999999999999702</c:v>
                </c:pt>
                <c:pt idx="160">
                  <c:v>2.94999999999997</c:v>
                </c:pt>
                <c:pt idx="161">
                  <c:v>2.9999999999999698</c:v>
                </c:pt>
                <c:pt idx="162">
                  <c:v>3.0499999999999701</c:v>
                </c:pt>
                <c:pt idx="163">
                  <c:v>3.0999999999999699</c:v>
                </c:pt>
                <c:pt idx="164">
                  <c:v>3.1499999999999702</c:v>
                </c:pt>
                <c:pt idx="165">
                  <c:v>3.19999999999997</c:v>
                </c:pt>
                <c:pt idx="166">
                  <c:v>3.2499999999999698</c:v>
                </c:pt>
                <c:pt idx="167">
                  <c:v>3.2999999999999701</c:v>
                </c:pt>
                <c:pt idx="168">
                  <c:v>3.3499999999999699</c:v>
                </c:pt>
                <c:pt idx="169">
                  <c:v>3.3999999999999702</c:v>
                </c:pt>
                <c:pt idx="170">
                  <c:v>3.44999999999997</c:v>
                </c:pt>
                <c:pt idx="171">
                  <c:v>3.4999999999999698</c:v>
                </c:pt>
                <c:pt idx="172">
                  <c:v>3.5499999999999701</c:v>
                </c:pt>
                <c:pt idx="173">
                  <c:v>3.5999999999999699</c:v>
                </c:pt>
                <c:pt idx="174">
                  <c:v>3.6499999999999702</c:v>
                </c:pt>
                <c:pt idx="175">
                  <c:v>3.69999999999997</c:v>
                </c:pt>
                <c:pt idx="176">
                  <c:v>3.7499999999999698</c:v>
                </c:pt>
                <c:pt idx="177">
                  <c:v>3.7999999999999701</c:v>
                </c:pt>
                <c:pt idx="178">
                  <c:v>3.8499999999999699</c:v>
                </c:pt>
                <c:pt idx="179">
                  <c:v>3.8999999999999702</c:v>
                </c:pt>
                <c:pt idx="180">
                  <c:v>3.94999999999997</c:v>
                </c:pt>
                <c:pt idx="181">
                  <c:v>3.9999999999999698</c:v>
                </c:pt>
                <c:pt idx="182">
                  <c:v>4.0499999999999696</c:v>
                </c:pt>
                <c:pt idx="183">
                  <c:v>4.0999999999999703</c:v>
                </c:pt>
                <c:pt idx="184">
                  <c:v>4.1499999999999702</c:v>
                </c:pt>
                <c:pt idx="185">
                  <c:v>4.19999999999997</c:v>
                </c:pt>
                <c:pt idx="186">
                  <c:v>4.2499999999999698</c:v>
                </c:pt>
                <c:pt idx="187">
                  <c:v>4.2999999999999696</c:v>
                </c:pt>
                <c:pt idx="188">
                  <c:v>4.3499999999999703</c:v>
                </c:pt>
                <c:pt idx="189">
                  <c:v>4.3999999999999702</c:v>
                </c:pt>
                <c:pt idx="190">
                  <c:v>4.44999999999997</c:v>
                </c:pt>
                <c:pt idx="191">
                  <c:v>4.4999999999999698</c:v>
                </c:pt>
                <c:pt idx="192">
                  <c:v>4.5499999999999696</c:v>
                </c:pt>
                <c:pt idx="193">
                  <c:v>4.5999999999999703</c:v>
                </c:pt>
                <c:pt idx="194">
                  <c:v>4.6499999999999702</c:v>
                </c:pt>
                <c:pt idx="195">
                  <c:v>4.6999999999999602</c:v>
                </c:pt>
                <c:pt idx="196">
                  <c:v>4.7499999999999698</c:v>
                </c:pt>
                <c:pt idx="197">
                  <c:v>4.7999999999999696</c:v>
                </c:pt>
                <c:pt idx="198">
                  <c:v>4.8499999999999597</c:v>
                </c:pt>
                <c:pt idx="199">
                  <c:v>4.8999999999999604</c:v>
                </c:pt>
                <c:pt idx="200">
                  <c:v>4.9499999999999602</c:v>
                </c:pt>
                <c:pt idx="201">
                  <c:v>5</c:v>
                </c:pt>
                <c:pt idx="202">
                  <c:v>5.05</c:v>
                </c:pt>
              </c:numCache>
            </c:numRef>
          </c:cat>
          <c:val>
            <c:numRef>
              <c:f>Stats!$W$4:$W$206</c:f>
              <c:numCache>
                <c:formatCode>General</c:formatCode>
                <c:ptCount val="203"/>
                <c:pt idx="0">
                  <c:v>8.1913384034791736E-9</c:v>
                </c:pt>
                <c:pt idx="1">
                  <c:v>1.1015763624682308E-8</c:v>
                </c:pt>
                <c:pt idx="2">
                  <c:v>1.477707958648E-8</c:v>
                </c:pt>
                <c:pt idx="3">
                  <c:v>1.9773196406244602E-8</c:v>
                </c:pt>
                <c:pt idx="4">
                  <c:v>2.6392432035705735E-8</c:v>
                </c:pt>
                <c:pt idx="5">
                  <c:v>3.513955094820434E-8</c:v>
                </c:pt>
                <c:pt idx="6">
                  <c:v>4.666886797594256E-8</c:v>
                </c:pt>
                <c:pt idx="7">
                  <c:v>6.1826205001658242E-8</c:v>
                </c:pt>
                <c:pt idx="8">
                  <c:v>8.1701903785431753E-8</c:v>
                </c:pt>
                <c:pt idx="9">
                  <c:v>1.0769760042543276E-7</c:v>
                </c:pt>
                <c:pt idx="10">
                  <c:v>1.4161007130161176E-7</c:v>
                </c:pt>
                <c:pt idx="11">
                  <c:v>1.8573618445552897E-7</c:v>
                </c:pt>
                <c:pt idx="12">
                  <c:v>2.4300385410805223E-7</c:v>
                </c:pt>
                <c:pt idx="13">
                  <c:v>3.1713492167159643E-7</c:v>
                </c:pt>
                <c:pt idx="14">
                  <c:v>4.1284709886299984E-7</c:v>
                </c:pt>
                <c:pt idx="15">
                  <c:v>5.3610353446976145E-7</c:v>
                </c:pt>
                <c:pt idx="16">
                  <c:v>6.9442023538553393E-7</c:v>
                </c:pt>
                <c:pt idx="17">
                  <c:v>8.9724351623833067E-7</c:v>
                </c:pt>
                <c:pt idx="18">
                  <c:v>1.156411903579777E-6</c:v>
                </c:pt>
                <c:pt idx="19">
                  <c:v>1.4867195147342977E-6</c:v>
                </c:pt>
                <c:pt idx="20">
                  <c:v>1.9066009031228108E-6</c:v>
                </c:pt>
                <c:pt idx="21">
                  <c:v>2.4389607458933522E-6</c:v>
                </c:pt>
                <c:pt idx="22">
                  <c:v>3.1121755791489339E-6</c:v>
                </c:pt>
                <c:pt idx="23">
                  <c:v>3.9612990910320753E-6</c:v>
                </c:pt>
                <c:pt idx="24">
                  <c:v>5.0295072885924454E-6</c:v>
                </c:pt>
                <c:pt idx="25">
                  <c:v>6.3698251788670899E-6</c:v>
                </c:pt>
                <c:pt idx="26">
                  <c:v>8.0471824564922952E-6</c:v>
                </c:pt>
                <c:pt idx="27">
                  <c:v>1.0140852065486724E-5</c:v>
                </c:pt>
                <c:pt idx="28">
                  <c:v>1.2747332381833466E-5</c:v>
                </c:pt>
                <c:pt idx="29">
                  <c:v>1.5983741106904766E-5</c:v>
                </c:pt>
                <c:pt idx="30">
                  <c:v>1.9991796706921937E-5</c:v>
                </c:pt>
                <c:pt idx="31">
                  <c:v>2.4942471290052468E-5</c:v>
                </c:pt>
                <c:pt idx="32">
                  <c:v>3.1041407057848837E-5</c:v>
                </c:pt>
                <c:pt idx="33">
                  <c:v>3.8535196742085354E-5</c:v>
                </c:pt>
                <c:pt idx="34">
                  <c:v>4.7718636541202993E-5</c:v>
                </c:pt>
                <c:pt idx="35">
                  <c:v>5.8943067756537443E-5</c:v>
                </c:pt>
                <c:pt idx="36">
                  <c:v>7.2625930302249369E-5</c:v>
                </c:pt>
                <c:pt idx="37">
                  <c:v>8.926165717712912E-5</c:v>
                </c:pt>
                <c:pt idx="38">
                  <c:v>1.0943404343979588E-4</c:v>
                </c:pt>
                <c:pt idx="39">
                  <c:v>1.3383022576488014E-4</c:v>
                </c:pt>
                <c:pt idx="40">
                  <c:v>1.6325640876623562E-4</c:v>
                </c:pt>
                <c:pt idx="41">
                  <c:v>1.9865547139276475E-4</c:v>
                </c:pt>
                <c:pt idx="42">
                  <c:v>2.4112658022598424E-4</c:v>
                </c:pt>
                <c:pt idx="43">
                  <c:v>2.919469257914491E-4</c:v>
                </c:pt>
                <c:pt idx="44">
                  <c:v>3.5259568236743256E-4</c:v>
                </c:pt>
                <c:pt idx="45">
                  <c:v>4.2478027055073593E-4</c:v>
                </c:pt>
                <c:pt idx="46">
                  <c:v>5.1046497434416652E-4</c:v>
                </c:pt>
                <c:pt idx="47">
                  <c:v>6.1190193011375076E-4</c:v>
                </c:pt>
                <c:pt idx="48">
                  <c:v>7.3166446283028422E-4</c:v>
                </c:pt>
                <c:pt idx="49">
                  <c:v>8.7268269504573066E-4</c:v>
                </c:pt>
                <c:pt idx="50">
                  <c:v>1.0382812956613752E-3</c:v>
                </c:pt>
                <c:pt idx="51">
                  <c:v>1.2322191684729772E-3</c:v>
                </c:pt>
                <c:pt idx="52">
                  <c:v>1.458730804666698E-3</c:v>
                </c:pt>
                <c:pt idx="53">
                  <c:v>1.7225689390536229E-3</c:v>
                </c:pt>
                <c:pt idx="54">
                  <c:v>2.0290480572997031E-3</c:v>
                </c:pt>
                <c:pt idx="55">
                  <c:v>2.3840882014647662E-3</c:v>
                </c:pt>
                <c:pt idx="56">
                  <c:v>2.7942584148793578E-3</c:v>
                </c:pt>
                <c:pt idx="57">
                  <c:v>3.2668190561998202E-3</c:v>
                </c:pt>
                <c:pt idx="58">
                  <c:v>3.809762098221692E-3</c:v>
                </c:pt>
                <c:pt idx="59">
                  <c:v>4.4318484119378783E-3</c:v>
                </c:pt>
                <c:pt idx="60">
                  <c:v>5.1426409230537883E-3</c:v>
                </c:pt>
                <c:pt idx="61">
                  <c:v>5.9525324197756795E-3</c:v>
                </c:pt>
                <c:pt idx="62">
                  <c:v>6.8727666906137829E-3</c:v>
                </c:pt>
                <c:pt idx="63">
                  <c:v>7.915451582979743E-3</c:v>
                </c:pt>
                <c:pt idx="64">
                  <c:v>9.0935625015907996E-3</c:v>
                </c:pt>
                <c:pt idx="65">
                  <c:v>1.0420934814422318E-2</c:v>
                </c:pt>
                <c:pt idx="66">
                  <c:v>1.1912243607604862E-2</c:v>
                </c:pt>
                <c:pt idx="67">
                  <c:v>1.3582969233685271E-2</c:v>
                </c:pt>
                <c:pt idx="68">
                  <c:v>1.5449347134394779E-2</c:v>
                </c:pt>
                <c:pt idx="69">
                  <c:v>1.7528300493568086E-2</c:v>
                </c:pt>
                <c:pt idx="70">
                  <c:v>1.9837354391794845E-2</c:v>
                </c:pt>
                <c:pt idx="71">
                  <c:v>2.2394530294842355E-2</c:v>
                </c:pt>
                <c:pt idx="72">
                  <c:v>2.5218219915193813E-2</c:v>
                </c:pt>
                <c:pt idx="73">
                  <c:v>2.8327037741600516E-2</c:v>
                </c:pt>
                <c:pt idx="74">
                  <c:v>3.1739651835666682E-2</c:v>
                </c:pt>
                <c:pt idx="75">
                  <c:v>3.5474592846230668E-2</c:v>
                </c:pt>
                <c:pt idx="76">
                  <c:v>3.955004158936936E-2</c:v>
                </c:pt>
                <c:pt idx="77">
                  <c:v>4.3983595980426296E-2</c:v>
                </c:pt>
                <c:pt idx="78">
                  <c:v>4.8792018579181751E-2</c:v>
                </c:pt>
                <c:pt idx="79">
                  <c:v>5.3990966513186953E-2</c:v>
                </c:pt>
                <c:pt idx="80">
                  <c:v>5.9594706068814909E-2</c:v>
                </c:pt>
                <c:pt idx="81">
                  <c:v>6.5615814774675332E-2</c:v>
                </c:pt>
                <c:pt idx="82">
                  <c:v>7.2064874336216694E-2</c:v>
                </c:pt>
                <c:pt idx="83">
                  <c:v>7.8950158300892734E-2</c:v>
                </c:pt>
                <c:pt idx="84">
                  <c:v>8.6277318826510171E-2</c:v>
                </c:pt>
                <c:pt idx="85">
                  <c:v>9.40490773768837E-2</c:v>
                </c:pt>
                <c:pt idx="86">
                  <c:v>0.10226492456397464</c:v>
                </c:pt>
                <c:pt idx="87">
                  <c:v>0.110920834679452</c:v>
                </c:pt>
                <c:pt idx="88">
                  <c:v>0.12000900069698188</c:v>
                </c:pt>
                <c:pt idx="89">
                  <c:v>0.12951759566588786</c:v>
                </c:pt>
                <c:pt idx="90">
                  <c:v>0.13943056644535617</c:v>
                </c:pt>
                <c:pt idx="91">
                  <c:v>0.14972746563574069</c:v>
                </c:pt>
                <c:pt idx="92">
                  <c:v>0.16038332734191524</c:v>
                </c:pt>
                <c:pt idx="93">
                  <c:v>0.17136859204780289</c:v>
                </c:pt>
                <c:pt idx="94">
                  <c:v>0.18264908538901736</c:v>
                </c:pt>
                <c:pt idx="95">
                  <c:v>0.19418605498320829</c:v>
                </c:pt>
                <c:pt idx="96">
                  <c:v>0.20593626871997003</c:v>
                </c:pt>
                <c:pt idx="97">
                  <c:v>0.21785217703254575</c:v>
                </c:pt>
                <c:pt idx="98">
                  <c:v>0.22988214068422821</c:v>
                </c:pt>
                <c:pt idx="99">
                  <c:v>0.24197072451913854</c:v>
                </c:pt>
                <c:pt idx="100">
                  <c:v>0.25405905646918409</c:v>
                </c:pt>
                <c:pt idx="101">
                  <c:v>0.26608524989875015</c:v>
                </c:pt>
                <c:pt idx="102">
                  <c:v>0.27798488613099182</c:v>
                </c:pt>
                <c:pt idx="103">
                  <c:v>0.28969155276147818</c:v>
                </c:pt>
                <c:pt idx="104">
                  <c:v>0.30113743215479993</c:v>
                </c:pt>
                <c:pt idx="105">
                  <c:v>0.31225393336675689</c:v>
                </c:pt>
                <c:pt idx="106">
                  <c:v>0.3229723596679101</c:v>
                </c:pt>
                <c:pt idx="107">
                  <c:v>0.33322460289179567</c:v>
                </c:pt>
                <c:pt idx="108">
                  <c:v>0.34294385501938013</c:v>
                </c:pt>
                <c:pt idx="109">
                  <c:v>0.35206532676429597</c:v>
                </c:pt>
                <c:pt idx="110">
                  <c:v>0.36052696246164473</c:v>
                </c:pt>
                <c:pt idx="111">
                  <c:v>0.36827014030332039</c:v>
                </c:pt>
                <c:pt idx="112">
                  <c:v>0.37524034691693525</c:v>
                </c:pt>
                <c:pt idx="113">
                  <c:v>0.38138781546052181</c:v>
                </c:pt>
                <c:pt idx="114">
                  <c:v>0.38666811680284729</c:v>
                </c:pt>
                <c:pt idx="115">
                  <c:v>0.39104269397545433</c:v>
                </c:pt>
                <c:pt idx="116">
                  <c:v>0.39447933090788773</c:v>
                </c:pt>
                <c:pt idx="117">
                  <c:v>0.39695254747701098</c:v>
                </c:pt>
                <c:pt idx="118">
                  <c:v>0.39844391409476365</c:v>
                </c:pt>
                <c:pt idx="119">
                  <c:v>0.3989422804014327</c:v>
                </c:pt>
                <c:pt idx="120">
                  <c:v>0.39844391409476443</c:v>
                </c:pt>
                <c:pt idx="121">
                  <c:v>0.39695254747701259</c:v>
                </c:pt>
                <c:pt idx="122">
                  <c:v>0.39447933090789011</c:v>
                </c:pt>
                <c:pt idx="123">
                  <c:v>0.39104269397545749</c:v>
                </c:pt>
                <c:pt idx="124">
                  <c:v>0.38666811680285118</c:v>
                </c:pt>
                <c:pt idx="125">
                  <c:v>0.38138781546052641</c:v>
                </c:pt>
                <c:pt idx="126">
                  <c:v>0.37524034691694053</c:v>
                </c:pt>
                <c:pt idx="127">
                  <c:v>0.36827014030332628</c:v>
                </c:pt>
                <c:pt idx="128">
                  <c:v>0.36052696246165117</c:v>
                </c:pt>
                <c:pt idx="129">
                  <c:v>0.35206532676430302</c:v>
                </c:pt>
                <c:pt idx="130">
                  <c:v>0.34294385501938768</c:v>
                </c:pt>
                <c:pt idx="131">
                  <c:v>0.33322460289180361</c:v>
                </c:pt>
                <c:pt idx="132">
                  <c:v>0.32297235966791848</c:v>
                </c:pt>
                <c:pt idx="133">
                  <c:v>0.3122539333667656</c:v>
                </c:pt>
                <c:pt idx="134">
                  <c:v>0.30113743215480898</c:v>
                </c:pt>
                <c:pt idx="135">
                  <c:v>0.28969155276148739</c:v>
                </c:pt>
                <c:pt idx="136">
                  <c:v>0.2779848861310012</c:v>
                </c:pt>
                <c:pt idx="137">
                  <c:v>0.26608524989875959</c:v>
                </c:pt>
                <c:pt idx="138">
                  <c:v>0.2540590564691938</c:v>
                </c:pt>
                <c:pt idx="139">
                  <c:v>0.24197072451914825</c:v>
                </c:pt>
                <c:pt idx="140">
                  <c:v>0.22988214068423793</c:v>
                </c:pt>
                <c:pt idx="141">
                  <c:v>0.21785217703255777</c:v>
                </c:pt>
                <c:pt idx="142">
                  <c:v>0.20593626871998183</c:v>
                </c:pt>
                <c:pt idx="143">
                  <c:v>0.19418605498321995</c:v>
                </c:pt>
                <c:pt idx="144">
                  <c:v>0.18264908538902871</c:v>
                </c:pt>
                <c:pt idx="145">
                  <c:v>0.17136859204781404</c:v>
                </c:pt>
                <c:pt idx="146">
                  <c:v>0.16038332734192612</c:v>
                </c:pt>
                <c:pt idx="147">
                  <c:v>0.14972746563575112</c:v>
                </c:pt>
                <c:pt idx="148">
                  <c:v>0.13943056644536633</c:v>
                </c:pt>
                <c:pt idx="149">
                  <c:v>0.12951759566589752</c:v>
                </c:pt>
                <c:pt idx="150">
                  <c:v>0.12000900069699118</c:v>
                </c:pt>
                <c:pt idx="151">
                  <c:v>0.1109208346794609</c:v>
                </c:pt>
                <c:pt idx="152">
                  <c:v>0.10226492456398303</c:v>
                </c:pt>
                <c:pt idx="153">
                  <c:v>9.4049077376891735E-2</c:v>
                </c:pt>
                <c:pt idx="154">
                  <c:v>8.6277318826516E-2</c:v>
                </c:pt>
                <c:pt idx="155">
                  <c:v>7.895015830089841E-2</c:v>
                </c:pt>
                <c:pt idx="156">
                  <c:v>7.2064874336222023E-2</c:v>
                </c:pt>
                <c:pt idx="157">
                  <c:v>6.5615814774680314E-2</c:v>
                </c:pt>
                <c:pt idx="158">
                  <c:v>5.9594706068819565E-2</c:v>
                </c:pt>
                <c:pt idx="159">
                  <c:v>5.3990966513191269E-2</c:v>
                </c:pt>
                <c:pt idx="160">
                  <c:v>4.8792018579185754E-2</c:v>
                </c:pt>
                <c:pt idx="161">
                  <c:v>4.3983595980429988E-2</c:v>
                </c:pt>
                <c:pt idx="162">
                  <c:v>3.9550041589372753E-2</c:v>
                </c:pt>
                <c:pt idx="163">
                  <c:v>3.5474592846233791E-2</c:v>
                </c:pt>
                <c:pt idx="164">
                  <c:v>3.1739651835669548E-2</c:v>
                </c:pt>
                <c:pt idx="165">
                  <c:v>2.8327037741603125E-2</c:v>
                </c:pt>
                <c:pt idx="166">
                  <c:v>2.5218219915196169E-2</c:v>
                </c:pt>
                <c:pt idx="167">
                  <c:v>2.2394530294844502E-2</c:v>
                </c:pt>
                <c:pt idx="168">
                  <c:v>1.9837354391796781E-2</c:v>
                </c:pt>
                <c:pt idx="169">
                  <c:v>1.7528300493569845E-2</c:v>
                </c:pt>
                <c:pt idx="170">
                  <c:v>1.5449347134396347E-2</c:v>
                </c:pt>
                <c:pt idx="171">
                  <c:v>1.3582969233686681E-2</c:v>
                </c:pt>
                <c:pt idx="172">
                  <c:v>1.1912243607606121E-2</c:v>
                </c:pt>
                <c:pt idx="173">
                  <c:v>1.0420934814423442E-2</c:v>
                </c:pt>
                <c:pt idx="174">
                  <c:v>9.0935625015917954E-3</c:v>
                </c:pt>
                <c:pt idx="175">
                  <c:v>7.9154515829806277E-3</c:v>
                </c:pt>
                <c:pt idx="176">
                  <c:v>6.8727666906145636E-3</c:v>
                </c:pt>
                <c:pt idx="177">
                  <c:v>5.9525324197763725E-3</c:v>
                </c:pt>
                <c:pt idx="178">
                  <c:v>5.1426409230543963E-3</c:v>
                </c:pt>
                <c:pt idx="179">
                  <c:v>4.4318484119384013E-3</c:v>
                </c:pt>
                <c:pt idx="180">
                  <c:v>3.8097620982221556E-3</c:v>
                </c:pt>
                <c:pt idx="181">
                  <c:v>3.2668190562002266E-3</c:v>
                </c:pt>
                <c:pt idx="182">
                  <c:v>2.7942584148797126E-3</c:v>
                </c:pt>
                <c:pt idx="183">
                  <c:v>2.3840882014650689E-3</c:v>
                </c:pt>
                <c:pt idx="184">
                  <c:v>2.0290480572999641E-3</c:v>
                </c:pt>
                <c:pt idx="185">
                  <c:v>1.722568939053851E-3</c:v>
                </c:pt>
                <c:pt idx="186">
                  <c:v>1.4587308046668938E-3</c:v>
                </c:pt>
                <c:pt idx="187">
                  <c:v>1.2322191684731457E-3</c:v>
                </c:pt>
                <c:pt idx="188">
                  <c:v>1.0382812956615172E-3</c:v>
                </c:pt>
                <c:pt idx="189">
                  <c:v>8.7268269504585079E-4</c:v>
                </c:pt>
                <c:pt idx="190">
                  <c:v>7.316644628303882E-4</c:v>
                </c:pt>
                <c:pt idx="191">
                  <c:v>6.1190193011383879E-4</c:v>
                </c:pt>
                <c:pt idx="192">
                  <c:v>5.1046497434424176E-4</c:v>
                </c:pt>
                <c:pt idx="193">
                  <c:v>4.2478027055079822E-4</c:v>
                </c:pt>
                <c:pt idx="194">
                  <c:v>3.5259568236748487E-4</c:v>
                </c:pt>
                <c:pt idx="195">
                  <c:v>2.9194692579150434E-4</c:v>
                </c:pt>
                <c:pt idx="196">
                  <c:v>2.4112658022602132E-4</c:v>
                </c:pt>
                <c:pt idx="197">
                  <c:v>1.9865547139279597E-4</c:v>
                </c:pt>
                <c:pt idx="198">
                  <c:v>1.6325640876626796E-4</c:v>
                </c:pt>
                <c:pt idx="199">
                  <c:v>1.3383022576490651E-4</c:v>
                </c:pt>
                <c:pt idx="200">
                  <c:v>1.0943404343981824E-4</c:v>
                </c:pt>
                <c:pt idx="201">
                  <c:v>8.9261657177132928E-5</c:v>
                </c:pt>
                <c:pt idx="202">
                  <c:v>7.2625930302252581E-5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E-4D87-8AF1-5D0FF88E8FA6}"/>
            </c:ext>
          </c:extLst>
        </c:ser>
        <c:ser>
          <c:idx val="1"/>
          <c:order val="1"/>
          <c:marker>
            <c:symbol val="none"/>
          </c:marker>
          <c:val>
            <c:numRef>
              <c:f>Stats!$X$4:$X$206</c:f>
              <c:numCache>
                <c:formatCode>General</c:formatCode>
                <c:ptCount val="203"/>
                <c:pt idx="0">
                  <c:v>8.1913384034791736E-9</c:v>
                </c:pt>
                <c:pt idx="1">
                  <c:v>1.1015763624682308E-8</c:v>
                </c:pt>
                <c:pt idx="2">
                  <c:v>1.477707958648E-8</c:v>
                </c:pt>
                <c:pt idx="3">
                  <c:v>1.9773196406244602E-8</c:v>
                </c:pt>
                <c:pt idx="4">
                  <c:v>2.6392432035705735E-8</c:v>
                </c:pt>
                <c:pt idx="5">
                  <c:v>3.513955094820434E-8</c:v>
                </c:pt>
                <c:pt idx="6">
                  <c:v>4.666886797594256E-8</c:v>
                </c:pt>
                <c:pt idx="7">
                  <c:v>6.1826205001658242E-8</c:v>
                </c:pt>
                <c:pt idx="8">
                  <c:v>8.1701903785431753E-8</c:v>
                </c:pt>
                <c:pt idx="9">
                  <c:v>1.0769760042543276E-7</c:v>
                </c:pt>
                <c:pt idx="10">
                  <c:v>1.4161007130161176E-7</c:v>
                </c:pt>
                <c:pt idx="11">
                  <c:v>1.8573618445552897E-7</c:v>
                </c:pt>
                <c:pt idx="12">
                  <c:v>2.4300385410805223E-7</c:v>
                </c:pt>
                <c:pt idx="13">
                  <c:v>3.1713492167159643E-7</c:v>
                </c:pt>
                <c:pt idx="14">
                  <c:v>4.1284709886299984E-7</c:v>
                </c:pt>
                <c:pt idx="15">
                  <c:v>5.3610353446976145E-7</c:v>
                </c:pt>
                <c:pt idx="16">
                  <c:v>6.9442023538553393E-7</c:v>
                </c:pt>
                <c:pt idx="17">
                  <c:v>8.9724351623833067E-7</c:v>
                </c:pt>
                <c:pt idx="18">
                  <c:v>1.156411903579777E-6</c:v>
                </c:pt>
                <c:pt idx="19">
                  <c:v>1.4867195147342977E-6</c:v>
                </c:pt>
                <c:pt idx="20">
                  <c:v>1.9066009031228108E-6</c:v>
                </c:pt>
                <c:pt idx="21">
                  <c:v>2.4389607458933522E-6</c:v>
                </c:pt>
                <c:pt idx="22">
                  <c:v>3.1121755791489339E-6</c:v>
                </c:pt>
                <c:pt idx="23">
                  <c:v>3.9612990910320753E-6</c:v>
                </c:pt>
                <c:pt idx="24">
                  <c:v>5.0295072885924454E-6</c:v>
                </c:pt>
                <c:pt idx="25">
                  <c:v>6.3698251788670899E-6</c:v>
                </c:pt>
                <c:pt idx="26">
                  <c:v>8.0471824564922952E-6</c:v>
                </c:pt>
                <c:pt idx="27">
                  <c:v>1.0140852065486724E-5</c:v>
                </c:pt>
                <c:pt idx="28">
                  <c:v>1.2747332381833466E-5</c:v>
                </c:pt>
                <c:pt idx="29">
                  <c:v>1.5983741106904766E-5</c:v>
                </c:pt>
                <c:pt idx="30">
                  <c:v>1.9991796706921937E-5</c:v>
                </c:pt>
                <c:pt idx="31">
                  <c:v>2.4942471290052468E-5</c:v>
                </c:pt>
                <c:pt idx="32">
                  <c:v>3.1041407057848837E-5</c:v>
                </c:pt>
                <c:pt idx="33">
                  <c:v>3.8535196742085354E-5</c:v>
                </c:pt>
                <c:pt idx="34">
                  <c:v>4.7718636541202993E-5</c:v>
                </c:pt>
                <c:pt idx="35">
                  <c:v>5.8943067756537443E-5</c:v>
                </c:pt>
                <c:pt idx="36">
                  <c:v>7.2625930302249369E-5</c:v>
                </c:pt>
                <c:pt idx="37">
                  <c:v>8.926165717712912E-5</c:v>
                </c:pt>
                <c:pt idx="38">
                  <c:v>1.0943404343979588E-4</c:v>
                </c:pt>
                <c:pt idx="39">
                  <c:v>1.3383022576488014E-4</c:v>
                </c:pt>
                <c:pt idx="40">
                  <c:v>1.6325640876623562E-4</c:v>
                </c:pt>
                <c:pt idx="41">
                  <c:v>1.9865547139276475E-4</c:v>
                </c:pt>
                <c:pt idx="42">
                  <c:v>2.4112658022598424E-4</c:v>
                </c:pt>
                <c:pt idx="43">
                  <c:v>2.919469257914491E-4</c:v>
                </c:pt>
                <c:pt idx="44">
                  <c:v>3.5259568236743256E-4</c:v>
                </c:pt>
                <c:pt idx="45">
                  <c:v>4.2478027055073593E-4</c:v>
                </c:pt>
                <c:pt idx="46">
                  <c:v>5.1046497434416652E-4</c:v>
                </c:pt>
                <c:pt idx="47">
                  <c:v>6.1190193011375076E-4</c:v>
                </c:pt>
                <c:pt idx="48">
                  <c:v>7.3166446283028422E-4</c:v>
                </c:pt>
                <c:pt idx="49">
                  <c:v>8.7268269504573066E-4</c:v>
                </c:pt>
                <c:pt idx="50">
                  <c:v>1.0382812956613752E-3</c:v>
                </c:pt>
                <c:pt idx="51">
                  <c:v>1.2322191684729772E-3</c:v>
                </c:pt>
                <c:pt idx="52">
                  <c:v>1.458730804666698E-3</c:v>
                </c:pt>
                <c:pt idx="53">
                  <c:v>1.7225689390536229E-3</c:v>
                </c:pt>
                <c:pt idx="54">
                  <c:v>2.0290480572997031E-3</c:v>
                </c:pt>
                <c:pt idx="55">
                  <c:v>2.3840882014647662E-3</c:v>
                </c:pt>
                <c:pt idx="56">
                  <c:v>2.7942584148793578E-3</c:v>
                </c:pt>
                <c:pt idx="57">
                  <c:v>3.2668190561998202E-3</c:v>
                </c:pt>
                <c:pt idx="58">
                  <c:v>3.809762098221692E-3</c:v>
                </c:pt>
                <c:pt idx="59">
                  <c:v>4.4318484119378783E-3</c:v>
                </c:pt>
                <c:pt idx="60">
                  <c:v>5.1426409230537883E-3</c:v>
                </c:pt>
                <c:pt idx="61">
                  <c:v>5.9525324197756795E-3</c:v>
                </c:pt>
                <c:pt idx="62">
                  <c:v>6.8727666906137829E-3</c:v>
                </c:pt>
                <c:pt idx="63">
                  <c:v>7.915451582979743E-3</c:v>
                </c:pt>
                <c:pt idx="64">
                  <c:v>9.0935625015907996E-3</c:v>
                </c:pt>
                <c:pt idx="65">
                  <c:v>1.0420934814422318E-2</c:v>
                </c:pt>
                <c:pt idx="66">
                  <c:v>1.1912243607604862E-2</c:v>
                </c:pt>
                <c:pt idx="67">
                  <c:v>1.3582969233685271E-2</c:v>
                </c:pt>
                <c:pt idx="68">
                  <c:v>1.5449347134394779E-2</c:v>
                </c:pt>
                <c:pt idx="69">
                  <c:v>1.7528300493568086E-2</c:v>
                </c:pt>
                <c:pt idx="70">
                  <c:v>1.9837354391794845E-2</c:v>
                </c:pt>
                <c:pt idx="71">
                  <c:v>2.2394530294842355E-2</c:v>
                </c:pt>
                <c:pt idx="72">
                  <c:v>2.5218219915193813E-2</c:v>
                </c:pt>
                <c:pt idx="73">
                  <c:v>2.8327037741600516E-2</c:v>
                </c:pt>
                <c:pt idx="74">
                  <c:v>3.1739651835666682E-2</c:v>
                </c:pt>
                <c:pt idx="75">
                  <c:v>3.5474592846230668E-2</c:v>
                </c:pt>
                <c:pt idx="76">
                  <c:v>3.955004158936936E-2</c:v>
                </c:pt>
                <c:pt idx="77">
                  <c:v>4.3983595980426296E-2</c:v>
                </c:pt>
                <c:pt idx="78">
                  <c:v>4.8792018579181751E-2</c:v>
                </c:pt>
                <c:pt idx="79">
                  <c:v>5.3990966513186953E-2</c:v>
                </c:pt>
                <c:pt idx="80">
                  <c:v>5.9594706068814909E-2</c:v>
                </c:pt>
                <c:pt idx="81">
                  <c:v>6.5615814774675332E-2</c:v>
                </c:pt>
                <c:pt idx="82">
                  <c:v>7.2064874336216694E-2</c:v>
                </c:pt>
                <c:pt idx="83">
                  <c:v>7.8950158300892734E-2</c:v>
                </c:pt>
                <c:pt idx="84">
                  <c:v>8.6277318826510171E-2</c:v>
                </c:pt>
                <c:pt idx="85">
                  <c:v>9.40490773768837E-2</c:v>
                </c:pt>
                <c:pt idx="86">
                  <c:v>0.10226492456397464</c:v>
                </c:pt>
                <c:pt idx="87">
                  <c:v>0.110920834679452</c:v>
                </c:pt>
                <c:pt idx="88">
                  <c:v>0.12000900069698188</c:v>
                </c:pt>
                <c:pt idx="89">
                  <c:v>0.12951759566588786</c:v>
                </c:pt>
                <c:pt idx="90">
                  <c:v>0.13943056644535617</c:v>
                </c:pt>
                <c:pt idx="91">
                  <c:v>0.14972746563574069</c:v>
                </c:pt>
                <c:pt idx="92">
                  <c:v>0.16038332734191524</c:v>
                </c:pt>
                <c:pt idx="93">
                  <c:v>0.17136859204780289</c:v>
                </c:pt>
                <c:pt idx="94">
                  <c:v>0.18264908538901736</c:v>
                </c:pt>
                <c:pt idx="95">
                  <c:v>0.19418605498320829</c:v>
                </c:pt>
                <c:pt idx="96">
                  <c:v>0.20593626871997003</c:v>
                </c:pt>
                <c:pt idx="97">
                  <c:v>0.21785217703254575</c:v>
                </c:pt>
                <c:pt idx="98">
                  <c:v>0.22988214068422821</c:v>
                </c:pt>
                <c:pt idx="99">
                  <c:v>0.24197072451913854</c:v>
                </c:pt>
                <c:pt idx="100">
                  <c:v>0.25405905646918409</c:v>
                </c:pt>
                <c:pt idx="101">
                  <c:v>0.26608524989875015</c:v>
                </c:pt>
                <c:pt idx="102">
                  <c:v>0.27798488613099182</c:v>
                </c:pt>
                <c:pt idx="103">
                  <c:v>0.28969155276147818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E-4D87-8AF1-5D0FF88E8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884928"/>
        <c:axId val="259886464"/>
      </c:lineChart>
      <c:catAx>
        <c:axId val="2598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886464"/>
        <c:crosses val="autoZero"/>
        <c:auto val="1"/>
        <c:lblAlgn val="ctr"/>
        <c:lblOffset val="100"/>
        <c:noMultiLvlLbl val="0"/>
      </c:catAx>
      <c:valAx>
        <c:axId val="25988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884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285749</xdr:colOff>
      <xdr:row>0</xdr:row>
      <xdr:rowOff>108856</xdr:rowOff>
    </xdr:from>
    <xdr:to>
      <xdr:col>31</xdr:col>
      <xdr:colOff>367393</xdr:colOff>
      <xdr:row>2</xdr:row>
      <xdr:rowOff>27215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99</xdr:col>
      <xdr:colOff>353785</xdr:colOff>
      <xdr:row>41</xdr:row>
      <xdr:rowOff>27215</xdr:rowOff>
    </xdr:from>
    <xdr:to>
      <xdr:col>113</xdr:col>
      <xdr:colOff>163287</xdr:colOff>
      <xdr:row>78</xdr:row>
      <xdr:rowOff>13609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99</xdr:col>
      <xdr:colOff>108861</xdr:colOff>
      <xdr:row>6</xdr:row>
      <xdr:rowOff>122466</xdr:rowOff>
    </xdr:from>
    <xdr:to>
      <xdr:col>111</xdr:col>
      <xdr:colOff>585113</xdr:colOff>
      <xdr:row>39</xdr:row>
      <xdr:rowOff>95252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102</xdr:col>
      <xdr:colOff>274861</xdr:colOff>
      <xdr:row>79</xdr:row>
      <xdr:rowOff>163285</xdr:rowOff>
    </xdr:from>
    <xdr:to>
      <xdr:col>119</xdr:col>
      <xdr:colOff>40821</xdr:colOff>
      <xdr:row>101</xdr:row>
      <xdr:rowOff>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83</xdr:col>
      <xdr:colOff>231321</xdr:colOff>
      <xdr:row>112</xdr:row>
      <xdr:rowOff>111579</xdr:rowOff>
    </xdr:from>
    <xdr:to>
      <xdr:col>89</xdr:col>
      <xdr:colOff>149678</xdr:colOff>
      <xdr:row>125</xdr:row>
      <xdr:rowOff>201386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116</xdr:col>
      <xdr:colOff>381001</xdr:colOff>
      <xdr:row>4</xdr:row>
      <xdr:rowOff>13608</xdr:rowOff>
    </xdr:from>
    <xdr:to>
      <xdr:col>129</xdr:col>
      <xdr:colOff>272144</xdr:colOff>
      <xdr:row>29</xdr:row>
      <xdr:rowOff>81644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114</xdr:col>
      <xdr:colOff>136072</xdr:colOff>
      <xdr:row>38</xdr:row>
      <xdr:rowOff>0</xdr:rowOff>
    </xdr:from>
    <xdr:to>
      <xdr:col>127</xdr:col>
      <xdr:colOff>625931</xdr:colOff>
      <xdr:row>74</xdr:row>
      <xdr:rowOff>190501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392205</xdr:colOff>
      <xdr:row>31</xdr:row>
      <xdr:rowOff>85165</xdr:rowOff>
    </xdr:from>
    <xdr:to>
      <xdr:col>15</xdr:col>
      <xdr:colOff>896471</xdr:colOff>
      <xdr:row>61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885265</xdr:colOff>
      <xdr:row>77</xdr:row>
      <xdr:rowOff>67236</xdr:rowOff>
    </xdr:from>
    <xdr:to>
      <xdr:col>16</xdr:col>
      <xdr:colOff>347384</xdr:colOff>
      <xdr:row>107</xdr:row>
      <xdr:rowOff>15689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202036</xdr:colOff>
      <xdr:row>94</xdr:row>
      <xdr:rowOff>173182</xdr:rowOff>
    </xdr:from>
    <xdr:to>
      <xdr:col>8</xdr:col>
      <xdr:colOff>764316</xdr:colOff>
      <xdr:row>96</xdr:row>
      <xdr:rowOff>201756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59736" y="16737157"/>
          <a:ext cx="214343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183</xdr:row>
      <xdr:rowOff>28575</xdr:rowOff>
    </xdr:from>
    <xdr:to>
      <xdr:col>13</xdr:col>
      <xdr:colOff>152400</xdr:colOff>
      <xdr:row>196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895349</xdr:colOff>
      <xdr:row>7</xdr:row>
      <xdr:rowOff>95249</xdr:rowOff>
    </xdr:from>
    <xdr:to>
      <xdr:col>21</xdr:col>
      <xdr:colOff>152400</xdr:colOff>
      <xdr:row>26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371475</xdr:colOff>
      <xdr:row>8</xdr:row>
      <xdr:rowOff>161925</xdr:rowOff>
    </xdr:from>
    <xdr:to>
      <xdr:col>28</xdr:col>
      <xdr:colOff>609600</xdr:colOff>
      <xdr:row>22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3</xdr:row>
      <xdr:rowOff>38100</xdr:rowOff>
    </xdr:from>
    <xdr:to>
      <xdr:col>4</xdr:col>
      <xdr:colOff>2171700</xdr:colOff>
      <xdr:row>11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638175"/>
          <a:ext cx="1924050" cy="2524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Z78"/>
  <sheetViews>
    <sheetView zoomScale="85" zoomScaleNormal="85" workbookViewId="0">
      <selection activeCell="A37" sqref="A37"/>
    </sheetView>
  </sheetViews>
  <sheetFormatPr defaultColWidth="11" defaultRowHeight="15.9"/>
  <cols>
    <col min="1" max="1" width="41.35546875" customWidth="1"/>
    <col min="2" max="2" width="23.7109375" customWidth="1"/>
    <col min="3" max="3" width="13.140625" customWidth="1"/>
    <col min="4" max="6" width="12.640625" bestFit="1" customWidth="1"/>
    <col min="7" max="10" width="11.2109375" bestFit="1" customWidth="1"/>
    <col min="11" max="11" width="14.7109375" customWidth="1"/>
    <col min="12" max="22" width="11.2109375" bestFit="1" customWidth="1"/>
    <col min="23" max="23" width="9.85546875" customWidth="1"/>
  </cols>
  <sheetData>
    <row r="1" spans="1:70">
      <c r="A1">
        <v>7.9741404289037608E-3</v>
      </c>
      <c r="B1">
        <v>0.05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s="146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 t="s">
        <v>252</v>
      </c>
    </row>
    <row r="2" spans="1:70" ht="23.15">
      <c r="A2" s="18" t="s">
        <v>51</v>
      </c>
      <c r="B2" s="6"/>
      <c r="C2">
        <v>365</v>
      </c>
      <c r="D2">
        <v>365</v>
      </c>
      <c r="E2">
        <v>365</v>
      </c>
      <c r="F2">
        <v>365</v>
      </c>
      <c r="G2">
        <v>365</v>
      </c>
      <c r="H2">
        <v>365</v>
      </c>
      <c r="I2">
        <v>365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  <c r="AH2">
        <v>365</v>
      </c>
      <c r="AI2">
        <v>365</v>
      </c>
      <c r="AJ2">
        <v>365</v>
      </c>
      <c r="AK2">
        <v>365</v>
      </c>
      <c r="AL2">
        <v>365</v>
      </c>
      <c r="AM2">
        <v>365</v>
      </c>
      <c r="AN2">
        <v>365</v>
      </c>
      <c r="AO2">
        <v>365</v>
      </c>
      <c r="AP2">
        <v>365</v>
      </c>
      <c r="AQ2">
        <v>365</v>
      </c>
      <c r="AR2">
        <v>365</v>
      </c>
      <c r="AS2">
        <v>365</v>
      </c>
      <c r="AT2">
        <v>365</v>
      </c>
      <c r="AU2">
        <v>365</v>
      </c>
      <c r="AV2">
        <v>365</v>
      </c>
      <c r="AW2">
        <v>365</v>
      </c>
      <c r="AX2">
        <v>365</v>
      </c>
      <c r="AY2">
        <v>365</v>
      </c>
      <c r="AZ2">
        <v>365</v>
      </c>
      <c r="BA2">
        <v>365</v>
      </c>
      <c r="BB2">
        <v>365</v>
      </c>
      <c r="BC2">
        <v>365</v>
      </c>
      <c r="BD2">
        <v>365</v>
      </c>
      <c r="BE2">
        <v>365</v>
      </c>
      <c r="BF2">
        <v>365</v>
      </c>
      <c r="BG2">
        <v>365</v>
      </c>
      <c r="BH2">
        <v>365</v>
      </c>
      <c r="BI2">
        <v>365</v>
      </c>
      <c r="BJ2">
        <v>365</v>
      </c>
      <c r="BK2">
        <v>365</v>
      </c>
      <c r="BL2">
        <v>365</v>
      </c>
      <c r="BM2">
        <v>365</v>
      </c>
      <c r="BN2">
        <v>365</v>
      </c>
      <c r="BO2">
        <v>365</v>
      </c>
      <c r="BP2">
        <v>365</v>
      </c>
      <c r="BQ2">
        <v>365</v>
      </c>
    </row>
    <row r="3" spans="1:70"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  <c r="I3">
        <v>2023</v>
      </c>
      <c r="J3">
        <v>2024</v>
      </c>
      <c r="K3">
        <v>2025</v>
      </c>
      <c r="L3">
        <v>2026</v>
      </c>
      <c r="M3">
        <v>2027</v>
      </c>
      <c r="N3">
        <v>2028</v>
      </c>
      <c r="O3">
        <v>2029</v>
      </c>
      <c r="P3">
        <v>2030</v>
      </c>
      <c r="Q3">
        <v>2031</v>
      </c>
      <c r="R3">
        <v>2032</v>
      </c>
      <c r="S3">
        <v>2033</v>
      </c>
      <c r="T3">
        <v>2034</v>
      </c>
      <c r="U3">
        <v>2035</v>
      </c>
      <c r="V3">
        <v>2036</v>
      </c>
      <c r="W3">
        <v>2036</v>
      </c>
      <c r="X3">
        <v>2036</v>
      </c>
      <c r="Y3">
        <v>2036</v>
      </c>
      <c r="Z3">
        <v>2036</v>
      </c>
      <c r="AA3">
        <v>2036</v>
      </c>
      <c r="AB3">
        <v>2036</v>
      </c>
      <c r="AC3">
        <v>2036</v>
      </c>
      <c r="AD3">
        <v>2036</v>
      </c>
      <c r="AE3">
        <v>2036</v>
      </c>
      <c r="AF3">
        <v>2036</v>
      </c>
      <c r="AG3">
        <v>2036</v>
      </c>
      <c r="AH3">
        <v>2036</v>
      </c>
      <c r="AI3">
        <v>2036</v>
      </c>
      <c r="AJ3">
        <v>2036</v>
      </c>
      <c r="AK3">
        <v>2036</v>
      </c>
      <c r="AL3">
        <v>2036</v>
      </c>
      <c r="AM3">
        <v>2036</v>
      </c>
      <c r="AN3">
        <v>2036</v>
      </c>
      <c r="AO3">
        <v>2036</v>
      </c>
      <c r="AP3">
        <v>2036</v>
      </c>
      <c r="AQ3">
        <v>2036</v>
      </c>
      <c r="AR3">
        <v>2036</v>
      </c>
      <c r="AS3">
        <v>2036</v>
      </c>
      <c r="AT3">
        <v>2036</v>
      </c>
      <c r="AU3">
        <v>2036</v>
      </c>
      <c r="AV3">
        <v>2036</v>
      </c>
      <c r="AW3">
        <v>2036</v>
      </c>
      <c r="AX3">
        <v>2036</v>
      </c>
      <c r="AY3">
        <v>2036</v>
      </c>
      <c r="AZ3">
        <v>2036</v>
      </c>
      <c r="BA3">
        <v>2036</v>
      </c>
      <c r="BB3">
        <v>2036</v>
      </c>
      <c r="BC3">
        <v>2036</v>
      </c>
      <c r="BD3">
        <v>2036</v>
      </c>
      <c r="BE3">
        <v>2036</v>
      </c>
      <c r="BF3">
        <v>2036</v>
      </c>
      <c r="BG3">
        <v>2036</v>
      </c>
      <c r="BH3">
        <v>2036</v>
      </c>
      <c r="BI3">
        <v>2036</v>
      </c>
      <c r="BJ3">
        <v>2036</v>
      </c>
      <c r="BK3">
        <v>2036</v>
      </c>
      <c r="BL3">
        <v>2036</v>
      </c>
      <c r="BM3">
        <v>2036</v>
      </c>
      <c r="BN3">
        <v>2036</v>
      </c>
      <c r="BO3">
        <v>2036</v>
      </c>
      <c r="BP3">
        <v>2036</v>
      </c>
      <c r="BQ3">
        <v>2036</v>
      </c>
    </row>
    <row r="4" spans="1:70">
      <c r="C4" s="14">
        <f>C9-1</f>
        <v>-5.0000000000000044E-2</v>
      </c>
      <c r="D4" s="14">
        <f t="shared" ref="D4:J4" si="0">D9-1</f>
        <v>-4.500000000000004E-2</v>
      </c>
      <c r="E4" s="14">
        <f t="shared" si="0"/>
        <v>-4.049999999999998E-2</v>
      </c>
      <c r="F4" s="14">
        <f t="shared" si="0"/>
        <v>-3.6449999999999982E-2</v>
      </c>
      <c r="G4" s="14">
        <f t="shared" si="0"/>
        <v>-3.2804999999999973E-2</v>
      </c>
      <c r="H4" s="14">
        <f t="shared" si="0"/>
        <v>-2.9524499999999954E-2</v>
      </c>
      <c r="I4" s="14">
        <f t="shared" si="0"/>
        <v>-2.6572049999999958E-2</v>
      </c>
      <c r="J4" s="14">
        <f t="shared" si="0"/>
        <v>-2.3914844999999962E-2</v>
      </c>
      <c r="K4" s="14">
        <f t="shared" ref="K4" si="1">K9-1</f>
        <v>-2.1523360499999922E-2</v>
      </c>
      <c r="L4" s="14">
        <f t="shared" ref="L4" si="2">L9-1</f>
        <v>-1.9371024449999941E-2</v>
      </c>
      <c r="M4" s="14">
        <f t="shared" ref="M4" si="3">M9-1</f>
        <v>-1.7433922004999935E-2</v>
      </c>
      <c r="N4" s="14">
        <f t="shared" ref="N4" si="4">N9-1</f>
        <v>-1.569052980449992E-2</v>
      </c>
      <c r="O4" s="14">
        <f t="shared" ref="O4" si="5">O9-1</f>
        <v>-1.4121476824049961E-2</v>
      </c>
      <c r="P4" s="14">
        <f t="shared" ref="P4:Q4" si="6">P9-1</f>
        <v>-1.2709329141644909E-2</v>
      </c>
      <c r="Q4" s="14">
        <f t="shared" si="6"/>
        <v>-1.1438396227480441E-2</v>
      </c>
      <c r="R4" s="14">
        <f t="shared" ref="R4" si="7">R9-1</f>
        <v>-1.0294556604732441E-2</v>
      </c>
      <c r="S4" s="14">
        <f t="shared" ref="S4" si="8">S9-1</f>
        <v>-9.2651009442592525E-3</v>
      </c>
      <c r="T4" s="14">
        <f t="shared" ref="T4" si="9">T9-1</f>
        <v>-8.3385908498333494E-3</v>
      </c>
      <c r="U4" s="14">
        <f t="shared" ref="U4" si="10">U9-1</f>
        <v>-7.5047317648500034E-3</v>
      </c>
      <c r="V4" s="14">
        <f t="shared" ref="V4" si="11">V9-1</f>
        <v>-6.7542585883649808E-3</v>
      </c>
      <c r="W4" s="14">
        <f t="shared" ref="W4:AE4" si="12">W9-1</f>
        <v>-6.0788327295284716E-3</v>
      </c>
      <c r="X4" s="14">
        <f t="shared" si="12"/>
        <v>-5.4709494565756689E-3</v>
      </c>
      <c r="Y4" s="14">
        <f t="shared" si="12"/>
        <v>-4.9238545109181464E-3</v>
      </c>
      <c r="Z4" s="14">
        <f t="shared" si="12"/>
        <v>-4.4314690598263873E-3</v>
      </c>
      <c r="AA4" s="14">
        <f t="shared" si="12"/>
        <v>-3.9883221538437041E-3</v>
      </c>
      <c r="AB4" s="14">
        <f t="shared" si="12"/>
        <v>-3.5894899384593115E-3</v>
      </c>
      <c r="AC4" s="14">
        <f t="shared" si="12"/>
        <v>-3.2305409446133915E-3</v>
      </c>
      <c r="AD4" s="14">
        <f t="shared" si="12"/>
        <v>-2.9074868501520745E-3</v>
      </c>
      <c r="AE4" s="14">
        <f t="shared" si="12"/>
        <v>-2.616738165136856E-3</v>
      </c>
      <c r="AF4" s="14">
        <f t="shared" ref="AF4:BF4" si="13">AF9-1</f>
        <v>-2.3550643486232037E-3</v>
      </c>
      <c r="AG4" s="14">
        <f t="shared" si="13"/>
        <v>-2.1195579137608389E-3</v>
      </c>
      <c r="AH4" s="14">
        <f t="shared" si="13"/>
        <v>-1.9076021223847217E-3</v>
      </c>
      <c r="AI4" s="14">
        <f t="shared" si="13"/>
        <v>-1.7168419101462051E-3</v>
      </c>
      <c r="AJ4" s="14">
        <f t="shared" si="13"/>
        <v>-1.5451577191315513E-3</v>
      </c>
      <c r="AK4" s="14">
        <f t="shared" si="13"/>
        <v>-1.3906419472183851E-3</v>
      </c>
      <c r="AL4" s="14">
        <f t="shared" si="13"/>
        <v>-1.2515777524965133E-3</v>
      </c>
      <c r="AM4" s="14">
        <f t="shared" si="13"/>
        <v>-1.1264199772468286E-3</v>
      </c>
      <c r="AN4" s="14">
        <f t="shared" si="13"/>
        <v>-1.0137779795221791E-3</v>
      </c>
      <c r="AO4" s="14">
        <f t="shared" si="13"/>
        <v>-9.1240018156990566E-4</v>
      </c>
      <c r="AP4" s="14">
        <f t="shared" si="13"/>
        <v>-8.2116016341293729E-4</v>
      </c>
      <c r="AQ4" s="14">
        <f t="shared" si="13"/>
        <v>-7.3904414707159916E-4</v>
      </c>
      <c r="AR4" s="14">
        <f t="shared" si="13"/>
        <v>-6.6513973236448365E-4</v>
      </c>
      <c r="AS4" s="14">
        <f t="shared" si="13"/>
        <v>-5.9862575912805749E-4</v>
      </c>
      <c r="AT4" s="14">
        <f t="shared" si="13"/>
        <v>-5.3876318321521843E-4</v>
      </c>
      <c r="AU4" s="14">
        <f t="shared" si="13"/>
        <v>-4.8488686489367439E-4</v>
      </c>
      <c r="AV4" s="14">
        <f t="shared" si="13"/>
        <v>-4.3639817840435136E-4</v>
      </c>
      <c r="AW4" s="14">
        <f t="shared" si="13"/>
        <v>-3.9275836056396063E-4</v>
      </c>
      <c r="AX4" s="14">
        <f t="shared" si="13"/>
        <v>-3.5348252450750905E-4</v>
      </c>
      <c r="AY4" s="14">
        <f t="shared" si="13"/>
        <v>-3.1813427205673595E-4</v>
      </c>
      <c r="AZ4" s="14">
        <f t="shared" si="13"/>
        <v>-2.8632084485102904E-4</v>
      </c>
      <c r="BA4" s="14">
        <f t="shared" si="13"/>
        <v>-2.5768876036591504E-4</v>
      </c>
      <c r="BB4" s="14">
        <f t="shared" si="13"/>
        <v>-2.3191988432935684E-4</v>
      </c>
      <c r="BC4" s="14">
        <f t="shared" si="13"/>
        <v>-2.0872789589643226E-4</v>
      </c>
      <c r="BD4" s="14">
        <f t="shared" si="13"/>
        <v>-1.8785510630681124E-4</v>
      </c>
      <c r="BE4" s="14">
        <f t="shared" si="13"/>
        <v>-1.690695956760857E-4</v>
      </c>
      <c r="BF4" s="14">
        <f t="shared" si="13"/>
        <v>-1.5216263610851044E-4</v>
      </c>
      <c r="BG4" s="14">
        <f t="shared" ref="BG4:BQ4" si="14">BG9-1</f>
        <v>-1.3694637249761499E-4</v>
      </c>
      <c r="BH4" s="14">
        <f t="shared" si="14"/>
        <v>-1.2325173524785349E-4</v>
      </c>
      <c r="BI4" s="14">
        <f t="shared" si="14"/>
        <v>-1.1092656172306814E-4</v>
      </c>
      <c r="BJ4" s="14">
        <f t="shared" si="14"/>
        <v>-9.9833905550794633E-5</v>
      </c>
      <c r="BK4" s="14">
        <f t="shared" si="14"/>
        <v>-8.9850514995770681E-5</v>
      </c>
      <c r="BL4" s="14">
        <f t="shared" si="14"/>
        <v>-8.0865463496171408E-5</v>
      </c>
      <c r="BM4" s="14">
        <f t="shared" si="14"/>
        <v>-7.2778917146520961E-5</v>
      </c>
      <c r="BN4" s="14">
        <f t="shared" si="14"/>
        <v>-6.5501025431902171E-5</v>
      </c>
      <c r="BO4" s="14">
        <f t="shared" si="14"/>
        <v>-5.8950922888767465E-5</v>
      </c>
      <c r="BP4" s="14">
        <f t="shared" si="14"/>
        <v>-5.3055830599890719E-5</v>
      </c>
      <c r="BQ4" s="14">
        <f t="shared" si="14"/>
        <v>-4.7750247539890545E-5</v>
      </c>
    </row>
    <row r="5" spans="1:70">
      <c r="C5" s="14">
        <f>C4/(1+C10)</f>
        <v>-4.5454545454545491E-2</v>
      </c>
      <c r="D5" s="14">
        <f t="shared" ref="D5" si="15">D4/(1+D10)</f>
        <v>-4.0909090909090944E-2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70">
      <c r="A6" t="s">
        <v>111</v>
      </c>
      <c r="C6" s="14">
        <v>0.05</v>
      </c>
      <c r="D6" s="14">
        <f>C6/(1+C10)</f>
        <v>4.5454545454545456E-2</v>
      </c>
      <c r="E6" s="14">
        <f>D6/(1+D10)</f>
        <v>4.1322314049586778E-2</v>
      </c>
      <c r="F6" s="14">
        <f t="shared" ref="F6:V6" si="16">E6/(1+E10)</f>
        <v>3.7565740045078885E-2</v>
      </c>
      <c r="G6" s="14">
        <f t="shared" si="16"/>
        <v>3.415067276825353E-2</v>
      </c>
      <c r="H6" s="14">
        <f t="shared" si="16"/>
        <v>3.1046066152957751E-2</v>
      </c>
      <c r="I6" s="14">
        <f t="shared" si="16"/>
        <v>2.8223696502688862E-2</v>
      </c>
      <c r="J6" s="14">
        <f t="shared" si="16"/>
        <v>2.5657905911535328E-2</v>
      </c>
      <c r="K6" s="14">
        <f t="shared" si="16"/>
        <v>2.3325369010486659E-2</v>
      </c>
      <c r="L6" s="14">
        <f t="shared" si="16"/>
        <v>2.1204880918624235E-2</v>
      </c>
      <c r="M6" s="14">
        <f t="shared" si="16"/>
        <v>1.9277164471476576E-2</v>
      </c>
      <c r="N6" s="14">
        <f t="shared" si="16"/>
        <v>1.7524694974069614E-2</v>
      </c>
      <c r="O6" s="14">
        <f t="shared" si="16"/>
        <v>1.593154088551783E-2</v>
      </c>
      <c r="P6" s="14">
        <f t="shared" si="16"/>
        <v>1.4483218986834389E-2</v>
      </c>
      <c r="Q6" s="14">
        <f t="shared" si="16"/>
        <v>1.3166562715303989E-2</v>
      </c>
      <c r="R6" s="14">
        <f t="shared" si="16"/>
        <v>1.1969602468458171E-2</v>
      </c>
      <c r="S6" s="14">
        <f t="shared" si="16"/>
        <v>1.0881456789507428E-2</v>
      </c>
      <c r="T6" s="14">
        <f t="shared" si="16"/>
        <v>9.8922334450067522E-3</v>
      </c>
      <c r="U6" s="14">
        <f t="shared" si="16"/>
        <v>8.992939495460683E-3</v>
      </c>
      <c r="V6" s="14">
        <f t="shared" si="16"/>
        <v>8.1753995413278938E-3</v>
      </c>
      <c r="W6" s="14">
        <f t="shared" ref="W6" si="17">V6/(1+V10)</f>
        <v>7.4321814012071755E-3</v>
      </c>
      <c r="X6" s="14">
        <f t="shared" ref="X6" si="18">W6/(1+W10)</f>
        <v>6.7565285465519768E-3</v>
      </c>
      <c r="Y6" s="14">
        <f t="shared" ref="Y6" si="19">X6/(1+X10)</f>
        <v>6.1422986786836145E-3</v>
      </c>
      <c r="Z6" s="14">
        <f t="shared" ref="Z6" si="20">Y6/(1+Y10)</f>
        <v>5.5839078897123766E-3</v>
      </c>
      <c r="AA6" s="14">
        <f t="shared" ref="AA6" si="21">Z6/(1+Z10)</f>
        <v>5.0762798997385237E-3</v>
      </c>
      <c r="AB6" s="14">
        <f t="shared" ref="AB6" si="22">AA6/(1+AA10)</f>
        <v>4.6147999088532029E-3</v>
      </c>
      <c r="AC6" s="14">
        <f t="shared" ref="AC6" si="23">AB6/(1+AB10)</f>
        <v>4.1952726444120019E-3</v>
      </c>
      <c r="AD6" s="14">
        <f t="shared" ref="AD6" si="24">AC6/(1+AC10)</f>
        <v>3.8138842221927286E-3</v>
      </c>
      <c r="AE6" s="14">
        <f t="shared" ref="AE6" si="25">AD6/(1+AD10)</f>
        <v>3.4671674747206623E-3</v>
      </c>
      <c r="AF6" s="14">
        <f t="shared" ref="AF6" si="26">AE6/(1+AE10)</f>
        <v>3.1519704315642384E-3</v>
      </c>
      <c r="AG6" s="14">
        <f t="shared" ref="AG6" si="27">AF6/(1+AF10)</f>
        <v>2.8654276650583984E-3</v>
      </c>
      <c r="AH6" s="14">
        <f t="shared" ref="AH6" si="28">AG6/(1+AG10)</f>
        <v>2.6049342409621801E-3</v>
      </c>
      <c r="AI6" s="14">
        <f t="shared" ref="AI6" si="29">AH6/(1+AH10)</f>
        <v>2.3681220372383455E-3</v>
      </c>
      <c r="AJ6" s="14">
        <f t="shared" ref="AJ6" si="30">AI6/(1+AI10)</f>
        <v>2.1528382156712229E-3</v>
      </c>
      <c r="AK6" s="14">
        <f t="shared" ref="AK6" si="31">AJ6/(1+AJ10)</f>
        <v>1.9571256506102025E-3</v>
      </c>
      <c r="AL6" s="14">
        <f t="shared" ref="AL6" si="32">AK6/(1+AK10)</f>
        <v>1.7792051369183658E-3</v>
      </c>
      <c r="AM6" s="14">
        <f t="shared" ref="AM6" si="33">AL6/(1+AL10)</f>
        <v>1.6174592153803324E-3</v>
      </c>
      <c r="AN6" s="14">
        <f t="shared" ref="AN6" si="34">AM6/(1+AM10)</f>
        <v>1.4704174685275747E-3</v>
      </c>
      <c r="AO6" s="14">
        <f t="shared" ref="AO6" si="35">AN6/(1+AN10)</f>
        <v>1.336743153206886E-3</v>
      </c>
      <c r="AP6" s="14">
        <f t="shared" ref="AP6" si="36">AO6/(1+AO10)</f>
        <v>1.2152210483698962E-3</v>
      </c>
      <c r="AQ6" s="14">
        <f t="shared" ref="AQ6" si="37">AP6/(1+AP10)</f>
        <v>1.1047464076089965E-3</v>
      </c>
      <c r="AR6" s="14">
        <f t="shared" ref="AR6" si="38">AQ6/(1+AQ10)</f>
        <v>1.0043149160081785E-3</v>
      </c>
      <c r="AS6" s="14">
        <f t="shared" ref="AS6" si="39">AR6/(1+AR10)</f>
        <v>9.1301356000743491E-4</v>
      </c>
      <c r="AT6" s="14">
        <f t="shared" ref="AT6" si="40">AS6/(1+AS10)</f>
        <v>8.3001232727948626E-4</v>
      </c>
      <c r="AU6" s="14">
        <f t="shared" ref="AU6" si="41">AT6/(1+AT10)</f>
        <v>7.5455666116316922E-4</v>
      </c>
      <c r="AV6" s="14">
        <f t="shared" ref="AV6" si="42">AU6/(1+AU10)</f>
        <v>6.8596060105742649E-4</v>
      </c>
      <c r="AW6" s="14">
        <f t="shared" ref="AW6" si="43">AV6/(1+AV10)</f>
        <v>6.2360054641584224E-4</v>
      </c>
      <c r="AX6" s="14">
        <f t="shared" ref="AX6" si="44">AW6/(1+AW10)</f>
        <v>5.669095876507656E-4</v>
      </c>
      <c r="AY6" s="14">
        <f t="shared" ref="AY6" si="45">AX6/(1+AX10)</f>
        <v>5.1537235240978684E-4</v>
      </c>
      <c r="AZ6" s="14">
        <f t="shared" ref="AZ6" si="46">AY6/(1+AY10)</f>
        <v>4.6852032037253345E-4</v>
      </c>
      <c r="BA6" s="14">
        <f t="shared" ref="BA6" si="47">AZ6/(1+AZ10)</f>
        <v>4.259275639750304E-4</v>
      </c>
      <c r="BB6" s="14">
        <f t="shared" ref="BB6" si="48">BA6/(1+BA10)</f>
        <v>3.8720687634093669E-4</v>
      </c>
      <c r="BC6" s="14">
        <f t="shared" ref="BC6" si="49">BB6/(1+BB10)</f>
        <v>3.5200625121903335E-4</v>
      </c>
      <c r="BD6" s="14">
        <f t="shared" ref="BD6" si="50">BC6/(1+BC10)</f>
        <v>3.2000568292639393E-4</v>
      </c>
      <c r="BE6" s="14">
        <f t="shared" ref="BE6" si="51">BD6/(1+BD10)</f>
        <v>2.9091425720581261E-4</v>
      </c>
      <c r="BF6" s="14">
        <f t="shared" ref="BF6" si="52">BE6/(1+BE10)</f>
        <v>2.6446750655073869E-4</v>
      </c>
      <c r="BG6" s="14">
        <f t="shared" ref="BG6" si="53">BF6/(1+BF10)</f>
        <v>2.4042500595521698E-4</v>
      </c>
      <c r="BH6" s="14">
        <f t="shared" ref="BH6" si="54">BG6/(1+BG10)</f>
        <v>2.1856818723201541E-4</v>
      </c>
      <c r="BI6" s="14">
        <f t="shared" ref="BI6" si="55">BH6/(1+BH10)</f>
        <v>1.986983520291049E-4</v>
      </c>
      <c r="BJ6" s="14">
        <f t="shared" ref="BJ6" si="56">BI6/(1+BI10)</f>
        <v>1.8063486548100443E-4</v>
      </c>
      <c r="BK6" s="14">
        <f t="shared" ref="BK6" si="57">BJ6/(1+BJ10)</f>
        <v>1.6421351407364037E-4</v>
      </c>
      <c r="BL6" s="14">
        <f t="shared" ref="BL6" si="58">BK6/(1+BK10)</f>
        <v>1.4928501279421852E-4</v>
      </c>
      <c r="BM6" s="14">
        <f t="shared" ref="BM6" si="59">BL6/(1+BL10)</f>
        <v>1.3571364799474411E-4</v>
      </c>
      <c r="BN6" s="14">
        <f t="shared" ref="BN6" si="60">BM6/(1+BM10)</f>
        <v>1.2337604363158553E-4</v>
      </c>
      <c r="BO6" s="14">
        <f t="shared" ref="BO6" si="61">BN6/(1+BN10)</f>
        <v>1.1216003966507775E-4</v>
      </c>
      <c r="BP6" s="14">
        <f t="shared" ref="BP6:BQ6" si="62">BO6/(1+BO10)</f>
        <v>1.0196367242279794E-4</v>
      </c>
      <c r="BQ6" s="14">
        <f t="shared" si="62"/>
        <v>9.2694247657089027E-5</v>
      </c>
    </row>
    <row r="7" spans="1:70">
      <c r="C7" s="14"/>
      <c r="D7" s="228">
        <f>LOG10($B$1/D6)/LOG10($C$12/D12)</f>
        <v>0.15484509385736553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</row>
    <row r="8" spans="1:70">
      <c r="C8" s="134"/>
      <c r="D8" s="14">
        <f>((C6/D6-1)/(C6*12))</f>
        <v>0.1666666666666668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70">
      <c r="A9" t="s">
        <v>6</v>
      </c>
      <c r="C9" s="3">
        <f>0.95</f>
        <v>0.95</v>
      </c>
      <c r="D9" s="22">
        <f>C9+(1-C9)*C10</f>
        <v>0.95499999999999996</v>
      </c>
      <c r="E9" s="3">
        <f t="shared" ref="E9:V9" si="63">D9+(1-D9)*D10</f>
        <v>0.95950000000000002</v>
      </c>
      <c r="F9" s="3">
        <f t="shared" si="63"/>
        <v>0.96355000000000002</v>
      </c>
      <c r="G9" s="3">
        <f t="shared" si="63"/>
        <v>0.96719500000000003</v>
      </c>
      <c r="H9" s="3">
        <f t="shared" si="63"/>
        <v>0.97047550000000005</v>
      </c>
      <c r="I9" s="3">
        <f t="shared" si="63"/>
        <v>0.97342795000000004</v>
      </c>
      <c r="J9" s="3">
        <f t="shared" si="63"/>
        <v>0.97608515500000004</v>
      </c>
      <c r="K9" s="3">
        <f t="shared" si="63"/>
        <v>0.97847663950000008</v>
      </c>
      <c r="L9" s="3">
        <f t="shared" si="63"/>
        <v>0.98062897555000006</v>
      </c>
      <c r="M9" s="3">
        <f t="shared" si="63"/>
        <v>0.98256607799500006</v>
      </c>
      <c r="N9" s="3">
        <f t="shared" si="63"/>
        <v>0.98430947019550008</v>
      </c>
      <c r="O9" s="3">
        <f t="shared" si="63"/>
        <v>0.98587852317595004</v>
      </c>
      <c r="P9" s="3">
        <f t="shared" si="63"/>
        <v>0.98729067085835509</v>
      </c>
      <c r="Q9" s="3">
        <f t="shared" si="63"/>
        <v>0.98856160377251956</v>
      </c>
      <c r="R9" s="3">
        <f t="shared" si="63"/>
        <v>0.98970544339526756</v>
      </c>
      <c r="S9" s="3">
        <f t="shared" si="63"/>
        <v>0.99073489905574075</v>
      </c>
      <c r="T9" s="3">
        <f t="shared" si="63"/>
        <v>0.99166140915016665</v>
      </c>
      <c r="U9" s="3">
        <f t="shared" si="63"/>
        <v>0.99249526823515</v>
      </c>
      <c r="V9" s="3">
        <f t="shared" si="63"/>
        <v>0.99324574141163502</v>
      </c>
      <c r="W9" s="3">
        <f t="shared" ref="W9" si="64">V9+(1-V9)*V10</f>
        <v>0.99392116727047153</v>
      </c>
      <c r="X9" s="3">
        <f t="shared" ref="X9" si="65">W9+(1-W9)*W10</f>
        <v>0.99452905054342433</v>
      </c>
      <c r="Y9" s="3">
        <f t="shared" ref="Y9" si="66">X9+(1-X9)*X10</f>
        <v>0.99507614548908185</v>
      </c>
      <c r="Z9" s="3">
        <f t="shared" ref="Z9" si="67">Y9+(1-Y9)*Y10</f>
        <v>0.99556853094017361</v>
      </c>
      <c r="AA9" s="3">
        <f t="shared" ref="AA9" si="68">Z9+(1-Z9)*Z10</f>
        <v>0.9960116778461563</v>
      </c>
      <c r="AB9" s="3">
        <f t="shared" ref="AB9" si="69">AA9+(1-AA9)*AA10</f>
        <v>0.99641051006154069</v>
      </c>
      <c r="AC9" s="3">
        <f t="shared" ref="AC9" si="70">AB9+(1-AB9)*AB10</f>
        <v>0.99676945905538661</v>
      </c>
      <c r="AD9" s="3">
        <f t="shared" ref="AD9" si="71">AC9+(1-AC9)*AC10</f>
        <v>0.99709251314984793</v>
      </c>
      <c r="AE9" s="3">
        <f t="shared" ref="AE9" si="72">AD9+(1-AD9)*AD10</f>
        <v>0.99738326183486314</v>
      </c>
      <c r="AF9" s="3">
        <f t="shared" ref="AF9" si="73">AE9+(1-AE9)*AE10</f>
        <v>0.9976449356513768</v>
      </c>
      <c r="AG9" s="3">
        <f t="shared" ref="AG9" si="74">AF9+(1-AF9)*AF10</f>
        <v>0.99788044208623916</v>
      </c>
      <c r="AH9" s="3">
        <f t="shared" ref="AH9" si="75">AG9+(1-AG9)*AG10</f>
        <v>0.99809239787761528</v>
      </c>
      <c r="AI9" s="3">
        <f t="shared" ref="AI9" si="76">AH9+(1-AH9)*AH10</f>
        <v>0.99828315808985379</v>
      </c>
      <c r="AJ9" s="3">
        <f t="shared" ref="AJ9" si="77">AI9+(1-AI9)*AI10</f>
        <v>0.99845484228086845</v>
      </c>
      <c r="AK9" s="3">
        <f t="shared" ref="AK9" si="78">AJ9+(1-AJ9)*AJ10</f>
        <v>0.99860935805278161</v>
      </c>
      <c r="AL9" s="3">
        <f t="shared" ref="AL9" si="79">AK9+(1-AK9)*AK10</f>
        <v>0.99874842224750349</v>
      </c>
      <c r="AM9" s="3">
        <f t="shared" ref="AM9" si="80">AL9+(1-AL9)*AL10</f>
        <v>0.99887358002275317</v>
      </c>
      <c r="AN9" s="3">
        <f t="shared" ref="AN9" si="81">AM9+(1-AM9)*AM10</f>
        <v>0.99898622202047782</v>
      </c>
      <c r="AO9" s="3">
        <f t="shared" ref="AO9" si="82">AN9+(1-AN9)*AN10</f>
        <v>0.99908759981843009</v>
      </c>
      <c r="AP9" s="3">
        <f t="shared" ref="AP9" si="83">AO9+(1-AO9)*AO10</f>
        <v>0.99917883983658706</v>
      </c>
      <c r="AQ9" s="3">
        <f t="shared" ref="AQ9" si="84">AP9+(1-AP9)*AP10</f>
        <v>0.9992609558529284</v>
      </c>
      <c r="AR9" s="3">
        <f t="shared" ref="AR9" si="85">AQ9+(1-AQ9)*AQ10</f>
        <v>0.99933486026763552</v>
      </c>
      <c r="AS9" s="3">
        <f t="shared" ref="AS9" si="86">AR9+(1-AR9)*AR10</f>
        <v>0.99940137424087194</v>
      </c>
      <c r="AT9" s="3">
        <f t="shared" ref="AT9" si="87">AS9+(1-AS9)*AS10</f>
        <v>0.99946123681678478</v>
      </c>
      <c r="AU9" s="3">
        <f t="shared" ref="AU9" si="88">AT9+(1-AT9)*AT10</f>
        <v>0.99951511313510633</v>
      </c>
      <c r="AV9" s="3">
        <f t="shared" ref="AV9" si="89">AU9+(1-AU9)*AU10</f>
        <v>0.99956360182159565</v>
      </c>
      <c r="AW9" s="3">
        <f t="shared" ref="AW9" si="90">AV9+(1-AV9)*AV10</f>
        <v>0.99960724163943604</v>
      </c>
      <c r="AX9" s="3">
        <f t="shared" ref="AX9" si="91">AW9+(1-AW9)*AW10</f>
        <v>0.99964651747549249</v>
      </c>
      <c r="AY9" s="3">
        <f t="shared" ref="AY9" si="92">AX9+(1-AX9)*AX10</f>
        <v>0.99968186572794326</v>
      </c>
      <c r="AZ9" s="3">
        <f t="shared" ref="AZ9" si="93">AY9+(1-AY9)*AY10</f>
        <v>0.99971367915514897</v>
      </c>
      <c r="BA9" s="3">
        <f t="shared" ref="BA9" si="94">AZ9+(1-AZ9)*AZ10</f>
        <v>0.99974231123963408</v>
      </c>
      <c r="BB9" s="3">
        <f t="shared" ref="BB9" si="95">BA9+(1-BA9)*BA10</f>
        <v>0.99976808011567064</v>
      </c>
      <c r="BC9" s="3">
        <f t="shared" ref="BC9" si="96">BB9+(1-BB9)*BB10</f>
        <v>0.99979127210410357</v>
      </c>
      <c r="BD9" s="3">
        <f t="shared" ref="BD9" si="97">BC9+(1-BC9)*BC10</f>
        <v>0.99981214489369319</v>
      </c>
      <c r="BE9" s="3">
        <f t="shared" ref="BE9" si="98">BD9+(1-BD9)*BD10</f>
        <v>0.99983093040432391</v>
      </c>
      <c r="BF9" s="3">
        <f t="shared" ref="BF9" si="99">BE9+(1-BE9)*BE10</f>
        <v>0.99984783736389149</v>
      </c>
      <c r="BG9" s="3">
        <f t="shared" ref="BG9" si="100">BF9+(1-BF9)*BF10</f>
        <v>0.99986305362750239</v>
      </c>
      <c r="BH9" s="3">
        <f t="shared" ref="BH9" si="101">BG9+(1-BG9)*BG10</f>
        <v>0.99987674826475215</v>
      </c>
      <c r="BI9" s="3">
        <f t="shared" ref="BI9" si="102">BH9+(1-BH9)*BH10</f>
        <v>0.99988907343827693</v>
      </c>
      <c r="BJ9" s="3">
        <f t="shared" ref="BJ9" si="103">BI9+(1-BI9)*BI10</f>
        <v>0.99990016609444921</v>
      </c>
      <c r="BK9" s="3">
        <f t="shared" ref="BK9" si="104">BJ9+(1-BJ9)*BJ10</f>
        <v>0.99991014948500423</v>
      </c>
      <c r="BL9" s="3">
        <f t="shared" ref="BL9" si="105">BK9+(1-BK9)*BK10</f>
        <v>0.99991913453650383</v>
      </c>
      <c r="BM9" s="3">
        <f t="shared" ref="BM9" si="106">BL9+(1-BL9)*BL10</f>
        <v>0.99992722108285348</v>
      </c>
      <c r="BN9" s="3">
        <f t="shared" ref="BN9" si="107">BM9+(1-BM9)*BM10</f>
        <v>0.9999344989745681</v>
      </c>
      <c r="BO9" s="3">
        <f t="shared" ref="BO9" si="108">BN9+(1-BN9)*BN10</f>
        <v>0.99994104907711123</v>
      </c>
      <c r="BP9" s="3">
        <f t="shared" ref="BP9:BQ9" si="109">BO9+(1-BO9)*BO10</f>
        <v>0.99994694416940011</v>
      </c>
      <c r="BQ9" s="3">
        <f t="shared" si="109"/>
        <v>0.99995224975246011</v>
      </c>
    </row>
    <row r="10" spans="1:70">
      <c r="A10" t="s">
        <v>1</v>
      </c>
      <c r="C10">
        <v>0.1</v>
      </c>
      <c r="D10">
        <f>C10</f>
        <v>0.1</v>
      </c>
      <c r="E10">
        <f t="shared" ref="E10:V10" si="110">D10</f>
        <v>0.1</v>
      </c>
      <c r="F10">
        <f t="shared" si="110"/>
        <v>0.1</v>
      </c>
      <c r="G10">
        <f t="shared" si="110"/>
        <v>0.1</v>
      </c>
      <c r="H10">
        <f t="shared" si="110"/>
        <v>0.1</v>
      </c>
      <c r="I10">
        <f t="shared" si="110"/>
        <v>0.1</v>
      </c>
      <c r="J10">
        <f t="shared" si="110"/>
        <v>0.1</v>
      </c>
      <c r="K10">
        <f t="shared" si="110"/>
        <v>0.1</v>
      </c>
      <c r="L10">
        <f t="shared" si="110"/>
        <v>0.1</v>
      </c>
      <c r="M10">
        <f t="shared" si="110"/>
        <v>0.1</v>
      </c>
      <c r="N10">
        <f t="shared" si="110"/>
        <v>0.1</v>
      </c>
      <c r="O10">
        <f t="shared" si="110"/>
        <v>0.1</v>
      </c>
      <c r="P10">
        <f t="shared" si="110"/>
        <v>0.1</v>
      </c>
      <c r="Q10">
        <f t="shared" si="110"/>
        <v>0.1</v>
      </c>
      <c r="R10">
        <f t="shared" si="110"/>
        <v>0.1</v>
      </c>
      <c r="S10">
        <f t="shared" si="110"/>
        <v>0.1</v>
      </c>
      <c r="T10">
        <f t="shared" si="110"/>
        <v>0.1</v>
      </c>
      <c r="U10">
        <f t="shared" si="110"/>
        <v>0.1</v>
      </c>
      <c r="V10">
        <f t="shared" si="110"/>
        <v>0.1</v>
      </c>
      <c r="W10">
        <f t="shared" ref="W10" si="111">V10</f>
        <v>0.1</v>
      </c>
      <c r="X10">
        <f t="shared" ref="X10" si="112">W10</f>
        <v>0.1</v>
      </c>
      <c r="Y10">
        <f t="shared" ref="Y10" si="113">X10</f>
        <v>0.1</v>
      </c>
      <c r="Z10">
        <f t="shared" ref="Z10" si="114">Y10</f>
        <v>0.1</v>
      </c>
      <c r="AA10">
        <f t="shared" ref="AA10" si="115">Z10</f>
        <v>0.1</v>
      </c>
      <c r="AB10">
        <f t="shared" ref="AB10" si="116">AA10</f>
        <v>0.1</v>
      </c>
      <c r="AC10">
        <f t="shared" ref="AC10" si="117">AB10</f>
        <v>0.1</v>
      </c>
      <c r="AD10">
        <f t="shared" ref="AD10" si="118">AC10</f>
        <v>0.1</v>
      </c>
      <c r="AE10">
        <f t="shared" ref="AE10" si="119">AD10</f>
        <v>0.1</v>
      </c>
      <c r="AF10">
        <f t="shared" ref="AF10" si="120">AE10</f>
        <v>0.1</v>
      </c>
      <c r="AG10">
        <f t="shared" ref="AG10" si="121">AF10</f>
        <v>0.1</v>
      </c>
      <c r="AH10">
        <f t="shared" ref="AH10" si="122">AG10</f>
        <v>0.1</v>
      </c>
      <c r="AI10">
        <f t="shared" ref="AI10" si="123">AH10</f>
        <v>0.1</v>
      </c>
      <c r="AJ10">
        <f t="shared" ref="AJ10" si="124">AI10</f>
        <v>0.1</v>
      </c>
      <c r="AK10">
        <f t="shared" ref="AK10" si="125">AJ10</f>
        <v>0.1</v>
      </c>
      <c r="AL10">
        <f t="shared" ref="AL10" si="126">AK10</f>
        <v>0.1</v>
      </c>
      <c r="AM10">
        <f t="shared" ref="AM10" si="127">AL10</f>
        <v>0.1</v>
      </c>
      <c r="AN10">
        <f t="shared" ref="AN10" si="128">AM10</f>
        <v>0.1</v>
      </c>
      <c r="AO10">
        <f t="shared" ref="AO10" si="129">AN10</f>
        <v>0.1</v>
      </c>
      <c r="AP10">
        <f t="shared" ref="AP10" si="130">AO10</f>
        <v>0.1</v>
      </c>
      <c r="AQ10">
        <f t="shared" ref="AQ10" si="131">AP10</f>
        <v>0.1</v>
      </c>
      <c r="AR10">
        <f t="shared" ref="AR10" si="132">AQ10</f>
        <v>0.1</v>
      </c>
      <c r="AS10">
        <f t="shared" ref="AS10" si="133">AR10</f>
        <v>0.1</v>
      </c>
      <c r="AT10">
        <f t="shared" ref="AT10" si="134">AS10</f>
        <v>0.1</v>
      </c>
      <c r="AU10">
        <f t="shared" ref="AU10" si="135">AT10</f>
        <v>0.1</v>
      </c>
      <c r="AV10">
        <f t="shared" ref="AV10" si="136">AU10</f>
        <v>0.1</v>
      </c>
      <c r="AW10">
        <f t="shared" ref="AW10" si="137">AV10</f>
        <v>0.1</v>
      </c>
      <c r="AX10">
        <f t="shared" ref="AX10" si="138">AW10</f>
        <v>0.1</v>
      </c>
      <c r="AY10">
        <f t="shared" ref="AY10" si="139">AX10</f>
        <v>0.1</v>
      </c>
      <c r="AZ10">
        <f t="shared" ref="AZ10" si="140">AY10</f>
        <v>0.1</v>
      </c>
      <c r="BA10">
        <f t="shared" ref="BA10" si="141">AZ10</f>
        <v>0.1</v>
      </c>
      <c r="BB10">
        <f t="shared" ref="BB10" si="142">BA10</f>
        <v>0.1</v>
      </c>
      <c r="BC10">
        <f t="shared" ref="BC10" si="143">BB10</f>
        <v>0.1</v>
      </c>
      <c r="BD10">
        <f t="shared" ref="BD10" si="144">BC10</f>
        <v>0.1</v>
      </c>
      <c r="BE10">
        <f t="shared" ref="BE10" si="145">BD10</f>
        <v>0.1</v>
      </c>
      <c r="BF10">
        <f t="shared" ref="BF10" si="146">BE10</f>
        <v>0.1</v>
      </c>
      <c r="BG10">
        <f t="shared" ref="BG10" si="147">BF10</f>
        <v>0.1</v>
      </c>
      <c r="BH10">
        <f t="shared" ref="BH10" si="148">BG10</f>
        <v>0.1</v>
      </c>
      <c r="BI10">
        <f t="shared" ref="BI10" si="149">BH10</f>
        <v>0.1</v>
      </c>
      <c r="BJ10">
        <f t="shared" ref="BJ10" si="150">BI10</f>
        <v>0.1</v>
      </c>
      <c r="BK10">
        <f t="shared" ref="BK10" si="151">BJ10</f>
        <v>0.1</v>
      </c>
      <c r="BL10">
        <f t="shared" ref="BL10" si="152">BK10</f>
        <v>0.1</v>
      </c>
      <c r="BM10">
        <f t="shared" ref="BM10" si="153">BL10</f>
        <v>0.1</v>
      </c>
      <c r="BN10">
        <f t="shared" ref="BN10" si="154">BM10</f>
        <v>0.1</v>
      </c>
      <c r="BO10">
        <f t="shared" ref="BO10" si="155">BN10</f>
        <v>0.1</v>
      </c>
      <c r="BP10">
        <f t="shared" ref="BP10:BQ10" si="156">BO10</f>
        <v>0.1</v>
      </c>
      <c r="BQ10">
        <f t="shared" si="156"/>
        <v>0.1</v>
      </c>
    </row>
    <row r="11" spans="1:70">
      <c r="A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J11">
        <v>60</v>
      </c>
      <c r="BK11">
        <v>61</v>
      </c>
      <c r="BL11">
        <v>62</v>
      </c>
      <c r="BM11">
        <v>63</v>
      </c>
      <c r="BN11">
        <v>64</v>
      </c>
      <c r="BO11">
        <v>65</v>
      </c>
      <c r="BP11">
        <v>66</v>
      </c>
      <c r="BQ11">
        <v>67</v>
      </c>
    </row>
    <row r="12" spans="1:70">
      <c r="A12" t="s">
        <v>4</v>
      </c>
      <c r="C12" s="2">
        <v>850</v>
      </c>
      <c r="D12" s="2">
        <f>C13</f>
        <v>459.30607451324136</v>
      </c>
      <c r="E12" s="2">
        <f t="shared" ref="E12:V12" si="157">D13</f>
        <v>264.32768243612225</v>
      </c>
      <c r="F12" s="2">
        <f>E13</f>
        <v>160.94681879988016</v>
      </c>
      <c r="G12" s="2">
        <f t="shared" si="157"/>
        <v>103.07977596221646</v>
      </c>
      <c r="H12" s="2">
        <f t="shared" si="157"/>
        <v>69.078353704288347</v>
      </c>
      <c r="I12" s="2">
        <f t="shared" si="157"/>
        <v>48.212193408126438</v>
      </c>
      <c r="J12" s="2">
        <f t="shared" si="157"/>
        <v>34.898168378389052</v>
      </c>
      <c r="K12" s="2">
        <f t="shared" si="157"/>
        <v>26.100878611588584</v>
      </c>
      <c r="L12" s="2">
        <f t="shared" si="157"/>
        <v>20.102990446521911</v>
      </c>
      <c r="M12" s="2">
        <f t="shared" si="157"/>
        <v>15.897078744314294</v>
      </c>
      <c r="N12" s="2">
        <f t="shared" si="157"/>
        <v>12.872370273061243</v>
      </c>
      <c r="O12" s="2">
        <f t="shared" si="157"/>
        <v>10.647275366810932</v>
      </c>
      <c r="P12" s="2">
        <f t="shared" si="157"/>
        <v>8.9767546722551135</v>
      </c>
      <c r="Q12" s="2">
        <f t="shared" si="157"/>
        <v>7.6994509356696632</v>
      </c>
      <c r="R12" s="2">
        <f t="shared" si="157"/>
        <v>6.7066341288935796</v>
      </c>
      <c r="S12" s="2">
        <f t="shared" si="157"/>
        <v>5.9234690201512636</v>
      </c>
      <c r="T12" s="2">
        <f t="shared" si="157"/>
        <v>5.2974352741078645</v>
      </c>
      <c r="U12" s="2">
        <f t="shared" si="157"/>
        <v>4.7910048791872208</v>
      </c>
      <c r="V12" s="2">
        <f t="shared" si="157"/>
        <v>4.3769133829052356</v>
      </c>
      <c r="W12" s="2">
        <f t="shared" ref="W12" si="158">V13</f>
        <v>4.0350460203845717</v>
      </c>
      <c r="X12" s="2">
        <f t="shared" ref="X12" si="159">W13</f>
        <v>3.7503497351361959</v>
      </c>
      <c r="Y12" s="2">
        <f t="shared" ref="Y12" si="160">X13</f>
        <v>3.511409273855874</v>
      </c>
      <c r="Z12" s="2">
        <f t="shared" ref="Z12" si="161">Y13</f>
        <v>3.3094607475112361</v>
      </c>
      <c r="AA12" s="2">
        <f t="shared" ref="AA12" si="162">Z13</f>
        <v>3.1376981394206944</v>
      </c>
      <c r="AB12" s="2">
        <f t="shared" ref="AB12" si="163">AA13</f>
        <v>2.9907790156435294</v>
      </c>
      <c r="AC12" s="2">
        <f t="shared" ref="AC12" si="164">AB13</f>
        <v>2.8644676530084201</v>
      </c>
      <c r="AD12" s="2">
        <f t="shared" ref="AD12" si="165">AC13</f>
        <v>2.7553742506665975</v>
      </c>
      <c r="AE12" s="2">
        <f t="shared" ref="AE12" si="166">AD13</f>
        <v>2.6607621809228803</v>
      </c>
      <c r="AF12" s="2">
        <f t="shared" ref="AF12" si="167">AE13</f>
        <v>2.578403998348783</v>
      </c>
      <c r="AG12" s="2">
        <f t="shared" ref="AG12" si="168">AF13</f>
        <v>2.5064727846044526</v>
      </c>
      <c r="AH12" s="2">
        <f t="shared" ref="AH12" si="169">AG13</f>
        <v>2.4434593740661406</v>
      </c>
      <c r="AI12" s="2">
        <f t="shared" ref="AI12" si="170">AH13</f>
        <v>2.3881087256921201</v>
      </c>
      <c r="AJ12" s="2">
        <f t="shared" ref="AJ12" si="171">AI13</f>
        <v>2.3393705934932094</v>
      </c>
      <c r="AK12" s="2">
        <f t="shared" ref="AK12" si="172">AJ13</f>
        <v>2.2963609713154223</v>
      </c>
      <c r="AL12" s="2">
        <f t="shared" ref="AL12" si="173">AK13</f>
        <v>2.2583317254656028</v>
      </c>
      <c r="AM12" s="2">
        <f t="shared" ref="AM12" si="174">AL13</f>
        <v>2.2246464999427471</v>
      </c>
      <c r="AN12" s="2">
        <f t="shared" ref="AN12" si="175">AM13</f>
        <v>2.1947614640017301</v>
      </c>
      <c r="AO12" s="2">
        <f t="shared" ref="AO12" si="176">AN13</f>
        <v>2.1682098253082045</v>
      </c>
      <c r="AP12" s="2">
        <f t="shared" ref="AP12" si="177">AO13</f>
        <v>2.1445892918628671</v>
      </c>
      <c r="AQ12" s="2">
        <f t="shared" ref="AQ12" si="178">AP13</f>
        <v>2.1235518585192046</v>
      </c>
      <c r="AR12" s="2">
        <f t="shared" ref="AR12" si="179">AQ13</f>
        <v>2.1047954378061724</v>
      </c>
      <c r="AS12" s="2">
        <f t="shared" ref="AS12" si="180">AR13</f>
        <v>2.0880569630270083</v>
      </c>
      <c r="AT12" s="2">
        <f t="shared" ref="AT12" si="181">AS13</f>
        <v>2.0731066736300812</v>
      </c>
      <c r="AU12" s="2">
        <f t="shared" ref="AU12" si="182">AT13</f>
        <v>2.0597433554099158</v>
      </c>
      <c r="AV12" s="2">
        <f t="shared" ref="AV12" si="183">AU13</f>
        <v>2.047790356118671</v>
      </c>
      <c r="AW12" s="2">
        <f t="shared" ref="AW12" si="184">AV13</f>
        <v>2.0370922341540005</v>
      </c>
      <c r="AX12" s="2">
        <f t="shared" ref="AX12" si="185">AW13</f>
        <v>2.0275119267960151</v>
      </c>
      <c r="AY12" s="2">
        <f t="shared" ref="AY12" si="186">AX13</f>
        <v>2.0189283469669372</v>
      </c>
      <c r="AZ12" s="2">
        <f t="shared" ref="AZ12" si="187">AY13</f>
        <v>2.0112343351566873</v>
      </c>
      <c r="BA12" s="2">
        <f t="shared" ref="BA12" si="188">AZ13</f>
        <v>2.0043349071048198</v>
      </c>
      <c r="BB12" s="2">
        <f t="shared" ref="BB12" si="189">BA13</f>
        <v>1.9981457488929337</v>
      </c>
      <c r="BC12" s="2">
        <f t="shared" ref="BC12" si="190">BB13</f>
        <v>1.9925919199202011</v>
      </c>
      <c r="BD12" s="2">
        <f t="shared" ref="BD12" si="191">BC13</f>
        <v>1.987606731296393</v>
      </c>
      <c r="BE12" s="2">
        <f t="shared" ref="BE12" si="192">BD13</f>
        <v>1.9831307728672711</v>
      </c>
      <c r="BF12" s="2">
        <f t="shared" ref="BF12" si="193">BE13</f>
        <v>1.9791110666768827</v>
      </c>
      <c r="BG12" s="2">
        <f t="shared" ref="BG12" si="194">BF13</f>
        <v>1.9755003283955235</v>
      </c>
      <c r="BH12" s="2">
        <f t="shared" ref="BH12" si="195">BG13</f>
        <v>1.9722563212770132</v>
      </c>
      <c r="BI12" s="2">
        <f t="shared" ref="BI12" si="196">BH13</f>
        <v>1.9693412896921874</v>
      </c>
      <c r="BJ12" s="2">
        <f t="shared" ref="BJ12" si="197">BI13</f>
        <v>1.9667214613259008</v>
      </c>
      <c r="BK12" s="2">
        <f t="shared" ref="BK12" si="198">BJ13</f>
        <v>1.9643666088079079</v>
      </c>
      <c r="BL12" s="2">
        <f t="shared" ref="BL12" si="199">BK13</f>
        <v>1.9622496629419945</v>
      </c>
      <c r="BM12" s="2">
        <f t="shared" ref="BM12" si="200">BL13</f>
        <v>1.9603463708567288</v>
      </c>
      <c r="BN12" s="2">
        <f t="shared" ref="BN12" si="201">BM13</f>
        <v>1.9586349933686205</v>
      </c>
      <c r="BO12" s="2">
        <f t="shared" ref="BO12" si="202">BN13</f>
        <v>1.9570960366589905</v>
      </c>
      <c r="BP12" s="2">
        <f t="shared" ref="BP12:BQ12" si="203">BO13</f>
        <v>1.9557120140475497</v>
      </c>
      <c r="BQ12" s="2">
        <f t="shared" si="203"/>
        <v>1.9544672342210243</v>
      </c>
    </row>
    <row r="13" spans="1:70">
      <c r="A13" t="s">
        <v>3</v>
      </c>
      <c r="C13" s="2">
        <f>C12*C9^12</f>
        <v>459.30607451324136</v>
      </c>
      <c r="D13" s="2">
        <f t="shared" ref="D13:V13" si="204">D12*D9^12</f>
        <v>264.32768243612225</v>
      </c>
      <c r="E13" s="2">
        <f>E12*E9^12</f>
        <v>160.94681879988016</v>
      </c>
      <c r="F13" s="2">
        <f t="shared" si="204"/>
        <v>103.07977596221646</v>
      </c>
      <c r="G13" s="2">
        <f t="shared" si="204"/>
        <v>69.078353704288347</v>
      </c>
      <c r="H13" s="2">
        <f t="shared" si="204"/>
        <v>48.212193408126438</v>
      </c>
      <c r="I13" s="2">
        <f t="shared" si="204"/>
        <v>34.898168378389052</v>
      </c>
      <c r="J13" s="2">
        <f t="shared" si="204"/>
        <v>26.100878611588584</v>
      </c>
      <c r="K13" s="2">
        <f t="shared" si="204"/>
        <v>20.102990446521911</v>
      </c>
      <c r="L13" s="2">
        <f t="shared" si="204"/>
        <v>15.897078744314294</v>
      </c>
      <c r="M13" s="2">
        <f t="shared" si="204"/>
        <v>12.872370273061243</v>
      </c>
      <c r="N13" s="2">
        <f t="shared" si="204"/>
        <v>10.647275366810932</v>
      </c>
      <c r="O13" s="2">
        <f t="shared" si="204"/>
        <v>8.9767546722551135</v>
      </c>
      <c r="P13" s="2">
        <f t="shared" si="204"/>
        <v>7.6994509356696632</v>
      </c>
      <c r="Q13" s="2">
        <f t="shared" si="204"/>
        <v>6.7066341288935796</v>
      </c>
      <c r="R13" s="2">
        <f t="shared" si="204"/>
        <v>5.9234690201512636</v>
      </c>
      <c r="S13" s="2">
        <f t="shared" si="204"/>
        <v>5.2974352741078645</v>
      </c>
      <c r="T13" s="2">
        <f t="shared" si="204"/>
        <v>4.7910048791872208</v>
      </c>
      <c r="U13" s="2">
        <f t="shared" si="204"/>
        <v>4.3769133829052356</v>
      </c>
      <c r="V13" s="2">
        <f t="shared" si="204"/>
        <v>4.0350460203845717</v>
      </c>
      <c r="W13" s="2">
        <f t="shared" ref="W13:AE13" si="205">W12*W9^12</f>
        <v>3.7503497351361959</v>
      </c>
      <c r="X13" s="2">
        <f t="shared" si="205"/>
        <v>3.511409273855874</v>
      </c>
      <c r="Y13" s="2">
        <f t="shared" si="205"/>
        <v>3.3094607475112361</v>
      </c>
      <c r="Z13" s="2">
        <f t="shared" si="205"/>
        <v>3.1376981394206944</v>
      </c>
      <c r="AA13" s="2">
        <f t="shared" si="205"/>
        <v>2.9907790156435294</v>
      </c>
      <c r="AB13" s="2">
        <f t="shared" si="205"/>
        <v>2.8644676530084201</v>
      </c>
      <c r="AC13" s="2">
        <f t="shared" si="205"/>
        <v>2.7553742506665975</v>
      </c>
      <c r="AD13" s="2">
        <f t="shared" si="205"/>
        <v>2.6607621809228803</v>
      </c>
      <c r="AE13" s="2">
        <f t="shared" si="205"/>
        <v>2.578403998348783</v>
      </c>
      <c r="AF13" s="2">
        <f t="shared" ref="AF13:BF13" si="206">AF12*AF9^12</f>
        <v>2.5064727846044526</v>
      </c>
      <c r="AG13" s="2">
        <f t="shared" si="206"/>
        <v>2.4434593740661406</v>
      </c>
      <c r="AH13" s="2">
        <f t="shared" si="206"/>
        <v>2.3881087256921201</v>
      </c>
      <c r="AI13" s="2">
        <f t="shared" si="206"/>
        <v>2.3393705934932094</v>
      </c>
      <c r="AJ13" s="2">
        <f t="shared" si="206"/>
        <v>2.2963609713154223</v>
      </c>
      <c r="AK13" s="2">
        <f t="shared" si="206"/>
        <v>2.2583317254656028</v>
      </c>
      <c r="AL13" s="2">
        <f t="shared" si="206"/>
        <v>2.2246464999427471</v>
      </c>
      <c r="AM13" s="2">
        <f t="shared" si="206"/>
        <v>2.1947614640017301</v>
      </c>
      <c r="AN13" s="2">
        <f t="shared" si="206"/>
        <v>2.1682098253082045</v>
      </c>
      <c r="AO13" s="2">
        <f t="shared" si="206"/>
        <v>2.1445892918628671</v>
      </c>
      <c r="AP13" s="2">
        <f t="shared" si="206"/>
        <v>2.1235518585192046</v>
      </c>
      <c r="AQ13" s="2">
        <f t="shared" si="206"/>
        <v>2.1047954378061724</v>
      </c>
      <c r="AR13" s="2">
        <f t="shared" si="206"/>
        <v>2.0880569630270083</v>
      </c>
      <c r="AS13" s="2">
        <f t="shared" si="206"/>
        <v>2.0731066736300812</v>
      </c>
      <c r="AT13" s="2">
        <f t="shared" si="206"/>
        <v>2.0597433554099158</v>
      </c>
      <c r="AU13" s="2">
        <f t="shared" si="206"/>
        <v>2.047790356118671</v>
      </c>
      <c r="AV13" s="2">
        <f t="shared" si="206"/>
        <v>2.0370922341540005</v>
      </c>
      <c r="AW13" s="2">
        <f t="shared" si="206"/>
        <v>2.0275119267960151</v>
      </c>
      <c r="AX13" s="2">
        <f t="shared" si="206"/>
        <v>2.0189283469669372</v>
      </c>
      <c r="AY13" s="2">
        <f t="shared" si="206"/>
        <v>2.0112343351566873</v>
      </c>
      <c r="AZ13" s="2">
        <f t="shared" si="206"/>
        <v>2.0043349071048198</v>
      </c>
      <c r="BA13" s="2">
        <f t="shared" si="206"/>
        <v>1.9981457488929337</v>
      </c>
      <c r="BB13" s="2">
        <f t="shared" si="206"/>
        <v>1.9925919199202011</v>
      </c>
      <c r="BC13" s="2">
        <f t="shared" si="206"/>
        <v>1.987606731296393</v>
      </c>
      <c r="BD13" s="2">
        <f t="shared" si="206"/>
        <v>1.9831307728672711</v>
      </c>
      <c r="BE13" s="2">
        <f t="shared" si="206"/>
        <v>1.9791110666768827</v>
      </c>
      <c r="BF13" s="2">
        <f t="shared" si="206"/>
        <v>1.9755003283955235</v>
      </c>
      <c r="BG13" s="2">
        <f t="shared" ref="BG13:BQ13" si="207">BG12*BG9^12</f>
        <v>1.9722563212770132</v>
      </c>
      <c r="BH13" s="2">
        <f t="shared" si="207"/>
        <v>1.9693412896921874</v>
      </c>
      <c r="BI13" s="2">
        <f t="shared" si="207"/>
        <v>1.9667214613259008</v>
      </c>
      <c r="BJ13" s="2">
        <f t="shared" si="207"/>
        <v>1.9643666088079079</v>
      </c>
      <c r="BK13" s="2">
        <f t="shared" si="207"/>
        <v>1.9622496629419945</v>
      </c>
      <c r="BL13" s="2">
        <f t="shared" si="207"/>
        <v>1.9603463708567288</v>
      </c>
      <c r="BM13" s="2">
        <f t="shared" si="207"/>
        <v>1.9586349933686205</v>
      </c>
      <c r="BN13" s="2">
        <f t="shared" si="207"/>
        <v>1.9570960366589905</v>
      </c>
      <c r="BO13" s="2">
        <f t="shared" si="207"/>
        <v>1.9557120140475497</v>
      </c>
      <c r="BP13" s="2">
        <f t="shared" si="207"/>
        <v>1.9544672342210243</v>
      </c>
      <c r="BQ13" s="2">
        <f t="shared" si="207"/>
        <v>1.9533476127626441</v>
      </c>
    </row>
    <row r="14" spans="1:70">
      <c r="A14" t="s">
        <v>2</v>
      </c>
      <c r="C14" s="2">
        <f>365/12*(C12*0.95+C12*0.95^2+C12*0.95^3+C12*0.95^4+C12*0.95^5+C12*0.95^6+C12*0.95^7+C12*0.95^8+C12*0.95^9+C12*0.95^10+C12*0.95^11+C12*0.95^12)</f>
        <v>225788.53110422255</v>
      </c>
      <c r="D14" s="2">
        <f>365/12*(D12*0.95+D12*0.95^2+D12*0.95^3+D12*0.95^4+D12*0.95^5+D12*0.95^6+D12*0.95^7+D12*0.95^8+D12*0.95^9+D12*0.95^10+D12*0.95^11+D12*0.95^12)</f>
        <v>122007.11046069571</v>
      </c>
      <c r="E14" s="2">
        <f t="shared" ref="E14:V14" si="208">365/12*(E12*0.95+E12*0.95^2+E12*0.95^3+E12*0.95^4+E12*0.95^5+E12*0.95^6+E12*0.95^7+E12*0.95^8+E12*0.95^9+E12*0.95^10+E12*0.95^11+E12*0.95^12)</f>
        <v>70214.304879335818</v>
      </c>
      <c r="F14" s="2">
        <f t="shared" si="208"/>
        <v>42752.877414967545</v>
      </c>
      <c r="G14" s="2">
        <f t="shared" si="208"/>
        <v>27381.448471836713</v>
      </c>
      <c r="H14" s="2">
        <f t="shared" si="208"/>
        <v>18349.529428222584</v>
      </c>
      <c r="I14" s="2">
        <f t="shared" si="208"/>
        <v>12806.776859921825</v>
      </c>
      <c r="J14" s="2">
        <f t="shared" si="208"/>
        <v>9270.1249133932852</v>
      </c>
      <c r="K14" s="2">
        <f t="shared" si="208"/>
        <v>6933.2694614590646</v>
      </c>
      <c r="L14" s="2">
        <f t="shared" si="208"/>
        <v>5340.0290396734144</v>
      </c>
      <c r="M14" s="2">
        <f t="shared" si="208"/>
        <v>4222.79771591398</v>
      </c>
      <c r="N14" s="2">
        <f t="shared" si="208"/>
        <v>3419.3336185695985</v>
      </c>
      <c r="O14" s="2">
        <f t="shared" si="208"/>
        <v>2828.2737239228386</v>
      </c>
      <c r="P14" s="2">
        <f t="shared" si="208"/>
        <v>2384.5273547428806</v>
      </c>
      <c r="Q14" s="2">
        <f t="shared" si="208"/>
        <v>2045.2326083222183</v>
      </c>
      <c r="R14" s="2">
        <f t="shared" si="208"/>
        <v>1781.5071395486218</v>
      </c>
      <c r="S14" s="2">
        <f t="shared" si="208"/>
        <v>1573.4721989427323</v>
      </c>
      <c r="T14" s="2">
        <f t="shared" si="208"/>
        <v>1407.1766225417755</v>
      </c>
      <c r="U14" s="2">
        <f t="shared" si="208"/>
        <v>1272.6517108057008</v>
      </c>
      <c r="V14" s="2">
        <f t="shared" si="208"/>
        <v>1162.6551099959845</v>
      </c>
      <c r="W14" s="2">
        <f t="shared" ref="W14:AE14" si="209">365/12*(W12*0.95+W12*0.95^2+W12*0.95^3+W12*0.95^4+W12*0.95^5+W12*0.95^6+W12*0.95^7+W12*0.95^8+W12*0.95^9+W12*0.95^10+W12*0.95^11+W12*0.95^12)</f>
        <v>1071.8436633889075</v>
      </c>
      <c r="X14" s="2">
        <f t="shared" si="209"/>
        <v>996.21877391001385</v>
      </c>
      <c r="Y14" s="2">
        <f t="shared" si="209"/>
        <v>932.74816711725009</v>
      </c>
      <c r="Z14" s="2">
        <f t="shared" si="209"/>
        <v>879.10385991487578</v>
      </c>
      <c r="AA14" s="2">
        <f t="shared" si="209"/>
        <v>833.47794582147128</v>
      </c>
      <c r="AB14" s="2">
        <f t="shared" si="209"/>
        <v>794.45129505821785</v>
      </c>
      <c r="AC14" s="2">
        <f t="shared" si="209"/>
        <v>760.898757374507</v>
      </c>
      <c r="AD14" s="2">
        <f t="shared" si="209"/>
        <v>731.91988788283402</v>
      </c>
      <c r="AE14" s="2">
        <f t="shared" si="209"/>
        <v>706.78774640969982</v>
      </c>
      <c r="AF14" s="2">
        <f t="shared" ref="AF14:BF14" si="210">365/12*(AF12*0.95+AF12*0.95^2+AF12*0.95^3+AF12*0.95^4+AF12*0.95^5+AF12*0.95^6+AF12*0.95^7+AF12*0.95^8+AF12*0.95^9+AF12*0.95^10+AF12*0.95^11+AF12*0.95^12)</f>
        <v>684.91064868285412</v>
      </c>
      <c r="AG14" s="2">
        <f t="shared" si="210"/>
        <v>665.80330386888215</v>
      </c>
      <c r="AH14" s="2">
        <f t="shared" si="210"/>
        <v>649.06482692145516</v>
      </c>
      <c r="AI14" s="2">
        <f t="shared" si="210"/>
        <v>634.36183681317721</v>
      </c>
      <c r="AJ14" s="2">
        <f t="shared" si="210"/>
        <v>621.41535295675885</v>
      </c>
      <c r="AK14" s="2">
        <f t="shared" si="210"/>
        <v>609.99055364514709</v>
      </c>
      <c r="AL14" s="2">
        <f t="shared" si="210"/>
        <v>599.88870945757981</v>
      </c>
      <c r="AM14" s="2">
        <f t="shared" si="210"/>
        <v>590.94078288026208</v>
      </c>
      <c r="AN14" s="2">
        <f t="shared" si="210"/>
        <v>583.00231421306319</v>
      </c>
      <c r="AO14" s="2">
        <f t="shared" si="210"/>
        <v>575.94930774362638</v>
      </c>
      <c r="AP14" s="2">
        <f t="shared" si="210"/>
        <v>569.67490121360197</v>
      </c>
      <c r="AQ14" s="2">
        <f t="shared" si="210"/>
        <v>564.08665277493299</v>
      </c>
      <c r="AR14" s="2">
        <f t="shared" si="210"/>
        <v>559.10431785544074</v>
      </c>
      <c r="AS14" s="2">
        <f t="shared" si="210"/>
        <v>554.65801711036727</v>
      </c>
      <c r="AT14" s="2">
        <f t="shared" si="210"/>
        <v>550.68671842505523</v>
      </c>
      <c r="AU14" s="2">
        <f t="shared" si="210"/>
        <v>547.13697255257364</v>
      </c>
      <c r="AV14" s="2">
        <f t="shared" si="210"/>
        <v>543.96185472638524</v>
      </c>
      <c r="AW14" s="2">
        <f t="shared" si="210"/>
        <v>541.12007443935386</v>
      </c>
      <c r="AX14" s="2">
        <f t="shared" si="210"/>
        <v>538.57522323242847</v>
      </c>
      <c r="AY14" s="2">
        <f t="shared" si="210"/>
        <v>536.29513631334225</v>
      </c>
      <c r="AZ14" s="2">
        <f t="shared" si="210"/>
        <v>534.25134851930125</v>
      </c>
      <c r="BA14" s="2">
        <f t="shared" si="210"/>
        <v>532.41862884248894</v>
      </c>
      <c r="BB14" s="2">
        <f t="shared" si="210"/>
        <v>530.77458067609666</v>
      </c>
      <c r="BC14" s="2">
        <f t="shared" si="210"/>
        <v>529.29929728108812</v>
      </c>
      <c r="BD14" s="2">
        <f t="shared" si="210"/>
        <v>527.9750638497386</v>
      </c>
      <c r="BE14" s="2">
        <f t="shared" si="210"/>
        <v>526.78609905092094</v>
      </c>
      <c r="BF14" s="2">
        <f t="shared" si="210"/>
        <v>525.71833016127584</v>
      </c>
      <c r="BG14" s="2">
        <f t="shared" ref="BG14:BQ14" si="211">365/12*(BG12*0.95+BG12*0.95^2+BG12*0.95^3+BG12*0.95^4+BG12*0.95^5+BG12*0.95^6+BG12*0.95^7+BG12*0.95^8+BG12*0.95^9+BG12*0.95^10+BG12*0.95^11+BG12*0.95^12)</f>
        <v>524.75919687568773</v>
      </c>
      <c r="BH14" s="2">
        <f t="shared" si="211"/>
        <v>523.89747969665223</v>
      </c>
      <c r="BI14" s="2">
        <f t="shared" si="211"/>
        <v>523.12314946175798</v>
      </c>
      <c r="BJ14" s="2">
        <f t="shared" si="211"/>
        <v>522.42723511050019</v>
      </c>
      <c r="BK14" s="2">
        <f t="shared" si="211"/>
        <v>521.80170723873005</v>
      </c>
      <c r="BL14" s="2">
        <f t="shared" si="211"/>
        <v>521.23937535932805</v>
      </c>
      <c r="BM14" s="2">
        <f t="shared" si="211"/>
        <v>520.7337970955698</v>
      </c>
      <c r="BN14" s="2">
        <f t="shared" si="211"/>
        <v>520.27919779062302</v>
      </c>
      <c r="BO14" s="2">
        <f t="shared" si="211"/>
        <v>519.87039923191674</v>
      </c>
      <c r="BP14" s="2">
        <f t="shared" si="211"/>
        <v>519.5027563702082</v>
      </c>
      <c r="BQ14" s="2">
        <f t="shared" si="211"/>
        <v>519.17210106599714</v>
      </c>
    </row>
    <row r="15" spans="1:70">
      <c r="A15" t="s">
        <v>5</v>
      </c>
      <c r="C15" s="2">
        <f>C14/365</f>
        <v>618.59871535403443</v>
      </c>
      <c r="D15" s="2">
        <f t="shared" ref="D15:V15" si="212">D14/365</f>
        <v>334.26605605670056</v>
      </c>
      <c r="E15" s="2">
        <f t="shared" si="212"/>
        <v>192.3679585735228</v>
      </c>
      <c r="F15" s="2">
        <f t="shared" si="212"/>
        <v>117.13117099991108</v>
      </c>
      <c r="G15" s="2">
        <f t="shared" si="212"/>
        <v>75.017667046127983</v>
      </c>
      <c r="H15" s="2">
        <f t="shared" si="212"/>
        <v>50.272683364993384</v>
      </c>
      <c r="I15" s="2">
        <f t="shared" si="212"/>
        <v>35.087059890196784</v>
      </c>
      <c r="J15" s="2">
        <f t="shared" si="212"/>
        <v>25.397602502447356</v>
      </c>
      <c r="K15" s="2">
        <f t="shared" si="212"/>
        <v>18.995258798517984</v>
      </c>
      <c r="L15" s="2">
        <f t="shared" si="212"/>
        <v>14.63021654705045</v>
      </c>
      <c r="M15" s="2">
        <f t="shared" si="212"/>
        <v>11.569308810723234</v>
      </c>
      <c r="N15" s="2">
        <f t="shared" si="212"/>
        <v>9.3680373111495854</v>
      </c>
      <c r="O15" s="2">
        <f t="shared" si="212"/>
        <v>7.7486951340351746</v>
      </c>
      <c r="P15" s="2">
        <f t="shared" si="212"/>
        <v>6.5329516568298098</v>
      </c>
      <c r="Q15" s="2">
        <f t="shared" si="212"/>
        <v>5.6033770091019681</v>
      </c>
      <c r="R15" s="2">
        <f t="shared" si="212"/>
        <v>4.8808414782154026</v>
      </c>
      <c r="S15" s="2">
        <f t="shared" si="212"/>
        <v>4.310882736829404</v>
      </c>
      <c r="T15" s="2">
        <f t="shared" si="212"/>
        <v>3.8552784179226727</v>
      </c>
      <c r="U15" s="2">
        <f t="shared" si="212"/>
        <v>3.4867170159060294</v>
      </c>
      <c r="V15" s="2">
        <f t="shared" si="212"/>
        <v>3.1853564657424234</v>
      </c>
      <c r="W15" s="2">
        <f t="shared" ref="W15:AE15" si="213">W14/365</f>
        <v>2.9365579818874181</v>
      </c>
      <c r="X15" s="2">
        <f t="shared" si="213"/>
        <v>2.7293665038630515</v>
      </c>
      <c r="Y15" s="2">
        <f t="shared" si="213"/>
        <v>2.5554744304582195</v>
      </c>
      <c r="Z15" s="2">
        <f t="shared" si="213"/>
        <v>2.4085037257941804</v>
      </c>
      <c r="AA15" s="2">
        <f t="shared" si="213"/>
        <v>2.2835012214286885</v>
      </c>
      <c r="AB15" s="2">
        <f t="shared" si="213"/>
        <v>2.1765788905704597</v>
      </c>
      <c r="AC15" s="2">
        <f t="shared" si="213"/>
        <v>2.08465412979317</v>
      </c>
      <c r="AD15" s="2">
        <f t="shared" si="213"/>
        <v>2.005259966802285</v>
      </c>
      <c r="AE15" s="2">
        <f t="shared" si="213"/>
        <v>1.936404784684109</v>
      </c>
      <c r="AF15" s="2">
        <f t="shared" ref="AF15:BF15" si="214">AF14/365</f>
        <v>1.8764675306379566</v>
      </c>
      <c r="AG15" s="2">
        <f t="shared" si="214"/>
        <v>1.8241186407366634</v>
      </c>
      <c r="AH15" s="2">
        <f t="shared" si="214"/>
        <v>1.7782597997848086</v>
      </c>
      <c r="AI15" s="2">
        <f t="shared" si="214"/>
        <v>1.737977635104595</v>
      </c>
      <c r="AJ15" s="2">
        <f t="shared" si="214"/>
        <v>1.7025078163198872</v>
      </c>
      <c r="AK15" s="2">
        <f t="shared" si="214"/>
        <v>1.6712069962880742</v>
      </c>
      <c r="AL15" s="2">
        <f t="shared" si="214"/>
        <v>1.6435307108426844</v>
      </c>
      <c r="AM15" s="2">
        <f t="shared" si="214"/>
        <v>1.6190158435075674</v>
      </c>
      <c r="AN15" s="2">
        <f t="shared" si="214"/>
        <v>1.5972666142823648</v>
      </c>
      <c r="AO15" s="2">
        <f t="shared" si="214"/>
        <v>1.5779433088866477</v>
      </c>
      <c r="AP15" s="2">
        <f t="shared" si="214"/>
        <v>1.5607531540098685</v>
      </c>
      <c r="AQ15" s="2">
        <f t="shared" si="214"/>
        <v>1.5454428843148849</v>
      </c>
      <c r="AR15" s="2">
        <f t="shared" si="214"/>
        <v>1.5317926516587417</v>
      </c>
      <c r="AS15" s="2">
        <f t="shared" si="214"/>
        <v>1.5196110057818282</v>
      </c>
      <c r="AT15" s="2">
        <f t="shared" si="214"/>
        <v>1.5087307354111101</v>
      </c>
      <c r="AU15" s="2">
        <f t="shared" si="214"/>
        <v>1.4990054042536265</v>
      </c>
      <c r="AV15" s="2">
        <f t="shared" si="214"/>
        <v>1.4903064513051651</v>
      </c>
      <c r="AW15" s="2">
        <f t="shared" si="214"/>
        <v>1.4825207518886407</v>
      </c>
      <c r="AX15" s="2">
        <f t="shared" si="214"/>
        <v>1.4755485568011739</v>
      </c>
      <c r="AY15" s="2">
        <f t="shared" si="214"/>
        <v>1.4693017433242253</v>
      </c>
      <c r="AZ15" s="2">
        <f t="shared" si="214"/>
        <v>1.4637023247104144</v>
      </c>
      <c r="BA15" s="2">
        <f t="shared" si="214"/>
        <v>1.4586811749109285</v>
      </c>
      <c r="BB15" s="2">
        <f t="shared" si="214"/>
        <v>1.454176933359169</v>
      </c>
      <c r="BC15" s="2">
        <f t="shared" si="214"/>
        <v>1.4501350610440771</v>
      </c>
      <c r="BD15" s="2">
        <f t="shared" si="214"/>
        <v>1.4465070242458591</v>
      </c>
      <c r="BE15" s="2">
        <f t="shared" si="214"/>
        <v>1.4432495864408792</v>
      </c>
      <c r="BF15" s="2">
        <f t="shared" si="214"/>
        <v>1.4403241922226735</v>
      </c>
      <c r="BG15" s="2">
        <f t="shared" ref="BG15:BQ15" si="215">BG14/365</f>
        <v>1.4376964297964048</v>
      </c>
      <c r="BH15" s="2">
        <f t="shared" si="215"/>
        <v>1.4353355608127458</v>
      </c>
      <c r="BI15" s="2">
        <f t="shared" si="215"/>
        <v>1.4332141081144054</v>
      </c>
      <c r="BJ15" s="2">
        <f t="shared" si="215"/>
        <v>1.4313074934534251</v>
      </c>
      <c r="BK15" s="2">
        <f t="shared" si="215"/>
        <v>1.429593718462274</v>
      </c>
      <c r="BL15" s="2">
        <f t="shared" si="215"/>
        <v>1.4280530831762412</v>
      </c>
      <c r="BM15" s="2">
        <f t="shared" si="215"/>
        <v>1.4266679372481363</v>
      </c>
      <c r="BN15" s="2">
        <f t="shared" si="215"/>
        <v>1.4254224597003371</v>
      </c>
      <c r="BO15" s="2">
        <f t="shared" si="215"/>
        <v>1.4243024636490869</v>
      </c>
      <c r="BP15" s="2">
        <f t="shared" si="215"/>
        <v>1.4232952229320772</v>
      </c>
      <c r="BQ15" s="2">
        <f t="shared" si="215"/>
        <v>1.4223893179890332</v>
      </c>
    </row>
    <row r="16" spans="1:70">
      <c r="C16" s="2">
        <f>C15+C20+C21</f>
        <v>1315.180844212279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78">
      <c r="A17" t="s">
        <v>50</v>
      </c>
      <c r="C17" s="2">
        <f>C15*6.2898</f>
        <v>3890.8621998338053</v>
      </c>
      <c r="D17" s="2">
        <f t="shared" ref="D17:V17" si="216">D15*6.2898</f>
        <v>2102.466639385435</v>
      </c>
      <c r="E17" s="2">
        <f t="shared" si="216"/>
        <v>1209.9559858357436</v>
      </c>
      <c r="F17" s="2">
        <f t="shared" si="216"/>
        <v>736.73163935524065</v>
      </c>
      <c r="G17" s="2">
        <f t="shared" si="216"/>
        <v>471.84612218673578</v>
      </c>
      <c r="H17" s="2">
        <f t="shared" si="216"/>
        <v>316.20512382913535</v>
      </c>
      <c r="I17" s="2">
        <f t="shared" si="216"/>
        <v>220.69058929735971</v>
      </c>
      <c r="J17" s="2">
        <f t="shared" si="216"/>
        <v>159.74584021989338</v>
      </c>
      <c r="K17" s="2">
        <f t="shared" si="216"/>
        <v>119.4763787909184</v>
      </c>
      <c r="L17" s="2">
        <f t="shared" si="216"/>
        <v>92.021136037637916</v>
      </c>
      <c r="M17" s="2">
        <f t="shared" si="216"/>
        <v>72.768638557686998</v>
      </c>
      <c r="N17" s="2">
        <f t="shared" si="216"/>
        <v>58.923081079668655</v>
      </c>
      <c r="O17" s="2">
        <f t="shared" si="216"/>
        <v>48.737742654054436</v>
      </c>
      <c r="P17" s="2">
        <f t="shared" si="216"/>
        <v>41.090959331128133</v>
      </c>
      <c r="Q17" s="2">
        <f t="shared" si="216"/>
        <v>35.244120711849554</v>
      </c>
      <c r="R17" s="2">
        <f t="shared" si="216"/>
        <v>30.699516729679239</v>
      </c>
      <c r="S17" s="2">
        <f t="shared" si="216"/>
        <v>27.114590238109585</v>
      </c>
      <c r="T17" s="2">
        <f t="shared" si="216"/>
        <v>24.248930193050025</v>
      </c>
      <c r="U17" s="2">
        <f t="shared" si="216"/>
        <v>21.930752686645743</v>
      </c>
      <c r="V17" s="2">
        <f t="shared" si="216"/>
        <v>20.035255098226692</v>
      </c>
      <c r="W17" s="2">
        <f t="shared" ref="W17:AE17" si="217">W15*6.2898</f>
        <v>18.470362394475483</v>
      </c>
      <c r="X17" s="2">
        <f t="shared" si="217"/>
        <v>17.16716943599782</v>
      </c>
      <c r="Y17" s="2">
        <f t="shared" si="217"/>
        <v>16.073423072696109</v>
      </c>
      <c r="Z17" s="2">
        <f t="shared" si="217"/>
        <v>15.149006734500235</v>
      </c>
      <c r="AA17" s="2">
        <f t="shared" si="217"/>
        <v>14.362765982542165</v>
      </c>
      <c r="AB17" s="2">
        <f t="shared" si="217"/>
        <v>13.690245905910077</v>
      </c>
      <c r="AC17" s="2">
        <f t="shared" si="217"/>
        <v>13.11205754557308</v>
      </c>
      <c r="AD17" s="2">
        <f t="shared" si="217"/>
        <v>12.612684139193011</v>
      </c>
      <c r="AE17" s="2">
        <f t="shared" si="217"/>
        <v>12.179598814706107</v>
      </c>
      <c r="AF17" s="2">
        <f t="shared" ref="AF17:BF17" si="218">AF15*6.2898</f>
        <v>11.802605474206619</v>
      </c>
      <c r="AG17" s="2">
        <f t="shared" si="218"/>
        <v>11.473341426505465</v>
      </c>
      <c r="AH17" s="2">
        <f t="shared" si="218"/>
        <v>11.184898488686489</v>
      </c>
      <c r="AI17" s="2">
        <f t="shared" si="218"/>
        <v>10.931531729280881</v>
      </c>
      <c r="AJ17" s="2">
        <f t="shared" si="218"/>
        <v>10.708433663088826</v>
      </c>
      <c r="AK17" s="2">
        <f t="shared" si="218"/>
        <v>10.511557765252729</v>
      </c>
      <c r="AL17" s="2">
        <f t="shared" si="218"/>
        <v>10.337479465058315</v>
      </c>
      <c r="AM17" s="2">
        <f t="shared" si="218"/>
        <v>10.183285852493897</v>
      </c>
      <c r="AN17" s="2">
        <f t="shared" si="218"/>
        <v>10.046487550513218</v>
      </c>
      <c r="AO17" s="2">
        <f t="shared" si="218"/>
        <v>9.924947824235236</v>
      </c>
      <c r="AP17" s="2">
        <f t="shared" si="218"/>
        <v>9.8168251880912702</v>
      </c>
      <c r="AQ17" s="2">
        <f t="shared" si="218"/>
        <v>9.7205266537637627</v>
      </c>
      <c r="AR17" s="2">
        <f t="shared" si="218"/>
        <v>9.6346694204031529</v>
      </c>
      <c r="AS17" s="2">
        <f t="shared" si="218"/>
        <v>9.5580493041665431</v>
      </c>
      <c r="AT17" s="2">
        <f t="shared" si="218"/>
        <v>9.4896145795887996</v>
      </c>
      <c r="AU17" s="2">
        <f t="shared" si="218"/>
        <v>9.4284441916744601</v>
      </c>
      <c r="AV17" s="2">
        <f t="shared" si="218"/>
        <v>9.3737295174192266</v>
      </c>
      <c r="AW17" s="2">
        <f t="shared" si="218"/>
        <v>9.3247590252291719</v>
      </c>
      <c r="AX17" s="2">
        <f t="shared" si="218"/>
        <v>9.2809053125680236</v>
      </c>
      <c r="AY17" s="2">
        <f t="shared" si="218"/>
        <v>9.2416141051607106</v>
      </c>
      <c r="AZ17" s="2">
        <f t="shared" si="218"/>
        <v>9.206394881963563</v>
      </c>
      <c r="BA17" s="2">
        <f t="shared" si="218"/>
        <v>9.1748128539547569</v>
      </c>
      <c r="BB17" s="2">
        <f t="shared" si="218"/>
        <v>9.1464820754425009</v>
      </c>
      <c r="BC17" s="2">
        <f t="shared" si="218"/>
        <v>9.1210595069550351</v>
      </c>
      <c r="BD17" s="2">
        <f t="shared" si="218"/>
        <v>9.0982398811016036</v>
      </c>
      <c r="BE17" s="2">
        <f t="shared" si="218"/>
        <v>9.0777512487958418</v>
      </c>
      <c r="BF17" s="2">
        <f t="shared" si="218"/>
        <v>9.0593511042421717</v>
      </c>
      <c r="BG17" s="2">
        <f t="shared" ref="BG17:BQ17" si="219">BG15*6.2898</f>
        <v>9.0428230041334263</v>
      </c>
      <c r="BH17" s="2">
        <f t="shared" si="219"/>
        <v>9.027973610400009</v>
      </c>
      <c r="BI17" s="2">
        <f t="shared" si="219"/>
        <v>9.0146300972179869</v>
      </c>
      <c r="BJ17" s="2">
        <f t="shared" si="219"/>
        <v>9.0026378723233531</v>
      </c>
      <c r="BK17" s="2">
        <f t="shared" si="219"/>
        <v>8.9918585703840108</v>
      </c>
      <c r="BL17" s="2">
        <f t="shared" si="219"/>
        <v>8.982168282561922</v>
      </c>
      <c r="BM17" s="2">
        <f t="shared" si="219"/>
        <v>8.973455991703327</v>
      </c>
      <c r="BN17" s="2">
        <f t="shared" si="219"/>
        <v>8.9656221870231789</v>
      </c>
      <c r="BO17" s="2">
        <f t="shared" si="219"/>
        <v>8.958577635860026</v>
      </c>
      <c r="BP17" s="2">
        <f t="shared" si="219"/>
        <v>8.9522422931981787</v>
      </c>
      <c r="BQ17" s="2">
        <f t="shared" si="219"/>
        <v>8.9465443322874201</v>
      </c>
    </row>
    <row r="18" spans="1:78">
      <c r="C18" s="2">
        <f>C19/C12</f>
        <v>2.8235294117647061</v>
      </c>
      <c r="D18" s="2">
        <f>D19/D12</f>
        <v>1.4804942449773677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78">
      <c r="A19" t="s">
        <v>52</v>
      </c>
      <c r="C19" s="20">
        <v>2400</v>
      </c>
      <c r="D19" s="20">
        <v>679.99999999999989</v>
      </c>
      <c r="E19" s="20">
        <v>517.99999999999989</v>
      </c>
      <c r="F19" s="20">
        <v>440.2999999999999</v>
      </c>
      <c r="G19" s="20">
        <v>374.25499999999982</v>
      </c>
      <c r="H19" s="20">
        <v>326.71449999999987</v>
      </c>
      <c r="I19" s="20">
        <v>294.04304999999994</v>
      </c>
      <c r="J19" s="20">
        <v>264.63874499999991</v>
      </c>
      <c r="K19" s="20">
        <v>238.17487049999991</v>
      </c>
      <c r="L19" s="20">
        <v>214.35738344999993</v>
      </c>
      <c r="M19" s="20">
        <v>192.92164510499993</v>
      </c>
      <c r="N19" s="20">
        <v>173.62948059449994</v>
      </c>
      <c r="O19" s="20">
        <v>156.26653253504995</v>
      </c>
      <c r="P19" s="20">
        <v>140.63987928154498</v>
      </c>
      <c r="Q19" s="20">
        <v>126.57589135339047</v>
      </c>
      <c r="R19" s="20">
        <v>113.91830221805144</v>
      </c>
      <c r="S19" s="20">
        <v>102.52647199624629</v>
      </c>
      <c r="T19" s="20">
        <v>92.273824796621668</v>
      </c>
      <c r="U19" s="20">
        <v>83.046442316959485</v>
      </c>
      <c r="V19" s="20">
        <v>74.74179808526354</v>
      </c>
      <c r="W19" s="20">
        <f>V19*(1+$V$26)</f>
        <v>67.267618276737181</v>
      </c>
      <c r="X19" s="20">
        <f t="shared" ref="X19:BQ19" si="220">W19*(1+$V$26)</f>
        <v>60.540856449063462</v>
      </c>
      <c r="Y19" s="20">
        <f t="shared" si="220"/>
        <v>54.486770804157118</v>
      </c>
      <c r="Z19" s="20">
        <f t="shared" si="220"/>
        <v>49.038093723741405</v>
      </c>
      <c r="AA19" s="20">
        <f t="shared" si="220"/>
        <v>44.134284351367263</v>
      </c>
      <c r="AB19" s="20">
        <f t="shared" si="220"/>
        <v>39.720855916230541</v>
      </c>
      <c r="AC19" s="20">
        <f t="shared" si="220"/>
        <v>35.748770324607484</v>
      </c>
      <c r="AD19" s="20">
        <f t="shared" si="220"/>
        <v>32.173893292146737</v>
      </c>
      <c r="AE19" s="20">
        <f t="shared" si="220"/>
        <v>28.956503962932064</v>
      </c>
      <c r="AF19" s="20">
        <f t="shared" si="220"/>
        <v>26.060853566638858</v>
      </c>
      <c r="AG19" s="20">
        <f t="shared" si="220"/>
        <v>23.454768209974972</v>
      </c>
      <c r="AH19" s="20">
        <f t="shared" si="220"/>
        <v>21.109291388977475</v>
      </c>
      <c r="AI19" s="20">
        <f t="shared" si="220"/>
        <v>18.99836225007973</v>
      </c>
      <c r="AJ19" s="20">
        <f t="shared" si="220"/>
        <v>17.098526025071756</v>
      </c>
      <c r="AK19" s="20">
        <f t="shared" si="220"/>
        <v>15.388673422564581</v>
      </c>
      <c r="AL19" s="20">
        <f t="shared" si="220"/>
        <v>13.849806080308124</v>
      </c>
      <c r="AM19" s="20">
        <f t="shared" si="220"/>
        <v>12.464825472277312</v>
      </c>
      <c r="AN19" s="20">
        <f t="shared" si="220"/>
        <v>11.218342925049582</v>
      </c>
      <c r="AO19" s="20">
        <f t="shared" si="220"/>
        <v>10.096508632544623</v>
      </c>
      <c r="AP19" s="20">
        <f>AO19*(1+$V$26)</f>
        <v>9.0868577692901606</v>
      </c>
      <c r="AQ19" s="20">
        <f t="shared" si="220"/>
        <v>8.1781719923611451</v>
      </c>
      <c r="AR19" s="20">
        <f t="shared" si="220"/>
        <v>7.3603547931250306</v>
      </c>
      <c r="AS19" s="20">
        <f>AR19*(1+$V$26)</f>
        <v>6.6243193138125278</v>
      </c>
      <c r="AT19" s="20">
        <f t="shared" si="220"/>
        <v>5.961887382431275</v>
      </c>
      <c r="AU19" s="20">
        <f t="shared" si="220"/>
        <v>5.3656986441881473</v>
      </c>
      <c r="AV19" s="20">
        <f t="shared" si="220"/>
        <v>4.8291287797693325</v>
      </c>
      <c r="AW19" s="20">
        <f t="shared" si="220"/>
        <v>4.3462159017923998</v>
      </c>
      <c r="AX19" s="20">
        <f t="shared" si="220"/>
        <v>3.9115943116131597</v>
      </c>
      <c r="AY19" s="20">
        <f t="shared" si="220"/>
        <v>3.5204348804518437</v>
      </c>
      <c r="AZ19" s="20">
        <f>AY19*(1+$V$26)</f>
        <v>3.1683913924066593</v>
      </c>
      <c r="BA19" s="20">
        <f t="shared" si="220"/>
        <v>2.8515522531659934</v>
      </c>
      <c r="BB19" s="20">
        <f t="shared" si="220"/>
        <v>2.5663970278493942</v>
      </c>
      <c r="BC19" s="20">
        <f t="shared" si="220"/>
        <v>2.3097573250644547</v>
      </c>
      <c r="BD19" s="20">
        <f>BC19*(1+$V$26)</f>
        <v>2.0787815925580095</v>
      </c>
      <c r="BE19" s="20">
        <f t="shared" si="220"/>
        <v>1.8709034333022085</v>
      </c>
      <c r="BF19" s="20">
        <f t="shared" si="220"/>
        <v>1.6838130899719876</v>
      </c>
      <c r="BG19" s="20">
        <f t="shared" si="220"/>
        <v>1.5154317809747888</v>
      </c>
      <c r="BH19" s="20">
        <f t="shared" si="220"/>
        <v>1.3638886028773101</v>
      </c>
      <c r="BI19" s="20">
        <f t="shared" si="220"/>
        <v>1.2274997425895791</v>
      </c>
      <c r="BJ19" s="20">
        <f t="shared" si="220"/>
        <v>1.1047497683306211</v>
      </c>
      <c r="BK19" s="20">
        <f t="shared" si="220"/>
        <v>0.99427479149755904</v>
      </c>
      <c r="BL19" s="20">
        <f t="shared" si="220"/>
        <v>0.89484731234780313</v>
      </c>
      <c r="BM19" s="20">
        <f t="shared" si="220"/>
        <v>0.80536258111302284</v>
      </c>
      <c r="BN19" s="20">
        <f t="shared" si="220"/>
        <v>0.72482632300172056</v>
      </c>
      <c r="BO19" s="20">
        <f t="shared" si="220"/>
        <v>0.65234369070154852</v>
      </c>
      <c r="BP19" s="20">
        <f t="shared" si="220"/>
        <v>0.58710932163139373</v>
      </c>
      <c r="BQ19" s="20">
        <f t="shared" si="220"/>
        <v>0.52839838946825435</v>
      </c>
      <c r="BR19" s="20"/>
      <c r="BS19" s="20"/>
      <c r="BT19" s="20"/>
      <c r="BU19" s="20"/>
      <c r="BV19" s="20"/>
      <c r="BW19" s="20"/>
      <c r="BX19" s="20"/>
      <c r="BY19" s="20"/>
      <c r="BZ19" s="20"/>
    </row>
    <row r="20" spans="1:78">
      <c r="A20" t="s">
        <v>90</v>
      </c>
      <c r="C20" s="23">
        <f>C19/'C'!$E$31</f>
        <v>239.43927171538746</v>
      </c>
      <c r="D20" s="23">
        <f>D19/'C'!$E$31</f>
        <v>67.841126986026438</v>
      </c>
      <c r="E20" s="23">
        <f>E19/'C'!$E$31</f>
        <v>51.678976145237783</v>
      </c>
      <c r="F20" s="23">
        <f>F19/'C'!$E$31</f>
        <v>43.927129723452111</v>
      </c>
      <c r="G20" s="23">
        <f>G19/'C'!$E$31</f>
        <v>37.338060264934292</v>
      </c>
      <c r="H20" s="23">
        <f>H19/'C'!$E$31</f>
        <v>32.595117474523718</v>
      </c>
      <c r="I20" s="23">
        <f>I19/'C'!$E$31</f>
        <v>29.335605727071353</v>
      </c>
      <c r="J20" s="23">
        <f>J19/'C'!$E$31</f>
        <v>26.402045154364213</v>
      </c>
      <c r="K20" s="23">
        <f>K19/'C'!$E$31</f>
        <v>23.761840638927794</v>
      </c>
      <c r="L20" s="23">
        <f>L19/'C'!$E$31</f>
        <v>21.385656575035014</v>
      </c>
      <c r="M20" s="23">
        <f>M19/'C'!$E$31</f>
        <v>19.247090917531512</v>
      </c>
      <c r="N20" s="23">
        <f>N19/'C'!$E$31</f>
        <v>17.322381825778361</v>
      </c>
      <c r="O20" s="23">
        <f>O19/'C'!$E$31</f>
        <v>15.590143643200525</v>
      </c>
      <c r="P20" s="23">
        <f>P19/'C'!$E$31</f>
        <v>14.031129278880474</v>
      </c>
      <c r="Q20" s="23">
        <f>Q19/'C'!$E$31</f>
        <v>12.628016350992427</v>
      </c>
      <c r="R20" s="23">
        <f>R19/'C'!$E$31</f>
        <v>11.365214715893185</v>
      </c>
      <c r="S20" s="23">
        <f>S19/'C'!$E$31</f>
        <v>10.228693244303866</v>
      </c>
      <c r="T20" s="23">
        <f>T19/'C'!$E$31</f>
        <v>9.205823919873481</v>
      </c>
      <c r="U20" s="23">
        <f>U19/'C'!$E$31</f>
        <v>8.2852415278861304</v>
      </c>
      <c r="V20" s="23">
        <f>V19/'C'!$E$31</f>
        <v>7.4567173750975178</v>
      </c>
      <c r="W20" s="23">
        <f>W19/'C'!$E$31</f>
        <v>6.7110456375877661</v>
      </c>
      <c r="X20" s="23">
        <f>X19/'C'!$E$31</f>
        <v>6.0399410738289889</v>
      </c>
      <c r="Y20" s="23">
        <f>Y19/'C'!$E$31</f>
        <v>5.4359469664460907</v>
      </c>
      <c r="Z20" s="23">
        <f>Z19/'C'!$E$31</f>
        <v>4.8923522698014814</v>
      </c>
      <c r="AA20" s="23">
        <f>AA19/'C'!$E$31</f>
        <v>4.4031170428213331</v>
      </c>
      <c r="AB20" s="23">
        <f>AB19/'C'!$E$31</f>
        <v>3.9628053385392001</v>
      </c>
      <c r="AC20" s="23">
        <f>AC19/'C'!$E$31</f>
        <v>3.56652480468528</v>
      </c>
      <c r="AD20" s="23">
        <f>AD19/'C'!$E$31</f>
        <v>3.2098723242167519</v>
      </c>
      <c r="AE20" s="23">
        <f>AE19/'C'!$E$31</f>
        <v>2.888885091795077</v>
      </c>
      <c r="AF20" s="23">
        <f>AF19/'C'!$E$31</f>
        <v>2.5999965826155691</v>
      </c>
      <c r="AG20" s="23">
        <f>AG19/'C'!$E$31</f>
        <v>2.3399969243540122</v>
      </c>
      <c r="AH20" s="23">
        <f>AH19/'C'!$E$31</f>
        <v>2.1059972319186109</v>
      </c>
      <c r="AI20" s="23">
        <f>AI19/'C'!$E$31</f>
        <v>1.8953975087267501</v>
      </c>
      <c r="AJ20" s="23">
        <f>AJ19/'C'!$E$31</f>
        <v>1.705857757854075</v>
      </c>
      <c r="AK20" s="23">
        <f>AK19/'C'!$E$31</f>
        <v>1.5352719820686676</v>
      </c>
      <c r="AL20" s="23">
        <f>AL19/'C'!$E$31</f>
        <v>1.3817447838618009</v>
      </c>
      <c r="AM20" s="23">
        <f>AM19/'C'!$E$31</f>
        <v>1.2435703054756209</v>
      </c>
      <c r="AN20" s="23">
        <f>AN19/'C'!$E$31</f>
        <v>1.119213274928059</v>
      </c>
      <c r="AO20" s="23">
        <f>AO19/'C'!$E$31</f>
        <v>1.0072919474352529</v>
      </c>
      <c r="AP20" s="23">
        <f>AP19/'C'!$E$31</f>
        <v>0.9065627526917277</v>
      </c>
      <c r="AQ20" s="23">
        <f>AQ19/'C'!$E$31</f>
        <v>0.81590647742255495</v>
      </c>
      <c r="AR20" s="23">
        <f>AR19/'C'!$E$31</f>
        <v>0.7343158296802994</v>
      </c>
      <c r="AS20" s="23">
        <f>AS19/'C'!$E$31</f>
        <v>0.66088424671226953</v>
      </c>
      <c r="AT20" s="23">
        <f>AT19/'C'!$E$31</f>
        <v>0.59479582204104253</v>
      </c>
      <c r="AU20" s="23">
        <f>AU19/'C'!$E$31</f>
        <v>0.53531623983693832</v>
      </c>
      <c r="AV20" s="23">
        <f>AV19/'C'!$E$31</f>
        <v>0.48178461585324445</v>
      </c>
      <c r="AW20" s="23">
        <f>AW19/'C'!$E$31</f>
        <v>0.4336061542679201</v>
      </c>
      <c r="AX20" s="23">
        <f>AX19/'C'!$E$31</f>
        <v>0.39024553884112806</v>
      </c>
      <c r="AY20" s="23">
        <f>AY19/'C'!$E$31</f>
        <v>0.35122098495701526</v>
      </c>
      <c r="AZ20" s="23">
        <f>AZ19/'C'!$E$31</f>
        <v>0.31609888646131373</v>
      </c>
      <c r="BA20" s="23">
        <f>BA19/'C'!$E$31</f>
        <v>0.28448899781518233</v>
      </c>
      <c r="BB20" s="23">
        <f>BB19/'C'!$E$31</f>
        <v>0.25604009803366412</v>
      </c>
      <c r="BC20" s="23">
        <f>BC19/'C'!$E$31</f>
        <v>0.23043608823029771</v>
      </c>
      <c r="BD20" s="23">
        <f>BD19/'C'!$E$31</f>
        <v>0.20739247940726796</v>
      </c>
      <c r="BE20" s="23">
        <f>BE19/'C'!$E$31</f>
        <v>0.18665323146654117</v>
      </c>
      <c r="BF20" s="23">
        <f>BF19/'C'!$E$31</f>
        <v>0.16798790831988705</v>
      </c>
      <c r="BG20" s="23">
        <f>BG19/'C'!$E$31</f>
        <v>0.15118911748789834</v>
      </c>
      <c r="BH20" s="23">
        <f>BH19/'C'!$E$31</f>
        <v>0.13607020573910852</v>
      </c>
      <c r="BI20" s="23">
        <f>BI19/'C'!$E$31</f>
        <v>0.12246318516519766</v>
      </c>
      <c r="BJ20" s="23">
        <f>BJ19/'C'!$E$31</f>
        <v>0.11021686664867789</v>
      </c>
      <c r="BK20" s="23">
        <f>BK19/'C'!$E$31</f>
        <v>9.9195179983810111E-2</v>
      </c>
      <c r="BL20" s="23">
        <f>BL19/'C'!$E$31</f>
        <v>8.9275661985429092E-2</v>
      </c>
      <c r="BM20" s="23">
        <f>BM19/'C'!$E$31</f>
        <v>8.0348095786886189E-2</v>
      </c>
      <c r="BN20" s="23">
        <f>BN19/'C'!$E$31</f>
        <v>7.2313286208197575E-2</v>
      </c>
      <c r="BO20" s="23">
        <f>BO19/'C'!$E$31</f>
        <v>6.5081957587377809E-2</v>
      </c>
      <c r="BP20" s="23">
        <f>BP19/'C'!$E$31</f>
        <v>5.857376182864004E-2</v>
      </c>
      <c r="BQ20" s="23">
        <f>BQ19/'C'!$E$31</f>
        <v>5.2716385645776034E-2</v>
      </c>
    </row>
    <row r="21" spans="1:78">
      <c r="A21" t="s">
        <v>89</v>
      </c>
      <c r="C21" s="19">
        <f t="shared" ref="C21:AH21" si="221">(C19*$B$36)/42</f>
        <v>457.14285714285717</v>
      </c>
      <c r="D21" s="19">
        <f t="shared" si="221"/>
        <v>129.52380952380949</v>
      </c>
      <c r="E21" s="19">
        <f t="shared" si="221"/>
        <v>98.666666666666643</v>
      </c>
      <c r="F21" s="19">
        <f t="shared" si="221"/>
        <v>83.866666666666646</v>
      </c>
      <c r="G21" s="19">
        <f t="shared" si="221"/>
        <v>71.286666666666633</v>
      </c>
      <c r="H21" s="19">
        <f t="shared" si="221"/>
        <v>62.231333333333311</v>
      </c>
      <c r="I21" s="19">
        <f t="shared" si="221"/>
        <v>56.008199999999988</v>
      </c>
      <c r="J21" s="19">
        <f t="shared" si="221"/>
        <v>50.407379999999982</v>
      </c>
      <c r="K21" s="19">
        <f t="shared" si="221"/>
        <v>45.366641999999985</v>
      </c>
      <c r="L21" s="19">
        <f t="shared" si="221"/>
        <v>40.829977799999988</v>
      </c>
      <c r="M21" s="19">
        <f t="shared" si="221"/>
        <v>36.746980019999988</v>
      </c>
      <c r="N21" s="19">
        <f t="shared" si="221"/>
        <v>33.072282017999989</v>
      </c>
      <c r="O21" s="19">
        <f t="shared" si="221"/>
        <v>29.765053816199991</v>
      </c>
      <c r="P21" s="19">
        <f t="shared" si="221"/>
        <v>26.788548434579997</v>
      </c>
      <c r="Q21" s="19">
        <f t="shared" si="221"/>
        <v>24.109693591121996</v>
      </c>
      <c r="R21" s="19">
        <f t="shared" si="221"/>
        <v>21.698724232009798</v>
      </c>
      <c r="S21" s="19">
        <f t="shared" si="221"/>
        <v>19.528851808808817</v>
      </c>
      <c r="T21" s="19">
        <f t="shared" si="221"/>
        <v>17.575966627927937</v>
      </c>
      <c r="U21" s="19">
        <f t="shared" si="221"/>
        <v>15.81836996513514</v>
      </c>
      <c r="V21" s="19">
        <f t="shared" si="221"/>
        <v>14.236532968621626</v>
      </c>
      <c r="W21" s="19">
        <f t="shared" si="221"/>
        <v>12.812879671759463</v>
      </c>
      <c r="X21" s="19">
        <f t="shared" si="221"/>
        <v>11.531591704583516</v>
      </c>
      <c r="Y21" s="19">
        <f t="shared" si="221"/>
        <v>10.378432534125166</v>
      </c>
      <c r="Z21" s="19">
        <f t="shared" si="221"/>
        <v>9.3405892807126492</v>
      </c>
      <c r="AA21" s="19">
        <f t="shared" si="221"/>
        <v>8.4065303526413828</v>
      </c>
      <c r="AB21" s="19">
        <f t="shared" si="221"/>
        <v>7.5658773173772458</v>
      </c>
      <c r="AC21" s="19">
        <f t="shared" si="221"/>
        <v>6.8092895856395206</v>
      </c>
      <c r="AD21" s="19">
        <f t="shared" si="221"/>
        <v>6.1283606270755691</v>
      </c>
      <c r="AE21" s="19">
        <f t="shared" si="221"/>
        <v>5.515524564368012</v>
      </c>
      <c r="AF21" s="19">
        <f t="shared" si="221"/>
        <v>4.9639721079312107</v>
      </c>
      <c r="AG21" s="19">
        <f t="shared" si="221"/>
        <v>4.46757489713809</v>
      </c>
      <c r="AH21" s="19">
        <f t="shared" si="221"/>
        <v>4.0208174074242811</v>
      </c>
      <c r="AI21" s="19">
        <f t="shared" ref="AI21:BQ21" si="222">(AI19*$B$36)/42</f>
        <v>3.6187356666818533</v>
      </c>
      <c r="AJ21" s="19">
        <f t="shared" si="222"/>
        <v>3.2568621000136679</v>
      </c>
      <c r="AK21" s="19">
        <f t="shared" si="222"/>
        <v>2.9311758900123013</v>
      </c>
      <c r="AL21" s="19">
        <f t="shared" si="222"/>
        <v>2.6380583010110712</v>
      </c>
      <c r="AM21" s="19">
        <f t="shared" si="222"/>
        <v>2.3742524709099642</v>
      </c>
      <c r="AN21" s="19">
        <f t="shared" si="222"/>
        <v>2.1368272238189681</v>
      </c>
      <c r="AO21" s="19">
        <f t="shared" si="222"/>
        <v>1.9231445014370709</v>
      </c>
      <c r="AP21" s="19">
        <f t="shared" si="222"/>
        <v>1.7308300512933639</v>
      </c>
      <c r="AQ21" s="19">
        <f t="shared" si="222"/>
        <v>1.5577470461640277</v>
      </c>
      <c r="AR21" s="19">
        <f t="shared" si="222"/>
        <v>1.4019723415476248</v>
      </c>
      <c r="AS21" s="19">
        <f t="shared" si="222"/>
        <v>1.2617751073928625</v>
      </c>
      <c r="AT21" s="19">
        <f t="shared" si="222"/>
        <v>1.1355975966535763</v>
      </c>
      <c r="AU21" s="19">
        <f t="shared" si="222"/>
        <v>1.0220378369882186</v>
      </c>
      <c r="AV21" s="19">
        <f t="shared" si="222"/>
        <v>0.91983405328939671</v>
      </c>
      <c r="AW21" s="19">
        <f t="shared" si="222"/>
        <v>0.82785064796045715</v>
      </c>
      <c r="AX21" s="19">
        <f t="shared" si="222"/>
        <v>0.7450655831644114</v>
      </c>
      <c r="AY21" s="19">
        <f t="shared" si="222"/>
        <v>0.67055902484797025</v>
      </c>
      <c r="AZ21" s="19">
        <f t="shared" si="222"/>
        <v>0.60350312236317316</v>
      </c>
      <c r="BA21" s="19">
        <f t="shared" si="222"/>
        <v>0.5431528101268559</v>
      </c>
      <c r="BB21" s="19">
        <f t="shared" si="222"/>
        <v>0.48883752911417033</v>
      </c>
      <c r="BC21" s="19">
        <f t="shared" si="222"/>
        <v>0.43995377620275328</v>
      </c>
      <c r="BD21" s="19">
        <f t="shared" si="222"/>
        <v>0.395958398582478</v>
      </c>
      <c r="BE21" s="19">
        <f t="shared" si="222"/>
        <v>0.35636255872423017</v>
      </c>
      <c r="BF21" s="19">
        <f t="shared" si="222"/>
        <v>0.32072630285180714</v>
      </c>
      <c r="BG21" s="19">
        <f t="shared" si="222"/>
        <v>0.28865367256662644</v>
      </c>
      <c r="BH21" s="19">
        <f t="shared" si="222"/>
        <v>0.25978830530996383</v>
      </c>
      <c r="BI21" s="19">
        <f t="shared" si="222"/>
        <v>0.23380947477896744</v>
      </c>
      <c r="BJ21" s="19">
        <f t="shared" si="222"/>
        <v>0.2104285273010707</v>
      </c>
      <c r="BK21" s="19">
        <f t="shared" si="222"/>
        <v>0.18938567457096361</v>
      </c>
      <c r="BL21" s="19">
        <f t="shared" si="222"/>
        <v>0.17044710711386726</v>
      </c>
      <c r="BM21" s="19">
        <f t="shared" si="222"/>
        <v>0.15340239640248055</v>
      </c>
      <c r="BN21" s="19">
        <f t="shared" si="222"/>
        <v>0.13806215676223249</v>
      </c>
      <c r="BO21" s="19">
        <f t="shared" si="222"/>
        <v>0.12425594108600924</v>
      </c>
      <c r="BP21" s="19">
        <f t="shared" si="222"/>
        <v>0.11183034697740833</v>
      </c>
      <c r="BQ21" s="19">
        <f t="shared" si="222"/>
        <v>0.1006473122796675</v>
      </c>
    </row>
    <row r="22" spans="1:78">
      <c r="A22" t="s">
        <v>56</v>
      </c>
      <c r="B22" t="s">
        <v>91</v>
      </c>
      <c r="C22" s="19">
        <f t="shared" ref="C22:AH22" si="223">C$21*$B37</f>
        <v>190.35428571428571</v>
      </c>
      <c r="D22" s="19">
        <f t="shared" si="223"/>
        <v>53.933714285714274</v>
      </c>
      <c r="E22" s="19">
        <f t="shared" si="223"/>
        <v>41.084799999999987</v>
      </c>
      <c r="F22" s="19">
        <f t="shared" si="223"/>
        <v>34.922079999999994</v>
      </c>
      <c r="G22" s="19">
        <f t="shared" si="223"/>
        <v>29.683767999999986</v>
      </c>
      <c r="H22" s="19">
        <f t="shared" si="223"/>
        <v>25.913127199999991</v>
      </c>
      <c r="I22" s="19">
        <f t="shared" si="223"/>
        <v>23.321814479999993</v>
      </c>
      <c r="J22" s="19">
        <f t="shared" si="223"/>
        <v>20.989633031999993</v>
      </c>
      <c r="K22" s="19">
        <f t="shared" si="223"/>
        <v>18.890669728799992</v>
      </c>
      <c r="L22" s="19">
        <f t="shared" si="223"/>
        <v>17.001602755919993</v>
      </c>
      <c r="M22" s="19">
        <f t="shared" si="223"/>
        <v>15.301442480327994</v>
      </c>
      <c r="N22" s="19">
        <f t="shared" si="223"/>
        <v>13.771298232295194</v>
      </c>
      <c r="O22" s="19">
        <f t="shared" si="223"/>
        <v>12.394168409065676</v>
      </c>
      <c r="P22" s="19">
        <f t="shared" si="223"/>
        <v>11.15475156815911</v>
      </c>
      <c r="Q22" s="19">
        <f t="shared" si="223"/>
        <v>10.039276411343199</v>
      </c>
      <c r="R22" s="19">
        <f t="shared" si="223"/>
        <v>9.0353487702088806</v>
      </c>
      <c r="S22" s="19">
        <f t="shared" si="223"/>
        <v>8.1318138931879904</v>
      </c>
      <c r="T22" s="19">
        <f t="shared" si="223"/>
        <v>7.3186325038691926</v>
      </c>
      <c r="U22" s="19">
        <f t="shared" si="223"/>
        <v>6.5867692534822719</v>
      </c>
      <c r="V22" s="19">
        <f t="shared" si="223"/>
        <v>5.9280923281340447</v>
      </c>
      <c r="W22" s="19">
        <f t="shared" si="223"/>
        <v>5.3352830953206398</v>
      </c>
      <c r="X22" s="19">
        <f t="shared" si="223"/>
        <v>4.8017547857885754</v>
      </c>
      <c r="Y22" s="19">
        <f t="shared" si="223"/>
        <v>4.3215793072097188</v>
      </c>
      <c r="Z22" s="19">
        <f t="shared" si="223"/>
        <v>3.8894213764887469</v>
      </c>
      <c r="AA22" s="19">
        <f t="shared" si="223"/>
        <v>3.5004792388398718</v>
      </c>
      <c r="AB22" s="19">
        <f t="shared" si="223"/>
        <v>3.1504313149558851</v>
      </c>
      <c r="AC22" s="19">
        <f t="shared" si="223"/>
        <v>2.8353881834602963</v>
      </c>
      <c r="AD22" s="19">
        <f t="shared" si="223"/>
        <v>2.5518493651142671</v>
      </c>
      <c r="AE22" s="19">
        <f t="shared" si="223"/>
        <v>2.2966644286028401</v>
      </c>
      <c r="AF22" s="19">
        <f t="shared" si="223"/>
        <v>2.0669979857425562</v>
      </c>
      <c r="AG22" s="19">
        <f t="shared" si="223"/>
        <v>1.8602981871683006</v>
      </c>
      <c r="AH22" s="19">
        <f t="shared" si="223"/>
        <v>1.6742683684514705</v>
      </c>
      <c r="AI22" s="19">
        <f t="shared" ref="AI22:BQ22" si="224">AI$21*$B37</f>
        <v>1.5068415316063237</v>
      </c>
      <c r="AJ22" s="19">
        <f t="shared" si="224"/>
        <v>1.3561573784456913</v>
      </c>
      <c r="AK22" s="19">
        <f t="shared" si="224"/>
        <v>1.2205416406011222</v>
      </c>
      <c r="AL22" s="19">
        <f t="shared" si="224"/>
        <v>1.09848747654101</v>
      </c>
      <c r="AM22" s="19">
        <f t="shared" si="224"/>
        <v>0.98863872888690907</v>
      </c>
      <c r="AN22" s="19">
        <f t="shared" si="224"/>
        <v>0.88977485599821826</v>
      </c>
      <c r="AO22" s="19">
        <f t="shared" si="224"/>
        <v>0.80079737039839638</v>
      </c>
      <c r="AP22" s="19">
        <f t="shared" si="224"/>
        <v>0.72071763335855665</v>
      </c>
      <c r="AQ22" s="19">
        <f t="shared" si="224"/>
        <v>0.64864587002270113</v>
      </c>
      <c r="AR22" s="19">
        <f t="shared" si="224"/>
        <v>0.58378128302043097</v>
      </c>
      <c r="AS22" s="19">
        <f t="shared" si="224"/>
        <v>0.52540315471838794</v>
      </c>
      <c r="AT22" s="19">
        <f t="shared" si="224"/>
        <v>0.47286283924654915</v>
      </c>
      <c r="AU22" s="19">
        <f t="shared" si="224"/>
        <v>0.4255765553218942</v>
      </c>
      <c r="AV22" s="19">
        <f t="shared" si="224"/>
        <v>0.38301889978970477</v>
      </c>
      <c r="AW22" s="19">
        <f t="shared" si="224"/>
        <v>0.34471700981073433</v>
      </c>
      <c r="AX22" s="19">
        <f t="shared" si="224"/>
        <v>0.31024530882966089</v>
      </c>
      <c r="AY22" s="19">
        <f t="shared" si="224"/>
        <v>0.27922077794669481</v>
      </c>
      <c r="AZ22" s="19">
        <f t="shared" si="224"/>
        <v>0.25129870015202532</v>
      </c>
      <c r="BA22" s="19">
        <f t="shared" si="224"/>
        <v>0.22616883013682279</v>
      </c>
      <c r="BB22" s="19">
        <f t="shared" si="224"/>
        <v>0.20355194712314054</v>
      </c>
      <c r="BC22" s="19">
        <f t="shared" si="224"/>
        <v>0.18319675241082647</v>
      </c>
      <c r="BD22" s="19">
        <f t="shared" si="224"/>
        <v>0.16487707716974384</v>
      </c>
      <c r="BE22" s="19">
        <f t="shared" si="224"/>
        <v>0.14838936945276945</v>
      </c>
      <c r="BF22" s="19">
        <f t="shared" si="224"/>
        <v>0.13355043250749249</v>
      </c>
      <c r="BG22" s="19">
        <f t="shared" si="224"/>
        <v>0.12019538925674325</v>
      </c>
      <c r="BH22" s="19">
        <f t="shared" si="224"/>
        <v>0.10817585033106894</v>
      </c>
      <c r="BI22" s="19">
        <f t="shared" si="224"/>
        <v>9.7358265297962043E-2</v>
      </c>
      <c r="BJ22" s="19">
        <f t="shared" si="224"/>
        <v>8.7622438768165833E-2</v>
      </c>
      <c r="BK22" s="19">
        <f t="shared" si="224"/>
        <v>7.8860194891349253E-2</v>
      </c>
      <c r="BL22" s="19">
        <f t="shared" si="224"/>
        <v>7.0974175402214332E-2</v>
      </c>
      <c r="BM22" s="19">
        <f t="shared" si="224"/>
        <v>6.38767578619929E-2</v>
      </c>
      <c r="BN22" s="19">
        <f t="shared" si="224"/>
        <v>5.7489082075793611E-2</v>
      </c>
      <c r="BO22" s="19">
        <f t="shared" si="224"/>
        <v>5.1740173868214244E-2</v>
      </c>
      <c r="BP22" s="19">
        <f t="shared" si="224"/>
        <v>4.6566156481392826E-2</v>
      </c>
      <c r="BQ22" s="19">
        <f t="shared" si="224"/>
        <v>4.1909540833253545E-2</v>
      </c>
    </row>
    <row r="23" spans="1:78">
      <c r="A23" t="s">
        <v>32</v>
      </c>
      <c r="B23" t="s">
        <v>91</v>
      </c>
      <c r="C23" s="19">
        <f t="shared" ref="C23:AH23" si="225">C$21*$B38</f>
        <v>129.50857142857143</v>
      </c>
      <c r="D23" s="19">
        <f t="shared" si="225"/>
        <v>36.69409523809523</v>
      </c>
      <c r="E23" s="19">
        <f t="shared" si="225"/>
        <v>27.952266666666659</v>
      </c>
      <c r="F23" s="19">
        <f t="shared" si="225"/>
        <v>23.759426666666659</v>
      </c>
      <c r="G23" s="19">
        <f t="shared" si="225"/>
        <v>20.195512666666659</v>
      </c>
      <c r="H23" s="19">
        <f t="shared" si="225"/>
        <v>17.630136733333327</v>
      </c>
      <c r="I23" s="19">
        <f t="shared" si="225"/>
        <v>15.867123059999996</v>
      </c>
      <c r="J23" s="19">
        <f t="shared" si="225"/>
        <v>14.280410753999995</v>
      </c>
      <c r="K23" s="19">
        <f t="shared" si="225"/>
        <v>12.852369678599995</v>
      </c>
      <c r="L23" s="19">
        <f t="shared" si="225"/>
        <v>11.567132710739996</v>
      </c>
      <c r="M23" s="19">
        <f t="shared" si="225"/>
        <v>10.410419439665997</v>
      </c>
      <c r="N23" s="19">
        <f t="shared" si="225"/>
        <v>9.3693774956993963</v>
      </c>
      <c r="O23" s="19">
        <f t="shared" si="225"/>
        <v>8.4324397461294573</v>
      </c>
      <c r="P23" s="19">
        <f t="shared" si="225"/>
        <v>7.589195771516513</v>
      </c>
      <c r="Q23" s="19">
        <f t="shared" si="225"/>
        <v>6.8302761943648616</v>
      </c>
      <c r="R23" s="19">
        <f t="shared" si="225"/>
        <v>6.1472485749283754</v>
      </c>
      <c r="S23" s="19">
        <f t="shared" si="225"/>
        <v>5.5325237174355379</v>
      </c>
      <c r="T23" s="19">
        <f t="shared" si="225"/>
        <v>4.9792713456919842</v>
      </c>
      <c r="U23" s="19">
        <f t="shared" si="225"/>
        <v>4.481344211122785</v>
      </c>
      <c r="V23" s="19">
        <f t="shared" si="225"/>
        <v>4.0332097900105062</v>
      </c>
      <c r="W23" s="19">
        <f t="shared" si="225"/>
        <v>3.6298888110094558</v>
      </c>
      <c r="X23" s="19">
        <f t="shared" si="225"/>
        <v>3.2668999299085097</v>
      </c>
      <c r="Y23" s="19">
        <f t="shared" si="225"/>
        <v>2.9402099369176593</v>
      </c>
      <c r="Z23" s="19">
        <f t="shared" si="225"/>
        <v>2.6461889432258934</v>
      </c>
      <c r="AA23" s="19">
        <f t="shared" si="225"/>
        <v>2.3815700489033036</v>
      </c>
      <c r="AB23" s="19">
        <f t="shared" si="225"/>
        <v>2.1434130440129735</v>
      </c>
      <c r="AC23" s="19">
        <f t="shared" si="225"/>
        <v>1.9290717396116761</v>
      </c>
      <c r="AD23" s="19">
        <f t="shared" si="225"/>
        <v>1.7361645656505087</v>
      </c>
      <c r="AE23" s="19">
        <f t="shared" si="225"/>
        <v>1.5625481090854578</v>
      </c>
      <c r="AF23" s="19">
        <f t="shared" si="225"/>
        <v>1.4062932981769121</v>
      </c>
      <c r="AG23" s="19">
        <f t="shared" si="225"/>
        <v>1.2656639683592208</v>
      </c>
      <c r="AH23" s="19">
        <f t="shared" si="225"/>
        <v>1.1390975715232987</v>
      </c>
      <c r="AI23" s="19">
        <f t="shared" ref="AI23:BQ23" si="226">AI$21*$B38</f>
        <v>1.025187814370969</v>
      </c>
      <c r="AJ23" s="19">
        <f t="shared" si="226"/>
        <v>0.92266903293387215</v>
      </c>
      <c r="AK23" s="19">
        <f t="shared" si="226"/>
        <v>0.83040212964048499</v>
      </c>
      <c r="AL23" s="19">
        <f t="shared" si="226"/>
        <v>0.74736191667643648</v>
      </c>
      <c r="AM23" s="19">
        <f t="shared" si="226"/>
        <v>0.67262572500879281</v>
      </c>
      <c r="AN23" s="19">
        <f t="shared" si="226"/>
        <v>0.60536315250791362</v>
      </c>
      <c r="AO23" s="19">
        <f t="shared" si="226"/>
        <v>0.54482683725712222</v>
      </c>
      <c r="AP23" s="19">
        <f t="shared" si="226"/>
        <v>0.49034415353140998</v>
      </c>
      <c r="AQ23" s="19">
        <f t="shared" si="226"/>
        <v>0.44130973817826902</v>
      </c>
      <c r="AR23" s="19">
        <f t="shared" si="226"/>
        <v>0.39717876436044214</v>
      </c>
      <c r="AS23" s="19">
        <f t="shared" si="226"/>
        <v>0.35746088792439795</v>
      </c>
      <c r="AT23" s="19">
        <f t="shared" si="226"/>
        <v>0.32171479913195816</v>
      </c>
      <c r="AU23" s="19">
        <f t="shared" si="226"/>
        <v>0.28954331921876231</v>
      </c>
      <c r="AV23" s="19">
        <f t="shared" si="226"/>
        <v>0.26058898729688607</v>
      </c>
      <c r="AW23" s="19">
        <f t="shared" si="226"/>
        <v>0.23453008856719751</v>
      </c>
      <c r="AX23" s="19">
        <f t="shared" si="226"/>
        <v>0.21107707971047776</v>
      </c>
      <c r="AY23" s="19">
        <f t="shared" si="226"/>
        <v>0.18996937173942996</v>
      </c>
      <c r="AZ23" s="19">
        <f t="shared" si="226"/>
        <v>0.17097243456548694</v>
      </c>
      <c r="BA23" s="19">
        <f t="shared" si="226"/>
        <v>0.15387519110893827</v>
      </c>
      <c r="BB23" s="19">
        <f t="shared" si="226"/>
        <v>0.13848767199804446</v>
      </c>
      <c r="BC23" s="19">
        <f t="shared" si="226"/>
        <v>0.12463890479824</v>
      </c>
      <c r="BD23" s="19">
        <f t="shared" si="226"/>
        <v>0.11217501431841602</v>
      </c>
      <c r="BE23" s="19">
        <f t="shared" si="226"/>
        <v>0.10095751288657441</v>
      </c>
      <c r="BF23" s="19">
        <f t="shared" si="226"/>
        <v>9.0861761597916965E-2</v>
      </c>
      <c r="BG23" s="19">
        <f t="shared" si="226"/>
        <v>8.177558543812527E-2</v>
      </c>
      <c r="BH23" s="19">
        <f t="shared" si="226"/>
        <v>7.3598026894312746E-2</v>
      </c>
      <c r="BI23" s="19">
        <f t="shared" si="226"/>
        <v>6.6238224204881471E-2</v>
      </c>
      <c r="BJ23" s="19">
        <f t="shared" si="226"/>
        <v>5.9614401784393325E-2</v>
      </c>
      <c r="BK23" s="19">
        <f t="shared" si="226"/>
        <v>5.3652961605953994E-2</v>
      </c>
      <c r="BL23" s="19">
        <f t="shared" si="226"/>
        <v>4.8287665445358598E-2</v>
      </c>
      <c r="BM23" s="19">
        <f t="shared" si="226"/>
        <v>4.3458898900822739E-2</v>
      </c>
      <c r="BN23" s="19">
        <f t="shared" si="226"/>
        <v>3.9113009010740461E-2</v>
      </c>
      <c r="BO23" s="19">
        <f t="shared" si="226"/>
        <v>3.5201708109666413E-2</v>
      </c>
      <c r="BP23" s="19">
        <f t="shared" si="226"/>
        <v>3.1681537298699783E-2</v>
      </c>
      <c r="BQ23" s="19">
        <f t="shared" si="226"/>
        <v>2.8513383568829802E-2</v>
      </c>
    </row>
    <row r="24" spans="1:78">
      <c r="A24" t="s">
        <v>58</v>
      </c>
      <c r="B24" t="s">
        <v>91</v>
      </c>
      <c r="C24" s="19">
        <f t="shared" ref="C24:AH24" si="227">C$21*$B39</f>
        <v>61.760000000000005</v>
      </c>
      <c r="D24" s="19">
        <f t="shared" si="227"/>
        <v>17.498666666666661</v>
      </c>
      <c r="E24" s="19">
        <f t="shared" si="227"/>
        <v>13.329866666666664</v>
      </c>
      <c r="F24" s="19">
        <f t="shared" si="227"/>
        <v>11.330386666666664</v>
      </c>
      <c r="G24" s="19">
        <f t="shared" si="227"/>
        <v>9.6308286666666625</v>
      </c>
      <c r="H24" s="19">
        <f t="shared" si="227"/>
        <v>8.4074531333333304</v>
      </c>
      <c r="I24" s="19">
        <f t="shared" si="227"/>
        <v>7.5667078199999986</v>
      </c>
      <c r="J24" s="19">
        <f t="shared" si="227"/>
        <v>6.8100370379999973</v>
      </c>
      <c r="K24" s="19">
        <f t="shared" si="227"/>
        <v>6.1290333341999981</v>
      </c>
      <c r="L24" s="19">
        <f t="shared" si="227"/>
        <v>5.5161300007799978</v>
      </c>
      <c r="M24" s="19">
        <f t="shared" si="227"/>
        <v>4.9645170007019983</v>
      </c>
      <c r="N24" s="19">
        <f t="shared" si="227"/>
        <v>4.4680653006317987</v>
      </c>
      <c r="O24" s="19">
        <f t="shared" si="227"/>
        <v>4.0212587705686191</v>
      </c>
      <c r="P24" s="19">
        <f t="shared" si="227"/>
        <v>3.6191328935117575</v>
      </c>
      <c r="Q24" s="19">
        <f t="shared" si="227"/>
        <v>3.2572196041605816</v>
      </c>
      <c r="R24" s="19">
        <f t="shared" si="227"/>
        <v>2.9314976437445237</v>
      </c>
      <c r="S24" s="19">
        <f t="shared" si="227"/>
        <v>2.638347879370071</v>
      </c>
      <c r="T24" s="19">
        <f t="shared" si="227"/>
        <v>2.3745130914330641</v>
      </c>
      <c r="U24" s="19">
        <f t="shared" si="227"/>
        <v>2.1370617822897575</v>
      </c>
      <c r="V24" s="19">
        <f t="shared" si="227"/>
        <v>1.9233556040607815</v>
      </c>
      <c r="W24" s="19">
        <f t="shared" si="227"/>
        <v>1.7310200436547034</v>
      </c>
      <c r="X24" s="19">
        <f t="shared" si="227"/>
        <v>1.5579180392892329</v>
      </c>
      <c r="Y24" s="19">
        <f t="shared" si="227"/>
        <v>1.4021262353603099</v>
      </c>
      <c r="Z24" s="19">
        <f t="shared" si="227"/>
        <v>1.2619136118242789</v>
      </c>
      <c r="AA24" s="19">
        <f t="shared" si="227"/>
        <v>1.1357222506418507</v>
      </c>
      <c r="AB24" s="19">
        <f t="shared" si="227"/>
        <v>1.0221500255776659</v>
      </c>
      <c r="AC24" s="19">
        <f t="shared" si="227"/>
        <v>0.91993502301989927</v>
      </c>
      <c r="AD24" s="19">
        <f t="shared" si="227"/>
        <v>0.82794152071790938</v>
      </c>
      <c r="AE24" s="19">
        <f t="shared" si="227"/>
        <v>0.74514736864611841</v>
      </c>
      <c r="AF24" s="19">
        <f t="shared" si="227"/>
        <v>0.67063263178150656</v>
      </c>
      <c r="AG24" s="19">
        <f t="shared" si="227"/>
        <v>0.60356936860335597</v>
      </c>
      <c r="AH24" s="19">
        <f t="shared" si="227"/>
        <v>0.54321243174302036</v>
      </c>
      <c r="AI24" s="19">
        <f t="shared" ref="AI24:BQ24" si="228">AI$21*$B39</f>
        <v>0.48889118856871838</v>
      </c>
      <c r="AJ24" s="19">
        <f t="shared" si="228"/>
        <v>0.44000206971184652</v>
      </c>
      <c r="AK24" s="19">
        <f t="shared" si="228"/>
        <v>0.3960018627406619</v>
      </c>
      <c r="AL24" s="19">
        <f t="shared" si="228"/>
        <v>0.35640167646659571</v>
      </c>
      <c r="AM24" s="19">
        <f t="shared" si="228"/>
        <v>0.32076150881993615</v>
      </c>
      <c r="AN24" s="19">
        <f t="shared" si="228"/>
        <v>0.28868535793794259</v>
      </c>
      <c r="AO24" s="19">
        <f t="shared" si="228"/>
        <v>0.25981682214414831</v>
      </c>
      <c r="AP24" s="19">
        <f t="shared" si="228"/>
        <v>0.23383513992973345</v>
      </c>
      <c r="AQ24" s="19">
        <f t="shared" si="228"/>
        <v>0.21045162593676014</v>
      </c>
      <c r="AR24" s="19">
        <f t="shared" si="228"/>
        <v>0.18940646334308411</v>
      </c>
      <c r="AS24" s="19">
        <f t="shared" si="228"/>
        <v>0.17046581700877572</v>
      </c>
      <c r="AT24" s="19">
        <f t="shared" si="228"/>
        <v>0.15341923530789817</v>
      </c>
      <c r="AU24" s="19">
        <f t="shared" si="228"/>
        <v>0.13807731177710833</v>
      </c>
      <c r="AV24" s="19">
        <f t="shared" si="228"/>
        <v>0.12426958059939749</v>
      </c>
      <c r="AW24" s="19">
        <f t="shared" si="228"/>
        <v>0.11184262253945776</v>
      </c>
      <c r="AX24" s="19">
        <f t="shared" si="228"/>
        <v>0.10065836028551198</v>
      </c>
      <c r="AY24" s="19">
        <f t="shared" si="228"/>
        <v>9.059252425696078E-2</v>
      </c>
      <c r="AZ24" s="19">
        <f t="shared" si="228"/>
        <v>8.1533271831264686E-2</v>
      </c>
      <c r="BA24" s="19">
        <f t="shared" si="228"/>
        <v>7.3379944648138226E-2</v>
      </c>
      <c r="BB24" s="19">
        <f t="shared" si="228"/>
        <v>6.6041950183324413E-2</v>
      </c>
      <c r="BC24" s="19">
        <f t="shared" si="228"/>
        <v>5.9437755164991966E-2</v>
      </c>
      <c r="BD24" s="19">
        <f t="shared" si="228"/>
        <v>5.3493979648492777E-2</v>
      </c>
      <c r="BE24" s="19">
        <f t="shared" si="228"/>
        <v>4.8144581683643495E-2</v>
      </c>
      <c r="BF24" s="19">
        <f t="shared" si="228"/>
        <v>4.3330123515279144E-2</v>
      </c>
      <c r="BG24" s="19">
        <f t="shared" si="228"/>
        <v>3.8997111163751229E-2</v>
      </c>
      <c r="BH24" s="19">
        <f t="shared" si="228"/>
        <v>3.5097400047376111E-2</v>
      </c>
      <c r="BI24" s="19">
        <f t="shared" si="228"/>
        <v>3.15876600426385E-2</v>
      </c>
      <c r="BJ24" s="19">
        <f t="shared" si="228"/>
        <v>2.842889403837465E-2</v>
      </c>
      <c r="BK24" s="19">
        <f t="shared" si="228"/>
        <v>2.5586004634537182E-2</v>
      </c>
      <c r="BL24" s="19">
        <f t="shared" si="228"/>
        <v>2.3027404171083468E-2</v>
      </c>
      <c r="BM24" s="19">
        <f t="shared" si="228"/>
        <v>2.0724663753975123E-2</v>
      </c>
      <c r="BN24" s="19">
        <f t="shared" si="228"/>
        <v>1.8652197378577609E-2</v>
      </c>
      <c r="BO24" s="19">
        <f t="shared" si="228"/>
        <v>1.6786977640719847E-2</v>
      </c>
      <c r="BP24" s="19">
        <f t="shared" si="228"/>
        <v>1.5108279876647866E-2</v>
      </c>
      <c r="BQ24" s="19">
        <f t="shared" si="228"/>
        <v>1.359745188898308E-2</v>
      </c>
    </row>
    <row r="25" spans="1:78">
      <c r="A25" t="s">
        <v>33</v>
      </c>
      <c r="B25" t="s">
        <v>91</v>
      </c>
      <c r="C25" s="19">
        <f t="shared" ref="C25:AH25" si="229">C$21*$B40</f>
        <v>75.565714285714293</v>
      </c>
      <c r="D25" s="19">
        <f t="shared" si="229"/>
        <v>21.41028571428571</v>
      </c>
      <c r="E25" s="19">
        <f t="shared" si="229"/>
        <v>16.309599999999996</v>
      </c>
      <c r="F25" s="19">
        <f t="shared" si="229"/>
        <v>13.863159999999997</v>
      </c>
      <c r="G25" s="19">
        <f t="shared" si="229"/>
        <v>11.783685999999994</v>
      </c>
      <c r="H25" s="19">
        <f t="shared" si="229"/>
        <v>10.286839399999996</v>
      </c>
      <c r="I25" s="19">
        <f t="shared" si="229"/>
        <v>9.2581554599999976</v>
      </c>
      <c r="J25" s="19">
        <f t="shared" si="229"/>
        <v>8.3323399139999967</v>
      </c>
      <c r="K25" s="19">
        <f t="shared" si="229"/>
        <v>7.4991059225999974</v>
      </c>
      <c r="L25" s="19">
        <f t="shared" si="229"/>
        <v>6.7491953303399983</v>
      </c>
      <c r="M25" s="19">
        <f t="shared" si="229"/>
        <v>6.0742757973059982</v>
      </c>
      <c r="N25" s="19">
        <f t="shared" si="229"/>
        <v>5.4668482175753983</v>
      </c>
      <c r="O25" s="19">
        <f t="shared" si="229"/>
        <v>4.920163395817859</v>
      </c>
      <c r="P25" s="19">
        <f t="shared" si="229"/>
        <v>4.4281470562360736</v>
      </c>
      <c r="Q25" s="19">
        <f t="shared" si="229"/>
        <v>3.9853323506124658</v>
      </c>
      <c r="R25" s="19">
        <f t="shared" si="229"/>
        <v>3.5867991155512198</v>
      </c>
      <c r="S25" s="19">
        <f t="shared" si="229"/>
        <v>3.2281192039960973</v>
      </c>
      <c r="T25" s="19">
        <f t="shared" si="229"/>
        <v>2.9053072835964882</v>
      </c>
      <c r="U25" s="19">
        <f t="shared" si="229"/>
        <v>2.6147765552368387</v>
      </c>
      <c r="V25" s="19">
        <f t="shared" si="229"/>
        <v>2.3532988997131548</v>
      </c>
      <c r="W25" s="19">
        <f t="shared" si="229"/>
        <v>2.1179690097418393</v>
      </c>
      <c r="X25" s="19">
        <f t="shared" si="229"/>
        <v>1.9061721087676551</v>
      </c>
      <c r="Y25" s="19">
        <f t="shared" si="229"/>
        <v>1.7155548978908899</v>
      </c>
      <c r="Z25" s="19">
        <f t="shared" si="229"/>
        <v>1.5439994081018009</v>
      </c>
      <c r="AA25" s="19">
        <f t="shared" si="229"/>
        <v>1.3895994672916205</v>
      </c>
      <c r="AB25" s="19">
        <f t="shared" si="229"/>
        <v>1.2506395205624588</v>
      </c>
      <c r="AC25" s="19">
        <f t="shared" si="229"/>
        <v>1.1255755685062128</v>
      </c>
      <c r="AD25" s="19">
        <f t="shared" si="229"/>
        <v>1.0130180116555916</v>
      </c>
      <c r="AE25" s="19">
        <f t="shared" si="229"/>
        <v>0.91171621049003237</v>
      </c>
      <c r="AF25" s="19">
        <f t="shared" si="229"/>
        <v>0.82054458944102915</v>
      </c>
      <c r="AG25" s="19">
        <f t="shared" si="229"/>
        <v>0.73849013049692624</v>
      </c>
      <c r="AH25" s="19">
        <f t="shared" si="229"/>
        <v>0.66464111744723364</v>
      </c>
      <c r="AI25" s="19">
        <f t="shared" ref="AI25:BQ25" si="230">AI$21*$B40</f>
        <v>0.59817700570251031</v>
      </c>
      <c r="AJ25" s="19">
        <f t="shared" si="230"/>
        <v>0.53835930513225927</v>
      </c>
      <c r="AK25" s="19">
        <f t="shared" si="230"/>
        <v>0.48452337461903339</v>
      </c>
      <c r="AL25" s="19">
        <f t="shared" si="230"/>
        <v>0.43607103715713008</v>
      </c>
      <c r="AM25" s="19">
        <f t="shared" si="230"/>
        <v>0.39246393344141706</v>
      </c>
      <c r="AN25" s="19">
        <f t="shared" si="230"/>
        <v>0.35321754009727541</v>
      </c>
      <c r="AO25" s="19">
        <f t="shared" si="230"/>
        <v>0.31789578608754782</v>
      </c>
      <c r="AP25" s="19">
        <f t="shared" si="230"/>
        <v>0.28610620747879306</v>
      </c>
      <c r="AQ25" s="19">
        <f t="shared" si="230"/>
        <v>0.25749558673091377</v>
      </c>
      <c r="AR25" s="19">
        <f t="shared" si="230"/>
        <v>0.23174602805782238</v>
      </c>
      <c r="AS25" s="19">
        <f t="shared" si="230"/>
        <v>0.20857142525204017</v>
      </c>
      <c r="AT25" s="19">
        <f t="shared" si="230"/>
        <v>0.18771428272683616</v>
      </c>
      <c r="AU25" s="19">
        <f t="shared" si="230"/>
        <v>0.16894285445415252</v>
      </c>
      <c r="AV25" s="19">
        <f t="shared" si="230"/>
        <v>0.15204856900873728</v>
      </c>
      <c r="AW25" s="19">
        <f t="shared" si="230"/>
        <v>0.13684371210786356</v>
      </c>
      <c r="AX25" s="19">
        <f t="shared" si="230"/>
        <v>0.12315934089707721</v>
      </c>
      <c r="AY25" s="19">
        <f t="shared" si="230"/>
        <v>0.11084340680736948</v>
      </c>
      <c r="AZ25" s="19">
        <f t="shared" si="230"/>
        <v>9.9759066126632531E-2</v>
      </c>
      <c r="BA25" s="19">
        <f t="shared" si="230"/>
        <v>8.9783159513969285E-2</v>
      </c>
      <c r="BB25" s="19">
        <f t="shared" si="230"/>
        <v>8.0804843562572351E-2</v>
      </c>
      <c r="BC25" s="19">
        <f t="shared" si="230"/>
        <v>7.272435920631512E-2</v>
      </c>
      <c r="BD25" s="19">
        <f t="shared" si="230"/>
        <v>6.5451923285683611E-2</v>
      </c>
      <c r="BE25" s="19">
        <f t="shared" si="230"/>
        <v>5.8906730957115246E-2</v>
      </c>
      <c r="BF25" s="19">
        <f t="shared" si="230"/>
        <v>5.3016057861403725E-2</v>
      </c>
      <c r="BG25" s="19">
        <f t="shared" si="230"/>
        <v>4.7714452075263349E-2</v>
      </c>
      <c r="BH25" s="19">
        <f t="shared" si="230"/>
        <v>4.294300686773702E-2</v>
      </c>
      <c r="BI25" s="19">
        <f t="shared" si="230"/>
        <v>3.8648706180963319E-2</v>
      </c>
      <c r="BJ25" s="19">
        <f t="shared" si="230"/>
        <v>3.4783835562866988E-2</v>
      </c>
      <c r="BK25" s="19">
        <f t="shared" si="230"/>
        <v>3.1305452006580282E-2</v>
      </c>
      <c r="BL25" s="19">
        <f t="shared" si="230"/>
        <v>2.8174906805922259E-2</v>
      </c>
      <c r="BM25" s="19">
        <f t="shared" si="230"/>
        <v>2.5357416125330035E-2</v>
      </c>
      <c r="BN25" s="19">
        <f t="shared" si="230"/>
        <v>2.2821674512797031E-2</v>
      </c>
      <c r="BO25" s="19">
        <f t="shared" si="230"/>
        <v>2.0539507061517328E-2</v>
      </c>
      <c r="BP25" s="19">
        <f t="shared" si="230"/>
        <v>1.8485556355365598E-2</v>
      </c>
      <c r="BQ25" s="19">
        <f t="shared" si="230"/>
        <v>1.6637000719829039E-2</v>
      </c>
    </row>
    <row r="26" spans="1:78">
      <c r="A26" t="s">
        <v>54</v>
      </c>
      <c r="D26" s="145">
        <f t="shared" ref="D26:K26" si="231">(D19-C19)/C19</f>
        <v>-0.71666666666666667</v>
      </c>
      <c r="E26" s="145">
        <f t="shared" si="231"/>
        <v>-0.2382352941176471</v>
      </c>
      <c r="F26" s="145">
        <f t="shared" si="231"/>
        <v>-0.15000000000000002</v>
      </c>
      <c r="G26" s="145">
        <f t="shared" si="231"/>
        <v>-0.15000000000000019</v>
      </c>
      <c r="H26" s="145">
        <f t="shared" si="231"/>
        <v>-0.12702702702702695</v>
      </c>
      <c r="I26" s="145">
        <f t="shared" si="231"/>
        <v>-9.9999999999999839E-2</v>
      </c>
      <c r="J26" s="145">
        <f t="shared" si="231"/>
        <v>-0.1000000000000001</v>
      </c>
      <c r="K26" s="145">
        <f t="shared" si="231"/>
        <v>-0.10000000000000005</v>
      </c>
      <c r="L26" s="145">
        <f t="shared" ref="L26:V26" si="232">(L19-K19)/K19</f>
        <v>-9.9999999999999964E-2</v>
      </c>
      <c r="M26" s="145">
        <f t="shared" si="232"/>
        <v>-0.10000000000000005</v>
      </c>
      <c r="N26" s="145">
        <f t="shared" si="232"/>
        <v>-9.9999999999999964E-2</v>
      </c>
      <c r="O26" s="145">
        <f t="shared" si="232"/>
        <v>-9.9999999999999978E-2</v>
      </c>
      <c r="P26" s="145">
        <f t="shared" si="232"/>
        <v>-9.9999999999999839E-2</v>
      </c>
      <c r="Q26" s="145">
        <f t="shared" si="232"/>
        <v>-0.10000000000000005</v>
      </c>
      <c r="R26" s="145">
        <f t="shared" si="232"/>
        <v>-9.9999999999999922E-2</v>
      </c>
      <c r="S26" s="145">
        <f t="shared" si="232"/>
        <v>-0.10000000000000006</v>
      </c>
      <c r="T26" s="145">
        <f t="shared" si="232"/>
        <v>-9.9999999999999908E-2</v>
      </c>
      <c r="U26" s="145">
        <f t="shared" si="232"/>
        <v>-0.10000000000000017</v>
      </c>
      <c r="V26" s="145">
        <f t="shared" si="232"/>
        <v>-9.9999999999999964E-2</v>
      </c>
      <c r="W26" s="145"/>
      <c r="X26" s="145"/>
      <c r="Y26" s="145"/>
      <c r="Z26" s="19"/>
      <c r="AA26" s="19"/>
    </row>
    <row r="27" spans="1:78">
      <c r="D27" s="147">
        <f>(1+D26)</f>
        <v>0.28333333333333333</v>
      </c>
      <c r="E27" s="147">
        <f t="shared" ref="E27:G27" si="233">(1+E26)</f>
        <v>0.7617647058823529</v>
      </c>
      <c r="F27" s="147">
        <f t="shared" si="233"/>
        <v>0.85</v>
      </c>
      <c r="G27" s="147">
        <f t="shared" si="233"/>
        <v>0.84999999999999987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F27" t="s">
        <v>253</v>
      </c>
      <c r="AG27" s="233">
        <f>SUM(C14:V14)</f>
        <v>562941.62983703462</v>
      </c>
      <c r="AH27" t="s">
        <v>146</v>
      </c>
    </row>
    <row r="28" spans="1:78">
      <c r="C28" s="20">
        <f>C19*365</f>
        <v>876000</v>
      </c>
      <c r="D28" s="20">
        <f t="shared" ref="D28:AG28" si="234">D19*365</f>
        <v>248199.99999999997</v>
      </c>
      <c r="E28" s="20">
        <f t="shared" si="234"/>
        <v>189069.99999999997</v>
      </c>
      <c r="F28" s="20">
        <f t="shared" si="234"/>
        <v>160709.49999999997</v>
      </c>
      <c r="G28" s="20">
        <f t="shared" si="234"/>
        <v>136603.07499999992</v>
      </c>
      <c r="H28" s="20">
        <f t="shared" si="234"/>
        <v>119250.79249999995</v>
      </c>
      <c r="I28" s="20">
        <f t="shared" si="234"/>
        <v>107325.71324999997</v>
      </c>
      <c r="J28" s="20">
        <f t="shared" si="234"/>
        <v>96593.141924999974</v>
      </c>
      <c r="K28" s="20">
        <f t="shared" si="234"/>
        <v>86933.827732499965</v>
      </c>
      <c r="L28" s="20">
        <f t="shared" si="234"/>
        <v>78240.444959249973</v>
      </c>
      <c r="M28" s="20">
        <f t="shared" si="234"/>
        <v>70416.400463324971</v>
      </c>
      <c r="N28" s="20">
        <f t="shared" si="234"/>
        <v>63374.760416992474</v>
      </c>
      <c r="O28" s="20">
        <f t="shared" si="234"/>
        <v>57037.284375293231</v>
      </c>
      <c r="P28" s="20">
        <f t="shared" si="234"/>
        <v>51333.555937763915</v>
      </c>
      <c r="Q28" s="20">
        <f t="shared" si="234"/>
        <v>46200.200343987526</v>
      </c>
      <c r="R28" s="20">
        <f t="shared" si="234"/>
        <v>41580.180309588774</v>
      </c>
      <c r="S28" s="20">
        <f t="shared" si="234"/>
        <v>37422.162278629898</v>
      </c>
      <c r="T28" s="20">
        <f t="shared" si="234"/>
        <v>33679.946050766906</v>
      </c>
      <c r="U28" s="20">
        <f t="shared" si="234"/>
        <v>30311.951445690211</v>
      </c>
      <c r="V28" s="20">
        <f t="shared" si="234"/>
        <v>27280.756301121193</v>
      </c>
      <c r="W28" s="20">
        <f t="shared" si="234"/>
        <v>24552.680671009071</v>
      </c>
      <c r="X28" s="20">
        <f t="shared" si="234"/>
        <v>22097.412603908164</v>
      </c>
      <c r="Y28" s="20">
        <f t="shared" si="234"/>
        <v>19887.671343517348</v>
      </c>
      <c r="Z28" s="20">
        <f t="shared" si="234"/>
        <v>17898.904209165612</v>
      </c>
      <c r="AA28" s="20">
        <f t="shared" si="234"/>
        <v>16109.013788249051</v>
      </c>
      <c r="AB28" s="20">
        <f t="shared" si="234"/>
        <v>14498.112409424148</v>
      </c>
      <c r="AC28" s="20">
        <f t="shared" si="234"/>
        <v>13048.301168481732</v>
      </c>
      <c r="AD28" s="20">
        <f t="shared" si="234"/>
        <v>11743.471051633558</v>
      </c>
      <c r="AE28" s="20">
        <f t="shared" si="234"/>
        <v>10569.123946470203</v>
      </c>
      <c r="AF28" s="20">
        <f t="shared" si="234"/>
        <v>9512.211551823184</v>
      </c>
      <c r="AG28" s="20">
        <f t="shared" si="234"/>
        <v>8560.9903966408656</v>
      </c>
    </row>
    <row r="29" spans="1:78">
      <c r="AF29" t="s">
        <v>254</v>
      </c>
      <c r="AG29" s="152">
        <f>SUM(C28:V28)</f>
        <v>2557563.6932899086</v>
      </c>
      <c r="AH29" t="s">
        <v>74</v>
      </c>
    </row>
    <row r="31" spans="1:78">
      <c r="C31" s="21"/>
      <c r="E31">
        <f>(U32-C32)/18</f>
        <v>-143.33333333333334</v>
      </c>
      <c r="W31">
        <f>680-2400</f>
        <v>-1720</v>
      </c>
      <c r="Y31">
        <v>2400</v>
      </c>
      <c r="Z31">
        <f>Y31+$W$32</f>
        <v>2256.6666666666665</v>
      </c>
      <c r="AA31">
        <f t="shared" ref="AA31:AK31" si="235">Z31+$W$32</f>
        <v>2113.333333333333</v>
      </c>
      <c r="AB31">
        <f t="shared" si="235"/>
        <v>1969.9999999999998</v>
      </c>
      <c r="AC31">
        <f t="shared" si="235"/>
        <v>1826.6666666666665</v>
      </c>
      <c r="AD31">
        <f t="shared" si="235"/>
        <v>1683.3333333333333</v>
      </c>
      <c r="AE31">
        <f t="shared" si="235"/>
        <v>1540</v>
      </c>
      <c r="AF31">
        <f t="shared" si="235"/>
        <v>1396.6666666666667</v>
      </c>
      <c r="AG31">
        <f t="shared" si="235"/>
        <v>1253.3333333333335</v>
      </c>
      <c r="AH31">
        <f t="shared" si="235"/>
        <v>1110.0000000000002</v>
      </c>
      <c r="AI31">
        <f>AH31+$W$32</f>
        <v>966.66666666666686</v>
      </c>
      <c r="AJ31">
        <f t="shared" si="235"/>
        <v>823.33333333333348</v>
      </c>
      <c r="AK31">
        <f t="shared" si="235"/>
        <v>680.00000000000011</v>
      </c>
    </row>
    <row r="32" spans="1:78">
      <c r="B32" t="s">
        <v>255</v>
      </c>
      <c r="C32">
        <f>2400+1720*0.5</f>
        <v>3260</v>
      </c>
      <c r="D32">
        <f>C32+$E$31</f>
        <v>3116.6666666666665</v>
      </c>
      <c r="E32">
        <f t="shared" ref="E32:T32" si="236">D32+$E$31</f>
        <v>2973.333333333333</v>
      </c>
      <c r="F32">
        <f t="shared" si="236"/>
        <v>2829.9999999999995</v>
      </c>
      <c r="G32">
        <f t="shared" si="236"/>
        <v>2686.6666666666661</v>
      </c>
      <c r="H32">
        <f t="shared" si="236"/>
        <v>2543.3333333333326</v>
      </c>
      <c r="I32">
        <f t="shared" si="236"/>
        <v>2399.9999999999991</v>
      </c>
      <c r="J32">
        <f t="shared" si="236"/>
        <v>2256.6666666666656</v>
      </c>
      <c r="K32">
        <f t="shared" si="236"/>
        <v>2113.3333333333321</v>
      </c>
      <c r="L32">
        <f t="shared" si="236"/>
        <v>1969.9999999999989</v>
      </c>
      <c r="M32">
        <f t="shared" si="236"/>
        <v>1826.6666666666656</v>
      </c>
      <c r="N32">
        <f t="shared" si="236"/>
        <v>1683.3333333333323</v>
      </c>
      <c r="O32">
        <f t="shared" si="236"/>
        <v>1539.9999999999991</v>
      </c>
      <c r="P32">
        <f t="shared" si="236"/>
        <v>1396.6666666666658</v>
      </c>
      <c r="Q32">
        <f t="shared" si="236"/>
        <v>1253.3333333333326</v>
      </c>
      <c r="R32">
        <f t="shared" si="236"/>
        <v>1109.9999999999993</v>
      </c>
      <c r="S32">
        <f t="shared" si="236"/>
        <v>966.66666666666595</v>
      </c>
      <c r="T32">
        <f t="shared" si="236"/>
        <v>823.33333333333258</v>
      </c>
      <c r="U32">
        <v>680</v>
      </c>
      <c r="W32">
        <f>W31/12</f>
        <v>-143.33333333333334</v>
      </c>
      <c r="Z32">
        <f>(Z31-Y31)/Y31</f>
        <v>-5.9722222222222288E-2</v>
      </c>
      <c r="AA32">
        <f t="shared" ref="AA32:AK32" si="237">(AA31-Z31)/Z31</f>
        <v>-6.3515509601181755E-2</v>
      </c>
      <c r="AB32">
        <f t="shared" si="237"/>
        <v>-6.7823343848580422E-2</v>
      </c>
      <c r="AC32">
        <f t="shared" si="237"/>
        <v>-7.2758037225042274E-2</v>
      </c>
      <c r="AD32">
        <f t="shared" si="237"/>
        <v>-7.8467153284671493E-2</v>
      </c>
      <c r="AE32">
        <f t="shared" si="237"/>
        <v>-8.5148514851485113E-2</v>
      </c>
      <c r="AF32">
        <f t="shared" si="237"/>
        <v>-9.3073593073593031E-2</v>
      </c>
      <c r="AG32">
        <f t="shared" si="237"/>
        <v>-0.10262529832935555</v>
      </c>
      <c r="AH32">
        <f t="shared" si="237"/>
        <v>-0.1143617021276595</v>
      </c>
      <c r="AI32">
        <f t="shared" si="237"/>
        <v>-0.12912912912912913</v>
      </c>
      <c r="AJ32">
        <f t="shared" si="237"/>
        <v>-0.14827586206896554</v>
      </c>
      <c r="AK32">
        <f t="shared" si="237"/>
        <v>-0.17408906882591094</v>
      </c>
    </row>
    <row r="33" spans="1:37">
      <c r="A33" s="7"/>
      <c r="B33" s="7"/>
      <c r="C33" s="21"/>
      <c r="D33">
        <f>(D32-C32)/C32</f>
        <v>-4.3967280163599229E-2</v>
      </c>
      <c r="E33">
        <f>(E32-D32)/D32</f>
        <v>-4.5989304812834274E-2</v>
      </c>
      <c r="F33">
        <f>(F32-E32)/E32</f>
        <v>-4.8206278026905885E-2</v>
      </c>
      <c r="G33">
        <f>(G32-F32)/F32</f>
        <v>-5.0647820965842229E-2</v>
      </c>
      <c r="H33">
        <f>(H32-G32)/G32</f>
        <v>-5.3349875930521158E-2</v>
      </c>
      <c r="I33">
        <f t="shared" ref="I33" si="238">(I32-H32)/H32</f>
        <v>-5.6356487549148175E-2</v>
      </c>
      <c r="J33">
        <f t="shared" ref="J33" si="239">(J32-I32)/I32</f>
        <v>-5.9722222222222308E-2</v>
      </c>
      <c r="K33">
        <f t="shared" ref="K33" si="240">(K32-J32)/J32</f>
        <v>-6.3515509601181783E-2</v>
      </c>
      <c r="L33">
        <f t="shared" ref="L33" si="241">(L32-K32)/K32</f>
        <v>-6.782334384858045E-2</v>
      </c>
      <c r="M33">
        <f t="shared" ref="M33" si="242">(M32-L32)/L32</f>
        <v>-7.2758037225042302E-2</v>
      </c>
      <c r="N33">
        <f t="shared" ref="N33" si="243">(N32-M32)/M32</f>
        <v>-7.8467153284671534E-2</v>
      </c>
      <c r="O33">
        <f t="shared" ref="O33" si="244">(O32-N32)/N32</f>
        <v>-8.5148514851485155E-2</v>
      </c>
      <c r="P33">
        <f t="shared" ref="P33" si="245">(P32-O32)/O32</f>
        <v>-9.3073593073593086E-2</v>
      </c>
      <c r="Q33">
        <f t="shared" ref="Q33" si="246">(Q32-P32)/P32</f>
        <v>-0.10262529832935562</v>
      </c>
      <c r="R33">
        <f t="shared" ref="R33" si="247">(R32-Q32)/Q32</f>
        <v>-0.11436170212765959</v>
      </c>
      <c r="S33">
        <f t="shared" ref="S33" si="248">(S32-R32)/R32</f>
        <v>-0.12912912912912924</v>
      </c>
      <c r="T33">
        <f t="shared" ref="T33" si="249">(T32-S32)/S32</f>
        <v>-0.14827586206896567</v>
      </c>
      <c r="U33">
        <f t="shared" ref="U33" si="250">(U32-T32)/T32</f>
        <v>-0.17408906882591016</v>
      </c>
      <c r="Z33">
        <f>Z32*-1+1</f>
        <v>1.0597222222222222</v>
      </c>
      <c r="AA33">
        <f t="shared" ref="AA33:AK33" si="251">AA32*-1+1</f>
        <v>1.0635155096011817</v>
      </c>
      <c r="AB33">
        <f t="shared" si="251"/>
        <v>1.0678233438485805</v>
      </c>
      <c r="AC33">
        <f t="shared" si="251"/>
        <v>1.0727580372250423</v>
      </c>
      <c r="AD33">
        <f t="shared" si="251"/>
        <v>1.0784671532846715</v>
      </c>
      <c r="AE33">
        <f t="shared" si="251"/>
        <v>1.0851485148514852</v>
      </c>
      <c r="AF33">
        <f t="shared" si="251"/>
        <v>1.0930735930735931</v>
      </c>
      <c r="AG33">
        <f t="shared" si="251"/>
        <v>1.1026252983293556</v>
      </c>
      <c r="AH33">
        <f t="shared" si="251"/>
        <v>1.1143617021276595</v>
      </c>
      <c r="AI33">
        <f t="shared" si="251"/>
        <v>1.1291291291291292</v>
      </c>
      <c r="AJ33">
        <f t="shared" si="251"/>
        <v>1.1482758620689655</v>
      </c>
      <c r="AK33">
        <f t="shared" si="251"/>
        <v>1.1740890688259109</v>
      </c>
    </row>
    <row r="34" spans="1:37">
      <c r="A34" s="7"/>
      <c r="B34" s="7"/>
      <c r="C34" s="21"/>
      <c r="D34">
        <f>D33*-1+1</f>
        <v>1.0439672801635993</v>
      </c>
      <c r="E34">
        <f t="shared" ref="E34:U34" si="252">E33*-1+1</f>
        <v>1.0459893048128344</v>
      </c>
      <c r="F34">
        <f t="shared" si="252"/>
        <v>1.0482062780269059</v>
      </c>
      <c r="G34">
        <f t="shared" si="252"/>
        <v>1.0506478209658423</v>
      </c>
      <c r="H34">
        <f t="shared" si="252"/>
        <v>1.0533498759305211</v>
      </c>
      <c r="I34">
        <f t="shared" si="252"/>
        <v>1.0563564875491482</v>
      </c>
      <c r="J34">
        <f t="shared" si="252"/>
        <v>1.0597222222222222</v>
      </c>
      <c r="K34">
        <f t="shared" si="252"/>
        <v>1.0635155096011817</v>
      </c>
      <c r="L34">
        <f t="shared" si="252"/>
        <v>1.0678233438485805</v>
      </c>
      <c r="M34">
        <f t="shared" si="252"/>
        <v>1.0727580372250423</v>
      </c>
      <c r="N34">
        <f t="shared" si="252"/>
        <v>1.0784671532846715</v>
      </c>
      <c r="O34">
        <f t="shared" si="252"/>
        <v>1.0851485148514852</v>
      </c>
      <c r="P34">
        <f t="shared" si="252"/>
        <v>1.0930735930735931</v>
      </c>
      <c r="Q34">
        <f t="shared" si="252"/>
        <v>1.1026252983293556</v>
      </c>
      <c r="R34">
        <f t="shared" si="252"/>
        <v>1.1143617021276595</v>
      </c>
      <c r="S34">
        <f t="shared" si="252"/>
        <v>1.1291291291291292</v>
      </c>
      <c r="T34">
        <f t="shared" si="252"/>
        <v>1.1482758620689657</v>
      </c>
      <c r="U34">
        <f t="shared" si="252"/>
        <v>1.1740890688259102</v>
      </c>
      <c r="AD34" t="s">
        <v>264</v>
      </c>
      <c r="AE34">
        <f>PRODUCT(Z33:AK33)^(1/COUNT(Z33:AK33))-1</f>
        <v>9.8547816964851709E-2</v>
      </c>
    </row>
    <row r="35" spans="1:37">
      <c r="A35" t="s">
        <v>53</v>
      </c>
      <c r="C35" s="21">
        <v>8.2032955450712874E-2</v>
      </c>
      <c r="I35" s="98">
        <v>6.0419886547786503E-2</v>
      </c>
      <c r="J35" t="s">
        <v>266</v>
      </c>
      <c r="AD35" s="150">
        <f>AD36-13.5</f>
        <v>517.99999999999989</v>
      </c>
    </row>
    <row r="36" spans="1:37">
      <c r="A36" t="s">
        <v>55</v>
      </c>
      <c r="B36">
        <v>8</v>
      </c>
      <c r="C36" s="21"/>
      <c r="J36" t="s">
        <v>257</v>
      </c>
      <c r="S36">
        <v>679.99999999999989</v>
      </c>
      <c r="T36" s="150">
        <f>S36+$S$39</f>
        <v>666.49999999999989</v>
      </c>
      <c r="U36" s="150">
        <f t="shared" ref="U36:AD36" si="253">T36+$S$39</f>
        <v>652.99999999999989</v>
      </c>
      <c r="V36" s="150">
        <f t="shared" si="253"/>
        <v>639.49999999999989</v>
      </c>
      <c r="W36" s="150">
        <f t="shared" si="253"/>
        <v>625.99999999999989</v>
      </c>
      <c r="X36" s="150">
        <f t="shared" si="253"/>
        <v>612.49999999999989</v>
      </c>
      <c r="Y36" s="150">
        <f>X36+$S$39</f>
        <v>598.99999999999989</v>
      </c>
      <c r="Z36" s="150">
        <f t="shared" si="253"/>
        <v>585.49999999999989</v>
      </c>
      <c r="AA36" s="150">
        <f t="shared" si="253"/>
        <v>571.99999999999989</v>
      </c>
      <c r="AB36" s="150">
        <f t="shared" si="253"/>
        <v>558.49999999999989</v>
      </c>
      <c r="AC36" s="150">
        <f t="shared" si="253"/>
        <v>544.99999999999989</v>
      </c>
      <c r="AD36" s="150">
        <f t="shared" si="253"/>
        <v>531.49999999999989</v>
      </c>
      <c r="AE36" s="150">
        <v>517.99999999999989</v>
      </c>
      <c r="AF36" s="150"/>
    </row>
    <row r="37" spans="1:37">
      <c r="A37" s="7" t="s">
        <v>56</v>
      </c>
      <c r="B37" s="10">
        <v>0.41639999999999999</v>
      </c>
      <c r="C37" s="21"/>
      <c r="H37" s="227">
        <f>PRODUCT(D34:U34)^(1/COUNT(D34:U34))-1</f>
        <v>8.2032955450712874E-2</v>
      </c>
      <c r="J37" s="114" t="s">
        <v>258</v>
      </c>
      <c r="T37">
        <f>(T36-S36)/S36</f>
        <v>-1.9852941176470591E-2</v>
      </c>
      <c r="U37">
        <f t="shared" ref="U37:AE37" si="254">(U36-T36)/T36</f>
        <v>-2.0255063765941488E-2</v>
      </c>
      <c r="V37">
        <f t="shared" si="254"/>
        <v>-2.0673813169984689E-2</v>
      </c>
      <c r="W37">
        <f t="shared" si="254"/>
        <v>-2.1110242376856922E-2</v>
      </c>
      <c r="X37">
        <f t="shared" si="254"/>
        <v>-2.1565495207667734E-2</v>
      </c>
      <c r="Y37">
        <f t="shared" si="254"/>
        <v>-2.2040816326530616E-2</v>
      </c>
      <c r="Z37">
        <f t="shared" si="254"/>
        <v>-2.2537562604340571E-2</v>
      </c>
      <c r="AA37">
        <f t="shared" si="254"/>
        <v>-2.3057216054654148E-2</v>
      </c>
      <c r="AB37">
        <f t="shared" si="254"/>
        <v>-2.3601398601398607E-2</v>
      </c>
      <c r="AC37">
        <f t="shared" si="254"/>
        <v>-2.4171888988361687E-2</v>
      </c>
      <c r="AD37">
        <f t="shared" si="254"/>
        <v>-2.4770642201834867E-2</v>
      </c>
      <c r="AE37">
        <f t="shared" si="254"/>
        <v>-2.5399811853245538E-2</v>
      </c>
    </row>
    <row r="38" spans="1:37" s="7" customFormat="1">
      <c r="A38" s="13" t="s">
        <v>32</v>
      </c>
      <c r="B38" s="10">
        <v>0.2833</v>
      </c>
      <c r="E38" s="9"/>
      <c r="F38" s="9"/>
      <c r="G38" s="9"/>
      <c r="H38" s="9" t="s">
        <v>363</v>
      </c>
      <c r="I38" s="9"/>
      <c r="J38" s="9" t="s">
        <v>259</v>
      </c>
      <c r="K38" s="9"/>
      <c r="L38" s="9"/>
      <c r="M38" s="9"/>
      <c r="N38" s="9"/>
      <c r="O38" s="9"/>
      <c r="P38" s="9"/>
      <c r="R38" s="151" t="s">
        <v>262</v>
      </c>
      <c r="S38" s="152">
        <f>AE36-S36</f>
        <v>-162</v>
      </c>
      <c r="T38">
        <f>T37*-1+1</f>
        <v>1.0198529411764705</v>
      </c>
      <c r="U38">
        <f t="shared" ref="U38:AE38" si="255">U37*-1+1</f>
        <v>1.0202550637659416</v>
      </c>
      <c r="V38">
        <f t="shared" si="255"/>
        <v>1.0206738131699846</v>
      </c>
      <c r="W38">
        <f t="shared" si="255"/>
        <v>1.021110242376857</v>
      </c>
      <c r="X38">
        <f t="shared" si="255"/>
        <v>1.0215654952076678</v>
      </c>
      <c r="Y38">
        <f t="shared" si="255"/>
        <v>1.0220408163265307</v>
      </c>
      <c r="Z38">
        <f t="shared" si="255"/>
        <v>1.0225375626043405</v>
      </c>
      <c r="AA38">
        <f t="shared" si="255"/>
        <v>1.0230572160546541</v>
      </c>
      <c r="AB38">
        <f t="shared" si="255"/>
        <v>1.0236013986013985</v>
      </c>
      <c r="AC38">
        <f t="shared" si="255"/>
        <v>1.0241718889883618</v>
      </c>
      <c r="AD38">
        <f t="shared" si="255"/>
        <v>1.0247706422018348</v>
      </c>
      <c r="AE38">
        <f t="shared" si="255"/>
        <v>1.0253998118532455</v>
      </c>
    </row>
    <row r="39" spans="1:37" s="7" customFormat="1">
      <c r="A39" s="7" t="s">
        <v>58</v>
      </c>
      <c r="B39" s="21">
        <v>0.1351</v>
      </c>
      <c r="D39" s="9"/>
      <c r="E39" s="9"/>
      <c r="F39" s="9"/>
      <c r="G39" s="9"/>
      <c r="H39" s="9"/>
      <c r="I39" s="9"/>
      <c r="J39" s="149" t="s">
        <v>260</v>
      </c>
      <c r="K39" s="9"/>
      <c r="L39" s="9"/>
      <c r="M39" s="9"/>
      <c r="N39" s="9"/>
      <c r="O39" s="9"/>
      <c r="P39" s="9"/>
      <c r="R39" s="151" t="s">
        <v>263</v>
      </c>
      <c r="S39" s="151">
        <f>S38/12</f>
        <v>-13.5</v>
      </c>
      <c r="U39" s="9"/>
      <c r="V39" s="148"/>
      <c r="W39" s="17"/>
      <c r="X39" s="9" t="s">
        <v>265</v>
      </c>
      <c r="Y39">
        <f>PRODUCT(T38:AE38)^(1/COUNT(T38:AE38))-1</f>
        <v>2.2418265874159182E-2</v>
      </c>
    </row>
    <row r="40" spans="1:37" s="7" customFormat="1">
      <c r="A40" s="7" t="s">
        <v>57</v>
      </c>
      <c r="B40" s="21">
        <v>0.1653</v>
      </c>
      <c r="R40"/>
      <c r="U40"/>
      <c r="W40" s="116"/>
      <c r="Y40" s="265">
        <f>LOG10((I35/Y39))/LOG10(I32/Y36)</f>
        <v>0.71431489630766631</v>
      </c>
      <c r="Z40" s="7" t="s">
        <v>364</v>
      </c>
    </row>
    <row r="41" spans="1:37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>
        <v>6.0419886547786517E-2</v>
      </c>
      <c r="Q41" s="11"/>
      <c r="R41" s="11"/>
      <c r="S41" s="11"/>
      <c r="U41" s="11"/>
      <c r="V41" s="11"/>
      <c r="W41" s="11"/>
    </row>
    <row r="42" spans="1:37">
      <c r="A42" t="s">
        <v>56</v>
      </c>
      <c r="C42" s="95">
        <f t="array" ref="C42">INDEX(PriceDeck!$C$18:$O$80,MATCH('Initial Data'!C$3,PriceDeck!$B$18:$B$80,0),MATCH('Initial Data'!$A42,PriceDeck!$C$13:$O$13,0))</f>
        <v>12.8</v>
      </c>
      <c r="D42" s="95">
        <f t="array" ref="D42">INDEX(PriceDeck!$C$18:$O$80,MATCH('Initial Data'!D$3,PriceDeck!$B$18:$B$80,0),MATCH('Initial Data'!$A42,PriceDeck!$C$13:$O$13,0))</f>
        <v>11.8</v>
      </c>
      <c r="E42" s="95">
        <f t="array" ref="E42">INDEX(PriceDeck!$C$18:$O$80,MATCH('Initial Data'!E$3,PriceDeck!$B$18:$B$80,0),MATCH('Initial Data'!$A42,PriceDeck!$C$13:$O$13,0))</f>
        <v>12.4</v>
      </c>
      <c r="F42" s="95">
        <f t="array" ref="F42">INDEX(PriceDeck!$C$18:$O$80,MATCH('Initial Data'!F$3,PriceDeck!$B$18:$B$80,0),MATCH('Initial Data'!$A42,PriceDeck!$C$13:$O$13,0))</f>
        <v>13.6</v>
      </c>
      <c r="G42" s="95">
        <f t="array" ref="G42">INDEX(PriceDeck!$C$18:$O$80,MATCH('Initial Data'!G$3,PriceDeck!$B$18:$B$80,0),MATCH('Initial Data'!$A42,PriceDeck!$C$13:$O$13,0))</f>
        <v>14.8</v>
      </c>
      <c r="H42" s="95">
        <f t="array" ref="H42">INDEX(PriceDeck!$C$18:$O$80,MATCH('Initial Data'!H$3,PriceDeck!$B$18:$B$80,0),MATCH('Initial Data'!$A42,PriceDeck!$C$13:$O$13,0))</f>
        <v>15</v>
      </c>
      <c r="I42" s="95">
        <f t="array" ref="I42">INDEX(PriceDeck!$C$18:$O$80,MATCH('Initial Data'!I$3,PriceDeck!$B$18:$B$80,0),MATCH('Initial Data'!$A42,PriceDeck!$C$13:$O$13,0))</f>
        <v>15.4</v>
      </c>
      <c r="J42" s="95">
        <f t="array" ref="J42">INDEX(PriceDeck!$C$18:$O$80,MATCH('Initial Data'!J$3,PriceDeck!$B$18:$B$80,0),MATCH('Initial Data'!$A42,PriceDeck!$C$13:$O$13,0))</f>
        <v>16</v>
      </c>
      <c r="K42" s="95">
        <f t="array" ref="K42">INDEX(PriceDeck!$C$18:$O$80,MATCH('Initial Data'!K$3,PriceDeck!$B$18:$B$80,0),MATCH('Initial Data'!$A42,PriceDeck!$C$13:$O$13,0))</f>
        <v>16.2</v>
      </c>
      <c r="L42" s="95">
        <f t="array" ref="L42">INDEX(PriceDeck!$C$18:$O$80,MATCH('Initial Data'!L$3,PriceDeck!$B$18:$B$80,0),MATCH('Initial Data'!$A42,PriceDeck!$C$13:$O$13,0))</f>
        <v>16.600000000000001</v>
      </c>
      <c r="M42" s="95">
        <f t="array" ref="M42">INDEX(PriceDeck!$C$18:$O$80,MATCH('Initial Data'!M$3,PriceDeck!$B$18:$B$80,0),MATCH('Initial Data'!$A42,PriceDeck!$C$13:$O$13,0))</f>
        <v>17</v>
      </c>
      <c r="N42" s="95">
        <f t="array" ref="N42">INDEX(PriceDeck!$C$18:$O$80,MATCH('Initial Data'!N$3,PriceDeck!$B$18:$B$80,0),MATCH('Initial Data'!$A42,PriceDeck!$C$13:$O$13,0))</f>
        <v>17.399999999999999</v>
      </c>
      <c r="O42" s="95">
        <f t="array" ref="O42">INDEX(PriceDeck!$C$18:$O$80,MATCH('Initial Data'!O$3,PriceDeck!$B$18:$B$80,0),MATCH('Initial Data'!$A42,PriceDeck!$C$13:$O$13,0))</f>
        <v>17.600000000000001</v>
      </c>
      <c r="P42" s="95">
        <f t="array" ref="P42">INDEX(PriceDeck!$C$18:$O$80,MATCH('Initial Data'!P$3,PriceDeck!$B$18:$B$80,0),MATCH('Initial Data'!$A42,PriceDeck!$C$13:$O$13,0))</f>
        <v>18</v>
      </c>
      <c r="Q42" s="95">
        <f t="array" ref="Q42">INDEX(PriceDeck!$C$18:$O$80,MATCH('Initial Data'!Q$3,PriceDeck!$B$18:$B$80,0),MATCH('Initial Data'!$A42,PriceDeck!$C$13:$O$13,0))</f>
        <v>18.399999999999999</v>
      </c>
      <c r="R42" s="95">
        <f t="array" ref="R42">INDEX(PriceDeck!$C$18:$O$80,MATCH('Initial Data'!R$3,PriceDeck!$B$18:$B$80,0),MATCH('Initial Data'!$A42,PriceDeck!$C$13:$O$13,0))</f>
        <v>18.767999999999997</v>
      </c>
      <c r="S42" s="95">
        <f t="array" ref="S42">INDEX(PriceDeck!$C$18:$O$80,MATCH('Initial Data'!S$3,PriceDeck!$B$18:$B$80,0),MATCH('Initial Data'!$A42,PriceDeck!$C$13:$O$13,0))</f>
        <v>19.143359999999998</v>
      </c>
      <c r="T42" s="95">
        <f t="array" ref="T42">INDEX(PriceDeck!$C$18:$O$80,MATCH('Initial Data'!T$3,PriceDeck!$B$18:$B$80,0),MATCH('Initial Data'!$A42,PriceDeck!$C$13:$O$13,0))</f>
        <v>19.526227199999997</v>
      </c>
      <c r="U42" s="95">
        <f t="array" ref="U42">INDEX(PriceDeck!$C$18:$O$80,MATCH('Initial Data'!U$3,PriceDeck!$B$18:$B$80,0),MATCH('Initial Data'!$A42,PriceDeck!$C$13:$O$13,0))</f>
        <v>19.916751743999999</v>
      </c>
      <c r="V42" s="95">
        <f t="array" ref="V42">INDEX(PriceDeck!$C$18:$O$80,MATCH('Initial Data'!V$3,PriceDeck!$B$18:$B$80,0),MATCH('Initial Data'!$A42,PriceDeck!$C$13:$O$13,0))</f>
        <v>20.315086778879998</v>
      </c>
      <c r="W42" s="11"/>
    </row>
    <row r="43" spans="1:37">
      <c r="A43" t="s">
        <v>32</v>
      </c>
      <c r="C43" s="95">
        <f t="array" ref="C43">INDEX(PriceDeck!$C$18:$O$80,MATCH('Initial Data'!C$3,PriceDeck!$B$18:$B$80,0),MATCH('Initial Data'!$A43,PriceDeck!$C$13:$O$13,0))</f>
        <v>23.3</v>
      </c>
      <c r="D43" s="95">
        <f t="array" ref="D43">INDEX(PriceDeck!$C$18:$O$80,MATCH('Initial Data'!D$3,PriceDeck!$B$18:$B$80,0),MATCH('Initial Data'!$A43,PriceDeck!$C$13:$O$13,0))</f>
        <v>23.7</v>
      </c>
      <c r="E43" s="95">
        <f t="array" ref="E43">INDEX(PriceDeck!$C$18:$O$80,MATCH('Initial Data'!E$3,PriceDeck!$B$18:$B$80,0),MATCH('Initial Data'!$A43,PriceDeck!$C$13:$O$13,0))</f>
        <v>26.2</v>
      </c>
      <c r="F43" s="95">
        <f t="array" ref="F43">INDEX(PriceDeck!$C$18:$O$80,MATCH('Initial Data'!F$3,PriceDeck!$B$18:$B$80,0),MATCH('Initial Data'!$A43,PriceDeck!$C$13:$O$13,0))</f>
        <v>28.3</v>
      </c>
      <c r="G43" s="95">
        <f t="array" ref="G43">INDEX(PriceDeck!$C$18:$O$80,MATCH('Initial Data'!G$3,PriceDeck!$B$18:$B$80,0),MATCH('Initial Data'!$A43,PriceDeck!$C$13:$O$13,0))</f>
        <v>30.3</v>
      </c>
      <c r="H43" s="95">
        <f t="array" ref="H43">INDEX(PriceDeck!$C$18:$O$80,MATCH('Initial Data'!H$3,PriceDeck!$B$18:$B$80,0),MATCH('Initial Data'!$A43,PriceDeck!$C$13:$O$13,0))</f>
        <v>30.9</v>
      </c>
      <c r="I43" s="95">
        <f t="array" ref="I43">INDEX(PriceDeck!$C$18:$O$80,MATCH('Initial Data'!I$3,PriceDeck!$B$18:$B$80,0),MATCH('Initial Data'!$A43,PriceDeck!$C$13:$O$13,0))</f>
        <v>31.5</v>
      </c>
      <c r="J43" s="95">
        <f t="array" ref="J43">INDEX(PriceDeck!$C$18:$O$80,MATCH('Initial Data'!J$3,PriceDeck!$B$18:$B$80,0),MATCH('Initial Data'!$A43,PriceDeck!$C$13:$O$13,0))</f>
        <v>32.200000000000003</v>
      </c>
      <c r="K43" s="95">
        <f t="array" ref="K43">INDEX(PriceDeck!$C$18:$O$80,MATCH('Initial Data'!K$3,PriceDeck!$B$18:$B$80,0),MATCH('Initial Data'!$A43,PriceDeck!$C$13:$O$13,0))</f>
        <v>32.9</v>
      </c>
      <c r="L43" s="95">
        <f t="array" ref="L43">INDEX(PriceDeck!$C$18:$O$80,MATCH('Initial Data'!L$3,PriceDeck!$B$18:$B$80,0),MATCH('Initial Data'!$A43,PriceDeck!$C$13:$O$13,0))</f>
        <v>33.6</v>
      </c>
      <c r="M43" s="95">
        <f t="array" ref="M43">INDEX(PriceDeck!$C$18:$O$80,MATCH('Initial Data'!M$3,PriceDeck!$B$18:$B$80,0),MATCH('Initial Data'!$A43,PriceDeck!$C$13:$O$13,0))</f>
        <v>34.200000000000003</v>
      </c>
      <c r="N43" s="95">
        <f t="array" ref="N43">INDEX(PriceDeck!$C$18:$O$80,MATCH('Initial Data'!N$3,PriceDeck!$B$18:$B$80,0),MATCH('Initial Data'!$A43,PriceDeck!$C$13:$O$13,0))</f>
        <v>34.9</v>
      </c>
      <c r="O43" s="95">
        <f t="array" ref="O43">INDEX(PriceDeck!$C$18:$O$80,MATCH('Initial Data'!O$3,PriceDeck!$B$18:$B$80,0),MATCH('Initial Data'!$A43,PriceDeck!$C$13:$O$13,0))</f>
        <v>35.6</v>
      </c>
      <c r="P43" s="95">
        <f t="array" ref="P43">INDEX(PriceDeck!$C$18:$O$80,MATCH('Initial Data'!P$3,PriceDeck!$B$18:$B$80,0),MATCH('Initial Data'!$A43,PriceDeck!$C$13:$O$13,0))</f>
        <v>36.299999999999997</v>
      </c>
      <c r="Q43" s="95">
        <f t="array" ref="Q43">INDEX(PriceDeck!$C$18:$O$80,MATCH('Initial Data'!Q$3,PriceDeck!$B$18:$B$80,0),MATCH('Initial Data'!$A43,PriceDeck!$C$13:$O$13,0))</f>
        <v>37.1</v>
      </c>
      <c r="R43" s="95">
        <f t="array" ref="R43">INDEX(PriceDeck!$C$18:$O$80,MATCH('Initial Data'!R$3,PriceDeck!$B$18:$B$80,0),MATCH('Initial Data'!$A43,PriceDeck!$C$13:$O$13,0))</f>
        <v>37.841999999999999</v>
      </c>
      <c r="S43" s="95">
        <f t="array" ref="S43">INDEX(PriceDeck!$C$18:$O$80,MATCH('Initial Data'!S$3,PriceDeck!$B$18:$B$80,0),MATCH('Initial Data'!$A43,PriceDeck!$C$13:$O$13,0))</f>
        <v>38.598840000000003</v>
      </c>
      <c r="T43" s="95">
        <f t="array" ref="T43">INDEX(PriceDeck!$C$18:$O$80,MATCH('Initial Data'!T$3,PriceDeck!$B$18:$B$80,0),MATCH('Initial Data'!$A43,PriceDeck!$C$13:$O$13,0))</f>
        <v>39.3708168</v>
      </c>
      <c r="U43" s="95">
        <f t="array" ref="U43">INDEX(PriceDeck!$C$18:$O$80,MATCH('Initial Data'!U$3,PriceDeck!$B$18:$B$80,0),MATCH('Initial Data'!$A43,PriceDeck!$C$13:$O$13,0))</f>
        <v>40.158233136</v>
      </c>
      <c r="V43" s="95">
        <f t="array" ref="V43">INDEX(PriceDeck!$C$18:$O$80,MATCH('Initial Data'!V$3,PriceDeck!$B$18:$B$80,0),MATCH('Initial Data'!$A43,PriceDeck!$C$13:$O$13,0))</f>
        <v>40.96139779872</v>
      </c>
    </row>
    <row r="44" spans="1:37">
      <c r="A44" t="s">
        <v>58</v>
      </c>
      <c r="C44" s="95">
        <f t="array" ref="C44">INDEX(PriceDeck!$C$18:$O$80,MATCH('Initial Data'!C$3,PriceDeck!$B$18:$B$80,0),MATCH('Initial Data'!$A44,PriceDeck!$C$13:$O$13,0))</f>
        <v>72.8</v>
      </c>
      <c r="D44" s="95">
        <f t="array" ref="D44">INDEX(PriceDeck!$C$18:$O$80,MATCH('Initial Data'!D$3,PriceDeck!$B$18:$B$80,0),MATCH('Initial Data'!$A44,PriceDeck!$C$13:$O$13,0))</f>
        <v>75.8</v>
      </c>
      <c r="E44" s="95">
        <f t="array" ref="E44">INDEX(PriceDeck!$C$18:$O$80,MATCH('Initial Data'!E$3,PriceDeck!$B$18:$B$80,0),MATCH('Initial Data'!$A44,PriceDeck!$C$13:$O$13,0))</f>
        <v>78.599999999999994</v>
      </c>
      <c r="F44" s="95">
        <f t="array" ref="F44">INDEX(PriceDeck!$C$18:$O$80,MATCH('Initial Data'!F$3,PriceDeck!$B$18:$B$80,0),MATCH('Initial Data'!$A44,PriceDeck!$C$13:$O$13,0))</f>
        <v>84.3</v>
      </c>
      <c r="G44" s="95">
        <f t="array" ref="G44">INDEX(PriceDeck!$C$18:$O$80,MATCH('Initial Data'!G$3,PriceDeck!$B$18:$B$80,0),MATCH('Initial Data'!$A44,PriceDeck!$C$13:$O$13,0))</f>
        <v>89.8</v>
      </c>
      <c r="H44" s="95">
        <f t="array" ref="H44">INDEX(PriceDeck!$C$18:$O$80,MATCH('Initial Data'!H$3,PriceDeck!$B$18:$B$80,0),MATCH('Initial Data'!$A44,PriceDeck!$C$13:$O$13,0))</f>
        <v>91.6</v>
      </c>
      <c r="I44" s="95">
        <f t="array" ref="I44">INDEX(PriceDeck!$C$18:$O$80,MATCH('Initial Data'!I$3,PriceDeck!$B$18:$B$80,0),MATCH('Initial Data'!$A44,PriceDeck!$C$13:$O$13,0))</f>
        <v>93.4</v>
      </c>
      <c r="J44" s="95">
        <f t="array" ref="J44">INDEX(PriceDeck!$C$18:$O$80,MATCH('Initial Data'!J$3,PriceDeck!$B$18:$B$80,0),MATCH('Initial Data'!$A44,PriceDeck!$C$13:$O$13,0))</f>
        <v>95.2</v>
      </c>
      <c r="K44" s="95">
        <f t="array" ref="K44">INDEX(PriceDeck!$C$18:$O$80,MATCH('Initial Data'!K$3,PriceDeck!$B$18:$B$80,0),MATCH('Initial Data'!$A44,PriceDeck!$C$13:$O$13,0))</f>
        <v>97.2</v>
      </c>
      <c r="L44" s="95">
        <f t="array" ref="L44">INDEX(PriceDeck!$C$18:$O$80,MATCH('Initial Data'!L$3,PriceDeck!$B$18:$B$80,0),MATCH('Initial Data'!$A44,PriceDeck!$C$13:$O$13,0))</f>
        <v>99.2</v>
      </c>
      <c r="M44" s="95">
        <f t="array" ref="M44">INDEX(PriceDeck!$C$18:$O$80,MATCH('Initial Data'!M$3,PriceDeck!$B$18:$B$80,0),MATCH('Initial Data'!$A44,PriceDeck!$C$13:$O$13,0))</f>
        <v>101.1</v>
      </c>
      <c r="N44" s="95">
        <f t="array" ref="N44">INDEX(PriceDeck!$C$18:$O$80,MATCH('Initial Data'!N$3,PriceDeck!$B$18:$B$80,0),MATCH('Initial Data'!$A44,PriceDeck!$C$13:$O$13,0))</f>
        <v>103.1</v>
      </c>
      <c r="O44" s="95">
        <f t="array" ref="O44">INDEX(PriceDeck!$C$18:$O$80,MATCH('Initial Data'!O$3,PriceDeck!$B$18:$B$80,0),MATCH('Initial Data'!$A44,PriceDeck!$C$13:$O$13,0))</f>
        <v>105.2</v>
      </c>
      <c r="P44" s="95">
        <f t="array" ref="P44">INDEX(PriceDeck!$C$18:$O$80,MATCH('Initial Data'!P$3,PriceDeck!$B$18:$B$80,0),MATCH('Initial Data'!$A44,PriceDeck!$C$13:$O$13,0))</f>
        <v>107.4</v>
      </c>
      <c r="Q44" s="95">
        <f t="array" ref="Q44">INDEX(PriceDeck!$C$18:$O$80,MATCH('Initial Data'!Q$3,PriceDeck!$B$18:$B$80,0),MATCH('Initial Data'!$A44,PriceDeck!$C$13:$O$13,0))</f>
        <v>109.5</v>
      </c>
      <c r="R44" s="95">
        <f t="array" ref="R44">INDEX(PriceDeck!$C$18:$O$80,MATCH('Initial Data'!R$3,PriceDeck!$B$18:$B$80,0),MATCH('Initial Data'!$A44,PriceDeck!$C$13:$O$13,0))</f>
        <v>111.69</v>
      </c>
      <c r="S44" s="95">
        <f t="array" ref="S44">INDEX(PriceDeck!$C$18:$O$80,MATCH('Initial Data'!S$3,PriceDeck!$B$18:$B$80,0),MATCH('Initial Data'!$A44,PriceDeck!$C$13:$O$13,0))</f>
        <v>113.9238</v>
      </c>
      <c r="T44" s="95">
        <f t="array" ref="T44">INDEX(PriceDeck!$C$18:$O$80,MATCH('Initial Data'!T$3,PriceDeck!$B$18:$B$80,0),MATCH('Initial Data'!$A44,PriceDeck!$C$13:$O$13,0))</f>
        <v>116.202276</v>
      </c>
      <c r="U44" s="95">
        <f t="array" ref="U44">INDEX(PriceDeck!$C$18:$O$80,MATCH('Initial Data'!U$3,PriceDeck!$B$18:$B$80,0),MATCH('Initial Data'!$A44,PriceDeck!$C$13:$O$13,0))</f>
        <v>118.52632152</v>
      </c>
      <c r="V44" s="95">
        <f t="array" ref="V44">INDEX(PriceDeck!$C$18:$O$80,MATCH('Initial Data'!V$3,PriceDeck!$B$18:$B$80,0),MATCH('Initial Data'!$A44,PriceDeck!$C$13:$O$13,0))</f>
        <v>120.8968479504</v>
      </c>
    </row>
    <row r="45" spans="1:37">
      <c r="A45" t="s">
        <v>33</v>
      </c>
      <c r="C45" s="95">
        <f t="array" ref="C45">INDEX(PriceDeck!$C$18:$O$80,MATCH('Initial Data'!C$3,PriceDeck!$B$18:$B$80,0),MATCH('Initial Data'!$A45,PriceDeck!$C$13:$O$13,0))</f>
        <v>43.5</v>
      </c>
      <c r="D45" s="95">
        <f t="array" ref="D45">INDEX(PriceDeck!$C$18:$O$80,MATCH('Initial Data'!D$3,PriceDeck!$B$18:$B$80,0),MATCH('Initial Data'!$A45,PriceDeck!$C$13:$O$13,0))</f>
        <v>47.9</v>
      </c>
      <c r="E45" s="95">
        <f t="array" ref="E45">INDEX(PriceDeck!$C$18:$O$80,MATCH('Initial Data'!E$3,PriceDeck!$B$18:$B$80,0),MATCH('Initial Data'!$A45,PriceDeck!$C$13:$O$13,0))</f>
        <v>49.8</v>
      </c>
      <c r="F45" s="95">
        <f t="array" ref="F45">INDEX(PriceDeck!$C$18:$O$80,MATCH('Initial Data'!F$3,PriceDeck!$B$18:$B$80,0),MATCH('Initial Data'!$A45,PriceDeck!$C$13:$O$13,0))</f>
        <v>56.4</v>
      </c>
      <c r="G45" s="95">
        <f t="array" ref="G45">INDEX(PriceDeck!$C$18:$O$80,MATCH('Initial Data'!G$3,PriceDeck!$B$18:$B$80,0),MATCH('Initial Data'!$A45,PriceDeck!$C$13:$O$13,0))</f>
        <v>63.4</v>
      </c>
      <c r="H45" s="95">
        <f t="array" ref="H45">INDEX(PriceDeck!$C$18:$O$80,MATCH('Initial Data'!H$3,PriceDeck!$B$18:$B$80,0),MATCH('Initial Data'!$A45,PriceDeck!$C$13:$O$13,0))</f>
        <v>64.7</v>
      </c>
      <c r="I45" s="95">
        <f t="array" ref="I45">INDEX(PriceDeck!$C$18:$O$80,MATCH('Initial Data'!I$3,PriceDeck!$B$18:$B$80,0),MATCH('Initial Data'!$A45,PriceDeck!$C$13:$O$13,0))</f>
        <v>65.900000000000006</v>
      </c>
      <c r="J45" s="95">
        <f t="array" ref="J45">INDEX(PriceDeck!$C$18:$O$80,MATCH('Initial Data'!J$3,PriceDeck!$B$18:$B$80,0),MATCH('Initial Data'!$A45,PriceDeck!$C$13:$O$13,0))</f>
        <v>67.3</v>
      </c>
      <c r="K45" s="95">
        <f t="array" ref="K45">INDEX(PriceDeck!$C$18:$O$80,MATCH('Initial Data'!K$3,PriceDeck!$B$18:$B$80,0),MATCH('Initial Data'!$A45,PriceDeck!$C$13:$O$13,0))</f>
        <v>68.599999999999994</v>
      </c>
      <c r="L45" s="95">
        <f t="array" ref="L45">INDEX(PriceDeck!$C$18:$O$80,MATCH('Initial Data'!L$3,PriceDeck!$B$18:$B$80,0),MATCH('Initial Data'!$A45,PriceDeck!$C$13:$O$13,0))</f>
        <v>70</v>
      </c>
      <c r="M45" s="95">
        <f t="array" ref="M45">INDEX(PriceDeck!$C$18:$O$80,MATCH('Initial Data'!M$3,PriceDeck!$B$18:$B$80,0),MATCH('Initial Data'!$A45,PriceDeck!$C$13:$O$13,0))</f>
        <v>71.400000000000006</v>
      </c>
      <c r="N45" s="95">
        <f t="array" ref="N45">INDEX(PriceDeck!$C$18:$O$80,MATCH('Initial Data'!N$3,PriceDeck!$B$18:$B$80,0),MATCH('Initial Data'!$A45,PriceDeck!$C$13:$O$13,0))</f>
        <v>72.8</v>
      </c>
      <c r="O45" s="95">
        <f t="array" ref="O45">INDEX(PriceDeck!$C$18:$O$80,MATCH('Initial Data'!O$3,PriceDeck!$B$18:$B$80,0),MATCH('Initial Data'!$A45,PriceDeck!$C$13:$O$13,0))</f>
        <v>74.3</v>
      </c>
      <c r="P45" s="95">
        <f t="array" ref="P45">INDEX(PriceDeck!$C$18:$O$80,MATCH('Initial Data'!P$3,PriceDeck!$B$18:$B$80,0),MATCH('Initial Data'!$A45,PriceDeck!$C$13:$O$13,0))</f>
        <v>75.8</v>
      </c>
      <c r="Q45" s="95">
        <f t="array" ref="Q45">INDEX(PriceDeck!$C$18:$O$80,MATCH('Initial Data'!Q$3,PriceDeck!$B$18:$B$80,0),MATCH('Initial Data'!$A45,PriceDeck!$C$13:$O$13,0))</f>
        <v>77.3</v>
      </c>
      <c r="R45" s="95">
        <f t="array" ref="R45">INDEX(PriceDeck!$C$18:$O$80,MATCH('Initial Data'!R$3,PriceDeck!$B$18:$B$80,0),MATCH('Initial Data'!$A45,PriceDeck!$C$13:$O$13,0))</f>
        <v>78.846000000000004</v>
      </c>
      <c r="S45" s="95">
        <f t="array" ref="S45">INDEX(PriceDeck!$C$18:$O$80,MATCH('Initial Data'!S$3,PriceDeck!$B$18:$B$80,0),MATCH('Initial Data'!$A45,PriceDeck!$C$13:$O$13,0))</f>
        <v>80.422920000000005</v>
      </c>
      <c r="T45" s="95">
        <f t="array" ref="T45">INDEX(PriceDeck!$C$18:$O$80,MATCH('Initial Data'!T$3,PriceDeck!$B$18:$B$80,0),MATCH('Initial Data'!$A45,PriceDeck!$C$13:$O$13,0))</f>
        <v>82.031378400000008</v>
      </c>
      <c r="U45" s="95">
        <f t="array" ref="U45">INDEX(PriceDeck!$C$18:$O$80,MATCH('Initial Data'!U$3,PriceDeck!$B$18:$B$80,0),MATCH('Initial Data'!$A45,PriceDeck!$C$13:$O$13,0))</f>
        <v>83.672005968000008</v>
      </c>
      <c r="V45" s="95">
        <f t="array" ref="V45">INDEX(PriceDeck!$C$18:$O$80,MATCH('Initial Data'!V$3,PriceDeck!$B$18:$B$80,0),MATCH('Initial Data'!$A45,PriceDeck!$C$13:$O$13,0))</f>
        <v>85.345446087360003</v>
      </c>
    </row>
    <row r="46" spans="1:37">
      <c r="A46" t="s">
        <v>103</v>
      </c>
      <c r="C46" s="95">
        <f t="array" ref="C46">INDEX(PriceDeck!$C$18:$O$80,MATCH('Initial Data'!C$3,PriceDeck!$B$18:$B$80,0),MATCH('Initial Data'!$A46,PriceDeck!$C$13:$O$13,0))</f>
        <v>54.4</v>
      </c>
      <c r="D46" s="95">
        <f t="array" ref="D46">INDEX(PriceDeck!$C$18:$O$80,MATCH('Initial Data'!D$3,PriceDeck!$B$18:$B$80,0),MATCH('Initial Data'!$A46,PriceDeck!$C$13:$O$13,0))</f>
        <v>58.9</v>
      </c>
      <c r="E46" s="95">
        <f t="array" ref="E46">INDEX(PriceDeck!$C$18:$O$80,MATCH('Initial Data'!E$3,PriceDeck!$B$18:$B$80,0),MATCH('Initial Data'!$A46,PriceDeck!$C$13:$O$13,0))</f>
        <v>62.7</v>
      </c>
      <c r="F46" s="95">
        <f t="array" ref="F46">INDEX(PriceDeck!$C$18:$O$80,MATCH('Initial Data'!F$3,PriceDeck!$B$18:$B$80,0),MATCH('Initial Data'!$A46,PriceDeck!$C$13:$O$13,0))</f>
        <v>67.3</v>
      </c>
      <c r="G46" s="95">
        <f t="array" ref="G46">INDEX(PriceDeck!$C$18:$O$80,MATCH('Initial Data'!G$3,PriceDeck!$B$18:$B$80,0),MATCH('Initial Data'!$A46,PriceDeck!$C$13:$O$13,0))</f>
        <v>71.900000000000006</v>
      </c>
      <c r="H46" s="95">
        <f t="array" ref="H46">INDEX(PriceDeck!$C$18:$O$80,MATCH('Initial Data'!H$3,PriceDeck!$B$18:$B$80,0),MATCH('Initial Data'!$A46,PriceDeck!$C$13:$O$13,0))</f>
        <v>73.3</v>
      </c>
      <c r="I46" s="95">
        <f t="array" ref="I46">INDEX(PriceDeck!$C$18:$O$80,MATCH('Initial Data'!I$3,PriceDeck!$B$18:$B$80,0),MATCH('Initial Data'!$A46,PriceDeck!$C$13:$O$13,0))</f>
        <v>74.7</v>
      </c>
      <c r="J46" s="95">
        <f t="array" ref="J46">INDEX(PriceDeck!$C$18:$O$80,MATCH('Initial Data'!J$3,PriceDeck!$B$18:$B$80,0),MATCH('Initial Data'!$A46,PriceDeck!$C$13:$O$13,0))</f>
        <v>76.2</v>
      </c>
      <c r="K46" s="95">
        <f t="array" ref="K46">INDEX(PriceDeck!$C$18:$O$80,MATCH('Initial Data'!K$3,PriceDeck!$B$18:$B$80,0),MATCH('Initial Data'!$A46,PriceDeck!$C$13:$O$13,0))</f>
        <v>77.8</v>
      </c>
      <c r="L46" s="95">
        <f t="array" ref="L46">INDEX(PriceDeck!$C$18:$O$80,MATCH('Initial Data'!L$3,PriceDeck!$B$18:$B$80,0),MATCH('Initial Data'!$A46,PriceDeck!$C$13:$O$13,0))</f>
        <v>79.3</v>
      </c>
      <c r="M46" s="95">
        <f t="array" ref="M46">INDEX(PriceDeck!$C$18:$O$80,MATCH('Initial Data'!M$3,PriceDeck!$B$18:$B$80,0),MATCH('Initial Data'!$A46,PriceDeck!$C$13:$O$13,0))</f>
        <v>80.8</v>
      </c>
      <c r="N46" s="95">
        <f t="array" ref="N46">INDEX(PriceDeck!$C$18:$O$80,MATCH('Initial Data'!N$3,PriceDeck!$B$18:$B$80,0),MATCH('Initial Data'!$A46,PriceDeck!$C$13:$O$13,0))</f>
        <v>82.5</v>
      </c>
      <c r="O46" s="95">
        <f t="array" ref="O46">INDEX(PriceDeck!$C$18:$O$80,MATCH('Initial Data'!O$3,PriceDeck!$B$18:$B$80,0),MATCH('Initial Data'!$A46,PriceDeck!$C$13:$O$13,0))</f>
        <v>84.2</v>
      </c>
      <c r="P46" s="95">
        <f t="array" ref="P46">INDEX(PriceDeck!$C$18:$O$80,MATCH('Initial Data'!P$3,PriceDeck!$B$18:$B$80,0),MATCH('Initial Data'!$A46,PriceDeck!$C$13:$O$13,0))</f>
        <v>85.9</v>
      </c>
      <c r="Q46" s="95">
        <f t="array" ref="Q46">INDEX(PriceDeck!$C$18:$O$80,MATCH('Initial Data'!Q$3,PriceDeck!$B$18:$B$80,0),MATCH('Initial Data'!$A46,PriceDeck!$C$13:$O$13,0))</f>
        <v>87.6</v>
      </c>
      <c r="R46" s="95">
        <f t="array" ref="R46">INDEX(PriceDeck!$C$18:$O$80,MATCH('Initial Data'!R$3,PriceDeck!$B$18:$B$80,0),MATCH('Initial Data'!$A46,PriceDeck!$C$13:$O$13,0))</f>
        <v>89.35199999999999</v>
      </c>
      <c r="S46" s="95">
        <f t="array" ref="S46">INDEX(PriceDeck!$C$18:$O$80,MATCH('Initial Data'!S$3,PriceDeck!$B$18:$B$80,0),MATCH('Initial Data'!$A46,PriceDeck!$C$13:$O$13,0))</f>
        <v>91.139039999999994</v>
      </c>
      <c r="T46" s="95">
        <f t="array" ref="T46">INDEX(PriceDeck!$C$18:$O$80,MATCH('Initial Data'!T$3,PriceDeck!$B$18:$B$80,0),MATCH('Initial Data'!$A46,PriceDeck!$C$13:$O$13,0))</f>
        <v>92.961820799999998</v>
      </c>
      <c r="U46" s="95">
        <f t="array" ref="U46">INDEX(PriceDeck!$C$18:$O$80,MATCH('Initial Data'!U$3,PriceDeck!$B$18:$B$80,0),MATCH('Initial Data'!$A46,PriceDeck!$C$13:$O$13,0))</f>
        <v>94.821057216</v>
      </c>
      <c r="V46" s="95">
        <f t="array" ref="V46">INDEX(PriceDeck!$C$18:$O$80,MATCH('Initial Data'!V$3,PriceDeck!$B$18:$B$80,0),MATCH('Initial Data'!$A46,PriceDeck!$C$13:$O$13,0))</f>
        <v>96.717478360320001</v>
      </c>
    </row>
    <row r="48" spans="1:37">
      <c r="A48" t="s">
        <v>105</v>
      </c>
      <c r="B48" t="s">
        <v>109</v>
      </c>
      <c r="C48" s="95">
        <v>3.4</v>
      </c>
      <c r="D48" s="95">
        <v>3.15</v>
      </c>
      <c r="E48" s="95">
        <v>3.3</v>
      </c>
      <c r="F48" s="95">
        <v>3.6</v>
      </c>
      <c r="G48" s="95">
        <v>3.9</v>
      </c>
      <c r="H48" s="95">
        <v>3.95</v>
      </c>
      <c r="I48" s="95">
        <v>4.0999999999999996</v>
      </c>
      <c r="J48" s="95">
        <v>4.25</v>
      </c>
      <c r="K48" s="95">
        <v>4.3</v>
      </c>
      <c r="L48" s="95">
        <v>4.4000000000000004</v>
      </c>
      <c r="M48" s="95">
        <v>4.5</v>
      </c>
      <c r="N48" s="95">
        <v>4.5999999999999996</v>
      </c>
      <c r="O48" s="95">
        <v>4.6500000000000004</v>
      </c>
      <c r="P48" s="95">
        <v>4.75</v>
      </c>
      <c r="Q48" s="95">
        <v>4.8499999999999996</v>
      </c>
      <c r="R48" s="95">
        <v>4.9470000000000001</v>
      </c>
      <c r="S48" s="95">
        <v>5.0459399999999999</v>
      </c>
      <c r="T48" s="95">
        <v>5.1468588000000004</v>
      </c>
      <c r="U48" s="95">
        <v>5.2497959760000006</v>
      </c>
      <c r="V48" s="95">
        <v>5.3547918955200009</v>
      </c>
    </row>
    <row r="49" spans="1:22">
      <c r="B49" t="s">
        <v>110</v>
      </c>
      <c r="C49" s="96">
        <f>C48/$B$53</f>
        <v>3.4</v>
      </c>
      <c r="D49" s="96">
        <f t="shared" ref="D49:V49" si="256">D48/$B$53</f>
        <v>3.15</v>
      </c>
      <c r="E49" s="96">
        <f t="shared" si="256"/>
        <v>3.3</v>
      </c>
      <c r="F49" s="96">
        <f t="shared" si="256"/>
        <v>3.6</v>
      </c>
      <c r="G49" s="96">
        <f t="shared" si="256"/>
        <v>3.9</v>
      </c>
      <c r="H49" s="96">
        <f t="shared" si="256"/>
        <v>3.95</v>
      </c>
      <c r="I49" s="96">
        <f t="shared" si="256"/>
        <v>4.0999999999999996</v>
      </c>
      <c r="J49" s="96">
        <f t="shared" si="256"/>
        <v>4.25</v>
      </c>
      <c r="K49" s="96">
        <f t="shared" si="256"/>
        <v>4.3</v>
      </c>
      <c r="L49" s="96">
        <f t="shared" si="256"/>
        <v>4.4000000000000004</v>
      </c>
      <c r="M49" s="96">
        <f t="shared" si="256"/>
        <v>4.5</v>
      </c>
      <c r="N49" s="96">
        <f t="shared" si="256"/>
        <v>4.5999999999999996</v>
      </c>
      <c r="O49" s="96">
        <f t="shared" si="256"/>
        <v>4.6500000000000004</v>
      </c>
      <c r="P49" s="96">
        <f t="shared" si="256"/>
        <v>4.75</v>
      </c>
      <c r="Q49" s="96">
        <f t="shared" si="256"/>
        <v>4.8499999999999996</v>
      </c>
      <c r="R49" s="96">
        <f t="shared" si="256"/>
        <v>4.9470000000000001</v>
      </c>
      <c r="S49" s="96">
        <f t="shared" si="256"/>
        <v>5.0459399999999999</v>
      </c>
      <c r="T49" s="96">
        <f t="shared" si="256"/>
        <v>5.1468588000000004</v>
      </c>
      <c r="U49" s="96">
        <f t="shared" si="256"/>
        <v>5.2497959760000006</v>
      </c>
      <c r="V49" s="96">
        <f t="shared" si="256"/>
        <v>5.3547918955200009</v>
      </c>
    </row>
    <row r="50" spans="1:22">
      <c r="A50" t="s">
        <v>106</v>
      </c>
      <c r="B50">
        <v>0.1</v>
      </c>
      <c r="C50">
        <v>100</v>
      </c>
    </row>
    <row r="51" spans="1:22">
      <c r="A51" t="s">
        <v>107</v>
      </c>
      <c r="B51">
        <v>1000</v>
      </c>
    </row>
    <row r="52" spans="1:22">
      <c r="B52">
        <f>B50*B51</f>
        <v>100</v>
      </c>
      <c r="D52">
        <v>3.4</v>
      </c>
    </row>
    <row r="53" spans="1:22">
      <c r="A53" t="s">
        <v>108</v>
      </c>
      <c r="B53">
        <v>1</v>
      </c>
      <c r="D53">
        <v>3.15</v>
      </c>
    </row>
    <row r="54" spans="1:22">
      <c r="D54">
        <v>3.3</v>
      </c>
    </row>
    <row r="55" spans="1:22">
      <c r="D55">
        <v>3.6</v>
      </c>
    </row>
    <row r="56" spans="1:22">
      <c r="D56">
        <v>3.9</v>
      </c>
    </row>
    <row r="57" spans="1:22">
      <c r="D57">
        <v>3.95</v>
      </c>
    </row>
    <row r="58" spans="1:22">
      <c r="D58">
        <v>4.0999999999999996</v>
      </c>
    </row>
    <row r="59" spans="1:22">
      <c r="D59">
        <v>4.25</v>
      </c>
    </row>
    <row r="60" spans="1:22">
      <c r="D60">
        <v>4.3</v>
      </c>
    </row>
    <row r="61" spans="1:22">
      <c r="D61">
        <v>4.4000000000000004</v>
      </c>
    </row>
    <row r="62" spans="1:22">
      <c r="D62">
        <v>4.5</v>
      </c>
    </row>
    <row r="63" spans="1:22">
      <c r="D63">
        <v>4.5999999999999996</v>
      </c>
    </row>
    <row r="64" spans="1:22">
      <c r="D64">
        <v>4.6500000000000004</v>
      </c>
    </row>
    <row r="65" spans="4:4">
      <c r="D65">
        <v>4.75</v>
      </c>
    </row>
    <row r="66" spans="4:4">
      <c r="D66">
        <v>4.8499999999999996</v>
      </c>
    </row>
    <row r="67" spans="4:4">
      <c r="D67">
        <v>4.9470000000000001</v>
      </c>
    </row>
    <row r="68" spans="4:4">
      <c r="D68">
        <v>5.0459399999999999</v>
      </c>
    </row>
    <row r="69" spans="4:4">
      <c r="D69">
        <v>5.1468588000000004</v>
      </c>
    </row>
    <row r="70" spans="4:4">
      <c r="D70">
        <v>5.2497959760000006</v>
      </c>
    </row>
    <row r="71" spans="4:4">
      <c r="D71">
        <v>5.3547918955200009</v>
      </c>
    </row>
    <row r="72" spans="4:4">
      <c r="D72">
        <v>5.4618877334304008</v>
      </c>
    </row>
    <row r="73" spans="4:4">
      <c r="D73">
        <v>5.5711254880990086</v>
      </c>
    </row>
    <row r="74" spans="4:4">
      <c r="D74">
        <v>5.682547997860989</v>
      </c>
    </row>
    <row r="75" spans="4:4">
      <c r="D75">
        <v>5.7961989578182092</v>
      </c>
    </row>
    <row r="76" spans="4:4">
      <c r="D76">
        <v>5.9121229369745736</v>
      </c>
    </row>
    <row r="77" spans="4:4">
      <c r="D77">
        <v>6.0303653957140648</v>
      </c>
    </row>
    <row r="78" spans="4:4">
      <c r="D78">
        <v>6.1509727036283461</v>
      </c>
    </row>
  </sheetData>
  <pageMargins left="0.25" right="0.25" top="0.75" bottom="0.75" header="0.3" footer="0.3"/>
  <pageSetup scale="44" fitToWidth="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252"/>
  <sheetViews>
    <sheetView topLeftCell="AE1" zoomScale="70" zoomScaleNormal="70" workbookViewId="0">
      <selection activeCell="AX9" sqref="AX9"/>
    </sheetView>
  </sheetViews>
  <sheetFormatPr defaultRowHeight="15.9"/>
  <cols>
    <col min="4" max="4" width="29.35546875" customWidth="1"/>
    <col min="5" max="5" width="11.2109375" customWidth="1"/>
    <col min="6" max="13" width="8.640625" customWidth="1"/>
    <col min="14" max="17" width="10.85546875" bestFit="1" customWidth="1"/>
    <col min="18" max="21" width="9.7109375" bestFit="1" customWidth="1"/>
    <col min="22" max="22" width="10.85546875" bestFit="1" customWidth="1"/>
    <col min="23" max="23" width="11.85546875" bestFit="1" customWidth="1"/>
    <col min="24" max="24" width="13.5" bestFit="1" customWidth="1"/>
    <col min="25" max="25" width="11.85546875" bestFit="1" customWidth="1"/>
    <col min="26" max="26" width="13.5" bestFit="1" customWidth="1"/>
    <col min="35" max="35" width="10.2109375" customWidth="1"/>
    <col min="37" max="37" width="14" customWidth="1"/>
    <col min="39" max="39" width="12.35546875" customWidth="1"/>
    <col min="40" max="40" width="14.7109375" bestFit="1" customWidth="1"/>
    <col min="41" max="41" width="13" bestFit="1" customWidth="1"/>
    <col min="42" max="42" width="12" customWidth="1"/>
    <col min="43" max="45" width="13" bestFit="1" customWidth="1"/>
    <col min="46" max="46" width="14.7109375" bestFit="1" customWidth="1"/>
    <col min="47" max="48" width="12.85546875" customWidth="1"/>
    <col min="49" max="55" width="17.2109375" customWidth="1"/>
    <col min="56" max="67" width="17.2109375" hidden="1" customWidth="1"/>
    <col min="68" max="70" width="17.2109375" customWidth="1"/>
    <col min="72" max="73" width="18.5" customWidth="1"/>
    <col min="74" max="74" width="20.140625" customWidth="1"/>
    <col min="75" max="76" width="18.5" customWidth="1"/>
    <col min="77" max="77" width="16.140625" customWidth="1"/>
    <col min="78" max="78" width="23" customWidth="1"/>
    <col min="79" max="80" width="16.140625" customWidth="1"/>
    <col min="81" max="81" width="16.85546875" customWidth="1"/>
    <col min="82" max="82" width="16.2109375" customWidth="1"/>
    <col min="83" max="83" width="14.35546875" customWidth="1"/>
    <col min="84" max="84" width="13" bestFit="1" customWidth="1"/>
    <col min="86" max="86" width="13" bestFit="1" customWidth="1"/>
    <col min="87" max="87" width="16.5" customWidth="1"/>
    <col min="88" max="88" width="14.7109375" customWidth="1"/>
    <col min="89" max="90" width="16.85546875" customWidth="1"/>
    <col min="91" max="91" width="18.5" customWidth="1"/>
    <col min="92" max="92" width="17.85546875" customWidth="1"/>
    <col min="93" max="93" width="16.35546875" customWidth="1"/>
    <col min="94" max="94" width="16.7109375" customWidth="1"/>
    <col min="95" max="95" width="16.85546875" customWidth="1"/>
  </cols>
  <sheetData>
    <row r="1" spans="1:256">
      <c r="C1" t="s">
        <v>256</v>
      </c>
      <c r="D1">
        <v>0.15484509385736547</v>
      </c>
      <c r="F1" t="s">
        <v>112</v>
      </c>
      <c r="H1" t="s">
        <v>261</v>
      </c>
      <c r="N1" s="2"/>
      <c r="O1" s="234">
        <f>SUM(O9:O248)</f>
        <v>562941.8872385904</v>
      </c>
      <c r="P1" s="235">
        <f>SUM(P9:P248)</f>
        <v>2557764.4163667592</v>
      </c>
      <c r="AN1" t="s">
        <v>130</v>
      </c>
      <c r="AP1" s="247">
        <v>12000000</v>
      </c>
      <c r="AW1" t="s">
        <v>156</v>
      </c>
      <c r="AX1">
        <v>28.327839999999998</v>
      </c>
      <c r="AY1" s="114" t="s">
        <v>157</v>
      </c>
      <c r="AZ1">
        <f>AX1*1000</f>
        <v>28327.84</v>
      </c>
    </row>
    <row r="2" spans="1:256" ht="16.3" thickBot="1">
      <c r="B2" t="s">
        <v>219</v>
      </c>
      <c r="E2" t="s">
        <v>0</v>
      </c>
      <c r="F2" s="2">
        <v>1</v>
      </c>
      <c r="G2" s="2"/>
      <c r="H2" s="2"/>
      <c r="I2" s="2"/>
      <c r="J2" s="2"/>
      <c r="K2" s="2"/>
      <c r="L2" s="2"/>
      <c r="O2" s="230">
        <f>'Initial Data'!AG27</f>
        <v>562941.62983703462</v>
      </c>
      <c r="P2" s="231">
        <f>'Initial Data'!AG29</f>
        <v>2557563.6932899086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97"/>
      <c r="AG2" s="97"/>
      <c r="AH2" s="97"/>
      <c r="AI2" s="97"/>
      <c r="AK2" s="97"/>
      <c r="AL2" s="97"/>
      <c r="AM2" s="97"/>
      <c r="AN2" t="s">
        <v>131</v>
      </c>
      <c r="AP2" s="247">
        <v>3</v>
      </c>
      <c r="AQ2" s="97"/>
      <c r="AR2" s="97"/>
      <c r="AS2" s="97"/>
      <c r="AT2" s="97"/>
      <c r="AU2" s="97"/>
      <c r="AV2" s="97"/>
      <c r="AW2" s="97" t="s">
        <v>155</v>
      </c>
      <c r="AX2" s="116">
        <v>1.055056</v>
      </c>
      <c r="AY2" s="97" t="s">
        <v>158</v>
      </c>
      <c r="AZ2" s="119">
        <f>AZ1/AX3</f>
        <v>2823.3911277846605</v>
      </c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>
        <v>0.3</v>
      </c>
      <c r="BX2" s="97"/>
      <c r="BY2" s="97"/>
      <c r="BZ2" s="97"/>
      <c r="CA2" s="97"/>
      <c r="CC2" s="97" t="s">
        <v>348</v>
      </c>
      <c r="CD2" s="98">
        <f>CD5/CD6</f>
        <v>1.1389047333201621</v>
      </c>
      <c r="CE2" s="97"/>
      <c r="CF2" s="229" t="s">
        <v>347</v>
      </c>
      <c r="CG2" s="141"/>
      <c r="CH2" s="251">
        <v>0</v>
      </c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  <c r="IQ2" s="97"/>
      <c r="IR2" s="97"/>
      <c r="IS2" s="97"/>
      <c r="IT2" s="97"/>
      <c r="IU2" s="97"/>
      <c r="IV2" s="97"/>
    </row>
    <row r="3" spans="1:256">
      <c r="B3" s="137">
        <v>365</v>
      </c>
      <c r="D3" t="s">
        <v>358</v>
      </c>
      <c r="F3" s="256">
        <v>0.05</v>
      </c>
      <c r="G3" s="3"/>
      <c r="H3" s="256">
        <v>8.2032955450712874E-2</v>
      </c>
      <c r="I3" s="3"/>
      <c r="J3" s="3"/>
      <c r="K3" s="3"/>
      <c r="L3" s="3"/>
      <c r="O3" s="232" t="s">
        <v>253</v>
      </c>
      <c r="P3" s="232" t="s">
        <v>254</v>
      </c>
      <c r="R3" t="s">
        <v>74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N3" t="s">
        <v>135</v>
      </c>
      <c r="AP3" s="247">
        <v>10</v>
      </c>
      <c r="AW3" t="s">
        <v>150</v>
      </c>
      <c r="AX3">
        <v>10.033268051751334</v>
      </c>
      <c r="CC3" t="s">
        <v>305</v>
      </c>
      <c r="CD3" s="98">
        <f>COUNTIF(CG9:CG248,0)</f>
        <v>13</v>
      </c>
      <c r="CF3" s="99" t="s">
        <v>307</v>
      </c>
      <c r="CG3" s="5"/>
      <c r="CH3" s="232">
        <v>0</v>
      </c>
    </row>
    <row r="4" spans="1:256" ht="16.3" thickBot="1">
      <c r="B4" s="138">
        <f>B3/12</f>
        <v>30.416666666666668</v>
      </c>
      <c r="J4">
        <v>801.46400000000006</v>
      </c>
      <c r="L4">
        <v>3028.2890000000002</v>
      </c>
      <c r="V4">
        <f>AU248/Z251</f>
        <v>53.374501585885866</v>
      </c>
      <c r="AN4" t="s">
        <v>132</v>
      </c>
      <c r="AP4" s="246">
        <v>0.25</v>
      </c>
      <c r="AZ4" t="s">
        <v>214</v>
      </c>
      <c r="BA4" s="98">
        <v>0.05</v>
      </c>
      <c r="BV4" t="s">
        <v>269</v>
      </c>
      <c r="BW4">
        <f>(1+BW5)^12-1</f>
        <v>0.30000000000000204</v>
      </c>
    </row>
    <row r="5" spans="1:256" ht="16.5" customHeight="1" thickBot="1">
      <c r="D5" t="s">
        <v>357</v>
      </c>
      <c r="F5" s="254">
        <v>0.15484509385736547</v>
      </c>
      <c r="H5" s="98">
        <v>0.71438780000000002</v>
      </c>
      <c r="AI5" t="s">
        <v>217</v>
      </c>
      <c r="AJ5" s="264">
        <v>-0.126475</v>
      </c>
      <c r="AN5" t="s">
        <v>133</v>
      </c>
      <c r="AP5" s="245">
        <v>9.5000000000000001E-2</v>
      </c>
      <c r="AQ5" t="s">
        <v>362</v>
      </c>
      <c r="AR5" s="98">
        <f>(1+AP5)^(1/12)-1</f>
        <v>7.5915342905825689E-3</v>
      </c>
      <c r="AV5" s="12">
        <f>AV6/Z248</f>
        <v>40.522955274562953</v>
      </c>
      <c r="AZ5" t="s">
        <v>196</v>
      </c>
      <c r="BA5" s="249">
        <v>1.3500000000000001E-3</v>
      </c>
      <c r="BB5" s="10"/>
      <c r="BC5" s="10"/>
      <c r="BD5" s="10"/>
      <c r="BE5" s="10"/>
      <c r="BF5" s="10"/>
      <c r="BG5" s="10"/>
      <c r="BV5" t="s">
        <v>349</v>
      </c>
      <c r="BW5" s="98">
        <v>2.2104450593615876E-2</v>
      </c>
      <c r="BZ5" t="s">
        <v>365</v>
      </c>
      <c r="CA5" s="269">
        <f>CD7/Z251</f>
        <v>19.666399044046951</v>
      </c>
      <c r="CB5" s="11"/>
      <c r="CC5" t="s">
        <v>142</v>
      </c>
      <c r="CD5" s="252">
        <f>CD7-CD6</f>
        <v>13666856.799841944</v>
      </c>
      <c r="CE5" s="114"/>
    </row>
    <row r="6" spans="1:256" ht="16.5" customHeight="1" thickBot="1">
      <c r="D6" t="s">
        <v>359</v>
      </c>
      <c r="F6" s="233">
        <v>801.46400000000006</v>
      </c>
      <c r="H6" s="98">
        <v>3028.2890000000002</v>
      </c>
      <c r="O6" t="s">
        <v>360</v>
      </c>
      <c r="Q6" s="262">
        <v>0</v>
      </c>
      <c r="AC6" t="s">
        <v>361</v>
      </c>
      <c r="AE6" s="263">
        <v>0</v>
      </c>
      <c r="AI6" t="s">
        <v>159</v>
      </c>
      <c r="AJ6">
        <v>1</v>
      </c>
      <c r="AP6" s="1"/>
      <c r="AV6" s="11">
        <f>SUM(AV9:AV248)</f>
        <v>52887002.232035257</v>
      </c>
      <c r="AX6" t="s">
        <v>350</v>
      </c>
      <c r="BA6" t="s">
        <v>151</v>
      </c>
      <c r="BP6" t="s">
        <v>351</v>
      </c>
      <c r="BQ6" s="98">
        <f>AVERAGE(BP9:BP20)</f>
        <v>0.21361976903876956</v>
      </c>
      <c r="BV6" s="1" t="s">
        <v>273</v>
      </c>
      <c r="CC6" t="s">
        <v>141</v>
      </c>
      <c r="CD6" s="253">
        <f>AP1</f>
        <v>12000000</v>
      </c>
    </row>
    <row r="7" spans="1:256" ht="16.5" customHeight="1" thickBot="1">
      <c r="D7" t="s">
        <v>116</v>
      </c>
      <c r="F7" s="255">
        <v>0.19047619047619047</v>
      </c>
      <c r="J7" s="270">
        <v>0.41639999999999999</v>
      </c>
      <c r="K7" s="270">
        <v>0.2833</v>
      </c>
      <c r="L7" s="270">
        <v>0.1351</v>
      </c>
      <c r="M7" s="270">
        <v>0.1653</v>
      </c>
      <c r="N7" s="238"/>
      <c r="O7" s="239"/>
      <c r="P7" s="239"/>
      <c r="Q7" s="239"/>
      <c r="R7" s="239" t="s">
        <v>117</v>
      </c>
      <c r="S7" s="239"/>
      <c r="T7" s="239"/>
      <c r="U7" s="239"/>
      <c r="V7" s="239"/>
      <c r="W7" s="239"/>
      <c r="X7" s="239"/>
      <c r="Y7" s="239"/>
      <c r="Z7" s="240"/>
      <c r="AB7" s="101"/>
      <c r="AC7" s="101"/>
      <c r="AD7" s="102"/>
      <c r="AE7" s="139"/>
      <c r="AF7" s="102" t="s">
        <v>119</v>
      </c>
      <c r="AG7" s="102"/>
      <c r="AH7" s="102"/>
      <c r="AI7" s="102"/>
      <c r="AJ7" s="103"/>
      <c r="AK7" s="103"/>
      <c r="AN7" s="241"/>
      <c r="AO7" s="242"/>
      <c r="AP7" s="242" t="s">
        <v>129</v>
      </c>
      <c r="AQ7" s="242"/>
      <c r="AR7" s="242"/>
      <c r="AS7" s="242"/>
      <c r="AT7" s="242"/>
      <c r="AU7" s="243"/>
      <c r="AV7" s="244"/>
      <c r="AX7" s="246">
        <v>0.05</v>
      </c>
      <c r="AZ7" t="s">
        <v>149</v>
      </c>
      <c r="BA7" s="248">
        <f>'C'!E14</f>
        <v>1220.2231400000001</v>
      </c>
      <c r="BB7" s="4"/>
      <c r="BC7" s="4"/>
      <c r="BD7" s="4"/>
      <c r="BE7" s="4"/>
      <c r="BF7" s="4"/>
      <c r="BG7" s="4"/>
      <c r="BV7" s="1"/>
      <c r="BY7" s="120"/>
      <c r="BZ7" s="237" t="s">
        <v>271</v>
      </c>
      <c r="CC7" t="s">
        <v>140</v>
      </c>
      <c r="CD7" s="253">
        <f>SUM(CD9:CD248)</f>
        <v>25666856.799841944</v>
      </c>
    </row>
    <row r="8" spans="1:256" s="16" customFormat="1" ht="48" customHeight="1" thickBot="1">
      <c r="F8" s="16" t="s">
        <v>113</v>
      </c>
      <c r="G8" s="236" t="s">
        <v>354</v>
      </c>
      <c r="H8" s="237" t="s">
        <v>353</v>
      </c>
      <c r="I8" s="237" t="s">
        <v>115</v>
      </c>
      <c r="J8" s="237" t="s">
        <v>56</v>
      </c>
      <c r="K8" s="237" t="s">
        <v>32</v>
      </c>
      <c r="L8" s="237" t="s">
        <v>58</v>
      </c>
      <c r="M8" s="237" t="s">
        <v>33</v>
      </c>
      <c r="N8" s="237" t="s">
        <v>113</v>
      </c>
      <c r="O8" s="236" t="s">
        <v>114</v>
      </c>
      <c r="P8" s="237" t="s">
        <v>118</v>
      </c>
      <c r="Q8" s="237" t="s">
        <v>115</v>
      </c>
      <c r="R8" s="237" t="s">
        <v>56</v>
      </c>
      <c r="S8" s="237" t="s">
        <v>32</v>
      </c>
      <c r="T8" s="237" t="s">
        <v>58</v>
      </c>
      <c r="U8" s="237" t="s">
        <v>33</v>
      </c>
      <c r="V8" s="237" t="s">
        <v>285</v>
      </c>
      <c r="W8" s="237" t="s">
        <v>277</v>
      </c>
      <c r="X8" s="237" t="s">
        <v>278</v>
      </c>
      <c r="Y8" s="237" t="s">
        <v>279</v>
      </c>
      <c r="Z8" s="237" t="s">
        <v>286</v>
      </c>
      <c r="AA8" s="104"/>
      <c r="AB8" s="237" t="s">
        <v>218</v>
      </c>
      <c r="AC8" s="237" t="s">
        <v>104</v>
      </c>
      <c r="AD8" s="237" t="s">
        <v>56</v>
      </c>
      <c r="AE8" s="237" t="s">
        <v>32</v>
      </c>
      <c r="AF8" s="237" t="s">
        <v>58</v>
      </c>
      <c r="AG8" s="237" t="s">
        <v>33</v>
      </c>
      <c r="AH8" s="237" t="s">
        <v>120</v>
      </c>
      <c r="AI8" s="237" t="s">
        <v>121</v>
      </c>
      <c r="AJ8" s="237" t="s">
        <v>122</v>
      </c>
      <c r="AK8" s="237" t="s">
        <v>216</v>
      </c>
      <c r="AN8" s="237" t="s">
        <v>123</v>
      </c>
      <c r="AO8" s="237" t="s">
        <v>124</v>
      </c>
      <c r="AP8" s="237" t="s">
        <v>125</v>
      </c>
      <c r="AQ8" s="237" t="s">
        <v>126</v>
      </c>
      <c r="AR8" s="237" t="s">
        <v>127</v>
      </c>
      <c r="AS8" s="237" t="s">
        <v>128</v>
      </c>
      <c r="AT8" s="237" t="s">
        <v>136</v>
      </c>
      <c r="AU8" s="237" t="s">
        <v>145</v>
      </c>
      <c r="AV8" s="237" t="s">
        <v>346</v>
      </c>
      <c r="AW8" s="237" t="s">
        <v>153</v>
      </c>
      <c r="AX8" s="237" t="s">
        <v>152</v>
      </c>
      <c r="AY8" s="237" t="s">
        <v>154</v>
      </c>
      <c r="AZ8" s="237" t="s">
        <v>197</v>
      </c>
      <c r="BA8" s="237" t="s">
        <v>206</v>
      </c>
      <c r="BB8" s="237" t="s">
        <v>215</v>
      </c>
      <c r="BD8" s="123" t="s">
        <v>198</v>
      </c>
      <c r="BE8" s="124" t="s">
        <v>199</v>
      </c>
      <c r="BF8" s="124" t="s">
        <v>200</v>
      </c>
      <c r="BG8" s="124" t="s">
        <v>201</v>
      </c>
      <c r="BH8" s="124" t="s">
        <v>202</v>
      </c>
      <c r="BI8" s="125" t="s">
        <v>203</v>
      </c>
      <c r="BJ8" s="123" t="s">
        <v>198</v>
      </c>
      <c r="BK8" s="124" t="s">
        <v>199</v>
      </c>
      <c r="BL8" s="124" t="s">
        <v>200</v>
      </c>
      <c r="BM8" s="124" t="s">
        <v>201</v>
      </c>
      <c r="BN8" s="124" t="s">
        <v>202</v>
      </c>
      <c r="BO8" s="132" t="s">
        <v>203</v>
      </c>
      <c r="BP8" s="133" t="s">
        <v>205</v>
      </c>
      <c r="BS8" s="237" t="s">
        <v>352</v>
      </c>
      <c r="BT8" s="237" t="s">
        <v>207</v>
      </c>
      <c r="BU8" s="237" t="s">
        <v>134</v>
      </c>
      <c r="BV8" s="237" t="s">
        <v>137</v>
      </c>
      <c r="BW8" s="237" t="s">
        <v>267</v>
      </c>
      <c r="BX8" s="237" t="s">
        <v>268</v>
      </c>
      <c r="BY8" s="237" t="s">
        <v>138</v>
      </c>
      <c r="BZ8" s="237"/>
      <c r="CA8" s="237" t="s">
        <v>274</v>
      </c>
      <c r="CB8" s="237" t="s">
        <v>270</v>
      </c>
      <c r="CC8" s="237" t="s">
        <v>272</v>
      </c>
      <c r="CD8" s="237" t="s">
        <v>139</v>
      </c>
      <c r="CE8" s="237" t="s">
        <v>296</v>
      </c>
      <c r="CF8" s="237" t="s">
        <v>297</v>
      </c>
      <c r="CG8" s="237" t="s">
        <v>298</v>
      </c>
    </row>
    <row r="9" spans="1:256" ht="15.75" customHeight="1">
      <c r="A9">
        <f>YEAR(E9)</f>
        <v>2017</v>
      </c>
      <c r="B9">
        <f>$B$4</f>
        <v>30.416666666666668</v>
      </c>
      <c r="C9">
        <v>1</v>
      </c>
      <c r="E9" s="97">
        <v>42826</v>
      </c>
      <c r="F9" s="2">
        <f>$F$6*EXP(-$F$3*COUNT($E$9:$E9))</f>
        <v>762.37613947804027</v>
      </c>
      <c r="G9" s="260">
        <f>$F$6/(1+$F$5*$F$3*COUNT($E$9:$E9))^(1/$F$5)</f>
        <v>762.52295911949489</v>
      </c>
      <c r="H9" s="260">
        <f>$H$6/(1+$H$5*$H$3*COUNT($E$9:$E9))^(1/$H$5)</f>
        <v>2796.2480986576566</v>
      </c>
      <c r="I9" s="260">
        <f>H9*$F$7</f>
        <v>532.61868545860125</v>
      </c>
      <c r="J9" s="260">
        <f>$I9*J$7</f>
        <v>221.78242062496156</v>
      </c>
      <c r="K9" s="260">
        <f t="shared" ref="K9:M24" si="0">$I9*K$7</f>
        <v>150.89087359042173</v>
      </c>
      <c r="L9" s="260">
        <f t="shared" si="0"/>
        <v>71.956784405457029</v>
      </c>
      <c r="M9" s="260">
        <f t="shared" si="0"/>
        <v>88.041868706306786</v>
      </c>
      <c r="N9" s="19">
        <f>(F9*$B9)*(1+$Q$6)</f>
        <v>23188.940909123725</v>
      </c>
      <c r="O9" s="19">
        <f>(G9*$B9)*(1+$Q$6)</f>
        <v>23193.406673217971</v>
      </c>
      <c r="P9" s="19">
        <f t="shared" ref="P9:U9" si="1">(H9*$B9)*(1+$Q$6)</f>
        <v>85052.546334170387</v>
      </c>
      <c r="Q9" s="19">
        <f t="shared" si="1"/>
        <v>16200.485016032455</v>
      </c>
      <c r="R9" s="19">
        <f t="shared" si="1"/>
        <v>6745.8819606759143</v>
      </c>
      <c r="S9" s="19">
        <f t="shared" si="1"/>
        <v>4589.5974050419945</v>
      </c>
      <c r="T9" s="19">
        <f t="shared" si="1"/>
        <v>2188.6855256659846</v>
      </c>
      <c r="U9" s="19">
        <f t="shared" si="1"/>
        <v>2677.9401731501648</v>
      </c>
      <c r="V9" s="261">
        <f>SUM(O9,R9:U9)+P9/$AX$3</f>
        <v>47872.564866948975</v>
      </c>
      <c r="W9" s="261">
        <f>SUM(O$9:O9)</f>
        <v>23193.406673217971</v>
      </c>
      <c r="X9" s="261">
        <f>SUM(P$9:P9)</f>
        <v>85052.546334170387</v>
      </c>
      <c r="Y9" s="261">
        <f>SUM(Q$9:Q9)</f>
        <v>16200.485016032455</v>
      </c>
      <c r="Z9" s="261">
        <f>SUM($V$9:V9)</f>
        <v>47872.564866948975</v>
      </c>
      <c r="AA9" s="112"/>
      <c r="AB9" s="257">
        <f t="array" ref="AB9">(INDEX(PriceDeck!$C$18:$O$77,MATCH('Decline and Model'!$A9,PriceDeck!$B$18:$B$77,0),MATCH('Decline and Model'!AB$8,PriceDeck!$C$13:$O$13,0))*(1+$AE$6))</f>
        <v>55</v>
      </c>
      <c r="AC9" s="257">
        <f t="array" ref="AC9">INDEX(PriceDeck!$C$18:$O$77,MATCH('Decline and Model'!$A9,PriceDeck!$B$18:$B$77,0),MATCH('Decline and Model'!AC$8,PriceDeck!$C$13:$O$13,0))*(1+$AE$6)</f>
        <v>69.8</v>
      </c>
      <c r="AD9" s="257">
        <f t="array" ref="AD9">INDEX(PriceDeck!$C$18:$O$77,MATCH('Decline and Model'!$A9,PriceDeck!$B$18:$B$77,0),MATCH('Decline and Model'!AD$8,PriceDeck!$C$13:$O$13,0))*(1+$AE$6)</f>
        <v>12.8</v>
      </c>
      <c r="AE9" s="257">
        <f t="array" ref="AE9">INDEX(PriceDeck!$C$18:$O$77,MATCH('Decline and Model'!$A9,PriceDeck!$B$18:$B$77,0),MATCH('Decline and Model'!AE$8,PriceDeck!$C$13:$O$13,0))*(1+$AE$6)</f>
        <v>23.3</v>
      </c>
      <c r="AF9" s="257">
        <f t="array" ref="AF9">INDEX(PriceDeck!$C$18:$O$77,MATCH('Decline and Model'!$A9,PriceDeck!$B$18:$B$77,0),MATCH('Decline and Model'!AF$8,PriceDeck!$C$13:$O$13,0))*(1+$AE$6)</f>
        <v>72.8</v>
      </c>
      <c r="AG9" s="257">
        <f t="array" ref="AG9">INDEX(PriceDeck!$C$18:$O$77,MATCH('Decline and Model'!$A9,PriceDeck!$B$18:$B$77,0),MATCH('Decline and Model'!AG$8,PriceDeck!$C$13:$O$13,0))*(1+$AE$6)</f>
        <v>43.5</v>
      </c>
      <c r="AH9" s="258">
        <f t="array" ref="AH9">INDEX(PriceDeck!$C$18:$O$77,MATCH('Decline and Model'!$A9,PriceDeck!$B$18:$B$77,0),MATCH('Decline and Model'!AH$8,PriceDeck!$C$13:$O$13,0))</f>
        <v>0.75</v>
      </c>
      <c r="AI9" s="258">
        <f>AK9*(1+$AE$6)</f>
        <v>3.4</v>
      </c>
      <c r="AJ9" s="259">
        <f>AI9/$AJ$6</f>
        <v>3.4</v>
      </c>
      <c r="AK9" s="120">
        <v>3.4</v>
      </c>
      <c r="AL9" s="120"/>
      <c r="AN9" s="7">
        <f>O9*AC9</f>
        <v>1618899.7857906143</v>
      </c>
      <c r="AO9" s="7">
        <f t="shared" ref="AO9:AO40" si="2">P9*AJ9</f>
        <v>289178.65753617929</v>
      </c>
      <c r="AP9" s="7">
        <f>R9*AD9</f>
        <v>86347.289096651715</v>
      </c>
      <c r="AQ9" s="7">
        <f>S9*AE9</f>
        <v>106937.61953747847</v>
      </c>
      <c r="AR9" s="7">
        <f>T9*AF9</f>
        <v>159336.30626848366</v>
      </c>
      <c r="AS9" s="7">
        <f>U9*AG9</f>
        <v>116490.39753203216</v>
      </c>
      <c r="AT9" s="7">
        <f>SUM(AN9:AS9)</f>
        <v>2377190.0557614397</v>
      </c>
      <c r="AU9" s="7">
        <f>SUM($AT$9:AT9)</f>
        <v>2377190.0557614397</v>
      </c>
      <c r="AV9" s="7">
        <f>AT9/(1+$AR$5)^(COUNT($E$9:E9))</f>
        <v>2359279.5045019444</v>
      </c>
      <c r="AW9" s="250">
        <f>'C'!E10</f>
        <v>19466994.928070799</v>
      </c>
      <c r="AX9" s="7">
        <f>MIN(AT9,AW9)</f>
        <v>2377190.0557614397</v>
      </c>
      <c r="AY9" s="117">
        <f>AX9*$AX$7</f>
        <v>118859.50278807199</v>
      </c>
      <c r="AZ9" s="117">
        <f t="shared" ref="AZ9:AZ40" si="3">AT9-AX9</f>
        <v>0</v>
      </c>
      <c r="BA9" s="120">
        <f>AZ9*BP9</f>
        <v>0</v>
      </c>
      <c r="BB9" s="119">
        <f t="shared" ref="BB9:BB72" si="4">MAX($BA$7-V9,0)</f>
        <v>0</v>
      </c>
      <c r="BC9" s="17"/>
      <c r="BD9" s="126">
        <f t="shared" ref="BD9:BD72" si="5">AN9/$AT9</f>
        <v>0.68101403245693082</v>
      </c>
      <c r="BE9" s="127">
        <f t="shared" ref="BE9:BE72" si="6">AO9/$AT9</f>
        <v>0.12164726031699313</v>
      </c>
      <c r="BF9" s="127">
        <f t="shared" ref="BF9:BF72" si="7">AP9/$AT9</f>
        <v>3.6323258583123151E-2</v>
      </c>
      <c r="BG9" s="127">
        <f t="shared" ref="BG9:BG72" si="8">AQ9/$AT9</f>
        <v>4.4984884266321398E-2</v>
      </c>
      <c r="BH9" s="127">
        <f t="shared" ref="BH9:BH72" si="9">AR9/$AT9</f>
        <v>6.7027163386583544E-2</v>
      </c>
      <c r="BI9" s="128">
        <f t="shared" ref="BI9:BI72" si="10">AS9/$AT9</f>
        <v>4.90034009900479E-2</v>
      </c>
      <c r="BJ9" s="126">
        <f t="array" ref="BJ9">BD9*INDEX(Royalty!$U$7:$Z$246,MATCH('Decline and Model'!$E9,Royalty!$AI$7:$AI$246,0),MATCH('Decline and Model'!BJ$8,Royalty!$U$1:$Z$1,0))</f>
        <v>0.15715249080375931</v>
      </c>
      <c r="BK9" s="127">
        <f t="array" ref="BK9">BE9*INDEX(Royalty!$U$7:$Z$246,MATCH('Decline and Model'!$E9,Royalty!$AI$7:$AI$246,0),MATCH('Decline and Model'!BK$8,Royalty!$U$1:$Z$1,0))</f>
        <v>2.7176412506782922E-2</v>
      </c>
      <c r="BL9" s="127">
        <f t="array" ref="BL9">BF9*INDEX(Royalty!$U$7:$Z$246,MATCH('Decline and Model'!$E9,Royalty!$AI$7:$AI$246,0),MATCH('Decline and Model'!BL$8,Royalty!$U$1:$Z$1,0))</f>
        <v>7.2168195263653707E-3</v>
      </c>
      <c r="BM9" s="127">
        <f t="array" ref="BM9">BG9*INDEX(Royalty!$U$7:$Z$246,MATCH('Decline and Model'!$E9,Royalty!$AI$7:$AI$246,0),MATCH('Decline and Model'!BM$8,Royalty!$U$1:$Z$1,0))</f>
        <v>9.6715671974284684E-3</v>
      </c>
      <c r="BN9" s="127">
        <f t="array" ref="BN9">BH9*INDEX(Royalty!$U$7:$Z$246,MATCH('Decline and Model'!$E9,Royalty!$AI$7:$AI$246,0),MATCH('Decline and Model'!BN$8,Royalty!$U$1:$Z$1,0))</f>
        <v>7.3497519366521888E-3</v>
      </c>
      <c r="BO9" s="127">
        <f t="array" ref="BO9">BI9*INDEX(Royalty!$U$7:$Z$246,MATCH('Decline and Model'!$E9,Royalty!$AI$7:$AI$246,0),MATCH('Decline and Model'!BO$8,Royalty!$U$1:$Z$1,0))</f>
        <v>2.450170049502395E-3</v>
      </c>
      <c r="BP9" s="135">
        <f t="shared" ref="BP9:BP72" si="11">MAX(SUM(BJ9:BO9)-BB9*$BA$5,$BA$4)</f>
        <v>0.21101721202049067</v>
      </c>
      <c r="BQ9" s="7"/>
      <c r="BR9" s="7"/>
      <c r="BS9">
        <v>1</v>
      </c>
      <c r="BT9" s="120">
        <f t="shared" ref="BT9:BT72" si="12">AY9+BA9</f>
        <v>118859.50278807199</v>
      </c>
      <c r="BU9" s="113">
        <f t="shared" ref="BU9:BU72" si="13">V9*$AP$3</f>
        <v>478725.64866948978</v>
      </c>
      <c r="BV9" s="113">
        <f t="shared" ref="BV9:BV72" si="14">V9*$AP$2</f>
        <v>143617.69460084691</v>
      </c>
      <c r="BW9" s="113">
        <f>CD6</f>
        <v>12000000</v>
      </c>
      <c r="BX9" s="113">
        <f>BW9*$BW$5</f>
        <v>265253.40712339053</v>
      </c>
      <c r="BY9" s="120">
        <f>AT9-BT9-BU9-BV9-BX9</f>
        <v>1370733.8025796406</v>
      </c>
      <c r="BZ9" s="153">
        <f>MIN(BZ8+BY9,0)</f>
        <v>0</v>
      </c>
      <c r="CA9" s="120">
        <f t="shared" ref="CA9:CA16" si="15">IF(BY9&gt;0,MAX(BY9+BZ8,0),0)</f>
        <v>1370733.8025796406</v>
      </c>
      <c r="CB9" s="120">
        <f>CA9*$AP$4</f>
        <v>342683.45064491016</v>
      </c>
      <c r="CC9" s="153">
        <f>CA9-CB9+BX9</f>
        <v>1293303.7590581211</v>
      </c>
      <c r="CD9" s="7">
        <f t="shared" ref="CD9:CD72" si="16">CC9/(1+$AR$5)^$BS9</f>
        <v>1283559.5725491091</v>
      </c>
      <c r="CE9" s="11">
        <f>SUM($CD$9:CD9)</f>
        <v>1283559.5725491091</v>
      </c>
      <c r="CF9" s="11">
        <f>$CD$6</f>
        <v>12000000</v>
      </c>
      <c r="CG9">
        <f>IF(CE9&gt;CF9,CE9-CF9,0)</f>
        <v>0</v>
      </c>
      <c r="CI9" s="11">
        <f>CF9</f>
        <v>12000000</v>
      </c>
      <c r="CJ9">
        <v>0</v>
      </c>
    </row>
    <row r="10" spans="1:256" ht="15.75" customHeight="1">
      <c r="A10">
        <f t="shared" ref="A10:A73" si="17">YEAR(E10)</f>
        <v>2017</v>
      </c>
      <c r="B10">
        <f t="shared" ref="B10:B73" si="18">$B$4</f>
        <v>30.416666666666668</v>
      </c>
      <c r="C10">
        <v>1</v>
      </c>
      <c r="E10" s="97">
        <v>42856</v>
      </c>
      <c r="F10" s="2">
        <f>$F$6*EXP(-$F$3*COUNT($E$9:$E10))</f>
        <v>725.19461640877228</v>
      </c>
      <c r="G10" s="260">
        <f>$F$6/(1+$F$5*$F$3*COUNT($E$9:$E10))^(1/$F$5)</f>
        <v>725.75056403208828</v>
      </c>
      <c r="H10" s="260">
        <f>$H$6/(1+$H$5*$H$3*COUNT($E$9:$E10))^(1/$H$5)</f>
        <v>2593.1044621982542</v>
      </c>
      <c r="I10" s="260">
        <f t="shared" ref="I10:I73" si="19">H10*$F$7</f>
        <v>493.92465946633411</v>
      </c>
      <c r="J10" s="260">
        <f t="shared" ref="J10:M73" si="20">$I10*J$7</f>
        <v>205.67022820178153</v>
      </c>
      <c r="K10" s="260">
        <f t="shared" si="0"/>
        <v>139.92885602681244</v>
      </c>
      <c r="L10" s="260">
        <f t="shared" si="0"/>
        <v>66.729221493901733</v>
      </c>
      <c r="M10" s="260">
        <f t="shared" si="0"/>
        <v>81.645746209785031</v>
      </c>
      <c r="N10" s="19">
        <f t="shared" ref="N10:N73" si="21">(F10*$B10)*(1+$Q$6)</f>
        <v>22058.002915766825</v>
      </c>
      <c r="O10" s="19">
        <f t="shared" ref="O10:O73" si="22">(G10*$B10)*(1+$Q$6)</f>
        <v>22074.912989309352</v>
      </c>
      <c r="P10" s="19">
        <f t="shared" ref="P10:P73" si="23">(H10*$B10)*(1+$Q$6)</f>
        <v>78873.594058530231</v>
      </c>
      <c r="Q10" s="19">
        <f t="shared" ref="Q10:Q73" si="24">(I10*$B10)*(1+$Q$6)</f>
        <v>15023.54172543433</v>
      </c>
      <c r="R10" s="19">
        <f t="shared" ref="R10:R73" si="25">(J10*$B10)*(1+$Q$6)</f>
        <v>6255.8027744708552</v>
      </c>
      <c r="S10" s="19">
        <f t="shared" ref="S10:S73" si="26">(K10*$B10)*(1+$Q$6)</f>
        <v>4256.1693708155453</v>
      </c>
      <c r="T10" s="19">
        <f t="shared" ref="T10:T73" si="27">(L10*$B10)*(1+$Q$6)</f>
        <v>2029.6804871061777</v>
      </c>
      <c r="U10" s="19">
        <f t="shared" ref="U10:U73" si="28">(M10*$B10)*(1+$Q$6)</f>
        <v>2483.3914472142947</v>
      </c>
      <c r="V10" s="261">
        <f>SUM(O10,R10:U10)+P10/$AX$3</f>
        <v>44961.163771627871</v>
      </c>
      <c r="W10" s="261">
        <f>SUM(O$9:O10)</f>
        <v>45268.319662527327</v>
      </c>
      <c r="X10" s="261">
        <f>SUM(P$9:P10)</f>
        <v>163926.14039270062</v>
      </c>
      <c r="Y10" s="261">
        <f>SUM(Q$9:Q10)</f>
        <v>31224.026741466783</v>
      </c>
      <c r="Z10" s="261">
        <f>SUM($V$9:V10)</f>
        <v>92833.728638576838</v>
      </c>
      <c r="AB10" s="257">
        <f t="array" ref="AB10">(INDEX(PriceDeck!$C$18:$O$77,MATCH('Decline and Model'!$A10,PriceDeck!$B$18:$B$77,0),MATCH('Decline and Model'!AB$8,PriceDeck!$C$13:$O$13,0))*(1+$AE$6))</f>
        <v>55</v>
      </c>
      <c r="AC10" s="257">
        <f t="array" ref="AC10">INDEX(PriceDeck!$C$18:$O$77,MATCH('Decline and Model'!$A10,PriceDeck!$B$18:$B$77,0),MATCH('Decline and Model'!AC$8,PriceDeck!$C$13:$O$13,0))*(1+$AE$6)</f>
        <v>69.8</v>
      </c>
      <c r="AD10" s="257">
        <f t="array" ref="AD10">INDEX(PriceDeck!$C$18:$O$77,MATCH('Decline and Model'!$A10,PriceDeck!$B$18:$B$77,0),MATCH('Decline and Model'!AD$8,PriceDeck!$C$13:$O$13,0))*(1+$AE$6)</f>
        <v>12.8</v>
      </c>
      <c r="AE10" s="257">
        <f t="array" ref="AE10">INDEX(PriceDeck!$C$18:$O$77,MATCH('Decline and Model'!$A10,PriceDeck!$B$18:$B$77,0),MATCH('Decline and Model'!AE$8,PriceDeck!$C$13:$O$13,0))*(1+$AE$6)</f>
        <v>23.3</v>
      </c>
      <c r="AF10" s="257">
        <f t="array" ref="AF10">INDEX(PriceDeck!$C$18:$O$77,MATCH('Decline and Model'!$A10,PriceDeck!$B$18:$B$77,0),MATCH('Decline and Model'!AF$8,PriceDeck!$C$13:$O$13,0))*(1+$AE$6)</f>
        <v>72.8</v>
      </c>
      <c r="AG10" s="257">
        <f t="array" ref="AG10">INDEX(PriceDeck!$C$18:$O$77,MATCH('Decline and Model'!$A10,PriceDeck!$B$18:$B$77,0),MATCH('Decline and Model'!AG$8,PriceDeck!$C$13:$O$13,0))*(1+$AE$6)</f>
        <v>43.5</v>
      </c>
      <c r="AH10" s="258">
        <f t="array" ref="AH10">INDEX(PriceDeck!$C$18:$O$77,MATCH('Decline and Model'!$A10,PriceDeck!$B$18:$B$77,0),MATCH('Decline and Model'!AH$8,PriceDeck!$C$13:$O$13,0))</f>
        <v>0.75</v>
      </c>
      <c r="AI10" s="258">
        <f t="shared" ref="AI10:AI73" si="29">AK10*(1+$AE$6)</f>
        <v>3.4</v>
      </c>
      <c r="AJ10" s="259">
        <f t="shared" ref="AJ10:AJ72" si="30">AI10/$AJ$6</f>
        <v>3.4</v>
      </c>
      <c r="AK10" s="120">
        <v>3.4</v>
      </c>
      <c r="AL10" s="120"/>
      <c r="AN10" s="7">
        <f t="shared" ref="AN10:AN73" si="31">O10*AC10</f>
        <v>1540828.9266537926</v>
      </c>
      <c r="AO10" s="7">
        <f t="shared" si="2"/>
        <v>268170.21979900275</v>
      </c>
      <c r="AP10" s="7">
        <f t="shared" ref="AP10:AP73" si="32">R10*AD10</f>
        <v>80074.275513226952</v>
      </c>
      <c r="AQ10" s="7">
        <f t="shared" ref="AQ10:AQ73" si="33">S10*AE10</f>
        <v>99168.74634000221</v>
      </c>
      <c r="AR10" s="7">
        <f t="shared" ref="AR10:AR73" si="34">T10*AF10</f>
        <v>147760.73946132974</v>
      </c>
      <c r="AS10" s="7">
        <f t="shared" ref="AS10:AS73" si="35">U10*AG10</f>
        <v>108027.52795382182</v>
      </c>
      <c r="AT10" s="7">
        <f t="shared" ref="AT10:AT73" si="36">SUM(AN10:AS10)</f>
        <v>2244030.4357211757</v>
      </c>
      <c r="AU10" s="7">
        <f>SUM($AT$9:AT10)</f>
        <v>4621220.4914826155</v>
      </c>
      <c r="AV10" s="7">
        <f>AT10/(1+$AR$5)^(COUNT($E$9:E10))</f>
        <v>2210343.2572970465</v>
      </c>
      <c r="AW10" s="7">
        <f>AW9-AX9</f>
        <v>17089804.872309357</v>
      </c>
      <c r="AX10" s="7">
        <f t="shared" ref="AX10:AX73" si="37">MIN(AT10,AW10)</f>
        <v>2244030.4357211757</v>
      </c>
      <c r="AY10" s="117">
        <f t="shared" ref="AY10:AY73" si="38">AX10*$AX$7</f>
        <v>112201.52178605879</v>
      </c>
      <c r="AZ10" s="117">
        <f t="shared" si="3"/>
        <v>0</v>
      </c>
      <c r="BA10" s="120">
        <f>AZ10*BP10</f>
        <v>0</v>
      </c>
      <c r="BB10" s="119">
        <f t="shared" si="4"/>
        <v>0</v>
      </c>
      <c r="BC10" s="17"/>
      <c r="BD10" s="126">
        <f t="shared" si="5"/>
        <v>0.68663459377662517</v>
      </c>
      <c r="BE10" s="127">
        <f t="shared" si="6"/>
        <v>0.11950382469425798</v>
      </c>
      <c r="BF10" s="127">
        <f t="shared" si="7"/>
        <v>3.5683239513412866E-2</v>
      </c>
      <c r="BG10" s="127">
        <f t="shared" si="8"/>
        <v>4.4192246576251017E-2</v>
      </c>
      <c r="BH10" s="127">
        <f t="shared" si="9"/>
        <v>6.5846138764086376E-2</v>
      </c>
      <c r="BI10" s="128">
        <f t="shared" si="10"/>
        <v>4.8139956675366767E-2</v>
      </c>
      <c r="BJ10" s="126">
        <f t="array" ref="BJ10">BD10*INDEX(Royalty!$U$7:$Z$246,MATCH('Decline and Model'!$E10,Royalty!$AI$7:$AI$246,0),MATCH('Decline and Model'!BJ$8,Royalty!$U$1:$Z$1,0))</f>
        <v>0.15844950550390954</v>
      </c>
      <c r="BK10" s="127">
        <f t="array" ref="BK10">BE10*INDEX(Royalty!$U$7:$Z$246,MATCH('Decline and Model'!$E10,Royalty!$AI$7:$AI$246,0),MATCH('Decline and Model'!BK$8,Royalty!$U$1:$Z$1,0))</f>
        <v>2.6697561684221105E-2</v>
      </c>
      <c r="BL10" s="127">
        <f t="array" ref="BL10">BF10*INDEX(Royalty!$U$7:$Z$246,MATCH('Decline and Model'!$E10,Royalty!$AI$7:$AI$246,0),MATCH('Decline and Model'!BL$8,Royalty!$U$1:$Z$1,0))</f>
        <v>7.0896585199000132E-3</v>
      </c>
      <c r="BM10" s="127">
        <f t="array" ref="BM10">BG10*INDEX(Royalty!$U$7:$Z$246,MATCH('Decline and Model'!$E10,Royalty!$AI$7:$AI$246,0),MATCH('Decline and Model'!BM$8,Royalty!$U$1:$Z$1,0))</f>
        <v>9.5011533171271353E-3</v>
      </c>
      <c r="BN10" s="127">
        <f t="array" ref="BN10">BH10*INDEX(Royalty!$U$7:$Z$246,MATCH('Decline and Model'!$E10,Royalty!$AI$7:$AI$246,0),MATCH('Decline and Model'!BN$8,Royalty!$U$1:$Z$1,0))</f>
        <v>7.2202486492108173E-3</v>
      </c>
      <c r="BO10" s="127">
        <f t="array" ref="BO10">BI10*INDEX(Royalty!$U$7:$Z$246,MATCH('Decline and Model'!$E10,Royalty!$AI$7:$AI$246,0),MATCH('Decline and Model'!BO$8,Royalty!$U$1:$Z$1,0))</f>
        <v>2.4069978337683384E-3</v>
      </c>
      <c r="BP10" s="135">
        <f t="shared" si="11"/>
        <v>0.21136512550813694</v>
      </c>
      <c r="BQ10" s="7"/>
      <c r="BR10" s="7"/>
      <c r="BS10">
        <v>2</v>
      </c>
      <c r="BT10" s="120">
        <f t="shared" si="12"/>
        <v>112201.52178605879</v>
      </c>
      <c r="BU10" s="113">
        <f t="shared" si="13"/>
        <v>449611.63771627872</v>
      </c>
      <c r="BV10" s="113">
        <f t="shared" si="14"/>
        <v>134883.49131488361</v>
      </c>
      <c r="BW10" s="113">
        <f>BW9-BX9</f>
        <v>11734746.592876609</v>
      </c>
      <c r="BX10" s="113">
        <f t="shared" ref="BX10:BX73" si="39">BW10*$BW$5</f>
        <v>259390.12629084324</v>
      </c>
      <c r="BY10" s="120">
        <f t="shared" ref="BY10:BY73" si="40">AT10-BT10-BU10-BV10-BX10</f>
        <v>1287943.6586131114</v>
      </c>
      <c r="BZ10" s="153">
        <f>MIN(BZ9+BY10,0)</f>
        <v>0</v>
      </c>
      <c r="CA10" s="120">
        <f t="shared" si="15"/>
        <v>1287943.6586131114</v>
      </c>
      <c r="CB10" s="120">
        <f t="shared" ref="CB10:CB73" si="41">CA10*$AP$4</f>
        <v>321985.91465327784</v>
      </c>
      <c r="CC10" s="153">
        <f t="shared" ref="CC10:CC73" si="42">CA10-CB10+BX10</f>
        <v>1225347.8702506768</v>
      </c>
      <c r="CD10" s="7">
        <f t="shared" si="16"/>
        <v>1206953.0607687389</v>
      </c>
      <c r="CE10" s="11">
        <f>SUM($CD$9:CD10)</f>
        <v>2490512.6333178477</v>
      </c>
      <c r="CF10" s="11">
        <f t="shared" ref="CF10:CF73" si="43">$CD$6</f>
        <v>12000000</v>
      </c>
      <c r="CG10">
        <f t="shared" ref="CG10:CG73" si="44">IF(CE10&gt;CF10,CE10-CF10,0)</f>
        <v>0</v>
      </c>
      <c r="CJ10">
        <v>0.05</v>
      </c>
    </row>
    <row r="11" spans="1:256" ht="15.75" customHeight="1">
      <c r="A11">
        <f t="shared" si="17"/>
        <v>2017</v>
      </c>
      <c r="B11">
        <f t="shared" si="18"/>
        <v>30.416666666666668</v>
      </c>
      <c r="C11">
        <v>1</v>
      </c>
      <c r="E11" s="97">
        <v>42887</v>
      </c>
      <c r="F11" s="2">
        <f>$F$6*EXP(-$F$3*COUNT($E$9:$E11))</f>
        <v>689.82645761753258</v>
      </c>
      <c r="G11" s="260">
        <f>$F$6/(1+$F$5*$F$3*COUNT($E$9:$E11))^(1/$F$5)</f>
        <v>691.01086674691953</v>
      </c>
      <c r="H11" s="260">
        <f>$H$6/(1+$H$5*$H$3*COUNT($E$9:$E11))^(1/$H$5)</f>
        <v>2414.0116800354631</v>
      </c>
      <c r="I11" s="260">
        <f t="shared" si="19"/>
        <v>459.81174857818343</v>
      </c>
      <c r="J11" s="260">
        <f t="shared" si="20"/>
        <v>191.46561210795556</v>
      </c>
      <c r="K11" s="260">
        <f t="shared" si="0"/>
        <v>130.26466837219937</v>
      </c>
      <c r="L11" s="260">
        <f t="shared" si="0"/>
        <v>62.120567232912578</v>
      </c>
      <c r="M11" s="260">
        <f t="shared" si="0"/>
        <v>76.006882039973718</v>
      </c>
      <c r="N11" s="19">
        <f t="shared" si="21"/>
        <v>20982.221419199952</v>
      </c>
      <c r="O11" s="19">
        <f t="shared" si="22"/>
        <v>21018.24719688547</v>
      </c>
      <c r="P11" s="19">
        <f t="shared" si="23"/>
        <v>73426.188601078669</v>
      </c>
      <c r="Q11" s="19">
        <f t="shared" si="24"/>
        <v>13985.940685919746</v>
      </c>
      <c r="R11" s="19">
        <f t="shared" si="25"/>
        <v>5823.7457016169819</v>
      </c>
      <c r="S11" s="19">
        <f t="shared" si="26"/>
        <v>3962.216996321064</v>
      </c>
      <c r="T11" s="19">
        <f t="shared" si="27"/>
        <v>1889.5005866677577</v>
      </c>
      <c r="U11" s="19">
        <f t="shared" si="28"/>
        <v>2311.8759953825338</v>
      </c>
      <c r="V11" s="261">
        <f t="shared" ref="V11:V74" si="45">SUM(O11,R11:U11)+P11/$AX$3</f>
        <v>42323.858870509495</v>
      </c>
      <c r="W11" s="261">
        <f>SUM(O$9:O11)</f>
        <v>66286.566859412793</v>
      </c>
      <c r="X11" s="261">
        <f>SUM(P$9:P11)</f>
        <v>237352.32899377929</v>
      </c>
      <c r="Y11" s="261">
        <f>SUM(Q$9:Q11)</f>
        <v>45209.967427386531</v>
      </c>
      <c r="Z11" s="261">
        <f>SUM($V$9:V11)</f>
        <v>135157.58750908633</v>
      </c>
      <c r="AB11" s="257">
        <f t="array" ref="AB11">(INDEX(PriceDeck!$C$18:$O$77,MATCH('Decline and Model'!$A11,PriceDeck!$B$18:$B$77,0),MATCH('Decline and Model'!AB$8,PriceDeck!$C$13:$O$13,0))*(1+$AE$6))</f>
        <v>55</v>
      </c>
      <c r="AC11" s="257">
        <f t="array" ref="AC11">INDEX(PriceDeck!$C$18:$O$77,MATCH('Decline and Model'!$A11,PriceDeck!$B$18:$B$77,0),MATCH('Decline and Model'!AC$8,PriceDeck!$C$13:$O$13,0))*(1+$AE$6)</f>
        <v>69.8</v>
      </c>
      <c r="AD11" s="257">
        <f t="array" ref="AD11">INDEX(PriceDeck!$C$18:$O$77,MATCH('Decline and Model'!$A11,PriceDeck!$B$18:$B$77,0),MATCH('Decline and Model'!AD$8,PriceDeck!$C$13:$O$13,0))*(1+$AE$6)</f>
        <v>12.8</v>
      </c>
      <c r="AE11" s="257">
        <f t="array" ref="AE11">INDEX(PriceDeck!$C$18:$O$77,MATCH('Decline and Model'!$A11,PriceDeck!$B$18:$B$77,0),MATCH('Decline and Model'!AE$8,PriceDeck!$C$13:$O$13,0))*(1+$AE$6)</f>
        <v>23.3</v>
      </c>
      <c r="AF11" s="257">
        <f t="array" ref="AF11">INDEX(PriceDeck!$C$18:$O$77,MATCH('Decline and Model'!$A11,PriceDeck!$B$18:$B$77,0),MATCH('Decline and Model'!AF$8,PriceDeck!$C$13:$O$13,0))*(1+$AE$6)</f>
        <v>72.8</v>
      </c>
      <c r="AG11" s="257">
        <f t="array" ref="AG11">INDEX(PriceDeck!$C$18:$O$77,MATCH('Decline and Model'!$A11,PriceDeck!$B$18:$B$77,0),MATCH('Decline and Model'!AG$8,PriceDeck!$C$13:$O$13,0))*(1+$AE$6)</f>
        <v>43.5</v>
      </c>
      <c r="AH11" s="258">
        <f t="array" ref="AH11">INDEX(PriceDeck!$C$18:$O$77,MATCH('Decline and Model'!$A11,PriceDeck!$B$18:$B$77,0),MATCH('Decline and Model'!AH$8,PriceDeck!$C$13:$O$13,0))</f>
        <v>0.75</v>
      </c>
      <c r="AI11" s="258">
        <f t="shared" si="29"/>
        <v>3.4</v>
      </c>
      <c r="AJ11" s="259">
        <f t="shared" si="30"/>
        <v>3.4</v>
      </c>
      <c r="AK11" s="120">
        <v>3.4</v>
      </c>
      <c r="AL11" s="120"/>
      <c r="AM11" s="111"/>
      <c r="AN11" s="7">
        <f t="shared" si="31"/>
        <v>1467073.6543426057</v>
      </c>
      <c r="AO11" s="7">
        <f t="shared" si="2"/>
        <v>249649.04124366748</v>
      </c>
      <c r="AP11" s="7">
        <f t="shared" si="32"/>
        <v>74543.944980697372</v>
      </c>
      <c r="AQ11" s="7">
        <f t="shared" si="33"/>
        <v>92319.656014280801</v>
      </c>
      <c r="AR11" s="7">
        <f t="shared" si="34"/>
        <v>137555.64270941276</v>
      </c>
      <c r="AS11" s="7">
        <f t="shared" si="35"/>
        <v>100566.60579914022</v>
      </c>
      <c r="AT11" s="7">
        <f t="shared" si="36"/>
        <v>2121708.5450898046</v>
      </c>
      <c r="AU11" s="7">
        <f>SUM($AT$9:AT11)</f>
        <v>6742929.03657242</v>
      </c>
      <c r="AV11" s="7">
        <f>AT11/(1+$AR$5)^(COUNT($E$9:E11))</f>
        <v>2074111.9595692188</v>
      </c>
      <c r="AW11" s="7">
        <f>AW10-AX10</f>
        <v>14845774.436588181</v>
      </c>
      <c r="AX11" s="7">
        <f t="shared" si="37"/>
        <v>2121708.5450898046</v>
      </c>
      <c r="AY11" s="117">
        <f t="shared" si="38"/>
        <v>106085.42725449023</v>
      </c>
      <c r="AZ11" s="117">
        <f t="shared" si="3"/>
        <v>0</v>
      </c>
      <c r="BA11" s="120">
        <f t="shared" ref="BA11:BA73" si="46">AZ11*BP11</f>
        <v>0</v>
      </c>
      <c r="BB11" s="119">
        <f t="shared" si="4"/>
        <v>0</v>
      </c>
      <c r="BC11" s="17"/>
      <c r="BD11" s="126">
        <f t="shared" si="5"/>
        <v>0.69145861609399772</v>
      </c>
      <c r="BE11" s="127">
        <f t="shared" si="6"/>
        <v>0.11766415411835027</v>
      </c>
      <c r="BF11" s="127">
        <f t="shared" si="7"/>
        <v>3.5133923155096773E-2</v>
      </c>
      <c r="BG11" s="127">
        <f t="shared" si="8"/>
        <v>4.3511940519791438E-2</v>
      </c>
      <c r="BH11" s="127">
        <f t="shared" si="9"/>
        <v>6.4832487491155624E-2</v>
      </c>
      <c r="BI11" s="128">
        <f t="shared" si="10"/>
        <v>4.7398878621608034E-2</v>
      </c>
      <c r="BJ11" s="126">
        <f t="array" ref="BJ11">BD11*INDEX(Royalty!$U$7:$Z$246,MATCH('Decline and Model'!$E11,Royalty!$AI$7:$AI$246,0),MATCH('Decline and Model'!BJ$8,Royalty!$U$1:$Z$1,0))</f>
        <v>0.1595627088840704</v>
      </c>
      <c r="BK11" s="127">
        <f t="array" ref="BK11">BE11*INDEX(Royalty!$U$7:$Z$246,MATCH('Decline and Model'!$E11,Royalty!$AI$7:$AI$246,0),MATCH('Decline and Model'!BK$8,Royalty!$U$1:$Z$1,0))</f>
        <v>2.6286573008297138E-2</v>
      </c>
      <c r="BL11" s="127">
        <f t="array" ref="BL11">BF11*INDEX(Royalty!$U$7:$Z$246,MATCH('Decline and Model'!$E11,Royalty!$AI$7:$AI$246,0),MATCH('Decline and Model'!BL$8,Royalty!$U$1:$Z$1,0))</f>
        <v>6.98051861407974E-3</v>
      </c>
      <c r="BM11" s="127">
        <f t="array" ref="BM11">BG11*INDEX(Royalty!$U$7:$Z$246,MATCH('Decline and Model'!$E11,Royalty!$AI$7:$AI$246,0),MATCH('Decline and Model'!BM$8,Royalty!$U$1:$Z$1,0))</f>
        <v>9.354890281283508E-3</v>
      </c>
      <c r="BN11" s="127">
        <f t="array" ref="BN11">BH11*INDEX(Royalty!$U$7:$Z$246,MATCH('Decline and Model'!$E11,Royalty!$AI$7:$AI$246,0),MATCH('Decline and Model'!BN$8,Royalty!$U$1:$Z$1,0))</f>
        <v>7.1090984075790195E-3</v>
      </c>
      <c r="BO11" s="127">
        <f t="array" ref="BO11">BI11*INDEX(Royalty!$U$7:$Z$246,MATCH('Decline and Model'!$E11,Royalty!$AI$7:$AI$246,0),MATCH('Decline and Model'!BO$8,Royalty!$U$1:$Z$1,0))</f>
        <v>2.3699439310804018E-3</v>
      </c>
      <c r="BP11" s="135">
        <f t="shared" si="11"/>
        <v>0.2116637331263902</v>
      </c>
      <c r="BQ11" s="7"/>
      <c r="BR11" s="7"/>
      <c r="BS11">
        <v>3</v>
      </c>
      <c r="BT11" s="120">
        <f t="shared" si="12"/>
        <v>106085.42725449023</v>
      </c>
      <c r="BU11" s="113">
        <f t="shared" si="13"/>
        <v>423238.58870509494</v>
      </c>
      <c r="BV11" s="113">
        <f t="shared" si="14"/>
        <v>126971.57661152849</v>
      </c>
      <c r="BW11" s="113">
        <f t="shared" ref="BW11:BW74" si="47">BW10-BX10</f>
        <v>11475356.466585767</v>
      </c>
      <c r="BX11" s="113">
        <f t="shared" si="39"/>
        <v>253656.45005977553</v>
      </c>
      <c r="BY11" s="120">
        <f t="shared" si="40"/>
        <v>1211756.5024589153</v>
      </c>
      <c r="BZ11" s="153">
        <f t="shared" ref="BZ11:BZ74" si="48">MIN(BZ10+BY11,0)</f>
        <v>0</v>
      </c>
      <c r="CA11" s="120">
        <f t="shared" si="15"/>
        <v>1211756.5024589153</v>
      </c>
      <c r="CB11" s="120">
        <f t="shared" si="41"/>
        <v>302939.12561472884</v>
      </c>
      <c r="CC11" s="153">
        <f t="shared" si="42"/>
        <v>1162473.8269039621</v>
      </c>
      <c r="CD11" s="7">
        <f t="shared" si="16"/>
        <v>1136395.8884209762</v>
      </c>
      <c r="CE11" s="11">
        <f>SUM($CD$9:CD11)</f>
        <v>3626908.521738824</v>
      </c>
      <c r="CF11" s="11">
        <f t="shared" si="43"/>
        <v>12000000</v>
      </c>
      <c r="CG11">
        <f t="shared" si="44"/>
        <v>0</v>
      </c>
      <c r="CI11" t="s">
        <v>280</v>
      </c>
    </row>
    <row r="12" spans="1:256" ht="15.75" customHeight="1">
      <c r="A12">
        <f t="shared" si="17"/>
        <v>2017</v>
      </c>
      <c r="B12">
        <f t="shared" si="18"/>
        <v>30.416666666666668</v>
      </c>
      <c r="C12">
        <v>1</v>
      </c>
      <c r="E12" s="97">
        <v>42917</v>
      </c>
      <c r="F12" s="2">
        <f>$F$6*EXP(-$F$3*COUNT($E$9:$E12))</f>
        <v>656.18322428489171</v>
      </c>
      <c r="G12" s="260">
        <f>$F$6/(1+$F$5*$F$3*COUNT($E$9:$E12))^(1/$F$5)</f>
        <v>658.17737882554457</v>
      </c>
      <c r="H12" s="260">
        <f>$H$6/(1+$H$5*$H$3*COUNT($E$9:$E12))^(1/$H$5)</f>
        <v>2255.1256915747917</v>
      </c>
      <c r="I12" s="260">
        <f t="shared" si="19"/>
        <v>429.54775077615079</v>
      </c>
      <c r="J12" s="260">
        <f t="shared" si="20"/>
        <v>178.86368342318917</v>
      </c>
      <c r="K12" s="260">
        <f t="shared" si="0"/>
        <v>121.69087779488352</v>
      </c>
      <c r="L12" s="260">
        <f t="shared" si="0"/>
        <v>58.031901129857971</v>
      </c>
      <c r="M12" s="260">
        <f t="shared" si="0"/>
        <v>71.004243203297733</v>
      </c>
      <c r="N12" s="19">
        <f t="shared" si="21"/>
        <v>19958.906405332124</v>
      </c>
      <c r="O12" s="19">
        <f t="shared" si="22"/>
        <v>20019.56193927698</v>
      </c>
      <c r="P12" s="19">
        <f t="shared" si="23"/>
        <v>68593.406452066585</v>
      </c>
      <c r="Q12" s="19">
        <f t="shared" si="24"/>
        <v>13065.410752774587</v>
      </c>
      <c r="R12" s="19">
        <f t="shared" si="25"/>
        <v>5440.4370374553373</v>
      </c>
      <c r="S12" s="19">
        <f t="shared" si="26"/>
        <v>3701.4308662610406</v>
      </c>
      <c r="T12" s="19">
        <f t="shared" si="27"/>
        <v>1765.1369926998466</v>
      </c>
      <c r="U12" s="19">
        <f t="shared" si="28"/>
        <v>2159.7123974336396</v>
      </c>
      <c r="V12" s="261">
        <f t="shared" si="45"/>
        <v>39922.875853317149</v>
      </c>
      <c r="W12" s="261">
        <f>SUM(O$9:O12)</f>
        <v>86306.128798689781</v>
      </c>
      <c r="X12" s="261">
        <f>SUM(P$9:P12)</f>
        <v>305945.73544584587</v>
      </c>
      <c r="Y12" s="261">
        <f>SUM(Q$9:Q12)</f>
        <v>58275.378180161119</v>
      </c>
      <c r="Z12" s="261">
        <f>SUM($V$9:V12)</f>
        <v>175080.46336240348</v>
      </c>
      <c r="AB12" s="257">
        <f t="array" ref="AB12">(INDEX(PriceDeck!$C$18:$O$77,MATCH('Decline and Model'!$A12,PriceDeck!$B$18:$B$77,0),MATCH('Decline and Model'!AB$8,PriceDeck!$C$13:$O$13,0))*(1+$AE$6))</f>
        <v>55</v>
      </c>
      <c r="AC12" s="257">
        <f t="array" ref="AC12">INDEX(PriceDeck!$C$18:$O$77,MATCH('Decline and Model'!$A12,PriceDeck!$B$18:$B$77,0),MATCH('Decline and Model'!AC$8,PriceDeck!$C$13:$O$13,0))*(1+$AE$6)</f>
        <v>69.8</v>
      </c>
      <c r="AD12" s="257">
        <f t="array" ref="AD12">INDEX(PriceDeck!$C$18:$O$77,MATCH('Decline and Model'!$A12,PriceDeck!$B$18:$B$77,0),MATCH('Decline and Model'!AD$8,PriceDeck!$C$13:$O$13,0))*(1+$AE$6)</f>
        <v>12.8</v>
      </c>
      <c r="AE12" s="257">
        <f t="array" ref="AE12">INDEX(PriceDeck!$C$18:$O$77,MATCH('Decline and Model'!$A12,PriceDeck!$B$18:$B$77,0),MATCH('Decline and Model'!AE$8,PriceDeck!$C$13:$O$13,0))*(1+$AE$6)</f>
        <v>23.3</v>
      </c>
      <c r="AF12" s="257">
        <f t="array" ref="AF12">INDEX(PriceDeck!$C$18:$O$77,MATCH('Decline and Model'!$A12,PriceDeck!$B$18:$B$77,0),MATCH('Decline and Model'!AF$8,PriceDeck!$C$13:$O$13,0))*(1+$AE$6)</f>
        <v>72.8</v>
      </c>
      <c r="AG12" s="257">
        <f t="array" ref="AG12">INDEX(PriceDeck!$C$18:$O$77,MATCH('Decline and Model'!$A12,PriceDeck!$B$18:$B$77,0),MATCH('Decline and Model'!AG$8,PriceDeck!$C$13:$O$13,0))*(1+$AE$6)</f>
        <v>43.5</v>
      </c>
      <c r="AH12" s="258">
        <f t="array" ref="AH12">INDEX(PriceDeck!$C$18:$O$77,MATCH('Decline and Model'!$A12,PriceDeck!$B$18:$B$77,0),MATCH('Decline and Model'!AH$8,PriceDeck!$C$13:$O$13,0))</f>
        <v>0.75</v>
      </c>
      <c r="AI12" s="258">
        <f t="shared" si="29"/>
        <v>3.4</v>
      </c>
      <c r="AJ12" s="259">
        <f t="shared" si="30"/>
        <v>3.4</v>
      </c>
      <c r="AK12" s="120">
        <v>3.4</v>
      </c>
      <c r="AL12" s="120"/>
      <c r="AN12" s="7">
        <f t="shared" si="31"/>
        <v>1397365.4233615331</v>
      </c>
      <c r="AO12" s="7">
        <f t="shared" si="2"/>
        <v>233217.58193702638</v>
      </c>
      <c r="AP12" s="7">
        <f t="shared" si="32"/>
        <v>69637.594079428323</v>
      </c>
      <c r="AQ12" s="7">
        <f t="shared" si="33"/>
        <v>86243.339183882243</v>
      </c>
      <c r="AR12" s="7">
        <f t="shared" si="34"/>
        <v>128501.97306854883</v>
      </c>
      <c r="AS12" s="7">
        <f t="shared" si="35"/>
        <v>93947.489288363315</v>
      </c>
      <c r="AT12" s="7">
        <f t="shared" si="36"/>
        <v>2008913.4009187825</v>
      </c>
      <c r="AU12" s="7">
        <f>SUM($AT$9:AT12)</f>
        <v>8751842.4374912027</v>
      </c>
      <c r="AV12" s="7">
        <f>AT12/(1+$AR$5)^(COUNT($E$9:E12))</f>
        <v>1949050.878120017</v>
      </c>
      <c r="AW12" s="7">
        <f>AW11-AX11</f>
        <v>12724065.891498376</v>
      </c>
      <c r="AX12" s="7">
        <f t="shared" si="37"/>
        <v>2008913.4009187825</v>
      </c>
      <c r="AY12" s="117">
        <f t="shared" si="38"/>
        <v>100445.67004593913</v>
      </c>
      <c r="AZ12" s="117">
        <f t="shared" si="3"/>
        <v>0</v>
      </c>
      <c r="BA12" s="120">
        <f t="shared" si="46"/>
        <v>0</v>
      </c>
      <c r="BB12" s="119">
        <f t="shared" si="4"/>
        <v>0</v>
      </c>
      <c r="BC12" s="17"/>
      <c r="BD12" s="126">
        <f t="shared" si="5"/>
        <v>0.69558270790689325</v>
      </c>
      <c r="BE12" s="127">
        <f t="shared" si="6"/>
        <v>0.11609140634452617</v>
      </c>
      <c r="BF12" s="127">
        <f t="shared" si="7"/>
        <v>3.4664308599653609E-2</v>
      </c>
      <c r="BG12" s="127">
        <f t="shared" si="8"/>
        <v>4.2930341917396038E-2</v>
      </c>
      <c r="BH12" s="127">
        <f t="shared" si="9"/>
        <v>6.3965909635416873E-2</v>
      </c>
      <c r="BI12" s="128">
        <f t="shared" si="10"/>
        <v>4.6765325596113877E-2</v>
      </c>
      <c r="BJ12" s="126">
        <f t="array" ref="BJ12">BD12*INDEX(Royalty!$U$7:$Z$246,MATCH('Decline and Model'!$E12,Royalty!$AI$7:$AI$246,0),MATCH('Decline and Model'!BJ$8,Royalty!$U$1:$Z$1,0))</f>
        <v>0.16051439456132685</v>
      </c>
      <c r="BK12" s="127">
        <f t="array" ref="BK12">BE12*INDEX(Royalty!$U$7:$Z$246,MATCH('Decline and Model'!$E12,Royalty!$AI$7:$AI$246,0),MATCH('Decline and Model'!BK$8,Royalty!$U$1:$Z$1,0))</f>
        <v>2.5935215795983516E-2</v>
      </c>
      <c r="BL12" s="127">
        <f t="array" ref="BL12">BF12*INDEX(Royalty!$U$7:$Z$246,MATCH('Decline and Model'!$E12,Royalty!$AI$7:$AI$246,0),MATCH('Decline and Model'!BL$8,Royalty!$U$1:$Z$1,0))</f>
        <v>6.8872141137185771E-3</v>
      </c>
      <c r="BM12" s="127">
        <f t="array" ref="BM12">BG12*INDEX(Royalty!$U$7:$Z$246,MATCH('Decline and Model'!$E12,Royalty!$AI$7:$AI$246,0),MATCH('Decline and Model'!BM$8,Royalty!$U$1:$Z$1,0))</f>
        <v>9.2298489466943971E-3</v>
      </c>
      <c r="BN12" s="127">
        <f t="array" ref="BN12">BH12*INDEX(Royalty!$U$7:$Z$246,MATCH('Decline and Model'!$E12,Royalty!$AI$7:$AI$246,0),MATCH('Decline and Model'!BN$8,Royalty!$U$1:$Z$1,0))</f>
        <v>7.0140752564911328E-3</v>
      </c>
      <c r="BO12" s="127">
        <f t="array" ref="BO12">BI12*INDEX(Royalty!$U$7:$Z$246,MATCH('Decline and Model'!$E12,Royalty!$AI$7:$AI$246,0),MATCH('Decline and Model'!BO$8,Royalty!$U$1:$Z$1,0))</f>
        <v>2.3382662798056941E-3</v>
      </c>
      <c r="BP12" s="135">
        <f t="shared" si="11"/>
        <v>0.21191901495402016</v>
      </c>
      <c r="BQ12" s="7"/>
      <c r="BR12" s="7"/>
      <c r="BS12">
        <v>4</v>
      </c>
      <c r="BT12" s="120">
        <f t="shared" si="12"/>
        <v>100445.67004593913</v>
      </c>
      <c r="BU12" s="113">
        <f t="shared" si="13"/>
        <v>399228.75853317149</v>
      </c>
      <c r="BV12" s="113">
        <f t="shared" si="14"/>
        <v>119768.62755995145</v>
      </c>
      <c r="BW12" s="113">
        <f t="shared" si="47"/>
        <v>11221700.016525991</v>
      </c>
      <c r="BX12" s="113">
        <f t="shared" si="39"/>
        <v>248049.51359167724</v>
      </c>
      <c r="BY12" s="120">
        <f t="shared" si="40"/>
        <v>1141420.8311880433</v>
      </c>
      <c r="BZ12" s="153">
        <f t="shared" si="48"/>
        <v>0</v>
      </c>
      <c r="CA12" s="120">
        <f t="shared" si="15"/>
        <v>1141420.8311880433</v>
      </c>
      <c r="CB12" s="120">
        <f t="shared" si="41"/>
        <v>285355.20779701084</v>
      </c>
      <c r="CC12" s="153">
        <f t="shared" si="42"/>
        <v>1104115.1369827096</v>
      </c>
      <c r="CD12" s="7">
        <f t="shared" si="16"/>
        <v>1071214.2077889172</v>
      </c>
      <c r="CE12" s="11">
        <f>SUM($CD$9:CD12)</f>
        <v>4698122.7295277417</v>
      </c>
      <c r="CF12" s="11">
        <f t="shared" si="43"/>
        <v>12000000</v>
      </c>
      <c r="CG12">
        <f t="shared" si="44"/>
        <v>0</v>
      </c>
      <c r="CI12" t="s">
        <v>281</v>
      </c>
      <c r="CJ12" s="2">
        <f>W248</f>
        <v>562941.8872385904</v>
      </c>
    </row>
    <row r="13" spans="1:256" ht="15.75" customHeight="1">
      <c r="A13">
        <f t="shared" si="17"/>
        <v>2017</v>
      </c>
      <c r="B13">
        <f t="shared" si="18"/>
        <v>30.416666666666668</v>
      </c>
      <c r="C13">
        <v>1</v>
      </c>
      <c r="E13" s="97">
        <v>42948</v>
      </c>
      <c r="F13" s="2">
        <f>$F$6*EXP(-$F$3*COUNT($E$9:$E13))</f>
        <v>624.1807908035405</v>
      </c>
      <c r="G13" s="260">
        <f>$F$6/(1+$F$5*$F$3*COUNT($E$9:$E13))^(1/$F$5)</f>
        <v>627.13234890577951</v>
      </c>
      <c r="H13" s="260">
        <f>$H$6/(1+$H$5*$H$3*COUNT($E$9:$E13))^(1/$H$5)</f>
        <v>2113.361798339809</v>
      </c>
      <c r="I13" s="260">
        <f t="shared" si="19"/>
        <v>402.54510444567785</v>
      </c>
      <c r="J13" s="260">
        <f t="shared" si="20"/>
        <v>167.61978149118025</v>
      </c>
      <c r="K13" s="260">
        <f t="shared" si="0"/>
        <v>114.04102808946054</v>
      </c>
      <c r="L13" s="260">
        <f t="shared" si="0"/>
        <v>54.383843610611073</v>
      </c>
      <c r="M13" s="260">
        <f t="shared" si="0"/>
        <v>66.540705764870552</v>
      </c>
      <c r="N13" s="19">
        <f t="shared" si="21"/>
        <v>18985.499053607691</v>
      </c>
      <c r="O13" s="19">
        <f t="shared" si="22"/>
        <v>19075.275612550795</v>
      </c>
      <c r="P13" s="19">
        <f t="shared" si="23"/>
        <v>64281.42136616919</v>
      </c>
      <c r="Q13" s="19">
        <f t="shared" si="24"/>
        <v>12244.080260222701</v>
      </c>
      <c r="R13" s="19">
        <f t="shared" si="25"/>
        <v>5098.4350203567328</v>
      </c>
      <c r="S13" s="19">
        <f t="shared" si="26"/>
        <v>3468.7479377210916</v>
      </c>
      <c r="T13" s="19">
        <f t="shared" si="27"/>
        <v>1654.1752431560869</v>
      </c>
      <c r="U13" s="19">
        <f t="shared" si="28"/>
        <v>2023.9464670148127</v>
      </c>
      <c r="V13" s="261">
        <f t="shared" si="45"/>
        <v>37727.408149307295</v>
      </c>
      <c r="W13" s="261">
        <f>SUM(O$9:O13)</f>
        <v>105381.40441124057</v>
      </c>
      <c r="X13" s="261">
        <f>SUM(P$9:P13)</f>
        <v>370227.15681201505</v>
      </c>
      <c r="Y13" s="261">
        <f>SUM(Q$9:Q13)</f>
        <v>70519.458440383823</v>
      </c>
      <c r="Z13" s="261">
        <f>SUM($V$9:V13)</f>
        <v>212807.87151171078</v>
      </c>
      <c r="AB13" s="257">
        <f t="array" ref="AB13">(INDEX(PriceDeck!$C$18:$O$77,MATCH('Decline and Model'!$A13,PriceDeck!$B$18:$B$77,0),MATCH('Decline and Model'!AB$8,PriceDeck!$C$13:$O$13,0))*(1+$AE$6))</f>
        <v>55</v>
      </c>
      <c r="AC13" s="257">
        <f t="array" ref="AC13">INDEX(PriceDeck!$C$18:$O$77,MATCH('Decline and Model'!$A13,PriceDeck!$B$18:$B$77,0),MATCH('Decline and Model'!AC$8,PriceDeck!$C$13:$O$13,0))*(1+$AE$6)</f>
        <v>69.8</v>
      </c>
      <c r="AD13" s="257">
        <f t="array" ref="AD13">INDEX(PriceDeck!$C$18:$O$77,MATCH('Decline and Model'!$A13,PriceDeck!$B$18:$B$77,0),MATCH('Decline and Model'!AD$8,PriceDeck!$C$13:$O$13,0))*(1+$AE$6)</f>
        <v>12.8</v>
      </c>
      <c r="AE13" s="257">
        <f t="array" ref="AE13">INDEX(PriceDeck!$C$18:$O$77,MATCH('Decline and Model'!$A13,PriceDeck!$B$18:$B$77,0),MATCH('Decline and Model'!AE$8,PriceDeck!$C$13:$O$13,0))*(1+$AE$6)</f>
        <v>23.3</v>
      </c>
      <c r="AF13" s="257">
        <f t="array" ref="AF13">INDEX(PriceDeck!$C$18:$O$77,MATCH('Decline and Model'!$A13,PriceDeck!$B$18:$B$77,0),MATCH('Decline and Model'!AF$8,PriceDeck!$C$13:$O$13,0))*(1+$AE$6)</f>
        <v>72.8</v>
      </c>
      <c r="AG13" s="257">
        <f t="array" ref="AG13">INDEX(PriceDeck!$C$18:$O$77,MATCH('Decline and Model'!$A13,PriceDeck!$B$18:$B$77,0),MATCH('Decline and Model'!AG$8,PriceDeck!$C$13:$O$13,0))*(1+$AE$6)</f>
        <v>43.5</v>
      </c>
      <c r="AH13" s="258">
        <f t="array" ref="AH13">INDEX(PriceDeck!$C$18:$O$77,MATCH('Decline and Model'!$A13,PriceDeck!$B$18:$B$77,0),MATCH('Decline and Model'!AH$8,PriceDeck!$C$13:$O$13,0))</f>
        <v>0.75</v>
      </c>
      <c r="AI13" s="258">
        <f t="shared" si="29"/>
        <v>3.4</v>
      </c>
      <c r="AJ13" s="259">
        <f t="shared" si="30"/>
        <v>3.4</v>
      </c>
      <c r="AK13" s="120">
        <v>3.4</v>
      </c>
      <c r="AL13" s="120"/>
      <c r="AN13" s="7">
        <f t="shared" si="31"/>
        <v>1331454.2377560455</v>
      </c>
      <c r="AO13" s="7">
        <f t="shared" si="2"/>
        <v>218556.83264497525</v>
      </c>
      <c r="AP13" s="7">
        <f t="shared" si="32"/>
        <v>65259.96826056618</v>
      </c>
      <c r="AQ13" s="7">
        <f t="shared" si="33"/>
        <v>80821.826948901435</v>
      </c>
      <c r="AR13" s="7">
        <f t="shared" si="34"/>
        <v>120423.95770176312</v>
      </c>
      <c r="AS13" s="7">
        <f t="shared" si="35"/>
        <v>88041.671315144355</v>
      </c>
      <c r="AT13" s="7">
        <f t="shared" si="36"/>
        <v>1904558.4946273959</v>
      </c>
      <c r="AU13" s="7">
        <f>SUM($AT$9:AT13)</f>
        <v>10656400.932118598</v>
      </c>
      <c r="AV13" s="7">
        <f>AT13/(1+$AR$5)^(COUNT($E$9:E13))</f>
        <v>1833883.5969716208</v>
      </c>
      <c r="AW13" s="7">
        <f t="shared" ref="AW13:AW76" si="49">AW12-AX12</f>
        <v>10715152.490579594</v>
      </c>
      <c r="AX13" s="7">
        <f t="shared" si="37"/>
        <v>1904558.4946273959</v>
      </c>
      <c r="AY13" s="117">
        <f t="shared" si="38"/>
        <v>95227.9247313698</v>
      </c>
      <c r="AZ13" s="117">
        <f t="shared" si="3"/>
        <v>0</v>
      </c>
      <c r="BA13" s="120">
        <f t="shared" si="46"/>
        <v>0</v>
      </c>
      <c r="BB13" s="119">
        <f t="shared" si="4"/>
        <v>0</v>
      </c>
      <c r="BC13" s="17"/>
      <c r="BD13" s="126">
        <f t="shared" si="5"/>
        <v>0.6990881306675375</v>
      </c>
      <c r="BE13" s="127">
        <f t="shared" si="6"/>
        <v>0.11475459181826457</v>
      </c>
      <c r="BF13" s="127">
        <f t="shared" si="7"/>
        <v>3.4265142522353201E-2</v>
      </c>
      <c r="BG13" s="127">
        <f t="shared" si="8"/>
        <v>4.2435990901247306E-2</v>
      </c>
      <c r="BH13" s="127">
        <f t="shared" si="9"/>
        <v>6.3229330073856629E-2</v>
      </c>
      <c r="BI13" s="128">
        <f t="shared" si="10"/>
        <v>4.6226814016740746E-2</v>
      </c>
      <c r="BJ13" s="126">
        <f t="array" ref="BJ13">BD13*INDEX(Royalty!$U$7:$Z$246,MATCH('Decline and Model'!$E13,Royalty!$AI$7:$AI$246,0),MATCH('Decline and Model'!BJ$8,Royalty!$U$1:$Z$1,0))</f>
        <v>0.1613233146303715</v>
      </c>
      <c r="BK13" s="127">
        <f t="array" ref="BK13">BE13*INDEX(Royalty!$U$7:$Z$246,MATCH('Decline and Model'!$E13,Royalty!$AI$7:$AI$246,0),MATCH('Decline and Model'!BK$8,Royalty!$U$1:$Z$1,0))</f>
        <v>2.5636566875193396E-2</v>
      </c>
      <c r="BL13" s="127">
        <f t="array" ref="BL13">BF13*INDEX(Royalty!$U$7:$Z$246,MATCH('Decline and Model'!$E13,Royalty!$AI$7:$AI$246,0),MATCH('Decline and Model'!BL$8,Royalty!$U$1:$Z$1,0))</f>
        <v>6.8079065390875193E-3</v>
      </c>
      <c r="BM13" s="127">
        <f t="array" ref="BM13">BG13*INDEX(Royalty!$U$7:$Z$246,MATCH('Decline and Model'!$E13,Royalty!$AI$7:$AI$246,0),MATCH('Decline and Model'!BM$8,Royalty!$U$1:$Z$1,0))</f>
        <v>9.1235654883777325E-3</v>
      </c>
      <c r="BN13" s="127">
        <f t="array" ref="BN13">BH13*INDEX(Royalty!$U$7:$Z$246,MATCH('Decline and Model'!$E13,Royalty!$AI$7:$AI$246,0),MATCH('Decline and Model'!BN$8,Royalty!$U$1:$Z$1,0))</f>
        <v>6.9333068517795672E-3</v>
      </c>
      <c r="BO13" s="127">
        <f t="array" ref="BO13">BI13*INDEX(Royalty!$U$7:$Z$246,MATCH('Decline and Model'!$E13,Royalty!$AI$7:$AI$246,0),MATCH('Decline and Model'!BO$8,Royalty!$U$1:$Z$1,0))</f>
        <v>2.3113407008370375E-3</v>
      </c>
      <c r="BP13" s="135">
        <f t="shared" si="11"/>
        <v>0.21213600108564676</v>
      </c>
      <c r="BQ13" s="7"/>
      <c r="BR13" s="7"/>
      <c r="BS13">
        <v>5</v>
      </c>
      <c r="BT13" s="120">
        <f t="shared" si="12"/>
        <v>95227.9247313698</v>
      </c>
      <c r="BU13" s="113">
        <f t="shared" si="13"/>
        <v>377274.08149307297</v>
      </c>
      <c r="BV13" s="113">
        <f t="shared" si="14"/>
        <v>113182.22444792188</v>
      </c>
      <c r="BW13" s="113">
        <f t="shared" si="47"/>
        <v>10973650.502934314</v>
      </c>
      <c r="BX13" s="113">
        <f t="shared" si="39"/>
        <v>242566.51537371957</v>
      </c>
      <c r="BY13" s="120">
        <f t="shared" si="40"/>
        <v>1076307.7485813117</v>
      </c>
      <c r="BZ13" s="153">
        <f t="shared" si="48"/>
        <v>0</v>
      </c>
      <c r="CA13" s="120">
        <f t="shared" si="15"/>
        <v>1076307.7485813117</v>
      </c>
      <c r="CB13" s="120">
        <f t="shared" si="41"/>
        <v>269076.93714532792</v>
      </c>
      <c r="CC13" s="153">
        <f t="shared" si="42"/>
        <v>1049797.3268097034</v>
      </c>
      <c r="CD13" s="7">
        <f t="shared" si="16"/>
        <v>1010841.1493854456</v>
      </c>
      <c r="CE13" s="11">
        <f>SUM($CD$9:CD13)</f>
        <v>5708963.8789131874</v>
      </c>
      <c r="CF13" s="11">
        <f t="shared" si="43"/>
        <v>12000000</v>
      </c>
      <c r="CG13">
        <f t="shared" si="44"/>
        <v>0</v>
      </c>
      <c r="CI13" t="s">
        <v>282</v>
      </c>
      <c r="CJ13" s="2">
        <f>X248</f>
        <v>2557764.4163667592</v>
      </c>
    </row>
    <row r="14" spans="1:256" ht="15.75" customHeight="1">
      <c r="A14">
        <f t="shared" si="17"/>
        <v>2017</v>
      </c>
      <c r="B14">
        <f t="shared" si="18"/>
        <v>30.416666666666668</v>
      </c>
      <c r="C14">
        <v>1</v>
      </c>
      <c r="E14" s="97">
        <v>42979</v>
      </c>
      <c r="F14" s="2">
        <f>$F$6*EXP(-$F$3*COUNT($E$9:$E14))</f>
        <v>593.73913442045239</v>
      </c>
      <c r="G14" s="260">
        <f>$F$6/(1+$F$5*$F$3*COUNT($E$9:$E14))^(1/$F$5)</f>
        <v>597.76610024138483</v>
      </c>
      <c r="H14" s="260">
        <f>$H$6/(1+$H$5*$H$3*COUNT($E$9:$E14))^(1/$H$5)</f>
        <v>1986.2184858494654</v>
      </c>
      <c r="I14" s="260">
        <f t="shared" si="19"/>
        <v>378.32733063799338</v>
      </c>
      <c r="J14" s="260">
        <f t="shared" si="20"/>
        <v>157.53550047766043</v>
      </c>
      <c r="K14" s="260">
        <f t="shared" si="0"/>
        <v>107.18013276974352</v>
      </c>
      <c r="L14" s="260">
        <f t="shared" si="0"/>
        <v>51.112022369192907</v>
      </c>
      <c r="M14" s="260">
        <f t="shared" si="0"/>
        <v>62.537507754460307</v>
      </c>
      <c r="N14" s="19">
        <f t="shared" si="21"/>
        <v>18059.565338622095</v>
      </c>
      <c r="O14" s="19">
        <f t="shared" si="22"/>
        <v>18182.052215675456</v>
      </c>
      <c r="P14" s="19">
        <f t="shared" si="23"/>
        <v>60414.145611254578</v>
      </c>
      <c r="Q14" s="19">
        <f t="shared" si="24"/>
        <v>11507.456306905633</v>
      </c>
      <c r="R14" s="19">
        <f t="shared" si="25"/>
        <v>4791.7048061955047</v>
      </c>
      <c r="S14" s="19">
        <f t="shared" si="26"/>
        <v>3260.0623717463654</v>
      </c>
      <c r="T14" s="19">
        <f t="shared" si="27"/>
        <v>1554.657347062951</v>
      </c>
      <c r="U14" s="19">
        <f t="shared" si="28"/>
        <v>1902.1825275315011</v>
      </c>
      <c r="V14" s="261">
        <f t="shared" si="45"/>
        <v>35712.041862560895</v>
      </c>
      <c r="W14" s="261">
        <f>SUM(O$9:O14)</f>
        <v>123563.45662691603</v>
      </c>
      <c r="X14" s="261">
        <f>SUM(P$9:P14)</f>
        <v>430641.3024232696</v>
      </c>
      <c r="Y14" s="261">
        <f>SUM(Q$9:Q14)</f>
        <v>82026.914747289455</v>
      </c>
      <c r="Z14" s="261">
        <f>SUM($V$9:V14)</f>
        <v>248519.91337427168</v>
      </c>
      <c r="AB14" s="257">
        <f t="array" ref="AB14">(INDEX(PriceDeck!$C$18:$O$77,MATCH('Decline and Model'!$A14,PriceDeck!$B$18:$B$77,0),MATCH('Decline and Model'!AB$8,PriceDeck!$C$13:$O$13,0))*(1+$AE$6))</f>
        <v>55</v>
      </c>
      <c r="AC14" s="257">
        <f t="array" ref="AC14">INDEX(PriceDeck!$C$18:$O$77,MATCH('Decline and Model'!$A14,PriceDeck!$B$18:$B$77,0),MATCH('Decline and Model'!AC$8,PriceDeck!$C$13:$O$13,0))*(1+$AE$6)</f>
        <v>69.8</v>
      </c>
      <c r="AD14" s="257">
        <f t="array" ref="AD14">INDEX(PriceDeck!$C$18:$O$77,MATCH('Decline and Model'!$A14,PriceDeck!$B$18:$B$77,0),MATCH('Decline and Model'!AD$8,PriceDeck!$C$13:$O$13,0))*(1+$AE$6)</f>
        <v>12.8</v>
      </c>
      <c r="AE14" s="257">
        <f t="array" ref="AE14">INDEX(PriceDeck!$C$18:$O$77,MATCH('Decline and Model'!$A14,PriceDeck!$B$18:$B$77,0),MATCH('Decline and Model'!AE$8,PriceDeck!$C$13:$O$13,0))*(1+$AE$6)</f>
        <v>23.3</v>
      </c>
      <c r="AF14" s="257">
        <f t="array" ref="AF14">INDEX(PriceDeck!$C$18:$O$77,MATCH('Decline and Model'!$A14,PriceDeck!$B$18:$B$77,0),MATCH('Decline and Model'!AF$8,PriceDeck!$C$13:$O$13,0))*(1+$AE$6)</f>
        <v>72.8</v>
      </c>
      <c r="AG14" s="257">
        <f t="array" ref="AG14">INDEX(PriceDeck!$C$18:$O$77,MATCH('Decline and Model'!$A14,PriceDeck!$B$18:$B$77,0),MATCH('Decline and Model'!AG$8,PriceDeck!$C$13:$O$13,0))*(1+$AE$6)</f>
        <v>43.5</v>
      </c>
      <c r="AH14" s="258">
        <f t="array" ref="AH14">INDEX(PriceDeck!$C$18:$O$77,MATCH('Decline and Model'!$A14,PriceDeck!$B$18:$B$77,0),MATCH('Decline and Model'!AH$8,PriceDeck!$C$13:$O$13,0))</f>
        <v>0.75</v>
      </c>
      <c r="AI14" s="258">
        <f t="shared" si="29"/>
        <v>3.4</v>
      </c>
      <c r="AJ14" s="259">
        <f t="shared" si="30"/>
        <v>3.4</v>
      </c>
      <c r="AK14" s="120">
        <v>3.4</v>
      </c>
      <c r="AL14" s="120"/>
      <c r="AN14" s="7">
        <f t="shared" si="31"/>
        <v>1269107.2446541467</v>
      </c>
      <c r="AO14" s="7">
        <f t="shared" si="2"/>
        <v>205408.09507826556</v>
      </c>
      <c r="AP14" s="7">
        <f t="shared" si="32"/>
        <v>61333.821519302466</v>
      </c>
      <c r="AQ14" s="7">
        <f t="shared" si="33"/>
        <v>75959.453261690316</v>
      </c>
      <c r="AR14" s="7">
        <f t="shared" si="34"/>
        <v>113179.05486618282</v>
      </c>
      <c r="AS14" s="7">
        <f t="shared" si="35"/>
        <v>82744.939947620296</v>
      </c>
      <c r="AT14" s="7">
        <f t="shared" si="36"/>
        <v>1807732.609327208</v>
      </c>
      <c r="AU14" s="7">
        <f>SUM($AT$9:AT14)</f>
        <v>12464133.541445807</v>
      </c>
      <c r="AV14" s="7">
        <f>AT14/(1+$AR$5)^(COUNT($E$9:E14))</f>
        <v>1727536.1045530161</v>
      </c>
      <c r="AW14" s="7">
        <f t="shared" si="49"/>
        <v>8810593.9959521983</v>
      </c>
      <c r="AX14" s="7">
        <f t="shared" si="37"/>
        <v>1807732.609327208</v>
      </c>
      <c r="AY14" s="117">
        <f t="shared" si="38"/>
        <v>90386.63046636041</v>
      </c>
      <c r="AZ14" s="117">
        <f t="shared" si="3"/>
        <v>0</v>
      </c>
      <c r="BA14" s="120">
        <f t="shared" si="46"/>
        <v>0</v>
      </c>
      <c r="BB14" s="119">
        <f t="shared" si="4"/>
        <v>0</v>
      </c>
      <c r="BC14" s="17"/>
      <c r="BD14" s="126">
        <f t="shared" si="5"/>
        <v>0.70204367510219123</v>
      </c>
      <c r="BE14" s="127">
        <f t="shared" si="6"/>
        <v>0.11362747677307941</v>
      </c>
      <c r="BF14" s="127">
        <f t="shared" si="7"/>
        <v>3.392859165279391E-2</v>
      </c>
      <c r="BG14" s="127">
        <f t="shared" si="8"/>
        <v>4.2019186283285825E-2</v>
      </c>
      <c r="BH14" s="127">
        <f t="shared" si="9"/>
        <v>6.2608294104018608E-2</v>
      </c>
      <c r="BI14" s="128">
        <f t="shared" si="10"/>
        <v>4.577277608463115E-2</v>
      </c>
      <c r="BJ14" s="126">
        <f t="array" ref="BJ14">BD14*INDEX(Royalty!$U$7:$Z$246,MATCH('Decline and Model'!$E14,Royalty!$AI$7:$AI$246,0),MATCH('Decline and Model'!BJ$8,Royalty!$U$1:$Z$1,0))</f>
        <v>0.162005343410177</v>
      </c>
      <c r="BK14" s="127">
        <f t="array" ref="BK14">BE14*INDEX(Royalty!$U$7:$Z$246,MATCH('Decline and Model'!$E14,Royalty!$AI$7:$AI$246,0),MATCH('Decline and Model'!BK$8,Royalty!$U$1:$Z$1,0))</f>
        <v>2.538476553309384E-2</v>
      </c>
      <c r="BL14" s="127">
        <f t="array" ref="BL14">BF14*INDEX(Royalty!$U$7:$Z$246,MATCH('Decline and Model'!$E14,Royalty!$AI$7:$AI$246,0),MATCH('Decline and Model'!BL$8,Royalty!$U$1:$Z$1,0))</f>
        <v>6.7410395513283526E-3</v>
      </c>
      <c r="BM14" s="127">
        <f t="array" ref="BM14">BG14*INDEX(Royalty!$U$7:$Z$246,MATCH('Decline and Model'!$E14,Royalty!$AI$7:$AI$246,0),MATCH('Decline and Model'!BM$8,Royalty!$U$1:$Z$1,0))</f>
        <v>9.0339541903482097E-3</v>
      </c>
      <c r="BN14" s="127">
        <f t="array" ref="BN14">BH14*INDEX(Royalty!$U$7:$Z$246,MATCH('Decline and Model'!$E14,Royalty!$AI$7:$AI$246,0),MATCH('Decline and Model'!BN$8,Royalty!$U$1:$Z$1,0))</f>
        <v>6.8652081871274197E-3</v>
      </c>
      <c r="BO14" s="127">
        <f t="array" ref="BO14">BI14*INDEX(Royalty!$U$7:$Z$246,MATCH('Decline and Model'!$E14,Royalty!$AI$7:$AI$246,0),MATCH('Decline and Model'!BO$8,Royalty!$U$1:$Z$1,0))</f>
        <v>2.2886388042315576E-3</v>
      </c>
      <c r="BP14" s="135">
        <f t="shared" si="11"/>
        <v>0.21231894967630638</v>
      </c>
      <c r="BQ14" s="7"/>
      <c r="BR14" s="7"/>
      <c r="BS14">
        <v>6</v>
      </c>
      <c r="BT14" s="120">
        <f t="shared" si="12"/>
        <v>90386.63046636041</v>
      </c>
      <c r="BU14" s="113">
        <f t="shared" si="13"/>
        <v>357120.41862560896</v>
      </c>
      <c r="BV14" s="113">
        <f t="shared" si="14"/>
        <v>107136.12558768268</v>
      </c>
      <c r="BW14" s="113">
        <f t="shared" si="47"/>
        <v>10731083.987560594</v>
      </c>
      <c r="BX14" s="113">
        <f t="shared" si="39"/>
        <v>237204.71581897562</v>
      </c>
      <c r="BY14" s="120">
        <f t="shared" si="40"/>
        <v>1015884.7188285803</v>
      </c>
      <c r="BZ14" s="153">
        <f t="shared" si="48"/>
        <v>0</v>
      </c>
      <c r="CA14" s="120">
        <f t="shared" si="15"/>
        <v>1015884.7188285803</v>
      </c>
      <c r="CB14" s="120">
        <f t="shared" si="41"/>
        <v>253971.17970714509</v>
      </c>
      <c r="CC14" s="153">
        <f t="shared" si="42"/>
        <v>999118.25494041084</v>
      </c>
      <c r="CD14" s="7">
        <f t="shared" si="16"/>
        <v>954794.33696222503</v>
      </c>
      <c r="CE14" s="11">
        <f>SUM($CD$9:CD14)</f>
        <v>6663758.2158754123</v>
      </c>
      <c r="CF14" s="11">
        <f t="shared" si="43"/>
        <v>12000000</v>
      </c>
      <c r="CG14">
        <f t="shared" si="44"/>
        <v>0</v>
      </c>
      <c r="CI14" t="s">
        <v>283</v>
      </c>
      <c r="CJ14" s="2">
        <f>Y248</f>
        <v>487193.22216509696</v>
      </c>
    </row>
    <row r="15" spans="1:256" ht="15.75" customHeight="1">
      <c r="A15">
        <f t="shared" si="17"/>
        <v>2017</v>
      </c>
      <c r="B15">
        <f t="shared" si="18"/>
        <v>30.416666666666668</v>
      </c>
      <c r="C15">
        <v>1</v>
      </c>
      <c r="E15" s="97">
        <v>43009</v>
      </c>
      <c r="F15" s="2">
        <f>$F$6*EXP(-$F$3*COUNT($E$9:$E15))</f>
        <v>564.78213513831895</v>
      </c>
      <c r="G15" s="260">
        <f>$F$6/(1+$F$5*$F$3*COUNT($E$9:$E15))^(1/$F$5)</f>
        <v>569.97642287612803</v>
      </c>
      <c r="H15" s="260">
        <f>$H$6/(1+$H$5*$H$3*COUNT($E$9:$E15))^(1/$H$5)</f>
        <v>1871.6476915919359</v>
      </c>
      <c r="I15" s="260">
        <f t="shared" si="19"/>
        <v>356.50432220798774</v>
      </c>
      <c r="J15" s="260">
        <f t="shared" si="20"/>
        <v>148.4483997674061</v>
      </c>
      <c r="K15" s="260">
        <f t="shared" si="0"/>
        <v>100.99767448152292</v>
      </c>
      <c r="L15" s="260">
        <f t="shared" si="0"/>
        <v>48.163733930299145</v>
      </c>
      <c r="M15" s="260">
        <f t="shared" si="0"/>
        <v>58.930164460980372</v>
      </c>
      <c r="N15" s="19">
        <f t="shared" si="21"/>
        <v>17178.789943790536</v>
      </c>
      <c r="O15" s="19">
        <f t="shared" si="22"/>
        <v>17336.782862482229</v>
      </c>
      <c r="P15" s="19">
        <f t="shared" si="23"/>
        <v>56929.283952588055</v>
      </c>
      <c r="Q15" s="19">
        <f t="shared" si="24"/>
        <v>10843.673133826294</v>
      </c>
      <c r="R15" s="19">
        <f t="shared" si="25"/>
        <v>4515.3054929252694</v>
      </c>
      <c r="S15" s="19">
        <f t="shared" si="26"/>
        <v>3072.0125988129889</v>
      </c>
      <c r="T15" s="19">
        <f t="shared" si="27"/>
        <v>1464.9802403799324</v>
      </c>
      <c r="U15" s="19">
        <f t="shared" si="28"/>
        <v>1792.4591690214863</v>
      </c>
      <c r="V15" s="261">
        <f t="shared" si="45"/>
        <v>33855.592293556227</v>
      </c>
      <c r="W15" s="261">
        <f>SUM(O$9:O15)</f>
        <v>140900.23948939826</v>
      </c>
      <c r="X15" s="261">
        <f>SUM(P$9:P15)</f>
        <v>487570.58637585765</v>
      </c>
      <c r="Y15" s="261">
        <f>SUM(Q$9:Q15)</f>
        <v>92870.587881115745</v>
      </c>
      <c r="Z15" s="261">
        <f>SUM($V$9:V15)</f>
        <v>282375.50566782791</v>
      </c>
      <c r="AB15" s="257">
        <f t="array" ref="AB15">(INDEX(PriceDeck!$C$18:$O$77,MATCH('Decline and Model'!$A15,PriceDeck!$B$18:$B$77,0),MATCH('Decline and Model'!AB$8,PriceDeck!$C$13:$O$13,0))*(1+$AE$6))</f>
        <v>55</v>
      </c>
      <c r="AC15" s="257">
        <f t="array" ref="AC15">INDEX(PriceDeck!$C$18:$O$77,MATCH('Decline and Model'!$A15,PriceDeck!$B$18:$B$77,0),MATCH('Decline and Model'!AC$8,PriceDeck!$C$13:$O$13,0))*(1+$AE$6)</f>
        <v>69.8</v>
      </c>
      <c r="AD15" s="257">
        <f t="array" ref="AD15">INDEX(PriceDeck!$C$18:$O$77,MATCH('Decline and Model'!$A15,PriceDeck!$B$18:$B$77,0),MATCH('Decline and Model'!AD$8,PriceDeck!$C$13:$O$13,0))*(1+$AE$6)</f>
        <v>12.8</v>
      </c>
      <c r="AE15" s="257">
        <f t="array" ref="AE15">INDEX(PriceDeck!$C$18:$O$77,MATCH('Decline and Model'!$A15,PriceDeck!$B$18:$B$77,0),MATCH('Decline and Model'!AE$8,PriceDeck!$C$13:$O$13,0))*(1+$AE$6)</f>
        <v>23.3</v>
      </c>
      <c r="AF15" s="257">
        <f t="array" ref="AF15">INDEX(PriceDeck!$C$18:$O$77,MATCH('Decline and Model'!$A15,PriceDeck!$B$18:$B$77,0),MATCH('Decline and Model'!AF$8,PriceDeck!$C$13:$O$13,0))*(1+$AE$6)</f>
        <v>72.8</v>
      </c>
      <c r="AG15" s="257">
        <f t="array" ref="AG15">INDEX(PriceDeck!$C$18:$O$77,MATCH('Decline and Model'!$A15,PriceDeck!$B$18:$B$77,0),MATCH('Decline and Model'!AG$8,PriceDeck!$C$13:$O$13,0))*(1+$AE$6)</f>
        <v>43.5</v>
      </c>
      <c r="AH15" s="258">
        <f t="array" ref="AH15">INDEX(PriceDeck!$C$18:$O$77,MATCH('Decline and Model'!$A15,PriceDeck!$B$18:$B$77,0),MATCH('Decline and Model'!AH$8,PriceDeck!$C$13:$O$13,0))</f>
        <v>0.75</v>
      </c>
      <c r="AI15" s="258">
        <f t="shared" si="29"/>
        <v>3.4</v>
      </c>
      <c r="AJ15" s="259">
        <f t="shared" si="30"/>
        <v>3.4</v>
      </c>
      <c r="AK15" s="120">
        <v>3.4</v>
      </c>
      <c r="AL15" s="120"/>
      <c r="AN15" s="7">
        <f t="shared" si="31"/>
        <v>1210107.4438012596</v>
      </c>
      <c r="AO15" s="7">
        <f t="shared" si="2"/>
        <v>193559.56543879939</v>
      </c>
      <c r="AP15" s="7">
        <f t="shared" si="32"/>
        <v>57795.910309443454</v>
      </c>
      <c r="AQ15" s="7">
        <f t="shared" si="33"/>
        <v>71577.893552342648</v>
      </c>
      <c r="AR15" s="7">
        <f t="shared" si="34"/>
        <v>106650.56149965907</v>
      </c>
      <c r="AS15" s="7">
        <f t="shared" si="35"/>
        <v>77971.973852434661</v>
      </c>
      <c r="AT15" s="7">
        <f t="shared" si="36"/>
        <v>1717663.3484539387</v>
      </c>
      <c r="AU15" s="7">
        <f>SUM($AT$9:AT15)</f>
        <v>14181796.889899746</v>
      </c>
      <c r="AV15" s="7">
        <f>AT15/(1+$AR$5)^(COUNT($E$9:E15))</f>
        <v>1629095.2569344896</v>
      </c>
      <c r="AW15" s="7">
        <f t="shared" si="49"/>
        <v>7002861.38662499</v>
      </c>
      <c r="AX15" s="7">
        <f t="shared" si="37"/>
        <v>1717663.3484539387</v>
      </c>
      <c r="AY15" s="117">
        <f t="shared" si="38"/>
        <v>85883.167422696948</v>
      </c>
      <c r="AZ15" s="117">
        <f t="shared" si="3"/>
        <v>0</v>
      </c>
      <c r="BA15" s="120">
        <f t="shared" si="46"/>
        <v>0</v>
      </c>
      <c r="BB15" s="119">
        <f t="shared" si="4"/>
        <v>0</v>
      </c>
      <c r="BC15" s="17"/>
      <c r="BD15" s="126">
        <f t="shared" si="5"/>
        <v>0.70450792635848702</v>
      </c>
      <c r="BE15" s="127">
        <f t="shared" si="6"/>
        <v>0.11268771940265332</v>
      </c>
      <c r="BF15" s="127">
        <f t="shared" si="7"/>
        <v>3.364798484025714E-2</v>
      </c>
      <c r="BG15" s="127">
        <f t="shared" si="8"/>
        <v>4.1671666113601132E-2</v>
      </c>
      <c r="BH15" s="127">
        <f t="shared" si="9"/>
        <v>6.2090491478236857E-2</v>
      </c>
      <c r="BI15" s="128">
        <f t="shared" si="10"/>
        <v>4.5394211806764631E-2</v>
      </c>
      <c r="BJ15" s="126">
        <f t="array" ref="BJ15">BD15*INDEX(Royalty!$U$7:$Z$246,MATCH('Decline and Model'!$E15,Royalty!$AI$7:$AI$246,0),MATCH('Decline and Model'!BJ$8,Royalty!$U$1:$Z$1,0))</f>
        <v>0.1625740001550256</v>
      </c>
      <c r="BK15" s="127">
        <f t="array" ref="BK15">BE15*INDEX(Royalty!$U$7:$Z$246,MATCH('Decline and Model'!$E15,Royalty!$AI$7:$AI$246,0),MATCH('Decline and Model'!BK$8,Royalty!$U$1:$Z$1,0))</f>
        <v>2.5174820534016689E-2</v>
      </c>
      <c r="BL15" s="127">
        <f t="array" ref="BL15">BF15*INDEX(Royalty!$U$7:$Z$246,MATCH('Decline and Model'!$E15,Royalty!$AI$7:$AI$246,0),MATCH('Decline and Model'!BL$8,Royalty!$U$1:$Z$1,0))</f>
        <v>6.6852877051851375E-3</v>
      </c>
      <c r="BM15" s="127">
        <f t="array" ref="BM15">BG15*INDEX(Royalty!$U$7:$Z$246,MATCH('Decline and Model'!$E15,Royalty!$AI$7:$AI$246,0),MATCH('Decline and Model'!BM$8,Royalty!$U$1:$Z$1,0))</f>
        <v>8.9592387669702369E-3</v>
      </c>
      <c r="BN15" s="127">
        <f t="array" ref="BN15">BH15*INDEX(Royalty!$U$7:$Z$246,MATCH('Decline and Model'!$E15,Royalty!$AI$7:$AI$246,0),MATCH('Decline and Model'!BN$8,Royalty!$U$1:$Z$1,0))</f>
        <v>6.8084294028352473E-3</v>
      </c>
      <c r="BO15" s="127">
        <f t="array" ref="BO15">BI15*INDEX(Royalty!$U$7:$Z$246,MATCH('Decline and Model'!$E15,Royalty!$AI$7:$AI$246,0),MATCH('Decline and Model'!BO$8,Royalty!$U$1:$Z$1,0))</f>
        <v>2.2697105903382317E-3</v>
      </c>
      <c r="BP15" s="135">
        <f t="shared" si="11"/>
        <v>0.21247148715437114</v>
      </c>
      <c r="BQ15" s="7"/>
      <c r="BR15" s="7"/>
      <c r="BS15">
        <v>7</v>
      </c>
      <c r="BT15" s="120">
        <f t="shared" si="12"/>
        <v>85883.167422696948</v>
      </c>
      <c r="BU15" s="113">
        <f t="shared" si="13"/>
        <v>338555.92293556227</v>
      </c>
      <c r="BV15" s="113">
        <f t="shared" si="14"/>
        <v>101566.77688066868</v>
      </c>
      <c r="BW15" s="113">
        <f t="shared" si="47"/>
        <v>10493879.271741619</v>
      </c>
      <c r="BX15" s="113">
        <f t="shared" si="39"/>
        <v>231961.43589758239</v>
      </c>
      <c r="BY15" s="120">
        <f t="shared" si="40"/>
        <v>959696.04531742842</v>
      </c>
      <c r="BZ15" s="153">
        <f t="shared" si="48"/>
        <v>0</v>
      </c>
      <c r="CA15" s="120">
        <f t="shared" si="15"/>
        <v>959696.04531742842</v>
      </c>
      <c r="CB15" s="120">
        <f t="shared" si="41"/>
        <v>239924.0113293571</v>
      </c>
      <c r="CC15" s="153">
        <f t="shared" si="42"/>
        <v>951733.46988565382</v>
      </c>
      <c r="CD15" s="7">
        <f t="shared" si="16"/>
        <v>902659.11713845946</v>
      </c>
      <c r="CE15" s="11">
        <f>SUM($CD$9:CD15)</f>
        <v>7566417.3330138717</v>
      </c>
      <c r="CF15" s="11">
        <f t="shared" si="43"/>
        <v>12000000</v>
      </c>
      <c r="CG15">
        <f t="shared" si="44"/>
        <v>0</v>
      </c>
      <c r="CI15" t="s">
        <v>284</v>
      </c>
      <c r="CJ15" s="2">
        <f>Z248</f>
        <v>1305112.1734261434</v>
      </c>
    </row>
    <row r="16" spans="1:256" ht="15.75" customHeight="1">
      <c r="A16">
        <f t="shared" si="17"/>
        <v>2017</v>
      </c>
      <c r="B16">
        <f t="shared" si="18"/>
        <v>30.416666666666668</v>
      </c>
      <c r="C16">
        <v>1</v>
      </c>
      <c r="E16" s="97">
        <v>43040</v>
      </c>
      <c r="F16" s="2">
        <f>$F$6*EXP(-$F$3*COUNT($E$9:$E16))</f>
        <v>537.23738537590771</v>
      </c>
      <c r="G16" s="260">
        <f>$F$6/(1+$F$5*$F$3*COUNT($E$9:$E16))^(1/$F$5)</f>
        <v>543.66801558830321</v>
      </c>
      <c r="H16" s="260">
        <f>$H$6/(1+$H$5*$H$3*COUNT($E$9:$E16))^(1/$H$5)</f>
        <v>1767.9579220018595</v>
      </c>
      <c r="I16" s="260">
        <f t="shared" si="19"/>
        <v>336.75388990511607</v>
      </c>
      <c r="J16" s="260">
        <f t="shared" si="20"/>
        <v>140.22431975649033</v>
      </c>
      <c r="K16" s="260">
        <f t="shared" si="0"/>
        <v>95.40237701011938</v>
      </c>
      <c r="L16" s="260">
        <f t="shared" si="0"/>
        <v>45.49545052618118</v>
      </c>
      <c r="M16" s="260">
        <f t="shared" si="0"/>
        <v>55.665418001315686</v>
      </c>
      <c r="N16" s="19">
        <f t="shared" si="21"/>
        <v>16340.970471850527</v>
      </c>
      <c r="O16" s="19">
        <f t="shared" si="22"/>
        <v>16536.568807477557</v>
      </c>
      <c r="P16" s="19">
        <f t="shared" si="23"/>
        <v>53775.386794223232</v>
      </c>
      <c r="Q16" s="19">
        <f t="shared" si="24"/>
        <v>10242.930817947281</v>
      </c>
      <c r="R16" s="19">
        <f t="shared" si="25"/>
        <v>4265.1563925932478</v>
      </c>
      <c r="S16" s="19">
        <f t="shared" si="26"/>
        <v>2901.8223007244646</v>
      </c>
      <c r="T16" s="19">
        <f t="shared" si="27"/>
        <v>1383.8199535046776</v>
      </c>
      <c r="U16" s="19">
        <f t="shared" si="28"/>
        <v>1693.1564642066855</v>
      </c>
      <c r="V16" s="261">
        <f t="shared" si="45"/>
        <v>32140.231893699874</v>
      </c>
      <c r="W16" s="261">
        <f>SUM(O$9:O16)</f>
        <v>157436.80829687582</v>
      </c>
      <c r="X16" s="261">
        <f>SUM(P$9:P16)</f>
        <v>541345.97317008092</v>
      </c>
      <c r="Y16" s="261">
        <f>SUM(Q$9:Q16)</f>
        <v>103113.51869906303</v>
      </c>
      <c r="Z16" s="261">
        <f>SUM($V$9:V16)</f>
        <v>314515.73756152776</v>
      </c>
      <c r="AB16" s="257">
        <f t="array" ref="AB16">(INDEX(PriceDeck!$C$18:$O$77,MATCH('Decline and Model'!$A16,PriceDeck!$B$18:$B$77,0),MATCH('Decline and Model'!AB$8,PriceDeck!$C$13:$O$13,0))*(1+$AE$6))</f>
        <v>55</v>
      </c>
      <c r="AC16" s="257">
        <f t="array" ref="AC16">INDEX(PriceDeck!$C$18:$O$77,MATCH('Decline and Model'!$A16,PriceDeck!$B$18:$B$77,0),MATCH('Decline and Model'!AC$8,PriceDeck!$C$13:$O$13,0))*(1+$AE$6)</f>
        <v>69.8</v>
      </c>
      <c r="AD16" s="257">
        <f t="array" ref="AD16">INDEX(PriceDeck!$C$18:$O$77,MATCH('Decline and Model'!$A16,PriceDeck!$B$18:$B$77,0),MATCH('Decline and Model'!AD$8,PriceDeck!$C$13:$O$13,0))*(1+$AE$6)</f>
        <v>12.8</v>
      </c>
      <c r="AE16" s="257">
        <f t="array" ref="AE16">INDEX(PriceDeck!$C$18:$O$77,MATCH('Decline and Model'!$A16,PriceDeck!$B$18:$B$77,0),MATCH('Decline and Model'!AE$8,PriceDeck!$C$13:$O$13,0))*(1+$AE$6)</f>
        <v>23.3</v>
      </c>
      <c r="AF16" s="257">
        <f t="array" ref="AF16">INDEX(PriceDeck!$C$18:$O$77,MATCH('Decline and Model'!$A16,PriceDeck!$B$18:$B$77,0),MATCH('Decline and Model'!AF$8,PriceDeck!$C$13:$O$13,0))*(1+$AE$6)</f>
        <v>72.8</v>
      </c>
      <c r="AG16" s="257">
        <f t="array" ref="AG16">INDEX(PriceDeck!$C$18:$O$77,MATCH('Decline and Model'!$A16,PriceDeck!$B$18:$B$77,0),MATCH('Decline and Model'!AG$8,PriceDeck!$C$13:$O$13,0))*(1+$AE$6)</f>
        <v>43.5</v>
      </c>
      <c r="AH16" s="258">
        <f t="array" ref="AH16">INDEX(PriceDeck!$C$18:$O$77,MATCH('Decline and Model'!$A16,PriceDeck!$B$18:$B$77,0),MATCH('Decline and Model'!AH$8,PriceDeck!$C$13:$O$13,0))</f>
        <v>0.75</v>
      </c>
      <c r="AI16" s="258">
        <f t="shared" si="29"/>
        <v>3.4</v>
      </c>
      <c r="AJ16" s="259">
        <f t="shared" si="30"/>
        <v>3.4</v>
      </c>
      <c r="AK16" s="120">
        <v>3.4</v>
      </c>
      <c r="AL16" s="120"/>
      <c r="AN16" s="7">
        <f t="shared" si="31"/>
        <v>1154252.5027619335</v>
      </c>
      <c r="AO16" s="7">
        <f t="shared" si="2"/>
        <v>182836.31510035897</v>
      </c>
      <c r="AP16" s="7">
        <f t="shared" si="32"/>
        <v>54594.001825193576</v>
      </c>
      <c r="AQ16" s="7">
        <f t="shared" si="33"/>
        <v>67612.459606880031</v>
      </c>
      <c r="AR16" s="7">
        <f t="shared" si="34"/>
        <v>100742.09261514053</v>
      </c>
      <c r="AS16" s="7">
        <f t="shared" si="35"/>
        <v>73652.306192990814</v>
      </c>
      <c r="AT16" s="7">
        <f t="shared" si="36"/>
        <v>1633689.6781024977</v>
      </c>
      <c r="AU16" s="7">
        <f>SUM($AT$9:AT16)</f>
        <v>15815486.568002243</v>
      </c>
      <c r="AV16" s="7">
        <f>AT16/(1+$AR$5)^(COUNT($E$9:E16))</f>
        <v>1537777.4413438514</v>
      </c>
      <c r="AW16" s="7">
        <f t="shared" si="49"/>
        <v>5285198.0381710511</v>
      </c>
      <c r="AX16" s="7">
        <f t="shared" si="37"/>
        <v>1633689.6781024977</v>
      </c>
      <c r="AY16" s="117">
        <f t="shared" si="38"/>
        <v>81684.483905124885</v>
      </c>
      <c r="AZ16" s="117">
        <f t="shared" si="3"/>
        <v>0</v>
      </c>
      <c r="BA16" s="120">
        <f t="shared" si="46"/>
        <v>0</v>
      </c>
      <c r="BB16" s="119">
        <f t="shared" si="4"/>
        <v>0</v>
      </c>
      <c r="BC16" s="17"/>
      <c r="BD16" s="126">
        <f t="shared" si="5"/>
        <v>0.70653106170235325</v>
      </c>
      <c r="BE16" s="127">
        <f t="shared" si="6"/>
        <v>0.11191618429806094</v>
      </c>
      <c r="BF16" s="127">
        <f t="shared" si="7"/>
        <v>3.341760834811882E-2</v>
      </c>
      <c r="BG16" s="127">
        <f t="shared" si="8"/>
        <v>4.1386354160853081E-2</v>
      </c>
      <c r="BH16" s="127">
        <f t="shared" si="9"/>
        <v>6.1665378661234324E-2</v>
      </c>
      <c r="BI16" s="128">
        <f t="shared" si="10"/>
        <v>4.5083412829379381E-2</v>
      </c>
      <c r="BJ16" s="126">
        <f t="array" ref="BJ16">BD16*INDEX(Royalty!$U$7:$Z$246,MATCH('Decline and Model'!$E16,Royalty!$AI$7:$AI$246,0),MATCH('Decline and Model'!BJ$8,Royalty!$U$1:$Z$1,0))</f>
        <v>0.16304086389551953</v>
      </c>
      <c r="BK16" s="127">
        <f t="array" ref="BK16">BE16*INDEX(Royalty!$U$7:$Z$246,MATCH('Decline and Model'!$E16,Royalty!$AI$7:$AI$246,0),MATCH('Decline and Model'!BK$8,Royalty!$U$1:$Z$1,0))</f>
        <v>2.500245696239799E-2</v>
      </c>
      <c r="BL16" s="127">
        <f t="array" ref="BL16">BF16*INDEX(Royalty!$U$7:$Z$246,MATCH('Decline and Model'!$E16,Royalty!$AI$7:$AI$246,0),MATCH('Decline and Model'!BL$8,Royalty!$U$1:$Z$1,0))</f>
        <v>6.6395157774525341E-3</v>
      </c>
      <c r="BM16" s="127">
        <f t="array" ref="BM16">BG16*INDEX(Royalty!$U$7:$Z$246,MATCH('Decline and Model'!$E16,Royalty!$AI$7:$AI$246,0),MATCH('Decline and Model'!BM$8,Royalty!$U$1:$Z$1,0))</f>
        <v>8.8978978572794194E-3</v>
      </c>
      <c r="BN16" s="127">
        <f t="array" ref="BN16">BH16*INDEX(Royalty!$U$7:$Z$246,MATCH('Decline and Model'!$E16,Royalty!$AI$7:$AI$246,0),MATCH('Decline and Model'!BN$8,Royalty!$U$1:$Z$1,0))</f>
        <v>6.7618143651073425E-3</v>
      </c>
      <c r="BO16" s="127">
        <f t="array" ref="BO16">BI16*INDEX(Royalty!$U$7:$Z$246,MATCH('Decline and Model'!$E16,Royalty!$AI$7:$AI$246,0),MATCH('Decline and Model'!BO$8,Royalty!$U$1:$Z$1,0))</f>
        <v>2.2541706414689693E-3</v>
      </c>
      <c r="BP16" s="135">
        <f t="shared" si="11"/>
        <v>0.21259671949922579</v>
      </c>
      <c r="BQ16" s="7"/>
      <c r="BR16" s="7"/>
      <c r="BS16">
        <v>8</v>
      </c>
      <c r="BT16" s="120">
        <f t="shared" si="12"/>
        <v>81684.483905124885</v>
      </c>
      <c r="BU16" s="113">
        <f t="shared" si="13"/>
        <v>321402.31893699872</v>
      </c>
      <c r="BV16" s="113">
        <f t="shared" si="14"/>
        <v>96420.69568109962</v>
      </c>
      <c r="BW16" s="113">
        <f t="shared" si="47"/>
        <v>10261917.835844036</v>
      </c>
      <c r="BX16" s="113">
        <f t="shared" si="39"/>
        <v>226834.05579816006</v>
      </c>
      <c r="BY16" s="120">
        <f t="shared" si="40"/>
        <v>907348.12378111447</v>
      </c>
      <c r="BZ16" s="153">
        <f t="shared" si="48"/>
        <v>0</v>
      </c>
      <c r="CA16" s="120">
        <f t="shared" si="15"/>
        <v>907348.12378111447</v>
      </c>
      <c r="CB16" s="120">
        <f t="shared" si="41"/>
        <v>226837.03094527862</v>
      </c>
      <c r="CC16" s="153">
        <f t="shared" si="42"/>
        <v>907345.14863399591</v>
      </c>
      <c r="CD16" s="7">
        <f t="shared" si="16"/>
        <v>854075.85037983081</v>
      </c>
      <c r="CE16" s="11">
        <f>SUM($CD$9:CD16)</f>
        <v>8420493.1833937019</v>
      </c>
      <c r="CF16" s="11">
        <f t="shared" si="43"/>
        <v>12000000</v>
      </c>
      <c r="CG16">
        <f t="shared" si="44"/>
        <v>0</v>
      </c>
      <c r="CJ16">
        <v>0.9</v>
      </c>
    </row>
    <row r="17" spans="1:92" ht="15.75" customHeight="1">
      <c r="A17">
        <f t="shared" si="17"/>
        <v>2017</v>
      </c>
      <c r="B17">
        <f t="shared" si="18"/>
        <v>30.416666666666668</v>
      </c>
      <c r="C17">
        <v>1</v>
      </c>
      <c r="E17" s="97">
        <v>43070</v>
      </c>
      <c r="F17" s="2">
        <f>$F$6*EXP(-$F$3*COUNT($E$9:$E17))</f>
        <v>511.03600891139297</v>
      </c>
      <c r="G17" s="260">
        <f>$F$6/(1+$F$5*$F$3*COUNT($E$9:$E17))^(1/$F$5)</f>
        <v>518.75197320623261</v>
      </c>
      <c r="H17" s="260">
        <f>$H$6/(1+$H$5*$H$3*COUNT($E$9:$E17))^(1/$H$5)</f>
        <v>1673.7409676590516</v>
      </c>
      <c r="I17" s="260">
        <f t="shared" si="19"/>
        <v>318.80780336362886</v>
      </c>
      <c r="J17" s="260">
        <f t="shared" si="20"/>
        <v>132.75156932061506</v>
      </c>
      <c r="K17" s="260">
        <f t="shared" si="0"/>
        <v>90.318250692916052</v>
      </c>
      <c r="L17" s="260">
        <f t="shared" si="0"/>
        <v>43.070934234426261</v>
      </c>
      <c r="M17" s="260">
        <f t="shared" si="0"/>
        <v>52.698929896007854</v>
      </c>
      <c r="N17" s="19">
        <f t="shared" si="21"/>
        <v>15544.011937721536</v>
      </c>
      <c r="O17" s="19">
        <f t="shared" si="22"/>
        <v>15778.705851689576</v>
      </c>
      <c r="P17" s="19">
        <f t="shared" si="23"/>
        <v>50909.62109962949</v>
      </c>
      <c r="Q17" s="19">
        <f t="shared" si="24"/>
        <v>9697.0706856437118</v>
      </c>
      <c r="R17" s="19">
        <f t="shared" si="25"/>
        <v>4037.8602335020414</v>
      </c>
      <c r="S17" s="19">
        <f t="shared" si="26"/>
        <v>2747.1801252428636</v>
      </c>
      <c r="T17" s="19">
        <f t="shared" si="27"/>
        <v>1310.0742496304654</v>
      </c>
      <c r="U17" s="19">
        <f t="shared" si="28"/>
        <v>1602.9257843369057</v>
      </c>
      <c r="V17" s="261">
        <f t="shared" si="45"/>
        <v>30550.827873342594</v>
      </c>
      <c r="W17" s="261">
        <f>SUM(O$9:O17)</f>
        <v>173215.51414856539</v>
      </c>
      <c r="X17" s="261">
        <f>SUM(P$9:P17)</f>
        <v>592255.59426971036</v>
      </c>
      <c r="Y17" s="261">
        <f>SUM(Q$9:Q17)</f>
        <v>112810.58938470675</v>
      </c>
      <c r="Z17" s="261">
        <f>SUM($V$9:V17)</f>
        <v>345066.56543487037</v>
      </c>
      <c r="AB17" s="257">
        <f t="array" ref="AB17">(INDEX(PriceDeck!$C$18:$O$77,MATCH('Decline and Model'!$A17,PriceDeck!$B$18:$B$77,0),MATCH('Decline and Model'!AB$8,PriceDeck!$C$13:$O$13,0))*(1+$AE$6))</f>
        <v>55</v>
      </c>
      <c r="AC17" s="257">
        <f t="array" ref="AC17">INDEX(PriceDeck!$C$18:$O$77,MATCH('Decline and Model'!$A17,PriceDeck!$B$18:$B$77,0),MATCH('Decline and Model'!AC$8,PriceDeck!$C$13:$O$13,0))*(1+$AE$6)</f>
        <v>69.8</v>
      </c>
      <c r="AD17" s="257">
        <f t="array" ref="AD17">INDEX(PriceDeck!$C$18:$O$77,MATCH('Decline and Model'!$A17,PriceDeck!$B$18:$B$77,0),MATCH('Decline and Model'!AD$8,PriceDeck!$C$13:$O$13,0))*(1+$AE$6)</f>
        <v>12.8</v>
      </c>
      <c r="AE17" s="257">
        <f t="array" ref="AE17">INDEX(PriceDeck!$C$18:$O$77,MATCH('Decline and Model'!$A17,PriceDeck!$B$18:$B$77,0),MATCH('Decline and Model'!AE$8,PriceDeck!$C$13:$O$13,0))*(1+$AE$6)</f>
        <v>23.3</v>
      </c>
      <c r="AF17" s="257">
        <f t="array" ref="AF17">INDEX(PriceDeck!$C$18:$O$77,MATCH('Decline and Model'!$A17,PriceDeck!$B$18:$B$77,0),MATCH('Decline and Model'!AF$8,PriceDeck!$C$13:$O$13,0))*(1+$AE$6)</f>
        <v>72.8</v>
      </c>
      <c r="AG17" s="257">
        <f t="array" ref="AG17">INDEX(PriceDeck!$C$18:$O$77,MATCH('Decline and Model'!$A17,PriceDeck!$B$18:$B$77,0),MATCH('Decline and Model'!AG$8,PriceDeck!$C$13:$O$13,0))*(1+$AE$6)</f>
        <v>43.5</v>
      </c>
      <c r="AH17" s="258">
        <f t="array" ref="AH17">INDEX(PriceDeck!$C$18:$O$77,MATCH('Decline and Model'!$A17,PriceDeck!$B$18:$B$77,0),MATCH('Decline and Model'!AH$8,PriceDeck!$C$13:$O$13,0))</f>
        <v>0.75</v>
      </c>
      <c r="AI17" s="258">
        <f t="shared" si="29"/>
        <v>3.4</v>
      </c>
      <c r="AJ17" s="259">
        <f t="shared" si="30"/>
        <v>3.4</v>
      </c>
      <c r="AK17" s="120">
        <v>3.4</v>
      </c>
      <c r="AL17" s="120"/>
      <c r="AN17" s="7">
        <f t="shared" si="31"/>
        <v>1101353.6684479325</v>
      </c>
      <c r="AO17" s="7">
        <f t="shared" si="2"/>
        <v>173092.71173874027</v>
      </c>
      <c r="AP17" s="7">
        <f t="shared" si="32"/>
        <v>51684.610988826134</v>
      </c>
      <c r="AQ17" s="7">
        <f t="shared" si="33"/>
        <v>64009.296918158725</v>
      </c>
      <c r="AR17" s="7">
        <f t="shared" si="34"/>
        <v>95373.405373097878</v>
      </c>
      <c r="AS17" s="7">
        <f t="shared" si="35"/>
        <v>69727.271618655403</v>
      </c>
      <c r="AT17" s="7">
        <f t="shared" si="36"/>
        <v>1555240.9650854107</v>
      </c>
      <c r="AU17" s="7">
        <f>SUM($AT$9:AT17)</f>
        <v>17370727.533087652</v>
      </c>
      <c r="AV17" s="7">
        <f>AT17/(1+$AR$5)^(COUNT($E$9:E17))</f>
        <v>1452904.5963277915</v>
      </c>
      <c r="AW17" s="7">
        <f t="shared" si="49"/>
        <v>3651508.3600685531</v>
      </c>
      <c r="AX17" s="7">
        <f t="shared" si="37"/>
        <v>1555240.9650854107</v>
      </c>
      <c r="AY17" s="117">
        <f t="shared" si="38"/>
        <v>77762.048254270543</v>
      </c>
      <c r="AZ17" s="117">
        <f t="shared" si="3"/>
        <v>0</v>
      </c>
      <c r="BA17" s="120">
        <f t="shared" si="46"/>
        <v>0</v>
      </c>
      <c r="BB17" s="119">
        <f t="shared" si="4"/>
        <v>0</v>
      </c>
      <c r="BC17" s="17"/>
      <c r="BD17" s="126">
        <f t="shared" si="5"/>
        <v>0.70815628778621342</v>
      </c>
      <c r="BE17" s="127">
        <f t="shared" si="6"/>
        <v>0.11129639433670291</v>
      </c>
      <c r="BF17" s="127">
        <f t="shared" si="7"/>
        <v>3.3232542190648716E-2</v>
      </c>
      <c r="BG17" s="127">
        <f t="shared" si="8"/>
        <v>4.1157157222027944E-2</v>
      </c>
      <c r="BH17" s="127">
        <f t="shared" si="9"/>
        <v>6.1323876823074913E-2</v>
      </c>
      <c r="BI17" s="128">
        <f t="shared" si="10"/>
        <v>4.4833741641332164E-2</v>
      </c>
      <c r="BJ17" s="126">
        <f t="array" ref="BJ17">BD17*INDEX(Royalty!$U$7:$Z$246,MATCH('Decline and Model'!$E17,Royalty!$AI$7:$AI$246,0),MATCH('Decline and Model'!BJ$8,Royalty!$U$1:$Z$1,0))</f>
        <v>0.16341590510616302</v>
      </c>
      <c r="BK17" s="127">
        <f t="array" ref="BK17">BE17*INDEX(Royalty!$U$7:$Z$246,MATCH('Decline and Model'!$E17,Royalty!$AI$7:$AI$246,0),MATCH('Decline and Model'!BK$8,Royalty!$U$1:$Z$1,0))</f>
        <v>2.4863993772897979E-2</v>
      </c>
      <c r="BL17" s="127">
        <f t="array" ref="BL17">BF17*INDEX(Royalty!$U$7:$Z$246,MATCH('Decline and Model'!$E17,Royalty!$AI$7:$AI$246,0),MATCH('Decline and Model'!BL$8,Royalty!$U$1:$Z$1,0))</f>
        <v>6.6027462498551336E-3</v>
      </c>
      <c r="BM17" s="127">
        <f t="array" ref="BM17">BG17*INDEX(Royalty!$U$7:$Z$246,MATCH('Decline and Model'!$E17,Royalty!$AI$7:$AI$246,0),MATCH('Decline and Model'!BM$8,Royalty!$U$1:$Z$1,0))</f>
        <v>8.8486214474042969E-3</v>
      </c>
      <c r="BN17" s="127">
        <f t="array" ref="BN17">BH17*INDEX(Royalty!$U$7:$Z$246,MATCH('Decline and Model'!$E17,Royalty!$AI$7:$AI$246,0),MATCH('Decline and Model'!BN$8,Royalty!$U$1:$Z$1,0))</f>
        <v>6.7243675499720204E-3</v>
      </c>
      <c r="BO17" s="127">
        <f t="array" ref="BO17">BI17*INDEX(Royalty!$U$7:$Z$246,MATCH('Decline and Model'!$E17,Royalty!$AI$7:$AI$246,0),MATCH('Decline and Model'!BO$8,Royalty!$U$1:$Z$1,0))</f>
        <v>2.2416870820666083E-3</v>
      </c>
      <c r="BP17" s="135">
        <f t="shared" si="11"/>
        <v>0.21269732120835905</v>
      </c>
      <c r="BQ17" s="7"/>
      <c r="BR17" s="7"/>
      <c r="BS17">
        <v>9</v>
      </c>
      <c r="BT17" s="120">
        <f t="shared" si="12"/>
        <v>77762.048254270543</v>
      </c>
      <c r="BU17" s="113">
        <f t="shared" si="13"/>
        <v>305508.27873342595</v>
      </c>
      <c r="BV17" s="113">
        <f t="shared" si="14"/>
        <v>91652.483620027779</v>
      </c>
      <c r="BW17" s="113">
        <f t="shared" si="47"/>
        <v>10035083.780045876</v>
      </c>
      <c r="BX17" s="113">
        <f t="shared" si="39"/>
        <v>221820.01361882011</v>
      </c>
      <c r="BY17" s="120">
        <f t="shared" si="40"/>
        <v>858498.14085886627</v>
      </c>
      <c r="BZ17" s="153">
        <f t="shared" si="48"/>
        <v>0</v>
      </c>
      <c r="CA17" s="120">
        <f>IF(BY17&gt;0,MAX(BY17+BZ16,0),0)</f>
        <v>858498.14085886627</v>
      </c>
      <c r="CB17" s="120">
        <f t="shared" si="41"/>
        <v>214624.53521471657</v>
      </c>
      <c r="CC17" s="153">
        <f t="shared" si="42"/>
        <v>865693.61926296982</v>
      </c>
      <c r="CD17" s="7">
        <f t="shared" si="16"/>
        <v>808730.13679249096</v>
      </c>
      <c r="CE17" s="11">
        <f>SUM($CD$9:CD17)</f>
        <v>9229223.3201861922</v>
      </c>
      <c r="CF17" s="11">
        <f t="shared" si="43"/>
        <v>12000000</v>
      </c>
      <c r="CG17">
        <f t="shared" si="44"/>
        <v>0</v>
      </c>
      <c r="CJ17">
        <f>_xlfn.NORM.DIST(CJ16,0,1,TRUE)</f>
        <v>0.81593987465324047</v>
      </c>
    </row>
    <row r="18" spans="1:92" ht="15.75" customHeight="1">
      <c r="A18">
        <f t="shared" si="17"/>
        <v>2018</v>
      </c>
      <c r="B18">
        <f t="shared" si="18"/>
        <v>30.416666666666668</v>
      </c>
      <c r="C18">
        <v>1</v>
      </c>
      <c r="E18" s="97">
        <v>43101</v>
      </c>
      <c r="F18" s="2">
        <f>$F$6*EXP(-$F$3*COUNT($E$9:$E18))</f>
        <v>486.11248865592609</v>
      </c>
      <c r="G18" s="260">
        <f>$F$6/(1+$F$5*$F$3*COUNT($E$9:$E18))^(1/$F$5)</f>
        <v>495.14531531241579</v>
      </c>
      <c r="H18" s="260">
        <f>$H$6/(1+$H$5*$H$3*COUNT($E$9:$E18))^(1/$H$5)</f>
        <v>1587.8158146032604</v>
      </c>
      <c r="I18" s="260">
        <f t="shared" si="19"/>
        <v>302.44110754347815</v>
      </c>
      <c r="J18" s="260">
        <f t="shared" si="20"/>
        <v>125.93647718110429</v>
      </c>
      <c r="K18" s="260">
        <f t="shared" si="0"/>
        <v>85.681565767067354</v>
      </c>
      <c r="L18" s="260">
        <f t="shared" si="0"/>
        <v>40.859793629123899</v>
      </c>
      <c r="M18" s="260">
        <f t="shared" si="0"/>
        <v>49.993515076936937</v>
      </c>
      <c r="N18" s="19">
        <f t="shared" si="21"/>
        <v>14785.921529951085</v>
      </c>
      <c r="O18" s="19">
        <f t="shared" si="22"/>
        <v>15060.670007419314</v>
      </c>
      <c r="P18" s="19">
        <f t="shared" si="23"/>
        <v>48296.064360849174</v>
      </c>
      <c r="Q18" s="19">
        <f t="shared" si="24"/>
        <v>9199.2503544474603</v>
      </c>
      <c r="R18" s="19">
        <f t="shared" si="25"/>
        <v>3830.5678475919226</v>
      </c>
      <c r="S18" s="19">
        <f t="shared" si="26"/>
        <v>2606.1476254149657</v>
      </c>
      <c r="T18" s="19">
        <f t="shared" si="27"/>
        <v>1242.8187228858519</v>
      </c>
      <c r="U18" s="19">
        <f t="shared" si="28"/>
        <v>1520.6360835901653</v>
      </c>
      <c r="V18" s="261">
        <f t="shared" si="45"/>
        <v>29074.432838375909</v>
      </c>
      <c r="W18" s="261">
        <f>SUM(O$9:O18)</f>
        <v>188276.18415598469</v>
      </c>
      <c r="X18" s="261">
        <f>SUM(P$9:P18)</f>
        <v>640551.65863055957</v>
      </c>
      <c r="Y18" s="261">
        <f>SUM(Q$9:Q18)</f>
        <v>122009.83973915421</v>
      </c>
      <c r="Z18" s="261">
        <f>SUM($V$9:V18)</f>
        <v>374140.99827324628</v>
      </c>
      <c r="AB18" s="257">
        <f t="array" ref="AB18">(INDEX(PriceDeck!$C$18:$O$77,MATCH('Decline and Model'!$A18,PriceDeck!$B$18:$B$77,0),MATCH('Decline and Model'!AB$8,PriceDeck!$C$13:$O$13,0))*(1+$AE$6))</f>
        <v>58.7</v>
      </c>
      <c r="AC18" s="257">
        <f t="array" ref="AC18">INDEX(PriceDeck!$C$18:$O$77,MATCH('Decline and Model'!$A18,PriceDeck!$B$18:$B$77,0),MATCH('Decline and Model'!AC$8,PriceDeck!$C$13:$O$13,0))*(1+$AE$6)</f>
        <v>72.7</v>
      </c>
      <c r="AD18" s="257">
        <f t="array" ref="AD18">INDEX(PriceDeck!$C$18:$O$77,MATCH('Decline and Model'!$A18,PriceDeck!$B$18:$B$77,0),MATCH('Decline and Model'!AD$8,PriceDeck!$C$13:$O$13,0))*(1+$AE$6)</f>
        <v>11.8</v>
      </c>
      <c r="AE18" s="257">
        <f t="array" ref="AE18">INDEX(PriceDeck!$C$18:$O$77,MATCH('Decline and Model'!$A18,PriceDeck!$B$18:$B$77,0),MATCH('Decline and Model'!AE$8,PriceDeck!$C$13:$O$13,0))*(1+$AE$6)</f>
        <v>23.7</v>
      </c>
      <c r="AF18" s="257">
        <f t="array" ref="AF18">INDEX(PriceDeck!$C$18:$O$77,MATCH('Decline and Model'!$A18,PriceDeck!$B$18:$B$77,0),MATCH('Decline and Model'!AF$8,PriceDeck!$C$13:$O$13,0))*(1+$AE$6)</f>
        <v>75.8</v>
      </c>
      <c r="AG18" s="257">
        <f t="array" ref="AG18">INDEX(PriceDeck!$C$18:$O$77,MATCH('Decline and Model'!$A18,PriceDeck!$B$18:$B$77,0),MATCH('Decline and Model'!AG$8,PriceDeck!$C$13:$O$13,0))*(1+$AE$6)</f>
        <v>47.9</v>
      </c>
      <c r="AH18" s="258">
        <f t="array" ref="AH18">INDEX(PriceDeck!$C$18:$O$77,MATCH('Decline and Model'!$A18,PriceDeck!$B$18:$B$77,0),MATCH('Decline and Model'!AH$8,PriceDeck!$C$13:$O$13,0))</f>
        <v>0.77500000000000002</v>
      </c>
      <c r="AI18" s="258">
        <f t="shared" si="29"/>
        <v>3.15</v>
      </c>
      <c r="AJ18" s="259">
        <f t="shared" si="30"/>
        <v>3.15</v>
      </c>
      <c r="AK18" s="120">
        <v>3.15</v>
      </c>
      <c r="AL18" s="120"/>
      <c r="AN18" s="7">
        <f t="shared" si="31"/>
        <v>1094910.7095393841</v>
      </c>
      <c r="AO18" s="7">
        <f t="shared" si="2"/>
        <v>152132.60273667489</v>
      </c>
      <c r="AP18" s="7">
        <f t="shared" si="32"/>
        <v>45200.700601584693</v>
      </c>
      <c r="AQ18" s="7">
        <f t="shared" si="33"/>
        <v>61765.698722334688</v>
      </c>
      <c r="AR18" s="7">
        <f t="shared" si="34"/>
        <v>94205.659194747568</v>
      </c>
      <c r="AS18" s="7">
        <f t="shared" si="35"/>
        <v>72838.468403968916</v>
      </c>
      <c r="AT18" s="7">
        <f t="shared" si="36"/>
        <v>1521053.839198695</v>
      </c>
      <c r="AU18" s="7">
        <f>SUM($AT$9:AT18)</f>
        <v>18891781.372286346</v>
      </c>
      <c r="AV18" s="7">
        <f>AT18/(1+$AR$5)^(COUNT($E$9:E18))</f>
        <v>1410260.9720605491</v>
      </c>
      <c r="AW18" s="7">
        <f t="shared" si="49"/>
        <v>2096267.3949831424</v>
      </c>
      <c r="AX18" s="7">
        <f t="shared" si="37"/>
        <v>1521053.839198695</v>
      </c>
      <c r="AY18" s="117">
        <f t="shared" si="38"/>
        <v>76052.69195993476</v>
      </c>
      <c r="AZ18" s="117">
        <f t="shared" si="3"/>
        <v>0</v>
      </c>
      <c r="BA18" s="120">
        <f t="shared" si="46"/>
        <v>0</v>
      </c>
      <c r="BB18" s="119">
        <f t="shared" si="4"/>
        <v>0</v>
      </c>
      <c r="BC18" s="17"/>
      <c r="BD18" s="126">
        <f t="shared" si="5"/>
        <v>0.71983691919557102</v>
      </c>
      <c r="BE18" s="127">
        <f t="shared" si="6"/>
        <v>0.10001789470964402</v>
      </c>
      <c r="BF18" s="127">
        <f t="shared" si="7"/>
        <v>2.9716699985713083E-2</v>
      </c>
      <c r="BG18" s="127">
        <f t="shared" si="8"/>
        <v>4.06071745329366E-2</v>
      </c>
      <c r="BH18" s="127">
        <f t="shared" si="9"/>
        <v>6.1934467253556232E-2</v>
      </c>
      <c r="BI18" s="128">
        <f t="shared" si="10"/>
        <v>4.7886844322578934E-2</v>
      </c>
      <c r="BJ18" s="126">
        <f t="array" ref="BJ18">BD18*INDEX(Royalty!$U$7:$Z$246,MATCH('Decline and Model'!$E18,Royalty!$AI$7:$AI$246,0),MATCH('Decline and Model'!BJ$8,Royalty!$U$1:$Z$1,0))</f>
        <v>0.17140869246231819</v>
      </c>
      <c r="BK18" s="127">
        <f t="array" ref="BK18">BE18*INDEX(Royalty!$U$7:$Z$246,MATCH('Decline and Model'!$E18,Royalty!$AI$7:$AI$246,0),MATCH('Decline and Model'!BK$8,Royalty!$U$1:$Z$1,0))</f>
        <v>2.3055843331056491E-2</v>
      </c>
      <c r="BL18" s="127">
        <f t="array" ref="BL18">BF18*INDEX(Royalty!$U$7:$Z$246,MATCH('Decline and Model'!$E18,Royalty!$AI$7:$AI$246,0),MATCH('Decline and Model'!BL$8,Royalty!$U$1:$Z$1,0))</f>
        <v>6.5232445196451837E-3</v>
      </c>
      <c r="BM18" s="127">
        <f t="array" ref="BM18">BG18*INDEX(Royalty!$U$7:$Z$246,MATCH('Decline and Model'!$E18,Royalty!$AI$7:$AI$246,0),MATCH('Decline and Model'!BM$8,Royalty!$U$1:$Z$1,0))</f>
        <v>8.8440865664396167E-3</v>
      </c>
      <c r="BN18" s="127">
        <f t="array" ref="BN18">BH18*INDEX(Royalty!$U$7:$Z$246,MATCH('Decline and Model'!$E18,Royalty!$AI$7:$AI$246,0),MATCH('Decline and Model'!BN$8,Royalty!$U$1:$Z$1,0))</f>
        <v>6.1332671118388147E-3</v>
      </c>
      <c r="BO18" s="127">
        <f t="array" ref="BO18">BI18*INDEX(Royalty!$U$7:$Z$246,MATCH('Decline and Model'!$E18,Royalty!$AI$7:$AI$246,0),MATCH('Decline and Model'!BO$8,Royalty!$U$1:$Z$1,0))</f>
        <v>2.394342216128947E-3</v>
      </c>
      <c r="BP18" s="135">
        <f t="shared" si="11"/>
        <v>0.21835947620742721</v>
      </c>
      <c r="BQ18" s="7"/>
      <c r="BR18" s="7"/>
      <c r="BS18">
        <v>10</v>
      </c>
      <c r="BT18" s="120">
        <f t="shared" si="12"/>
        <v>76052.69195993476</v>
      </c>
      <c r="BU18" s="113">
        <f t="shared" si="13"/>
        <v>290744.32838375907</v>
      </c>
      <c r="BV18" s="113">
        <f t="shared" si="14"/>
        <v>87223.298515127724</v>
      </c>
      <c r="BW18" s="113">
        <f t="shared" si="47"/>
        <v>9813263.7664270569</v>
      </c>
      <c r="BX18" s="113">
        <f t="shared" si="39"/>
        <v>216916.80408710774</v>
      </c>
      <c r="BY18" s="120">
        <f t="shared" si="40"/>
        <v>850116.71625276562</v>
      </c>
      <c r="BZ18" s="153">
        <f t="shared" si="48"/>
        <v>0</v>
      </c>
      <c r="CA18" s="120">
        <f t="shared" ref="CA18:CA81" si="50">IF(BY18&gt;0,MAX(BY18+BZ17,0),0)</f>
        <v>850116.71625276562</v>
      </c>
      <c r="CB18" s="120">
        <f t="shared" si="41"/>
        <v>212529.1790631914</v>
      </c>
      <c r="CC18" s="153">
        <f t="shared" si="42"/>
        <v>854504.34127668198</v>
      </c>
      <c r="CD18" s="7">
        <f t="shared" si="16"/>
        <v>792262.63522246957</v>
      </c>
      <c r="CE18" s="11">
        <f>SUM($CD$9:CD18)</f>
        <v>10021485.955408663</v>
      </c>
      <c r="CF18" s="11">
        <f t="shared" si="43"/>
        <v>12000000</v>
      </c>
      <c r="CG18">
        <f t="shared" si="44"/>
        <v>0</v>
      </c>
      <c r="CJ18">
        <f>_xlfn.NORM.INV(CJ16,0,1)</f>
        <v>1.2815515655446006</v>
      </c>
    </row>
    <row r="19" spans="1:92" ht="15.75" customHeight="1">
      <c r="A19">
        <f t="shared" si="17"/>
        <v>2018</v>
      </c>
      <c r="B19">
        <f t="shared" si="18"/>
        <v>30.416666666666668</v>
      </c>
      <c r="C19">
        <v>1</v>
      </c>
      <c r="E19" s="97">
        <v>43132</v>
      </c>
      <c r="F19" s="2">
        <f>$F$6*EXP(-$F$3*COUNT($E$9:$E19))</f>
        <v>462.40450282678637</v>
      </c>
      <c r="G19" s="260">
        <f>$F$6/(1+$F$5*$F$3*COUNT($E$9:$E19))^(1/$F$5)</f>
        <v>472.77055272893728</v>
      </c>
      <c r="H19" s="260">
        <f>$H$6/(1+$H$5*$H$3*COUNT($E$9:$E19))^(1/$H$5)</f>
        <v>1509.1852514381751</v>
      </c>
      <c r="I19" s="260">
        <f t="shared" si="19"/>
        <v>287.46385741679524</v>
      </c>
      <c r="J19" s="260">
        <f t="shared" si="20"/>
        <v>119.69995022835353</v>
      </c>
      <c r="K19" s="260">
        <f t="shared" si="0"/>
        <v>81.438510806178087</v>
      </c>
      <c r="L19" s="260">
        <f t="shared" si="0"/>
        <v>38.836367137009034</v>
      </c>
      <c r="M19" s="260">
        <f t="shared" si="0"/>
        <v>47.517775630996255</v>
      </c>
      <c r="N19" s="19">
        <f t="shared" si="21"/>
        <v>14064.803627648085</v>
      </c>
      <c r="O19" s="19">
        <f t="shared" si="22"/>
        <v>14380.104312171843</v>
      </c>
      <c r="P19" s="19">
        <f t="shared" si="23"/>
        <v>45904.384731244492</v>
      </c>
      <c r="Q19" s="19">
        <f t="shared" si="24"/>
        <v>8743.6923297608555</v>
      </c>
      <c r="R19" s="19">
        <f t="shared" si="25"/>
        <v>3640.8734861124199</v>
      </c>
      <c r="S19" s="19">
        <f t="shared" si="26"/>
        <v>2477.0880370212503</v>
      </c>
      <c r="T19" s="19">
        <f t="shared" si="27"/>
        <v>1181.2728337506915</v>
      </c>
      <c r="U19" s="19">
        <f t="shared" si="28"/>
        <v>1445.3323421094694</v>
      </c>
      <c r="V19" s="261">
        <f t="shared" si="45"/>
        <v>27699.888626649572</v>
      </c>
      <c r="W19" s="261">
        <f>SUM(O$9:O19)</f>
        <v>202656.28846815653</v>
      </c>
      <c r="X19" s="261">
        <f>SUM(P$9:P19)</f>
        <v>686456.0433618041</v>
      </c>
      <c r="Y19" s="261">
        <f>SUM(Q$9:Q19)</f>
        <v>130753.53206891507</v>
      </c>
      <c r="Z19" s="261">
        <f>SUM($V$9:V19)</f>
        <v>401840.88689989585</v>
      </c>
      <c r="AB19" s="257">
        <f t="array" ref="AB19">(INDEX(PriceDeck!$C$18:$O$77,MATCH('Decline and Model'!$A19,PriceDeck!$B$18:$B$77,0),MATCH('Decline and Model'!AB$8,PriceDeck!$C$13:$O$13,0))*(1+$AE$6))</f>
        <v>58.7</v>
      </c>
      <c r="AC19" s="257">
        <f t="array" ref="AC19">INDEX(PriceDeck!$C$18:$O$77,MATCH('Decline and Model'!$A19,PriceDeck!$B$18:$B$77,0),MATCH('Decline and Model'!AC$8,PriceDeck!$C$13:$O$13,0))*(1+$AE$6)</f>
        <v>72.7</v>
      </c>
      <c r="AD19" s="257">
        <f t="array" ref="AD19">INDEX(PriceDeck!$C$18:$O$77,MATCH('Decline and Model'!$A19,PriceDeck!$B$18:$B$77,0),MATCH('Decline and Model'!AD$8,PriceDeck!$C$13:$O$13,0))*(1+$AE$6)</f>
        <v>11.8</v>
      </c>
      <c r="AE19" s="257">
        <f t="array" ref="AE19">INDEX(PriceDeck!$C$18:$O$77,MATCH('Decline and Model'!$A19,PriceDeck!$B$18:$B$77,0),MATCH('Decline and Model'!AE$8,PriceDeck!$C$13:$O$13,0))*(1+$AE$6)</f>
        <v>23.7</v>
      </c>
      <c r="AF19" s="257">
        <f t="array" ref="AF19">INDEX(PriceDeck!$C$18:$O$77,MATCH('Decline and Model'!$A19,PriceDeck!$B$18:$B$77,0),MATCH('Decline and Model'!AF$8,PriceDeck!$C$13:$O$13,0))*(1+$AE$6)</f>
        <v>75.8</v>
      </c>
      <c r="AG19" s="257">
        <f t="array" ref="AG19">INDEX(PriceDeck!$C$18:$O$77,MATCH('Decline and Model'!$A19,PriceDeck!$B$18:$B$77,0),MATCH('Decline and Model'!AG$8,PriceDeck!$C$13:$O$13,0))*(1+$AE$6)</f>
        <v>47.9</v>
      </c>
      <c r="AH19" s="258">
        <f t="array" ref="AH19">INDEX(PriceDeck!$C$18:$O$77,MATCH('Decline and Model'!$A19,PriceDeck!$B$18:$B$77,0),MATCH('Decline and Model'!AH$8,PriceDeck!$C$13:$O$13,0))</f>
        <v>0.77500000000000002</v>
      </c>
      <c r="AI19" s="258">
        <f t="shared" si="29"/>
        <v>3.15</v>
      </c>
      <c r="AJ19" s="259">
        <f t="shared" si="30"/>
        <v>3.15</v>
      </c>
      <c r="AK19" s="120">
        <v>3.15</v>
      </c>
      <c r="AL19" s="120"/>
      <c r="AN19" s="7">
        <f t="shared" si="31"/>
        <v>1045433.583494893</v>
      </c>
      <c r="AO19" s="7">
        <f t="shared" si="2"/>
        <v>144598.81190342014</v>
      </c>
      <c r="AP19" s="7">
        <f t="shared" si="32"/>
        <v>42962.307136126554</v>
      </c>
      <c r="AQ19" s="7">
        <f t="shared" si="33"/>
        <v>58706.986477403632</v>
      </c>
      <c r="AR19" s="7">
        <f t="shared" si="34"/>
        <v>89540.480798302407</v>
      </c>
      <c r="AS19" s="7">
        <f t="shared" si="35"/>
        <v>69231.41918704359</v>
      </c>
      <c r="AT19" s="7">
        <f t="shared" si="36"/>
        <v>1450473.5889971894</v>
      </c>
      <c r="AU19" s="7">
        <f>SUM($AT$9:AT19)</f>
        <v>20342254.961283535</v>
      </c>
      <c r="AV19" s="7">
        <f>AT19/(1+$AR$5)^(COUNT($E$9:E19))</f>
        <v>1334689.4145987646</v>
      </c>
      <c r="AW19" s="7">
        <f t="shared" si="49"/>
        <v>575213.55578444735</v>
      </c>
      <c r="AX19" s="7">
        <f t="shared" si="37"/>
        <v>575213.55578444735</v>
      </c>
      <c r="AY19" s="117">
        <f t="shared" si="38"/>
        <v>28760.677789222369</v>
      </c>
      <c r="AZ19" s="117">
        <f t="shared" si="3"/>
        <v>875260.03321274207</v>
      </c>
      <c r="BA19" s="120">
        <f t="shared" si="46"/>
        <v>191177.89695312449</v>
      </c>
      <c r="BB19" s="119">
        <f t="shared" si="4"/>
        <v>0</v>
      </c>
      <c r="BC19" s="17"/>
      <c r="BD19" s="126">
        <f t="shared" si="5"/>
        <v>0.72075327081113694</v>
      </c>
      <c r="BE19" s="127">
        <f t="shared" si="6"/>
        <v>9.9690758246340133E-2</v>
      </c>
      <c r="BF19" s="127">
        <f t="shared" si="7"/>
        <v>2.9619503217448658E-2</v>
      </c>
      <c r="BG19" s="127">
        <f t="shared" si="8"/>
        <v>4.047435742555764E-2</v>
      </c>
      <c r="BH19" s="127">
        <f t="shared" si="9"/>
        <v>6.1731893277841621E-2</v>
      </c>
      <c r="BI19" s="128">
        <f t="shared" si="10"/>
        <v>4.7730217021674938E-2</v>
      </c>
      <c r="BJ19" s="126">
        <f t="array" ref="BJ19">BD19*INDEX(Royalty!$U$7:$Z$246,MATCH('Decline and Model'!$E19,Royalty!$AI$7:$AI$246,0),MATCH('Decline and Model'!BJ$8,Royalty!$U$1:$Z$1,0))</f>
        <v>0.17162689554147592</v>
      </c>
      <c r="BK19" s="127">
        <f t="array" ref="BK19">BE19*INDEX(Royalty!$U$7:$Z$246,MATCH('Decline and Model'!$E19,Royalty!$AI$7:$AI$246,0),MATCH('Decline and Model'!BK$8,Royalty!$U$1:$Z$1,0))</f>
        <v>2.2980432755101997E-2</v>
      </c>
      <c r="BL19" s="127">
        <f t="array" ref="BL19">BF19*INDEX(Royalty!$U$7:$Z$246,MATCH('Decline and Model'!$E19,Royalty!$AI$7:$AI$246,0),MATCH('Decline and Model'!BL$8,Royalty!$U$1:$Z$1,0))</f>
        <v>6.5019084262629119E-3</v>
      </c>
      <c r="BM19" s="127">
        <f t="array" ref="BM19">BG19*INDEX(Royalty!$U$7:$Z$246,MATCH('Decline and Model'!$E19,Royalty!$AI$7:$AI$246,0),MATCH('Decline and Model'!BM$8,Royalty!$U$1:$Z$1,0))</f>
        <v>8.815159510847239E-3</v>
      </c>
      <c r="BN19" s="127">
        <f t="array" ref="BN19">BH19*INDEX(Royalty!$U$7:$Z$246,MATCH('Decline and Model'!$E19,Royalty!$AI$7:$AI$246,0),MATCH('Decline and Model'!BN$8,Royalty!$U$1:$Z$1,0))</f>
        <v>6.1132065485037272E-3</v>
      </c>
      <c r="BO19" s="127">
        <f t="array" ref="BO19">BI19*INDEX(Royalty!$U$7:$Z$246,MATCH('Decline and Model'!$E19,Royalty!$AI$7:$AI$246,0),MATCH('Decline and Model'!BO$8,Royalty!$U$1:$Z$1,0))</f>
        <v>2.386510851083747E-3</v>
      </c>
      <c r="BP19" s="135">
        <f t="shared" si="11"/>
        <v>0.21842411363327555</v>
      </c>
      <c r="BQ19" s="7"/>
      <c r="BR19" s="7"/>
      <c r="BS19">
        <v>11</v>
      </c>
      <c r="BT19" s="120">
        <f t="shared" si="12"/>
        <v>219938.57474234686</v>
      </c>
      <c r="BU19" s="113">
        <f t="shared" si="13"/>
        <v>276998.88626649574</v>
      </c>
      <c r="BV19" s="113">
        <f t="shared" si="14"/>
        <v>83099.66587994872</v>
      </c>
      <c r="BW19" s="113">
        <f t="shared" si="47"/>
        <v>9596346.9623399489</v>
      </c>
      <c r="BX19" s="113">
        <f t="shared" si="39"/>
        <v>212121.97730823921</v>
      </c>
      <c r="BY19" s="120">
        <f t="shared" si="40"/>
        <v>658314.48480015888</v>
      </c>
      <c r="BZ19" s="153">
        <f t="shared" si="48"/>
        <v>0</v>
      </c>
      <c r="CA19" s="120">
        <f t="shared" si="50"/>
        <v>658314.48480015888</v>
      </c>
      <c r="CB19" s="120">
        <f t="shared" si="41"/>
        <v>164578.62120003972</v>
      </c>
      <c r="CC19" s="153">
        <f t="shared" si="42"/>
        <v>705857.84090835834</v>
      </c>
      <c r="CD19" s="7">
        <f t="shared" si="16"/>
        <v>649512.68028483225</v>
      </c>
      <c r="CE19" s="11">
        <f>SUM($CD$9:CD19)</f>
        <v>10670998.635693494</v>
      </c>
      <c r="CF19" s="11">
        <f t="shared" si="43"/>
        <v>12000000</v>
      </c>
      <c r="CG19">
        <f t="shared" si="44"/>
        <v>0</v>
      </c>
    </row>
    <row r="20" spans="1:92" ht="15.75" customHeight="1">
      <c r="A20">
        <f t="shared" si="17"/>
        <v>2018</v>
      </c>
      <c r="B20">
        <f t="shared" si="18"/>
        <v>30.416666666666668</v>
      </c>
      <c r="C20">
        <v>1</v>
      </c>
      <c r="E20" s="97">
        <v>43160</v>
      </c>
      <c r="F20" s="2">
        <f>$F$6*EXP(-$F$3*COUNT($E$9:$E20))</f>
        <v>439.85276911046282</v>
      </c>
      <c r="G20" s="260">
        <f>$F$6/(1+$F$5*$F$3*COUNT($E$9:$E20))^(1/$F$5)</f>
        <v>451.55528851403426</v>
      </c>
      <c r="H20" s="260">
        <f>$H$6/(1+$H$5*$H$3*COUNT($E$9:$E20))^(1/$H$5)</f>
        <v>1437.0019631046623</v>
      </c>
      <c r="I20" s="260">
        <f t="shared" si="19"/>
        <v>273.71465963898328</v>
      </c>
      <c r="J20" s="260">
        <f t="shared" si="20"/>
        <v>113.97478427367264</v>
      </c>
      <c r="K20" s="260">
        <f t="shared" si="0"/>
        <v>77.54336307572396</v>
      </c>
      <c r="L20" s="260">
        <f t="shared" si="0"/>
        <v>36.97885051722664</v>
      </c>
      <c r="M20" s="260">
        <f t="shared" si="0"/>
        <v>45.245033238323934</v>
      </c>
      <c r="N20" s="19">
        <f t="shared" si="21"/>
        <v>13378.855060443244</v>
      </c>
      <c r="O20" s="19">
        <f t="shared" si="22"/>
        <v>13734.806692301876</v>
      </c>
      <c r="P20" s="19">
        <f t="shared" si="23"/>
        <v>43708.809711100148</v>
      </c>
      <c r="Q20" s="19">
        <f t="shared" si="24"/>
        <v>8325.4875640190749</v>
      </c>
      <c r="R20" s="19">
        <f t="shared" si="25"/>
        <v>3466.7330216575428</v>
      </c>
      <c r="S20" s="19">
        <f t="shared" si="26"/>
        <v>2358.6106268866038</v>
      </c>
      <c r="T20" s="19">
        <f t="shared" si="27"/>
        <v>1124.7733698989771</v>
      </c>
      <c r="U20" s="19">
        <f t="shared" si="28"/>
        <v>1376.203094332353</v>
      </c>
      <c r="V20" s="261">
        <f t="shared" si="45"/>
        <v>26417.514921656242</v>
      </c>
      <c r="W20" s="261">
        <f>SUM(O$9:O20)</f>
        <v>216391.09516045841</v>
      </c>
      <c r="X20" s="261">
        <f>SUM(P$9:P20)</f>
        <v>730164.85307290428</v>
      </c>
      <c r="Y20" s="261">
        <f>SUM(Q$9:Q20)</f>
        <v>139079.01963293416</v>
      </c>
      <c r="Z20" s="261">
        <f>SUM($V$9:V20)</f>
        <v>428258.40182155208</v>
      </c>
      <c r="AB20" s="257">
        <f t="array" ref="AB20">(INDEX(PriceDeck!$C$18:$O$77,MATCH('Decline and Model'!$A20,PriceDeck!$B$18:$B$77,0),MATCH('Decline and Model'!AB$8,PriceDeck!$C$13:$O$13,0))*(1+$AE$6))</f>
        <v>58.7</v>
      </c>
      <c r="AC20" s="257">
        <f t="array" ref="AC20">INDEX(PriceDeck!$C$18:$O$77,MATCH('Decline and Model'!$A20,PriceDeck!$B$18:$B$77,0),MATCH('Decline and Model'!AC$8,PriceDeck!$C$13:$O$13,0))*(1+$AE$6)</f>
        <v>72.7</v>
      </c>
      <c r="AD20" s="257">
        <f t="array" ref="AD20">INDEX(PriceDeck!$C$18:$O$77,MATCH('Decline and Model'!$A20,PriceDeck!$B$18:$B$77,0),MATCH('Decline and Model'!AD$8,PriceDeck!$C$13:$O$13,0))*(1+$AE$6)</f>
        <v>11.8</v>
      </c>
      <c r="AE20" s="257">
        <f t="array" ref="AE20">INDEX(PriceDeck!$C$18:$O$77,MATCH('Decline and Model'!$A20,PriceDeck!$B$18:$B$77,0),MATCH('Decline and Model'!AE$8,PriceDeck!$C$13:$O$13,0))*(1+$AE$6)</f>
        <v>23.7</v>
      </c>
      <c r="AF20" s="257">
        <f t="array" ref="AF20">INDEX(PriceDeck!$C$18:$O$77,MATCH('Decline and Model'!$A20,PriceDeck!$B$18:$B$77,0),MATCH('Decline and Model'!AF$8,PriceDeck!$C$13:$O$13,0))*(1+$AE$6)</f>
        <v>75.8</v>
      </c>
      <c r="AG20" s="257">
        <f t="array" ref="AG20">INDEX(PriceDeck!$C$18:$O$77,MATCH('Decline and Model'!$A20,PriceDeck!$B$18:$B$77,0),MATCH('Decline and Model'!AG$8,PriceDeck!$C$13:$O$13,0))*(1+$AE$6)</f>
        <v>47.9</v>
      </c>
      <c r="AH20" s="258">
        <f t="array" ref="AH20">INDEX(PriceDeck!$C$18:$O$77,MATCH('Decline and Model'!$A20,PriceDeck!$B$18:$B$77,0),MATCH('Decline and Model'!AH$8,PriceDeck!$C$13:$O$13,0))</f>
        <v>0.77500000000000002</v>
      </c>
      <c r="AI20" s="258">
        <f t="shared" si="29"/>
        <v>3.15</v>
      </c>
      <c r="AJ20" s="259">
        <f t="shared" si="30"/>
        <v>3.15</v>
      </c>
      <c r="AK20" s="120">
        <v>3.15</v>
      </c>
      <c r="AL20" s="120"/>
      <c r="AN20" s="7">
        <f t="shared" si="31"/>
        <v>998520.44653034641</v>
      </c>
      <c r="AO20" s="7">
        <f t="shared" si="2"/>
        <v>137682.75058996546</v>
      </c>
      <c r="AP20" s="7">
        <f t="shared" si="32"/>
        <v>40907.449655559009</v>
      </c>
      <c r="AQ20" s="7">
        <f t="shared" si="33"/>
        <v>55899.071857212504</v>
      </c>
      <c r="AR20" s="7">
        <f t="shared" si="34"/>
        <v>85257.821438342464</v>
      </c>
      <c r="AS20" s="7">
        <f t="shared" si="35"/>
        <v>65920.128218519705</v>
      </c>
      <c r="AT20" s="7">
        <f t="shared" si="36"/>
        <v>1384187.6682899457</v>
      </c>
      <c r="AU20" s="7">
        <f>SUM($AT$9:AT20)</f>
        <v>21726442.629573479</v>
      </c>
      <c r="AV20" s="7">
        <f>AT20/(1+$AR$5)^(COUNT($E$9:E20))</f>
        <v>1264098.3272054312</v>
      </c>
      <c r="AW20" s="7">
        <f t="shared" si="49"/>
        <v>0</v>
      </c>
      <c r="AX20" s="7">
        <f t="shared" si="37"/>
        <v>0</v>
      </c>
      <c r="AY20" s="117">
        <f t="shared" si="38"/>
        <v>0</v>
      </c>
      <c r="AZ20" s="117">
        <f t="shared" si="3"/>
        <v>1384187.6682899457</v>
      </c>
      <c r="BA20" s="120">
        <f t="shared" si="46"/>
        <v>302400.81448788219</v>
      </c>
      <c r="BB20" s="119">
        <f t="shared" si="4"/>
        <v>0</v>
      </c>
      <c r="BC20" s="17"/>
      <c r="BD20" s="126">
        <f t="shared" si="5"/>
        <v>0.72137649352413269</v>
      </c>
      <c r="BE20" s="127">
        <f t="shared" si="6"/>
        <v>9.9468268461069015E-2</v>
      </c>
      <c r="BF20" s="127">
        <f t="shared" si="7"/>
        <v>2.9553398424721503E-2</v>
      </c>
      <c r="BG20" s="127">
        <f t="shared" si="8"/>
        <v>4.0384026774542343E-2</v>
      </c>
      <c r="BH20" s="127">
        <f t="shared" si="9"/>
        <v>6.1594120068756107E-2</v>
      </c>
      <c r="BI20" s="128">
        <f t="shared" si="10"/>
        <v>4.762369274677819E-2</v>
      </c>
      <c r="BJ20" s="126">
        <f t="array" ref="BJ20">BD20*INDEX(Royalty!$U$7:$Z$246,MATCH('Decline and Model'!$E20,Royalty!$AI$7:$AI$246,0),MATCH('Decline and Model'!BJ$8,Royalty!$U$1:$Z$1,0))</f>
        <v>0.17177529830812868</v>
      </c>
      <c r="BK20" s="127">
        <f t="array" ref="BK20">BE20*INDEX(Royalty!$U$7:$Z$246,MATCH('Decline and Model'!$E20,Royalty!$AI$7:$AI$246,0),MATCH('Decline and Model'!BK$8,Royalty!$U$1:$Z$1,0))</f>
        <v>2.2929145036570595E-2</v>
      </c>
      <c r="BL20" s="127">
        <f t="array" ref="BL20">BF20*INDEX(Royalty!$U$7:$Z$246,MATCH('Decline and Model'!$E20,Royalty!$AI$7:$AI$246,0),MATCH('Decline and Model'!BL$8,Royalty!$U$1:$Z$1,0))</f>
        <v>6.4873974702318914E-3</v>
      </c>
      <c r="BM20" s="127">
        <f t="array" ref="BM20">BG20*INDEX(Royalty!$U$7:$Z$246,MATCH('Decline and Model'!$E20,Royalty!$AI$7:$AI$246,0),MATCH('Decline and Model'!BM$8,Royalty!$U$1:$Z$1,0))</f>
        <v>8.7954858421822567E-3</v>
      </c>
      <c r="BN20" s="127">
        <f t="array" ref="BN20">BH20*INDEX(Royalty!$U$7:$Z$246,MATCH('Decline and Model'!$E20,Royalty!$AI$7:$AI$246,0),MATCH('Decline and Model'!BN$8,Royalty!$U$1:$Z$1,0))</f>
        <v>6.0995630971325014E-3</v>
      </c>
      <c r="BO20" s="127">
        <f t="array" ref="BO20">BI20*INDEX(Royalty!$U$7:$Z$246,MATCH('Decline and Model'!$E20,Royalty!$AI$7:$AI$246,0),MATCH('Decline and Model'!BO$8,Royalty!$U$1:$Z$1,0))</f>
        <v>2.3811846373389097E-3</v>
      </c>
      <c r="BP20" s="135">
        <f t="shared" si="11"/>
        <v>0.21846807439158483</v>
      </c>
      <c r="BQ20" s="7"/>
      <c r="BR20" s="7"/>
      <c r="BS20">
        <v>12</v>
      </c>
      <c r="BT20" s="120">
        <f t="shared" si="12"/>
        <v>302400.81448788219</v>
      </c>
      <c r="BU20" s="113">
        <f t="shared" si="13"/>
        <v>264175.14921656239</v>
      </c>
      <c r="BV20" s="113">
        <f t="shared" si="14"/>
        <v>79252.544764968727</v>
      </c>
      <c r="BW20" s="113">
        <f t="shared" si="47"/>
        <v>9384224.9850317091</v>
      </c>
      <c r="BX20" s="113">
        <f t="shared" si="39"/>
        <v>207433.13754100911</v>
      </c>
      <c r="BY20" s="120">
        <f t="shared" si="40"/>
        <v>530926.02227952331</v>
      </c>
      <c r="BZ20" s="153">
        <f t="shared" si="48"/>
        <v>0</v>
      </c>
      <c r="CA20" s="120">
        <f t="shared" si="50"/>
        <v>530926.02227952331</v>
      </c>
      <c r="CB20" s="120">
        <f t="shared" si="41"/>
        <v>132731.50556988083</v>
      </c>
      <c r="CC20" s="153">
        <f t="shared" si="42"/>
        <v>605627.6542506516</v>
      </c>
      <c r="CD20" s="7">
        <f t="shared" si="16"/>
        <v>553084.61575402028</v>
      </c>
      <c r="CE20" s="11">
        <f>SUM($CD$9:CD20)</f>
        <v>11224083.251447514</v>
      </c>
      <c r="CF20" s="11">
        <f t="shared" si="43"/>
        <v>12000000</v>
      </c>
      <c r="CG20">
        <f t="shared" si="44"/>
        <v>0</v>
      </c>
      <c r="CJ20">
        <f>STANDARDIZE(CJ16,0,1)</f>
        <v>0.9</v>
      </c>
    </row>
    <row r="21" spans="1:92" ht="15.75" customHeight="1">
      <c r="A21">
        <f t="shared" si="17"/>
        <v>2018</v>
      </c>
      <c r="B21">
        <f t="shared" si="18"/>
        <v>30.416666666666668</v>
      </c>
      <c r="C21">
        <f>C9+1</f>
        <v>2</v>
      </c>
      <c r="E21" s="97">
        <v>43191</v>
      </c>
      <c r="F21" s="2">
        <f>$F$6*EXP(-$F$3*COUNT($E$9:$E21))</f>
        <v>418.40089642599099</v>
      </c>
      <c r="G21" s="260">
        <f>$F$6/(1+$F$5*$F$3*COUNT($E$9:$E21))^(1/$F$5)</f>
        <v>431.4318505033641</v>
      </c>
      <c r="H21" s="260">
        <f>$H$6/(1+$H$5*$H$3*COUNT($E$9:$E21))^(1/$H$5)</f>
        <v>1370.5417925478755</v>
      </c>
      <c r="I21" s="260">
        <f t="shared" si="19"/>
        <v>261.05557953292868</v>
      </c>
      <c r="J21" s="260">
        <f t="shared" si="20"/>
        <v>108.7035433175115</v>
      </c>
      <c r="K21" s="260">
        <f t="shared" si="0"/>
        <v>73.957045681678693</v>
      </c>
      <c r="L21" s="260">
        <f t="shared" si="0"/>
        <v>35.268608794898661</v>
      </c>
      <c r="M21" s="260">
        <f t="shared" si="0"/>
        <v>43.152487296793112</v>
      </c>
      <c r="N21" s="19">
        <f t="shared" si="21"/>
        <v>12726.360599623893</v>
      </c>
      <c r="O21" s="19">
        <f t="shared" si="22"/>
        <v>13122.718786143992</v>
      </c>
      <c r="P21" s="19">
        <f t="shared" si="23"/>
        <v>41687.312856664546</v>
      </c>
      <c r="Q21" s="19">
        <f t="shared" si="24"/>
        <v>7940.4405441265808</v>
      </c>
      <c r="R21" s="19">
        <f t="shared" si="25"/>
        <v>3306.3994425743085</v>
      </c>
      <c r="S21" s="19">
        <f t="shared" si="26"/>
        <v>2249.5268061510606</v>
      </c>
      <c r="T21" s="19">
        <f t="shared" si="27"/>
        <v>1072.7535175115011</v>
      </c>
      <c r="U21" s="19">
        <f t="shared" si="28"/>
        <v>1312.5548219441239</v>
      </c>
      <c r="V21" s="261">
        <f t="shared" si="45"/>
        <v>25218.86208817998</v>
      </c>
      <c r="W21" s="261">
        <f>SUM(O$9:O21)</f>
        <v>229513.8139466024</v>
      </c>
      <c r="X21" s="261">
        <f>SUM(P$9:P21)</f>
        <v>771852.16592956882</v>
      </c>
      <c r="Y21" s="261">
        <f>SUM(Q$9:Q21)</f>
        <v>147019.46017706074</v>
      </c>
      <c r="Z21" s="261">
        <f>SUM($V$9:V21)</f>
        <v>453477.26390973205</v>
      </c>
      <c r="AB21" s="257">
        <f t="array" ref="AB21">(INDEX(PriceDeck!$C$18:$O$77,MATCH('Decline and Model'!$A21,PriceDeck!$B$18:$B$77,0),MATCH('Decline and Model'!AB$8,PriceDeck!$C$13:$O$13,0))*(1+$AE$6))</f>
        <v>58.7</v>
      </c>
      <c r="AC21" s="257">
        <f t="array" ref="AC21">INDEX(PriceDeck!$C$18:$O$77,MATCH('Decline and Model'!$A21,PriceDeck!$B$18:$B$77,0),MATCH('Decline and Model'!AC$8,PriceDeck!$C$13:$O$13,0))*(1+$AE$6)</f>
        <v>72.7</v>
      </c>
      <c r="AD21" s="257">
        <f t="array" ref="AD21">INDEX(PriceDeck!$C$18:$O$77,MATCH('Decline and Model'!$A21,PriceDeck!$B$18:$B$77,0),MATCH('Decline and Model'!AD$8,PriceDeck!$C$13:$O$13,0))*(1+$AE$6)</f>
        <v>11.8</v>
      </c>
      <c r="AE21" s="257">
        <f t="array" ref="AE21">INDEX(PriceDeck!$C$18:$O$77,MATCH('Decline and Model'!$A21,PriceDeck!$B$18:$B$77,0),MATCH('Decline and Model'!AE$8,PriceDeck!$C$13:$O$13,0))*(1+$AE$6)</f>
        <v>23.7</v>
      </c>
      <c r="AF21" s="257">
        <f t="array" ref="AF21">INDEX(PriceDeck!$C$18:$O$77,MATCH('Decline and Model'!$A21,PriceDeck!$B$18:$B$77,0),MATCH('Decline and Model'!AF$8,PriceDeck!$C$13:$O$13,0))*(1+$AE$6)</f>
        <v>75.8</v>
      </c>
      <c r="AG21" s="257">
        <f t="array" ref="AG21">INDEX(PriceDeck!$C$18:$O$77,MATCH('Decline and Model'!$A21,PriceDeck!$B$18:$B$77,0),MATCH('Decline and Model'!AG$8,PriceDeck!$C$13:$O$13,0))*(1+$AE$6)</f>
        <v>47.9</v>
      </c>
      <c r="AH21" s="258">
        <f t="array" ref="AH21">INDEX(PriceDeck!$C$18:$O$77,MATCH('Decline and Model'!$A21,PriceDeck!$B$18:$B$77,0),MATCH('Decline and Model'!AH$8,PriceDeck!$C$13:$O$13,0))</f>
        <v>0.77500000000000002</v>
      </c>
      <c r="AI21" s="258">
        <f t="shared" si="29"/>
        <v>3.15</v>
      </c>
      <c r="AJ21" s="259">
        <f t="shared" si="30"/>
        <v>3.15</v>
      </c>
      <c r="AK21" s="120">
        <v>3.15</v>
      </c>
      <c r="AL21" s="120"/>
      <c r="AN21" s="7">
        <f t="shared" si="31"/>
        <v>954021.65575266827</v>
      </c>
      <c r="AO21" s="7">
        <f t="shared" si="2"/>
        <v>131315.03549849332</v>
      </c>
      <c r="AP21" s="7">
        <f t="shared" si="32"/>
        <v>39015.51342237684</v>
      </c>
      <c r="AQ21" s="7">
        <f t="shared" si="33"/>
        <v>53313.785305780133</v>
      </c>
      <c r="AR21" s="7">
        <f t="shared" si="34"/>
        <v>81314.716627371774</v>
      </c>
      <c r="AS21" s="7">
        <f t="shared" si="35"/>
        <v>62871.375971123533</v>
      </c>
      <c r="AT21" s="7">
        <f t="shared" si="36"/>
        <v>1321852.0825778139</v>
      </c>
      <c r="AU21" s="7">
        <f>SUM($AT$9:AT21)</f>
        <v>23048294.712151293</v>
      </c>
      <c r="AV21" s="7">
        <f>AT21/(1+$AR$5)^(COUNT($E$9:E21))</f>
        <v>1198075.6195209334</v>
      </c>
      <c r="AW21" s="7">
        <f t="shared" si="49"/>
        <v>0</v>
      </c>
      <c r="AX21" s="7">
        <f t="shared" si="37"/>
        <v>0</v>
      </c>
      <c r="AY21" s="117">
        <f t="shared" si="38"/>
        <v>0</v>
      </c>
      <c r="AZ21" s="117">
        <f t="shared" si="3"/>
        <v>1321852.0825778139</v>
      </c>
      <c r="BA21" s="120">
        <f t="shared" si="46"/>
        <v>288815.5356254091</v>
      </c>
      <c r="BB21" s="119">
        <f t="shared" si="4"/>
        <v>0</v>
      </c>
      <c r="BC21" s="17"/>
      <c r="BD21" s="126">
        <f t="shared" si="5"/>
        <v>0.72173102295392988</v>
      </c>
      <c r="BE21" s="127">
        <f t="shared" si="6"/>
        <v>9.9341701866073329E-2</v>
      </c>
      <c r="BF21" s="127">
        <f t="shared" si="7"/>
        <v>2.9515793738653887E-2</v>
      </c>
      <c r="BG21" s="127">
        <f t="shared" si="8"/>
        <v>4.0332640851773738E-2</v>
      </c>
      <c r="BH21" s="127">
        <f t="shared" si="9"/>
        <v>6.1515745747281823E-2</v>
      </c>
      <c r="BI21" s="128">
        <f t="shared" si="10"/>
        <v>4.7563094842287289E-2</v>
      </c>
      <c r="BJ21" s="126">
        <f t="array" ref="BJ21">BD21*INDEX(Royalty!$U$7:$Z$246,MATCH('Decline and Model'!$E21,Royalty!$AI$7:$AI$246,0),MATCH('Decline and Model'!BJ$8,Royalty!$U$1:$Z$1,0))</f>
        <v>0.17185971941015948</v>
      </c>
      <c r="BK21" s="127">
        <f t="array" ref="BK21">BE21*INDEX(Royalty!$U$7:$Z$246,MATCH('Decline and Model'!$E21,Royalty!$AI$7:$AI$246,0),MATCH('Decline and Model'!BK$8,Royalty!$U$1:$Z$1,0))</f>
        <v>2.2899969261639147E-2</v>
      </c>
      <c r="BL21" s="127">
        <f t="array" ref="BL21">BF21*INDEX(Royalty!$U$7:$Z$246,MATCH('Decline and Model'!$E21,Royalty!$AI$7:$AI$246,0),MATCH('Decline and Model'!BL$8,Royalty!$U$1:$Z$1,0))</f>
        <v>6.4791426989274908E-3</v>
      </c>
      <c r="BM21" s="127">
        <f t="array" ref="BM21">BG21*INDEX(Royalty!$U$7:$Z$246,MATCH('Decline and Model'!$E21,Royalty!$AI$7:$AI$246,0),MATCH('Decline and Model'!BM$8,Royalty!$U$1:$Z$1,0))</f>
        <v>8.7842941856710825E-3</v>
      </c>
      <c r="BN21" s="127">
        <f t="array" ref="BN21">BH21*INDEX(Royalty!$U$7:$Z$246,MATCH('Decline and Model'!$E21,Royalty!$AI$7:$AI$246,0),MATCH('Decline and Model'!BN$8,Royalty!$U$1:$Z$1,0))</f>
        <v>6.091801818645306E-3</v>
      </c>
      <c r="BO21" s="127">
        <f t="array" ref="BO21">BI21*INDEX(Royalty!$U$7:$Z$246,MATCH('Decline and Model'!$E21,Royalty!$AI$7:$AI$246,0),MATCH('Decline and Model'!BO$8,Royalty!$U$1:$Z$1,0))</f>
        <v>2.3781547421143647E-3</v>
      </c>
      <c r="BP21" s="135">
        <f t="shared" si="11"/>
        <v>0.21849308211715687</v>
      </c>
      <c r="BQ21" s="7"/>
      <c r="BR21" s="7"/>
      <c r="BS21">
        <v>13</v>
      </c>
      <c r="BT21" s="120">
        <f t="shared" si="12"/>
        <v>288815.5356254091</v>
      </c>
      <c r="BU21" s="113">
        <f t="shared" si="13"/>
        <v>252188.62088179978</v>
      </c>
      <c r="BV21" s="113">
        <f t="shared" si="14"/>
        <v>75656.586264539947</v>
      </c>
      <c r="BW21" s="113">
        <f t="shared" si="47"/>
        <v>9176791.8474907</v>
      </c>
      <c r="BX21" s="113">
        <f t="shared" si="39"/>
        <v>202847.94200075514</v>
      </c>
      <c r="BY21" s="120">
        <f t="shared" si="40"/>
        <v>502343.39780530985</v>
      </c>
      <c r="BZ21" s="153">
        <f t="shared" si="48"/>
        <v>0</v>
      </c>
      <c r="CA21" s="120">
        <f t="shared" si="50"/>
        <v>502343.39780530985</v>
      </c>
      <c r="CB21" s="120">
        <f t="shared" si="41"/>
        <v>125585.84945132746</v>
      </c>
      <c r="CC21" s="153">
        <f t="shared" si="42"/>
        <v>579605.4903547375</v>
      </c>
      <c r="CD21" s="7">
        <f t="shared" si="16"/>
        <v>525332.00657389627</v>
      </c>
      <c r="CE21" s="11">
        <f>SUM($CD$9:CD21)</f>
        <v>11749415.258021411</v>
      </c>
      <c r="CF21" s="11">
        <f t="shared" si="43"/>
        <v>12000000</v>
      </c>
      <c r="CG21">
        <f t="shared" si="44"/>
        <v>0</v>
      </c>
      <c r="CJ21">
        <f>_xlfn.NORM.S.DIST(CJ20,TRUE)</f>
        <v>0.81593987465324047</v>
      </c>
    </row>
    <row r="22" spans="1:92" ht="15.75" customHeight="1">
      <c r="A22">
        <f t="shared" si="17"/>
        <v>2018</v>
      </c>
      <c r="B22">
        <f t="shared" si="18"/>
        <v>30.416666666666668</v>
      </c>
      <c r="C22">
        <f t="shared" ref="C22:C85" si="51">C10+1</f>
        <v>2</v>
      </c>
      <c r="E22" s="97">
        <v>43221</v>
      </c>
      <c r="F22" s="2">
        <f>$F$6*EXP(-$F$3*COUNT($E$9:$E22))</f>
        <v>397.99524391787821</v>
      </c>
      <c r="G22" s="260">
        <f>$F$6/(1+$F$5*$F$3*COUNT($E$9:$E22))^(1/$F$5)</f>
        <v>412.336952703073</v>
      </c>
      <c r="H22" s="260">
        <f>$H$6/(1+$H$5*$H$3*COUNT($E$9:$E22))^(1/$H$5)</f>
        <v>1309.1824742682031</v>
      </c>
      <c r="I22" s="260">
        <f t="shared" si="19"/>
        <v>249.36809033680058</v>
      </c>
      <c r="J22" s="260">
        <f t="shared" si="20"/>
        <v>103.83687281624375</v>
      </c>
      <c r="K22" s="260">
        <f t="shared" si="0"/>
        <v>70.645979992415604</v>
      </c>
      <c r="L22" s="260">
        <f t="shared" si="0"/>
        <v>33.689629004501761</v>
      </c>
      <c r="M22" s="260">
        <f t="shared" si="0"/>
        <v>41.220545332673133</v>
      </c>
      <c r="N22" s="19">
        <f t="shared" si="21"/>
        <v>12105.688669168796</v>
      </c>
      <c r="O22" s="19">
        <f t="shared" si="22"/>
        <v>12541.915644718471</v>
      </c>
      <c r="P22" s="19">
        <f t="shared" si="23"/>
        <v>39820.966925657849</v>
      </c>
      <c r="Q22" s="19">
        <f t="shared" si="24"/>
        <v>7584.9460810776845</v>
      </c>
      <c r="R22" s="19">
        <f t="shared" si="25"/>
        <v>3158.3715481607478</v>
      </c>
      <c r="S22" s="19">
        <f t="shared" si="26"/>
        <v>2148.8152247693079</v>
      </c>
      <c r="T22" s="19">
        <f t="shared" si="27"/>
        <v>1024.7262155535952</v>
      </c>
      <c r="U22" s="19">
        <f t="shared" si="28"/>
        <v>1253.7915872021413</v>
      </c>
      <c r="V22" s="261">
        <f t="shared" si="45"/>
        <v>24096.513179334725</v>
      </c>
      <c r="W22" s="261">
        <f>SUM(O$9:O22)</f>
        <v>242055.72959132088</v>
      </c>
      <c r="X22" s="261">
        <f>SUM(P$9:P22)</f>
        <v>811673.13285522664</v>
      </c>
      <c r="Y22" s="261">
        <f>SUM(Q$9:Q22)</f>
        <v>154604.40625813842</v>
      </c>
      <c r="Z22" s="261">
        <f>SUM($V$9:V22)</f>
        <v>477573.7770890668</v>
      </c>
      <c r="AB22" s="257">
        <f t="array" ref="AB22">(INDEX(PriceDeck!$C$18:$O$77,MATCH('Decline and Model'!$A22,PriceDeck!$B$18:$B$77,0),MATCH('Decline and Model'!AB$8,PriceDeck!$C$13:$O$13,0))*(1+$AE$6))</f>
        <v>58.7</v>
      </c>
      <c r="AC22" s="257">
        <f t="array" ref="AC22">INDEX(PriceDeck!$C$18:$O$77,MATCH('Decline and Model'!$A22,PriceDeck!$B$18:$B$77,0),MATCH('Decline and Model'!AC$8,PriceDeck!$C$13:$O$13,0))*(1+$AE$6)</f>
        <v>72.7</v>
      </c>
      <c r="AD22" s="257">
        <f t="array" ref="AD22">INDEX(PriceDeck!$C$18:$O$77,MATCH('Decline and Model'!$A22,PriceDeck!$B$18:$B$77,0),MATCH('Decline and Model'!AD$8,PriceDeck!$C$13:$O$13,0))*(1+$AE$6)</f>
        <v>11.8</v>
      </c>
      <c r="AE22" s="257">
        <f t="array" ref="AE22">INDEX(PriceDeck!$C$18:$O$77,MATCH('Decline and Model'!$A22,PriceDeck!$B$18:$B$77,0),MATCH('Decline and Model'!AE$8,PriceDeck!$C$13:$O$13,0))*(1+$AE$6)</f>
        <v>23.7</v>
      </c>
      <c r="AF22" s="257">
        <f t="array" ref="AF22">INDEX(PriceDeck!$C$18:$O$77,MATCH('Decline and Model'!$A22,PriceDeck!$B$18:$B$77,0),MATCH('Decline and Model'!AF$8,PriceDeck!$C$13:$O$13,0))*(1+$AE$6)</f>
        <v>75.8</v>
      </c>
      <c r="AG22" s="257">
        <f t="array" ref="AG22">INDEX(PriceDeck!$C$18:$O$77,MATCH('Decline and Model'!$A22,PriceDeck!$B$18:$B$77,0),MATCH('Decline and Model'!AG$8,PriceDeck!$C$13:$O$13,0))*(1+$AE$6)</f>
        <v>47.9</v>
      </c>
      <c r="AH22" s="258">
        <f t="array" ref="AH22">INDEX(PriceDeck!$C$18:$O$77,MATCH('Decline and Model'!$A22,PriceDeck!$B$18:$B$77,0),MATCH('Decline and Model'!AH$8,PriceDeck!$C$13:$O$13,0))</f>
        <v>0.77500000000000002</v>
      </c>
      <c r="AI22" s="258">
        <f t="shared" si="29"/>
        <v>3.15</v>
      </c>
      <c r="AJ22" s="259">
        <f t="shared" si="30"/>
        <v>3.15</v>
      </c>
      <c r="AK22" s="120">
        <v>3.15</v>
      </c>
      <c r="AL22" s="120"/>
      <c r="AN22" s="7">
        <f t="shared" si="31"/>
        <v>911797.26737103285</v>
      </c>
      <c r="AO22" s="7">
        <f t="shared" si="2"/>
        <v>125436.04581582222</v>
      </c>
      <c r="AP22" s="7">
        <f t="shared" si="32"/>
        <v>37268.784268296826</v>
      </c>
      <c r="AQ22" s="7">
        <f t="shared" si="33"/>
        <v>50926.920827032598</v>
      </c>
      <c r="AR22" s="7">
        <f t="shared" si="34"/>
        <v>77674.247138962513</v>
      </c>
      <c r="AS22" s="7">
        <f t="shared" si="35"/>
        <v>60056.617026982567</v>
      </c>
      <c r="AT22" s="7">
        <f t="shared" si="36"/>
        <v>1263159.8824481296</v>
      </c>
      <c r="AU22" s="7">
        <f>SUM($AT$9:AT22)</f>
        <v>24311454.594599422</v>
      </c>
      <c r="AV22" s="7">
        <f>AT22/(1+$AR$5)^(COUNT($E$9:E22))</f>
        <v>1136253.372162767</v>
      </c>
      <c r="AW22" s="7">
        <f t="shared" si="49"/>
        <v>0</v>
      </c>
      <c r="AX22" s="7">
        <f t="shared" si="37"/>
        <v>0</v>
      </c>
      <c r="AY22" s="117">
        <f t="shared" si="38"/>
        <v>0</v>
      </c>
      <c r="AZ22" s="117">
        <f t="shared" si="3"/>
        <v>1263159.8824481296</v>
      </c>
      <c r="BA22" s="120">
        <f t="shared" si="46"/>
        <v>276001.26037273899</v>
      </c>
      <c r="BB22" s="119">
        <f t="shared" si="4"/>
        <v>0</v>
      </c>
      <c r="BC22" s="17"/>
      <c r="BD22" s="126">
        <f t="shared" si="5"/>
        <v>0.72183836744710339</v>
      </c>
      <c r="BE22" s="127">
        <f t="shared" si="6"/>
        <v>9.930338000658688E-2</v>
      </c>
      <c r="BF22" s="127">
        <f t="shared" si="7"/>
        <v>2.9504407784124852E-2</v>
      </c>
      <c r="BG22" s="127">
        <f t="shared" si="8"/>
        <v>4.0317082211581291E-2</v>
      </c>
      <c r="BH22" s="127">
        <f t="shared" si="9"/>
        <v>6.1492015554216378E-2</v>
      </c>
      <c r="BI22" s="128">
        <f t="shared" si="10"/>
        <v>4.7544746996387235E-2</v>
      </c>
      <c r="BJ22" s="126">
        <f t="array" ref="BJ22">BD22*INDEX(Royalty!$U$7:$Z$246,MATCH('Decline and Model'!$E22,Royalty!$AI$7:$AI$246,0),MATCH('Decline and Model'!BJ$8,Royalty!$U$1:$Z$1,0))</f>
        <v>0.17188528044867701</v>
      </c>
      <c r="BK22" s="127">
        <f t="array" ref="BK22">BE22*INDEX(Royalty!$U$7:$Z$246,MATCH('Decline and Model'!$E22,Royalty!$AI$7:$AI$246,0),MATCH('Decline and Model'!BK$8,Royalty!$U$1:$Z$1,0))</f>
        <v>2.2891135414545693E-2</v>
      </c>
      <c r="BL22" s="127">
        <f t="array" ref="BL22">BF22*INDEX(Royalty!$U$7:$Z$246,MATCH('Decline and Model'!$E22,Royalty!$AI$7:$AI$246,0),MATCH('Decline and Model'!BL$8,Royalty!$U$1:$Z$1,0))</f>
        <v>6.4766433175857483E-3</v>
      </c>
      <c r="BM22" s="127">
        <f t="array" ref="BM22">BG22*INDEX(Royalty!$U$7:$Z$246,MATCH('Decline and Model'!$E22,Royalty!$AI$7:$AI$246,0),MATCH('Decline and Model'!BM$8,Royalty!$U$1:$Z$1,0))</f>
        <v>8.7809055736265164E-3</v>
      </c>
      <c r="BN22" s="127">
        <f t="array" ref="BN22">BH22*INDEX(Royalty!$U$7:$Z$246,MATCH('Decline and Model'!$E22,Royalty!$AI$7:$AI$246,0),MATCH('Decline and Model'!BN$8,Royalty!$U$1:$Z$1,0))</f>
        <v>6.089451857159563E-3</v>
      </c>
      <c r="BO22" s="127">
        <f t="array" ref="BO22">BI22*INDEX(Royalty!$U$7:$Z$246,MATCH('Decline and Model'!$E22,Royalty!$AI$7:$AI$246,0),MATCH('Decline and Model'!BO$8,Royalty!$U$1:$Z$1,0))</f>
        <v>2.3772373498193618E-3</v>
      </c>
      <c r="BP22" s="135">
        <f t="shared" si="11"/>
        <v>0.21850065396141388</v>
      </c>
      <c r="BQ22" s="7"/>
      <c r="BR22" s="7"/>
      <c r="BS22">
        <v>14</v>
      </c>
      <c r="BT22" s="120">
        <f t="shared" si="12"/>
        <v>276001.26037273899</v>
      </c>
      <c r="BU22" s="113">
        <f t="shared" si="13"/>
        <v>240965.13179334725</v>
      </c>
      <c r="BV22" s="113">
        <f t="shared" si="14"/>
        <v>72289.539538004174</v>
      </c>
      <c r="BW22" s="113">
        <f t="shared" si="47"/>
        <v>8973943.9054899439</v>
      </c>
      <c r="BX22" s="113">
        <f t="shared" si="39"/>
        <v>198364.09968878276</v>
      </c>
      <c r="BY22" s="120">
        <f t="shared" si="40"/>
        <v>475539.85105525638</v>
      </c>
      <c r="BZ22" s="153">
        <f t="shared" si="48"/>
        <v>0</v>
      </c>
      <c r="CA22" s="120">
        <f t="shared" si="50"/>
        <v>475539.85105525638</v>
      </c>
      <c r="CB22" s="120">
        <f t="shared" si="41"/>
        <v>118884.9627638141</v>
      </c>
      <c r="CC22" s="153">
        <f t="shared" si="42"/>
        <v>555018.98798022512</v>
      </c>
      <c r="CD22" s="7">
        <f t="shared" si="16"/>
        <v>499257.62009212148</v>
      </c>
      <c r="CE22" s="11">
        <f>SUM($CD$9:CD22)</f>
        <v>12248672.878113532</v>
      </c>
      <c r="CF22" s="11">
        <f t="shared" si="43"/>
        <v>12000000</v>
      </c>
      <c r="CG22">
        <f t="shared" si="44"/>
        <v>248672.87811353244</v>
      </c>
    </row>
    <row r="23" spans="1:92" ht="15.75" customHeight="1">
      <c r="A23">
        <f t="shared" si="17"/>
        <v>2018</v>
      </c>
      <c r="B23">
        <f t="shared" si="18"/>
        <v>30.416666666666668</v>
      </c>
      <c r="C23">
        <f t="shared" si="51"/>
        <v>2</v>
      </c>
      <c r="E23" s="97">
        <v>43252</v>
      </c>
      <c r="F23" s="2">
        <f>$F$6*EXP(-$F$3*COUNT($E$9:$E23))</f>
        <v>378.58478682602464</v>
      </c>
      <c r="G23" s="260">
        <f>$F$6/(1+$F$5*$F$3*COUNT($E$9:$E23))^(1/$F$5)</f>
        <v>394.21138308841284</v>
      </c>
      <c r="H23" s="260">
        <f>$H$6/(1+$H$5*$H$3*COUNT($E$9:$E23))^(1/$H$5)</f>
        <v>1252.3865851447179</v>
      </c>
      <c r="I23" s="260">
        <f t="shared" si="19"/>
        <v>238.54982574185101</v>
      </c>
      <c r="J23" s="260">
        <f t="shared" si="20"/>
        <v>99.332147438906759</v>
      </c>
      <c r="K23" s="260">
        <f t="shared" si="0"/>
        <v>67.581165632666384</v>
      </c>
      <c r="L23" s="260">
        <f t="shared" si="0"/>
        <v>32.228081457724073</v>
      </c>
      <c r="M23" s="260">
        <f t="shared" si="0"/>
        <v>39.432286195127972</v>
      </c>
      <c r="N23" s="19">
        <f t="shared" si="21"/>
        <v>11515.28726595825</v>
      </c>
      <c r="O23" s="19">
        <f t="shared" si="22"/>
        <v>11990.596235605892</v>
      </c>
      <c r="P23" s="19">
        <f t="shared" si="23"/>
        <v>38093.425298151837</v>
      </c>
      <c r="Q23" s="19">
        <f t="shared" si="24"/>
        <v>7255.8905329813015</v>
      </c>
      <c r="R23" s="19">
        <f t="shared" si="25"/>
        <v>3021.3528179334139</v>
      </c>
      <c r="S23" s="19">
        <f t="shared" si="26"/>
        <v>2055.5937879936027</v>
      </c>
      <c r="T23" s="19">
        <f t="shared" si="27"/>
        <v>980.27081100577391</v>
      </c>
      <c r="U23" s="19">
        <f t="shared" si="28"/>
        <v>1199.3987051018091</v>
      </c>
      <c r="V23" s="261">
        <f t="shared" si="45"/>
        <v>23043.923967623097</v>
      </c>
      <c r="W23" s="261">
        <f>SUM(O$9:O23)</f>
        <v>254046.32582692677</v>
      </c>
      <c r="X23" s="261">
        <f>SUM(P$9:P23)</f>
        <v>849766.55815337843</v>
      </c>
      <c r="Y23" s="261">
        <f>SUM(Q$9:Q23)</f>
        <v>161860.29679111973</v>
      </c>
      <c r="Z23" s="261">
        <f>SUM($V$9:V23)</f>
        <v>500617.7010566899</v>
      </c>
      <c r="AB23" s="257">
        <f t="array" ref="AB23">(INDEX(PriceDeck!$C$18:$O$77,MATCH('Decline and Model'!$A23,PriceDeck!$B$18:$B$77,0),MATCH('Decline and Model'!AB$8,PriceDeck!$C$13:$O$13,0))*(1+$AE$6))</f>
        <v>58.7</v>
      </c>
      <c r="AC23" s="257">
        <f t="array" ref="AC23">INDEX(PriceDeck!$C$18:$O$77,MATCH('Decline and Model'!$A23,PriceDeck!$B$18:$B$77,0),MATCH('Decline and Model'!AC$8,PriceDeck!$C$13:$O$13,0))*(1+$AE$6)</f>
        <v>72.7</v>
      </c>
      <c r="AD23" s="257">
        <f t="array" ref="AD23">INDEX(PriceDeck!$C$18:$O$77,MATCH('Decline and Model'!$A23,PriceDeck!$B$18:$B$77,0),MATCH('Decline and Model'!AD$8,PriceDeck!$C$13:$O$13,0))*(1+$AE$6)</f>
        <v>11.8</v>
      </c>
      <c r="AE23" s="257">
        <f t="array" ref="AE23">INDEX(PriceDeck!$C$18:$O$77,MATCH('Decline and Model'!$A23,PriceDeck!$B$18:$B$77,0),MATCH('Decline and Model'!AE$8,PriceDeck!$C$13:$O$13,0))*(1+$AE$6)</f>
        <v>23.7</v>
      </c>
      <c r="AF23" s="257">
        <f t="array" ref="AF23">INDEX(PriceDeck!$C$18:$O$77,MATCH('Decline and Model'!$A23,PriceDeck!$B$18:$B$77,0),MATCH('Decline and Model'!AF$8,PriceDeck!$C$13:$O$13,0))*(1+$AE$6)</f>
        <v>75.8</v>
      </c>
      <c r="AG23" s="257">
        <f t="array" ref="AG23">INDEX(PriceDeck!$C$18:$O$77,MATCH('Decline and Model'!$A23,PriceDeck!$B$18:$B$77,0),MATCH('Decline and Model'!AG$8,PriceDeck!$C$13:$O$13,0))*(1+$AE$6)</f>
        <v>47.9</v>
      </c>
      <c r="AH23" s="258">
        <f t="array" ref="AH23">INDEX(PriceDeck!$C$18:$O$77,MATCH('Decline and Model'!$A23,PriceDeck!$B$18:$B$77,0),MATCH('Decline and Model'!AH$8,PriceDeck!$C$13:$O$13,0))</f>
        <v>0.77500000000000002</v>
      </c>
      <c r="AI23" s="258">
        <f t="shared" si="29"/>
        <v>3.15</v>
      </c>
      <c r="AJ23" s="259">
        <f t="shared" si="30"/>
        <v>3.15</v>
      </c>
      <c r="AK23" s="120">
        <v>3.15</v>
      </c>
      <c r="AL23" s="120"/>
      <c r="AN23" s="7">
        <f t="shared" si="31"/>
        <v>871716.34632854839</v>
      </c>
      <c r="AO23" s="7">
        <f t="shared" si="2"/>
        <v>119994.28968917829</v>
      </c>
      <c r="AP23" s="7">
        <f t="shared" si="32"/>
        <v>35651.963251614288</v>
      </c>
      <c r="AQ23" s="7">
        <f t="shared" si="33"/>
        <v>48717.572775448381</v>
      </c>
      <c r="AR23" s="7">
        <f t="shared" si="34"/>
        <v>74304.527474237664</v>
      </c>
      <c r="AS23" s="7">
        <f t="shared" si="35"/>
        <v>57451.197974376657</v>
      </c>
      <c r="AT23" s="7">
        <f t="shared" si="36"/>
        <v>1207835.8974934036</v>
      </c>
      <c r="AU23" s="7">
        <f>SUM($AT$9:AT23)</f>
        <v>25519290.492092825</v>
      </c>
      <c r="AV23" s="7">
        <f>AT23/(1+$AR$5)^(COUNT($E$9:E23))</f>
        <v>1078301.6852195957</v>
      </c>
      <c r="AW23" s="7">
        <f t="shared" si="49"/>
        <v>0</v>
      </c>
      <c r="AX23" s="7">
        <f t="shared" si="37"/>
        <v>0</v>
      </c>
      <c r="AY23" s="117">
        <f t="shared" si="38"/>
        <v>0</v>
      </c>
      <c r="AZ23" s="117">
        <f t="shared" si="3"/>
        <v>1207835.8974934036</v>
      </c>
      <c r="BA23" s="120">
        <f t="shared" si="46"/>
        <v>263902.63876642258</v>
      </c>
      <c r="BB23" s="119">
        <f t="shared" si="4"/>
        <v>0</v>
      </c>
      <c r="BC23" s="17"/>
      <c r="BD23" s="126">
        <f t="shared" si="5"/>
        <v>0.72171753475584133</v>
      </c>
      <c r="BE23" s="127">
        <f t="shared" si="6"/>
        <v>9.9346517137137505E-2</v>
      </c>
      <c r="BF23" s="127">
        <f t="shared" si="7"/>
        <v>2.9517224422292841E-2</v>
      </c>
      <c r="BG23" s="127">
        <f t="shared" si="8"/>
        <v>4.0334595847458195E-2</v>
      </c>
      <c r="BH23" s="127">
        <f t="shared" si="9"/>
        <v>6.1518727526181566E-2</v>
      </c>
      <c r="BI23" s="128">
        <f t="shared" si="10"/>
        <v>4.7565400311088545E-2</v>
      </c>
      <c r="BJ23" s="126">
        <f t="array" ref="BJ23">BD23*INDEX(Royalty!$U$7:$Z$246,MATCH('Decline and Model'!$E23,Royalty!$AI$7:$AI$246,0),MATCH('Decline and Model'!BJ$8,Royalty!$U$1:$Z$1,0))</f>
        <v>0.17185650757934562</v>
      </c>
      <c r="BK23" s="127">
        <f t="array" ref="BK23">BE23*INDEX(Royalty!$U$7:$Z$246,MATCH('Decline and Model'!$E23,Royalty!$AI$7:$AI$246,0),MATCH('Decline and Model'!BK$8,Royalty!$U$1:$Z$1,0))</f>
        <v>2.2901079264359907E-2</v>
      </c>
      <c r="BL23" s="127">
        <f t="array" ref="BL23">BF23*INDEX(Royalty!$U$7:$Z$246,MATCH('Decline and Model'!$E23,Royalty!$AI$7:$AI$246,0),MATCH('Decline and Model'!BL$8,Royalty!$U$1:$Z$1,0))</f>
        <v>6.4794567546339332E-3</v>
      </c>
      <c r="BM23" s="127">
        <f t="array" ref="BM23">BG23*INDEX(Royalty!$U$7:$Z$246,MATCH('Decline and Model'!$E23,Royalty!$AI$7:$AI$246,0),MATCH('Decline and Model'!BM$8,Royalty!$U$1:$Z$1,0))</f>
        <v>8.7847199762184237E-3</v>
      </c>
      <c r="BN23" s="127">
        <f t="array" ref="BN23">BH23*INDEX(Royalty!$U$7:$Z$246,MATCH('Decline and Model'!$E23,Royalty!$AI$7:$AI$246,0),MATCH('Decline and Model'!BN$8,Royalty!$U$1:$Z$1,0))</f>
        <v>6.0920970992422267E-3</v>
      </c>
      <c r="BO23" s="127">
        <f t="array" ref="BO23">BI23*INDEX(Royalty!$U$7:$Z$246,MATCH('Decline and Model'!$E23,Royalty!$AI$7:$AI$246,0),MATCH('Decline and Model'!BO$8,Royalty!$U$1:$Z$1,0))</f>
        <v>2.3782700155544276E-3</v>
      </c>
      <c r="BP23" s="135">
        <f t="shared" si="11"/>
        <v>0.21849213068935455</v>
      </c>
      <c r="BQ23" s="7"/>
      <c r="BR23" s="7"/>
      <c r="BS23">
        <v>15</v>
      </c>
      <c r="BT23" s="120">
        <f t="shared" si="12"/>
        <v>263902.63876642258</v>
      </c>
      <c r="BU23" s="113">
        <f t="shared" si="13"/>
        <v>230439.23967623097</v>
      </c>
      <c r="BV23" s="113">
        <f t="shared" si="14"/>
        <v>69131.771902869295</v>
      </c>
      <c r="BW23" s="113">
        <f t="shared" si="47"/>
        <v>8775579.8058011606</v>
      </c>
      <c r="BX23" s="113">
        <f t="shared" si="39"/>
        <v>193979.37024766495</v>
      </c>
      <c r="BY23" s="120">
        <f t="shared" si="40"/>
        <v>450382.87690021575</v>
      </c>
      <c r="BZ23" s="153">
        <f t="shared" si="48"/>
        <v>0</v>
      </c>
      <c r="CA23" s="120">
        <f t="shared" si="50"/>
        <v>450382.87690021575</v>
      </c>
      <c r="CB23" s="120">
        <f t="shared" si="41"/>
        <v>112595.71922505394</v>
      </c>
      <c r="CC23" s="153">
        <f t="shared" si="42"/>
        <v>531766.52792282682</v>
      </c>
      <c r="CD23" s="7">
        <f t="shared" si="16"/>
        <v>474737.29203820828</v>
      </c>
      <c r="CE23" s="11">
        <f>SUM($CD$9:CD23)</f>
        <v>12723410.17015174</v>
      </c>
      <c r="CF23" s="11">
        <f t="shared" si="43"/>
        <v>12000000</v>
      </c>
      <c r="CG23">
        <f t="shared" si="44"/>
        <v>723410.17015174031</v>
      </c>
    </row>
    <row r="24" spans="1:92" ht="15.75" customHeight="1">
      <c r="A24">
        <f t="shared" si="17"/>
        <v>2018</v>
      </c>
      <c r="B24">
        <f t="shared" si="18"/>
        <v>30.416666666666668</v>
      </c>
      <c r="C24">
        <f t="shared" si="51"/>
        <v>2</v>
      </c>
      <c r="E24" s="97">
        <v>43282</v>
      </c>
      <c r="F24" s="2">
        <f>$F$6*EXP(-$F$3*COUNT($E$9:$E24))</f>
        <v>360.1209888972449</v>
      </c>
      <c r="G24" s="260">
        <f>$F$6/(1+$F$5*$F$3*COUNT($E$9:$E24))^(1/$F$5)</f>
        <v>376.99971558419332</v>
      </c>
      <c r="H24" s="260">
        <f>$H$6/(1+$H$5*$H$3*COUNT($E$9:$E24))^(1/$H$5)</f>
        <v>1199.6877746322702</v>
      </c>
      <c r="I24" s="260">
        <f t="shared" si="19"/>
        <v>228.51195707281337</v>
      </c>
      <c r="J24" s="260">
        <f t="shared" si="20"/>
        <v>95.152378925119493</v>
      </c>
      <c r="K24" s="260">
        <f t="shared" si="0"/>
        <v>64.737437438728023</v>
      </c>
      <c r="L24" s="260">
        <f t="shared" si="0"/>
        <v>30.871965400537086</v>
      </c>
      <c r="M24" s="260">
        <f t="shared" si="0"/>
        <v>37.773026504136048</v>
      </c>
      <c r="N24" s="19">
        <f t="shared" si="21"/>
        <v>10953.680078957866</v>
      </c>
      <c r="O24" s="19">
        <f t="shared" si="22"/>
        <v>11467.074682352548</v>
      </c>
      <c r="P24" s="19">
        <f t="shared" si="23"/>
        <v>36490.503145064889</v>
      </c>
      <c r="Q24" s="19">
        <f t="shared" si="24"/>
        <v>6950.5720276314069</v>
      </c>
      <c r="R24" s="19">
        <f t="shared" si="25"/>
        <v>2894.2181923057178</v>
      </c>
      <c r="S24" s="19">
        <f t="shared" si="26"/>
        <v>1969.0970554279775</v>
      </c>
      <c r="T24" s="19">
        <f t="shared" si="27"/>
        <v>939.022280933003</v>
      </c>
      <c r="U24" s="19">
        <f t="shared" si="28"/>
        <v>1148.9295561674714</v>
      </c>
      <c r="V24" s="261">
        <f t="shared" si="45"/>
        <v>22055.292654659057</v>
      </c>
      <c r="W24" s="261">
        <f>SUM(O$9:O24)</f>
        <v>265513.40050927934</v>
      </c>
      <c r="X24" s="261">
        <f>SUM(P$9:P24)</f>
        <v>886257.06129844335</v>
      </c>
      <c r="Y24" s="261">
        <f>SUM(Q$9:Q24)</f>
        <v>168810.86881875113</v>
      </c>
      <c r="Z24" s="261">
        <f>SUM($V$9:V24)</f>
        <v>522672.99371134897</v>
      </c>
      <c r="AB24" s="257">
        <f t="array" ref="AB24">(INDEX(PriceDeck!$C$18:$O$77,MATCH('Decline and Model'!$A24,PriceDeck!$B$18:$B$77,0),MATCH('Decline and Model'!AB$8,PriceDeck!$C$13:$O$13,0))*(1+$AE$6))</f>
        <v>58.7</v>
      </c>
      <c r="AC24" s="257">
        <f t="array" ref="AC24">INDEX(PriceDeck!$C$18:$O$77,MATCH('Decline and Model'!$A24,PriceDeck!$B$18:$B$77,0),MATCH('Decline and Model'!AC$8,PriceDeck!$C$13:$O$13,0))*(1+$AE$6)</f>
        <v>72.7</v>
      </c>
      <c r="AD24" s="257">
        <f t="array" ref="AD24">INDEX(PriceDeck!$C$18:$O$77,MATCH('Decline and Model'!$A24,PriceDeck!$B$18:$B$77,0),MATCH('Decline and Model'!AD$8,PriceDeck!$C$13:$O$13,0))*(1+$AE$6)</f>
        <v>11.8</v>
      </c>
      <c r="AE24" s="257">
        <f t="array" ref="AE24">INDEX(PriceDeck!$C$18:$O$77,MATCH('Decline and Model'!$A24,PriceDeck!$B$18:$B$77,0),MATCH('Decline and Model'!AE$8,PriceDeck!$C$13:$O$13,0))*(1+$AE$6)</f>
        <v>23.7</v>
      </c>
      <c r="AF24" s="257">
        <f t="array" ref="AF24">INDEX(PriceDeck!$C$18:$O$77,MATCH('Decline and Model'!$A24,PriceDeck!$B$18:$B$77,0),MATCH('Decline and Model'!AF$8,PriceDeck!$C$13:$O$13,0))*(1+$AE$6)</f>
        <v>75.8</v>
      </c>
      <c r="AG24" s="257">
        <f t="array" ref="AG24">INDEX(PriceDeck!$C$18:$O$77,MATCH('Decline and Model'!$A24,PriceDeck!$B$18:$B$77,0),MATCH('Decline and Model'!AG$8,PriceDeck!$C$13:$O$13,0))*(1+$AE$6)</f>
        <v>47.9</v>
      </c>
      <c r="AH24" s="258">
        <f t="array" ref="AH24">INDEX(PriceDeck!$C$18:$O$77,MATCH('Decline and Model'!$A24,PriceDeck!$B$18:$B$77,0),MATCH('Decline and Model'!AH$8,PriceDeck!$C$13:$O$13,0))</f>
        <v>0.77500000000000002</v>
      </c>
      <c r="AI24" s="258">
        <f t="shared" si="29"/>
        <v>3.15</v>
      </c>
      <c r="AJ24" s="259">
        <f t="shared" si="30"/>
        <v>3.15</v>
      </c>
      <c r="AK24" s="120">
        <v>3.15</v>
      </c>
      <c r="AL24" s="120"/>
      <c r="AN24" s="7">
        <f t="shared" si="31"/>
        <v>833656.32940703025</v>
      </c>
      <c r="AO24" s="7">
        <f t="shared" si="2"/>
        <v>114945.08490695441</v>
      </c>
      <c r="AP24" s="7">
        <f t="shared" si="32"/>
        <v>34151.774669207472</v>
      </c>
      <c r="AQ24" s="7">
        <f t="shared" si="33"/>
        <v>46667.600213643062</v>
      </c>
      <c r="AR24" s="7">
        <f t="shared" si="34"/>
        <v>71177.888894721618</v>
      </c>
      <c r="AS24" s="7">
        <f t="shared" si="35"/>
        <v>55033.725740421884</v>
      </c>
      <c r="AT24" s="7">
        <f t="shared" si="36"/>
        <v>1155632.4038319786</v>
      </c>
      <c r="AU24" s="7">
        <f>SUM($AT$9:AT24)</f>
        <v>26674922.895924803</v>
      </c>
      <c r="AV24" s="7">
        <f>AT24/(1+$AR$5)^(COUNT($E$9:E24))</f>
        <v>1023923.5977123633</v>
      </c>
      <c r="AW24" s="7">
        <f t="shared" si="49"/>
        <v>0</v>
      </c>
      <c r="AX24" s="7">
        <f t="shared" si="37"/>
        <v>0</v>
      </c>
      <c r="AY24" s="117">
        <f t="shared" si="38"/>
        <v>0</v>
      </c>
      <c r="AZ24" s="117">
        <f t="shared" si="3"/>
        <v>1155632.4038319786</v>
      </c>
      <c r="BA24" s="120">
        <f t="shared" si="46"/>
        <v>252469.51096620483</v>
      </c>
      <c r="BB24" s="119">
        <f t="shared" si="4"/>
        <v>0</v>
      </c>
      <c r="BC24" s="17"/>
      <c r="BD24" s="126">
        <f t="shared" si="5"/>
        <v>0.72138538746637504</v>
      </c>
      <c r="BE24" s="127">
        <f t="shared" si="6"/>
        <v>9.9465093334010282E-2</v>
      </c>
      <c r="BF24" s="127">
        <f t="shared" si="7"/>
        <v>2.9552455050553358E-2</v>
      </c>
      <c r="BG24" s="127">
        <f t="shared" si="8"/>
        <v>4.038273767583643E-2</v>
      </c>
      <c r="BH24" s="127">
        <f t="shared" si="9"/>
        <v>6.1592153922563786E-2</v>
      </c>
      <c r="BI24" s="128">
        <f t="shared" si="10"/>
        <v>4.7622172550661215E-2</v>
      </c>
      <c r="BJ24" s="126">
        <f t="array" ref="BJ24">BD24*INDEX(Royalty!$U$7:$Z$246,MATCH('Decline and Model'!$E24,Royalty!$AI$7:$AI$246,0),MATCH('Decline and Model'!BJ$8,Royalty!$U$1:$Z$1,0))</f>
        <v>0.17177741614755862</v>
      </c>
      <c r="BK24" s="127">
        <f t="array" ref="BK24">BE24*INDEX(Royalty!$U$7:$Z$246,MATCH('Decline and Model'!$E24,Royalty!$AI$7:$AI$246,0),MATCH('Decline and Model'!BK$8,Royalty!$U$1:$Z$1,0))</f>
        <v>2.2928413115225574E-2</v>
      </c>
      <c r="BL24" s="127">
        <f t="array" ref="BL24">BF24*INDEX(Royalty!$U$7:$Z$246,MATCH('Decline and Model'!$E24,Royalty!$AI$7:$AI$246,0),MATCH('Decline and Model'!BL$8,Royalty!$U$1:$Z$1,0))</f>
        <v>6.4871903859871644E-3</v>
      </c>
      <c r="BM24" s="127">
        <f t="array" ref="BM24">BG24*INDEX(Royalty!$U$7:$Z$246,MATCH('Decline and Model'!$E24,Royalty!$AI$7:$AI$246,0),MATCH('Decline and Model'!BM$8,Royalty!$U$1:$Z$1,0))</f>
        <v>8.7952050814379071E-3</v>
      </c>
      <c r="BN24" s="127">
        <f t="array" ref="BN24">BH24*INDEX(Royalty!$U$7:$Z$246,MATCH('Decline and Model'!$E24,Royalty!$AI$7:$AI$246,0),MATCH('Decline and Model'!BN$8,Royalty!$U$1:$Z$1,0))</f>
        <v>6.0993683929505948E-3</v>
      </c>
      <c r="BO24" s="127">
        <f t="array" ref="BO24">BI24*INDEX(Royalty!$U$7:$Z$246,MATCH('Decline and Model'!$E24,Royalty!$AI$7:$AI$246,0),MATCH('Decline and Model'!BO$8,Royalty!$U$1:$Z$1,0))</f>
        <v>2.3811086275330609E-3</v>
      </c>
      <c r="BP24" s="135">
        <f t="shared" si="11"/>
        <v>0.21846870175069291</v>
      </c>
      <c r="BQ24" s="7"/>
      <c r="BR24" s="7"/>
      <c r="BS24">
        <v>16</v>
      </c>
      <c r="BT24" s="120">
        <f t="shared" si="12"/>
        <v>252469.51096620483</v>
      </c>
      <c r="BU24" s="113">
        <f t="shared" si="13"/>
        <v>220552.92654659058</v>
      </c>
      <c r="BV24" s="113">
        <f t="shared" si="14"/>
        <v>66165.877963977167</v>
      </c>
      <c r="BW24" s="113">
        <f t="shared" si="47"/>
        <v>8581600.4355534948</v>
      </c>
      <c r="BX24" s="113">
        <f t="shared" si="39"/>
        <v>189691.56284184472</v>
      </c>
      <c r="BY24" s="120">
        <f t="shared" si="40"/>
        <v>426752.52551336121</v>
      </c>
      <c r="BZ24" s="153">
        <f t="shared" si="48"/>
        <v>0</v>
      </c>
      <c r="CA24" s="120">
        <f t="shared" si="50"/>
        <v>426752.52551336121</v>
      </c>
      <c r="CB24" s="120">
        <f t="shared" si="41"/>
        <v>106688.1313783403</v>
      </c>
      <c r="CC24" s="153">
        <f t="shared" si="42"/>
        <v>509755.95697686565</v>
      </c>
      <c r="CD24" s="7">
        <f t="shared" si="16"/>
        <v>451658.46136913041</v>
      </c>
      <c r="CE24" s="11">
        <f>SUM($CD$9:CD24)</f>
        <v>13175068.631520871</v>
      </c>
      <c r="CF24" s="11">
        <f t="shared" si="43"/>
        <v>12000000</v>
      </c>
      <c r="CG24">
        <f t="shared" si="44"/>
        <v>1175068.6315208711</v>
      </c>
    </row>
    <row r="25" spans="1:92" ht="15.75" customHeight="1">
      <c r="A25">
        <f t="shared" si="17"/>
        <v>2018</v>
      </c>
      <c r="B25">
        <f t="shared" si="18"/>
        <v>30.416666666666668</v>
      </c>
      <c r="C25">
        <f t="shared" si="51"/>
        <v>2</v>
      </c>
      <c r="E25" s="97">
        <v>43313</v>
      </c>
      <c r="F25" s="2">
        <f>$F$6*EXP(-$F$3*COUNT($E$9:$E25))</f>
        <v>342.55768101935428</v>
      </c>
      <c r="G25" s="260">
        <f>$F$6/(1+$F$5*$F$3*COUNT($E$9:$E25))^(1/$F$5)</f>
        <v>360.65004420428187</v>
      </c>
      <c r="H25" s="260">
        <f>$H$6/(1+$H$5*$H$3*COUNT($E$9:$E25))^(1/$H$5)</f>
        <v>1150.6795662899722</v>
      </c>
      <c r="I25" s="260">
        <f t="shared" si="19"/>
        <v>219.17706024570899</v>
      </c>
      <c r="J25" s="260">
        <f t="shared" si="20"/>
        <v>91.265327886313216</v>
      </c>
      <c r="K25" s="260">
        <f t="shared" si="20"/>
        <v>62.092861167609357</v>
      </c>
      <c r="L25" s="260">
        <f t="shared" si="20"/>
        <v>29.610820839195284</v>
      </c>
      <c r="M25" s="260">
        <f t="shared" si="20"/>
        <v>36.229968058615697</v>
      </c>
      <c r="N25" s="19">
        <f t="shared" si="21"/>
        <v>10419.462797672026</v>
      </c>
      <c r="O25" s="19">
        <f t="shared" si="22"/>
        <v>10969.772177880241</v>
      </c>
      <c r="P25" s="19">
        <f t="shared" si="23"/>
        <v>34999.836807986656</v>
      </c>
      <c r="Q25" s="19">
        <f t="shared" si="24"/>
        <v>6666.6355824736484</v>
      </c>
      <c r="R25" s="19">
        <f t="shared" si="25"/>
        <v>2775.9870565420269</v>
      </c>
      <c r="S25" s="19">
        <f t="shared" si="26"/>
        <v>1888.6578605147847</v>
      </c>
      <c r="T25" s="19">
        <f t="shared" si="27"/>
        <v>900.66246719218998</v>
      </c>
      <c r="U25" s="19">
        <f t="shared" si="28"/>
        <v>1101.9948617828941</v>
      </c>
      <c r="V25" s="261">
        <f t="shared" si="45"/>
        <v>21125.452948980776</v>
      </c>
      <c r="W25" s="261">
        <f>SUM(O$9:O25)</f>
        <v>276483.17268715956</v>
      </c>
      <c r="X25" s="261">
        <f>SUM(P$9:P25)</f>
        <v>921256.89810642996</v>
      </c>
      <c r="Y25" s="261">
        <f>SUM(Q$9:Q25)</f>
        <v>175477.50440122478</v>
      </c>
      <c r="Z25" s="261">
        <f>SUM($V$9:V25)</f>
        <v>543798.4466603297</v>
      </c>
      <c r="AB25" s="257">
        <f t="array" ref="AB25">(INDEX(PriceDeck!$C$18:$O$77,MATCH('Decline and Model'!$A25,PriceDeck!$B$18:$B$77,0),MATCH('Decline and Model'!AB$8,PriceDeck!$C$13:$O$13,0))*(1+$AE$6))</f>
        <v>58.7</v>
      </c>
      <c r="AC25" s="257">
        <f t="array" ref="AC25">INDEX(PriceDeck!$C$18:$O$77,MATCH('Decline and Model'!$A25,PriceDeck!$B$18:$B$77,0),MATCH('Decline and Model'!AC$8,PriceDeck!$C$13:$O$13,0))*(1+$AE$6)</f>
        <v>72.7</v>
      </c>
      <c r="AD25" s="257">
        <f t="array" ref="AD25">INDEX(PriceDeck!$C$18:$O$77,MATCH('Decline and Model'!$A25,PriceDeck!$B$18:$B$77,0),MATCH('Decline and Model'!AD$8,PriceDeck!$C$13:$O$13,0))*(1+$AE$6)</f>
        <v>11.8</v>
      </c>
      <c r="AE25" s="257">
        <f t="array" ref="AE25">INDEX(PriceDeck!$C$18:$O$77,MATCH('Decline and Model'!$A25,PriceDeck!$B$18:$B$77,0),MATCH('Decline and Model'!AE$8,PriceDeck!$C$13:$O$13,0))*(1+$AE$6)</f>
        <v>23.7</v>
      </c>
      <c r="AF25" s="257">
        <f t="array" ref="AF25">INDEX(PriceDeck!$C$18:$O$77,MATCH('Decline and Model'!$A25,PriceDeck!$B$18:$B$77,0),MATCH('Decline and Model'!AF$8,PriceDeck!$C$13:$O$13,0))*(1+$AE$6)</f>
        <v>75.8</v>
      </c>
      <c r="AG25" s="257">
        <f t="array" ref="AG25">INDEX(PriceDeck!$C$18:$O$77,MATCH('Decline and Model'!$A25,PriceDeck!$B$18:$B$77,0),MATCH('Decline and Model'!AG$8,PriceDeck!$C$13:$O$13,0))*(1+$AE$6)</f>
        <v>47.9</v>
      </c>
      <c r="AH25" s="258">
        <f t="array" ref="AH25">INDEX(PriceDeck!$C$18:$O$77,MATCH('Decline and Model'!$A25,PriceDeck!$B$18:$B$77,0),MATCH('Decline and Model'!AH$8,PriceDeck!$C$13:$O$13,0))</f>
        <v>0.77500000000000002</v>
      </c>
      <c r="AI25" s="258">
        <f t="shared" si="29"/>
        <v>3.15</v>
      </c>
      <c r="AJ25" s="259">
        <f t="shared" si="30"/>
        <v>3.15</v>
      </c>
      <c r="AK25" s="120">
        <v>3.15</v>
      </c>
      <c r="AL25" s="120"/>
      <c r="AN25" s="7">
        <f t="shared" si="31"/>
        <v>797502.43733189348</v>
      </c>
      <c r="AO25" s="7">
        <f t="shared" si="2"/>
        <v>110249.48594515797</v>
      </c>
      <c r="AP25" s="7">
        <f t="shared" si="32"/>
        <v>32756.64726719592</v>
      </c>
      <c r="AQ25" s="7">
        <f t="shared" si="33"/>
        <v>44761.191294200398</v>
      </c>
      <c r="AR25" s="7">
        <f t="shared" si="34"/>
        <v>68270.215013167995</v>
      </c>
      <c r="AS25" s="7">
        <f t="shared" si="35"/>
        <v>52785.553879400628</v>
      </c>
      <c r="AT25" s="7">
        <f t="shared" si="36"/>
        <v>1106325.5307310163</v>
      </c>
      <c r="AU25" s="7">
        <f>SUM($AT$9:AT25)</f>
        <v>27781248.426655818</v>
      </c>
      <c r="AV25" s="7">
        <f>AT25/(1+$AR$5)^(COUNT($E$9:E25))</f>
        <v>972850.85722137662</v>
      </c>
      <c r="AW25" s="7">
        <f t="shared" si="49"/>
        <v>0</v>
      </c>
      <c r="AX25" s="7">
        <f t="shared" si="37"/>
        <v>0</v>
      </c>
      <c r="AY25" s="117">
        <f t="shared" si="38"/>
        <v>0</v>
      </c>
      <c r="AZ25" s="117">
        <f t="shared" si="3"/>
        <v>1106325.5307310163</v>
      </c>
      <c r="BA25" s="120">
        <f t="shared" si="46"/>
        <v>241656.26359455136</v>
      </c>
      <c r="BB25" s="119">
        <f t="shared" si="4"/>
        <v>0</v>
      </c>
      <c r="BC25" s="17"/>
      <c r="BD25" s="126">
        <f t="shared" si="5"/>
        <v>0.72085694054708771</v>
      </c>
      <c r="BE25" s="127">
        <f t="shared" si="6"/>
        <v>9.9653748270917566E-2</v>
      </c>
      <c r="BF25" s="127">
        <f t="shared" si="7"/>
        <v>2.9608507041821244E-2</v>
      </c>
      <c r="BG25" s="127">
        <f t="shared" si="8"/>
        <v>4.0459331409105209E-2</v>
      </c>
      <c r="BH25" s="127">
        <f t="shared" si="9"/>
        <v>6.170897544781212E-2</v>
      </c>
      <c r="BI25" s="128">
        <f t="shared" si="10"/>
        <v>4.7712497283256237E-2</v>
      </c>
      <c r="BJ25" s="126">
        <f t="array" ref="BJ25">BD25*INDEX(Royalty!$U$7:$Z$246,MATCH('Decline and Model'!$E25,Royalty!$AI$7:$AI$246,0),MATCH('Decline and Model'!BJ$8,Royalty!$U$1:$Z$1,0))</f>
        <v>0.17165158154105914</v>
      </c>
      <c r="BK25" s="127">
        <f t="array" ref="BK25">BE25*INDEX(Royalty!$U$7:$Z$246,MATCH('Decline and Model'!$E25,Royalty!$AI$7:$AI$246,0),MATCH('Decline and Model'!BK$8,Royalty!$U$1:$Z$1,0))</f>
        <v>2.2971901319827275E-2</v>
      </c>
      <c r="BL25" s="127">
        <f t="array" ref="BL25">BF25*INDEX(Royalty!$U$7:$Z$246,MATCH('Decline and Model'!$E25,Royalty!$AI$7:$AI$246,0),MATCH('Decline and Model'!BL$8,Royalty!$U$1:$Z$1,0))</f>
        <v>6.4994946070153813E-3</v>
      </c>
      <c r="BM25" s="127">
        <f t="array" ref="BM25">BG25*INDEX(Royalty!$U$7:$Z$246,MATCH('Decline and Model'!$E25,Royalty!$AI$7:$AI$246,0),MATCH('Decline and Model'!BM$8,Royalty!$U$1:$Z$1,0))</f>
        <v>8.811886902206462E-3</v>
      </c>
      <c r="BN25" s="127">
        <f t="array" ref="BN25">BH25*INDEX(Royalty!$U$7:$Z$246,MATCH('Decline and Model'!$E25,Royalty!$AI$7:$AI$246,0),MATCH('Decline and Model'!BN$8,Royalty!$U$1:$Z$1,0))</f>
        <v>6.1109370339760697E-3</v>
      </c>
      <c r="BO25" s="127">
        <f t="array" ref="BO25">BI25*INDEX(Royalty!$U$7:$Z$246,MATCH('Decline and Model'!$E25,Royalty!$AI$7:$AI$246,0),MATCH('Decline and Model'!BO$8,Royalty!$U$1:$Z$1,0))</f>
        <v>2.3856248641628119E-3</v>
      </c>
      <c r="BP25" s="135">
        <f t="shared" si="11"/>
        <v>0.21843142626824713</v>
      </c>
      <c r="BQ25" s="7"/>
      <c r="BR25" s="7"/>
      <c r="BS25">
        <v>17</v>
      </c>
      <c r="BT25" s="120">
        <f t="shared" si="12"/>
        <v>241656.26359455136</v>
      </c>
      <c r="BU25" s="113">
        <f t="shared" si="13"/>
        <v>211254.52948980776</v>
      </c>
      <c r="BV25" s="113">
        <f t="shared" si="14"/>
        <v>63376.358846942327</v>
      </c>
      <c r="BW25" s="113">
        <f t="shared" si="47"/>
        <v>8391908.872711651</v>
      </c>
      <c r="BX25" s="113">
        <f t="shared" si="39"/>
        <v>185498.53506298139</v>
      </c>
      <c r="BY25" s="120">
        <f t="shared" si="40"/>
        <v>404539.84373673343</v>
      </c>
      <c r="BZ25" s="153">
        <f t="shared" si="48"/>
        <v>0</v>
      </c>
      <c r="CA25" s="120">
        <f t="shared" si="50"/>
        <v>404539.84373673343</v>
      </c>
      <c r="CB25" s="120">
        <f t="shared" si="41"/>
        <v>101134.96093418336</v>
      </c>
      <c r="CC25" s="153">
        <f t="shared" si="42"/>
        <v>488903.41786553152</v>
      </c>
      <c r="CD25" s="7">
        <f t="shared" si="16"/>
        <v>429918.76799106819</v>
      </c>
      <c r="CE25" s="11">
        <f>SUM($CD$9:CD25)</f>
        <v>13604987.399511939</v>
      </c>
      <c r="CF25" s="11">
        <f t="shared" si="43"/>
        <v>12000000</v>
      </c>
      <c r="CG25">
        <f t="shared" si="44"/>
        <v>1604987.3995119389</v>
      </c>
    </row>
    <row r="26" spans="1:92" ht="15.75" customHeight="1">
      <c r="A26">
        <f t="shared" si="17"/>
        <v>2018</v>
      </c>
      <c r="B26">
        <f t="shared" si="18"/>
        <v>30.416666666666668</v>
      </c>
      <c r="C26">
        <f t="shared" si="51"/>
        <v>2</v>
      </c>
      <c r="E26" s="97">
        <v>43344</v>
      </c>
      <c r="F26" s="2">
        <f>$F$6*EXP(-$F$3*COUNT($E$9:$E26))</f>
        <v>325.85094577433955</v>
      </c>
      <c r="G26" s="260">
        <f>$F$6/(1+$F$5*$F$3*COUNT($E$9:$E26))^(1/$F$5)</f>
        <v>345.11373750895621</v>
      </c>
      <c r="H26" s="260">
        <f>$H$6/(1+$H$5*$H$3*COUNT($E$9:$E26))^(1/$H$5)</f>
        <v>1105.0061912054184</v>
      </c>
      <c r="I26" s="260">
        <f t="shared" si="19"/>
        <v>210.47736975341303</v>
      </c>
      <c r="J26" s="260">
        <f t="shared" si="20"/>
        <v>87.642776765321187</v>
      </c>
      <c r="K26" s="260">
        <f t="shared" si="20"/>
        <v>59.628238851141909</v>
      </c>
      <c r="L26" s="260">
        <f t="shared" si="20"/>
        <v>28.435492653686101</v>
      </c>
      <c r="M26" s="260">
        <f t="shared" si="20"/>
        <v>34.791909220239177</v>
      </c>
      <c r="N26" s="19">
        <f t="shared" si="21"/>
        <v>9911.2996006361609</v>
      </c>
      <c r="O26" s="19">
        <f t="shared" si="22"/>
        <v>10497.209515897419</v>
      </c>
      <c r="P26" s="19">
        <f t="shared" si="23"/>
        <v>33610.604982498146</v>
      </c>
      <c r="Q26" s="19">
        <f t="shared" si="24"/>
        <v>6402.0199966663131</v>
      </c>
      <c r="R26" s="19">
        <f t="shared" si="25"/>
        <v>2665.8011266118529</v>
      </c>
      <c r="S26" s="19">
        <f t="shared" si="26"/>
        <v>1813.6922650555664</v>
      </c>
      <c r="T26" s="19">
        <f t="shared" si="27"/>
        <v>864.91290154961894</v>
      </c>
      <c r="U26" s="19">
        <f t="shared" si="28"/>
        <v>1058.2539054489416</v>
      </c>
      <c r="V26" s="261">
        <f t="shared" si="45"/>
        <v>20249.785694993254</v>
      </c>
      <c r="W26" s="261">
        <f>SUM(O$9:O26)</f>
        <v>286980.382203057</v>
      </c>
      <c r="X26" s="261">
        <f>SUM(P$9:P26)</f>
        <v>954867.50308892806</v>
      </c>
      <c r="Y26" s="261">
        <f>SUM(Q$9:Q26)</f>
        <v>181879.5243978911</v>
      </c>
      <c r="Z26" s="261">
        <f>SUM($V$9:V26)</f>
        <v>564048.23235532292</v>
      </c>
      <c r="AB26" s="257">
        <f t="array" ref="AB26">(INDEX(PriceDeck!$C$18:$O$77,MATCH('Decline and Model'!$A26,PriceDeck!$B$18:$B$77,0),MATCH('Decline and Model'!AB$8,PriceDeck!$C$13:$O$13,0))*(1+$AE$6))</f>
        <v>58.7</v>
      </c>
      <c r="AC26" s="257">
        <f t="array" ref="AC26">INDEX(PriceDeck!$C$18:$O$77,MATCH('Decline and Model'!$A26,PriceDeck!$B$18:$B$77,0),MATCH('Decline and Model'!AC$8,PriceDeck!$C$13:$O$13,0))*(1+$AE$6)</f>
        <v>72.7</v>
      </c>
      <c r="AD26" s="257">
        <f t="array" ref="AD26">INDEX(PriceDeck!$C$18:$O$77,MATCH('Decline and Model'!$A26,PriceDeck!$B$18:$B$77,0),MATCH('Decline and Model'!AD$8,PriceDeck!$C$13:$O$13,0))*(1+$AE$6)</f>
        <v>11.8</v>
      </c>
      <c r="AE26" s="257">
        <f t="array" ref="AE26">INDEX(PriceDeck!$C$18:$O$77,MATCH('Decline and Model'!$A26,PriceDeck!$B$18:$B$77,0),MATCH('Decline and Model'!AE$8,PriceDeck!$C$13:$O$13,0))*(1+$AE$6)</f>
        <v>23.7</v>
      </c>
      <c r="AF26" s="257">
        <f t="array" ref="AF26">INDEX(PriceDeck!$C$18:$O$77,MATCH('Decline and Model'!$A26,PriceDeck!$B$18:$B$77,0),MATCH('Decline and Model'!AF$8,PriceDeck!$C$13:$O$13,0))*(1+$AE$6)</f>
        <v>75.8</v>
      </c>
      <c r="AG26" s="257">
        <f t="array" ref="AG26">INDEX(PriceDeck!$C$18:$O$77,MATCH('Decline and Model'!$A26,PriceDeck!$B$18:$B$77,0),MATCH('Decline and Model'!AG$8,PriceDeck!$C$13:$O$13,0))*(1+$AE$6)</f>
        <v>47.9</v>
      </c>
      <c r="AH26" s="258">
        <f t="array" ref="AH26">INDEX(PriceDeck!$C$18:$O$77,MATCH('Decline and Model'!$A26,PriceDeck!$B$18:$B$77,0),MATCH('Decline and Model'!AH$8,PriceDeck!$C$13:$O$13,0))</f>
        <v>0.77500000000000002</v>
      </c>
      <c r="AI26" s="258">
        <f t="shared" si="29"/>
        <v>3.15</v>
      </c>
      <c r="AJ26" s="259">
        <f t="shared" si="30"/>
        <v>3.15</v>
      </c>
      <c r="AK26" s="120">
        <v>3.15</v>
      </c>
      <c r="AL26" s="120"/>
      <c r="AN26" s="7">
        <f t="shared" si="31"/>
        <v>763147.13180574239</v>
      </c>
      <c r="AO26" s="7">
        <f t="shared" si="2"/>
        <v>105873.40569486916</v>
      </c>
      <c r="AP26" s="7">
        <f t="shared" si="32"/>
        <v>31456.453294019866</v>
      </c>
      <c r="AQ26" s="7">
        <f t="shared" si="33"/>
        <v>42984.506681816922</v>
      </c>
      <c r="AR26" s="7">
        <f t="shared" si="34"/>
        <v>65560.397937461108</v>
      </c>
      <c r="AS26" s="7">
        <f t="shared" si="35"/>
        <v>50690.362071004303</v>
      </c>
      <c r="AT26" s="7">
        <f t="shared" si="36"/>
        <v>1059712.2574849138</v>
      </c>
      <c r="AU26" s="7">
        <f>SUM($AT$9:AT26)</f>
        <v>28840960.684140731</v>
      </c>
      <c r="AV26" s="7">
        <f>AT26/(1+$AR$5)^(COUNT($E$9:E26))</f>
        <v>924840.37046505674</v>
      </c>
      <c r="AW26" s="7">
        <f t="shared" si="49"/>
        <v>0</v>
      </c>
      <c r="AX26" s="7">
        <f t="shared" si="37"/>
        <v>0</v>
      </c>
      <c r="AY26" s="117">
        <f t="shared" si="38"/>
        <v>0</v>
      </c>
      <c r="AZ26" s="117">
        <f t="shared" si="3"/>
        <v>1059712.2574849138</v>
      </c>
      <c r="BA26" s="120">
        <f t="shared" si="46"/>
        <v>231421.28816257275</v>
      </c>
      <c r="BB26" s="119">
        <f t="shared" si="4"/>
        <v>0</v>
      </c>
      <c r="BC26" s="17"/>
      <c r="BD26" s="126">
        <f t="shared" si="5"/>
        <v>0.72014561161816759</v>
      </c>
      <c r="BE26" s="127">
        <f t="shared" si="6"/>
        <v>9.990769187302373E-2</v>
      </c>
      <c r="BF26" s="127">
        <f t="shared" si="7"/>
        <v>2.968395719860557E-2</v>
      </c>
      <c r="BG26" s="127">
        <f t="shared" si="8"/>
        <v>4.0562432281225975E-2</v>
      </c>
      <c r="BH26" s="127">
        <f t="shared" si="9"/>
        <v>6.1866225925384689E-2</v>
      </c>
      <c r="BI26" s="128">
        <f t="shared" si="10"/>
        <v>4.783408110359235E-2</v>
      </c>
      <c r="BJ26" s="126">
        <f t="array" ref="BJ26">BD26*INDEX(Royalty!$U$7:$Z$246,MATCH('Decline and Model'!$E26,Royalty!$AI$7:$AI$246,0),MATCH('Decline and Model'!BJ$8,Royalty!$U$1:$Z$1,0))</f>
        <v>0.17148219878454107</v>
      </c>
      <c r="BK26" s="127">
        <f t="array" ref="BK26">BE26*INDEX(Royalty!$U$7:$Z$246,MATCH('Decline and Model'!$E26,Royalty!$AI$7:$AI$246,0),MATCH('Decline and Model'!BK$8,Royalty!$U$1:$Z$1,0))</f>
        <v>2.3030439683607885E-2</v>
      </c>
      <c r="BL26" s="127">
        <f t="array" ref="BL26">BF26*INDEX(Royalty!$U$7:$Z$246,MATCH('Decline and Model'!$E26,Royalty!$AI$7:$AI$246,0),MATCH('Decline and Model'!BL$8,Royalty!$U$1:$Z$1,0))</f>
        <v>6.5160570053296746E-3</v>
      </c>
      <c r="BM26" s="127">
        <f t="array" ref="BM26">BG26*INDEX(Royalty!$U$7:$Z$246,MATCH('Decline and Model'!$E26,Royalty!$AI$7:$AI$246,0),MATCH('Decline and Model'!BM$8,Royalty!$U$1:$Z$1,0))</f>
        <v>8.8343418759543133E-3</v>
      </c>
      <c r="BN26" s="127">
        <f t="array" ref="BN26">BH26*INDEX(Royalty!$U$7:$Z$246,MATCH('Decline and Model'!$E26,Royalty!$AI$7:$AI$246,0),MATCH('Decline and Model'!BN$8,Royalty!$U$1:$Z$1,0))</f>
        <v>6.1265092867972392E-3</v>
      </c>
      <c r="BO26" s="127">
        <f t="array" ref="BO26">BI26*INDEX(Royalty!$U$7:$Z$246,MATCH('Decline and Model'!$E26,Royalty!$AI$7:$AI$246,0),MATCH('Decline and Model'!BO$8,Royalty!$U$1:$Z$1,0))</f>
        <v>2.3917040551796175E-3</v>
      </c>
      <c r="BP26" s="135">
        <f t="shared" si="11"/>
        <v>0.21838125069140976</v>
      </c>
      <c r="BQ26" s="7"/>
      <c r="BR26" s="7"/>
      <c r="BS26">
        <v>18</v>
      </c>
      <c r="BT26" s="120">
        <f t="shared" si="12"/>
        <v>231421.28816257275</v>
      </c>
      <c r="BU26" s="113">
        <f t="shared" si="13"/>
        <v>202497.85694993252</v>
      </c>
      <c r="BV26" s="113">
        <f t="shared" si="14"/>
        <v>60749.357084979762</v>
      </c>
      <c r="BW26" s="113">
        <f t="shared" si="47"/>
        <v>8206410.3376486693</v>
      </c>
      <c r="BX26" s="113">
        <f t="shared" si="39"/>
        <v>181398.19185949359</v>
      </c>
      <c r="BY26" s="120">
        <f t="shared" si="40"/>
        <v>383645.56342793512</v>
      </c>
      <c r="BZ26" s="153">
        <f t="shared" si="48"/>
        <v>0</v>
      </c>
      <c r="CA26" s="120">
        <f t="shared" si="50"/>
        <v>383645.56342793512</v>
      </c>
      <c r="CB26" s="120">
        <f t="shared" si="41"/>
        <v>95911.39085698378</v>
      </c>
      <c r="CC26" s="153">
        <f t="shared" si="42"/>
        <v>469132.3644304449</v>
      </c>
      <c r="CD26" s="7">
        <f t="shared" si="16"/>
        <v>409424.8666583696</v>
      </c>
      <c r="CE26" s="11">
        <f>SUM($CD$9:CD26)</f>
        <v>14014412.266170308</v>
      </c>
      <c r="CF26" s="11">
        <f t="shared" si="43"/>
        <v>12000000</v>
      </c>
      <c r="CG26">
        <f t="shared" si="44"/>
        <v>2014412.266170308</v>
      </c>
      <c r="CI26" t="s">
        <v>142</v>
      </c>
    </row>
    <row r="27" spans="1:92">
      <c r="A27">
        <f t="shared" si="17"/>
        <v>2018</v>
      </c>
      <c r="B27">
        <f t="shared" si="18"/>
        <v>30.416666666666668</v>
      </c>
      <c r="C27">
        <f t="shared" si="51"/>
        <v>2</v>
      </c>
      <c r="E27" s="97">
        <v>43374</v>
      </c>
      <c r="F27" s="2">
        <f>$F$6*EXP(-$F$3*COUNT($E$9:$E27))</f>
        <v>309.95900762193833</v>
      </c>
      <c r="G27" s="260">
        <f>$F$6/(1+$F$5*$F$3*COUNT($E$9:$E27))^(1/$F$5)</f>
        <v>330.34521170303697</v>
      </c>
      <c r="H27" s="260">
        <f>$H$6/(1+$H$5*$H$3*COUNT($E$9:$E27))^(1/$H$5)</f>
        <v>1062.3550387949956</v>
      </c>
      <c r="I27" s="260">
        <f t="shared" si="19"/>
        <v>202.3533407228563</v>
      </c>
      <c r="J27" s="260">
        <f t="shared" si="20"/>
        <v>84.259931076997361</v>
      </c>
      <c r="K27" s="260">
        <f t="shared" si="20"/>
        <v>57.326701426785192</v>
      </c>
      <c r="L27" s="260">
        <f t="shared" si="20"/>
        <v>27.337936331657886</v>
      </c>
      <c r="M27" s="260">
        <f t="shared" si="20"/>
        <v>33.449007221488145</v>
      </c>
      <c r="N27" s="19">
        <f t="shared" si="21"/>
        <v>9427.9198151672917</v>
      </c>
      <c r="O27" s="19">
        <f t="shared" si="22"/>
        <v>10048.000189300708</v>
      </c>
      <c r="P27" s="19">
        <f t="shared" si="23"/>
        <v>32313.299096681119</v>
      </c>
      <c r="Q27" s="19">
        <f t="shared" si="24"/>
        <v>6154.9141136535463</v>
      </c>
      <c r="R27" s="19">
        <f t="shared" si="25"/>
        <v>2562.9062369253365</v>
      </c>
      <c r="S27" s="19">
        <f t="shared" si="26"/>
        <v>1743.6871683980496</v>
      </c>
      <c r="T27" s="19">
        <f t="shared" si="27"/>
        <v>831.52889675459403</v>
      </c>
      <c r="U27" s="19">
        <f t="shared" si="28"/>
        <v>1017.4073029869311</v>
      </c>
      <c r="V27" s="261">
        <f t="shared" si="45"/>
        <v>19424.145343557568</v>
      </c>
      <c r="W27" s="261">
        <f>SUM(O$9:O27)</f>
        <v>297028.38239235769</v>
      </c>
      <c r="X27" s="261">
        <f>SUM(P$9:P27)</f>
        <v>987180.80218560924</v>
      </c>
      <c r="Y27" s="261">
        <f>SUM(Q$9:Q27)</f>
        <v>188034.43851154463</v>
      </c>
      <c r="Z27" s="261">
        <f>SUM($V$9:V27)</f>
        <v>583472.3776988805</v>
      </c>
      <c r="AB27" s="257">
        <f t="array" ref="AB27">(INDEX(PriceDeck!$C$18:$O$77,MATCH('Decline and Model'!$A27,PriceDeck!$B$18:$B$77,0),MATCH('Decline and Model'!AB$8,PriceDeck!$C$13:$O$13,0))*(1+$AE$6))</f>
        <v>58.7</v>
      </c>
      <c r="AC27" s="257">
        <f t="array" ref="AC27">INDEX(PriceDeck!$C$18:$O$77,MATCH('Decline and Model'!$A27,PriceDeck!$B$18:$B$77,0),MATCH('Decline and Model'!AC$8,PriceDeck!$C$13:$O$13,0))*(1+$AE$6)</f>
        <v>72.7</v>
      </c>
      <c r="AD27" s="257">
        <f t="array" ref="AD27">INDEX(PriceDeck!$C$18:$O$77,MATCH('Decline and Model'!$A27,PriceDeck!$B$18:$B$77,0),MATCH('Decline and Model'!AD$8,PriceDeck!$C$13:$O$13,0))*(1+$AE$6)</f>
        <v>11.8</v>
      </c>
      <c r="AE27" s="257">
        <f t="array" ref="AE27">INDEX(PriceDeck!$C$18:$O$77,MATCH('Decline and Model'!$A27,PriceDeck!$B$18:$B$77,0),MATCH('Decline and Model'!AE$8,PriceDeck!$C$13:$O$13,0))*(1+$AE$6)</f>
        <v>23.7</v>
      </c>
      <c r="AF27" s="257">
        <f t="array" ref="AF27">INDEX(PriceDeck!$C$18:$O$77,MATCH('Decline and Model'!$A27,PriceDeck!$B$18:$B$77,0),MATCH('Decline and Model'!AF$8,PriceDeck!$C$13:$O$13,0))*(1+$AE$6)</f>
        <v>75.8</v>
      </c>
      <c r="AG27" s="257">
        <f t="array" ref="AG27">INDEX(PriceDeck!$C$18:$O$77,MATCH('Decline and Model'!$A27,PriceDeck!$B$18:$B$77,0),MATCH('Decline and Model'!AG$8,PriceDeck!$C$13:$O$13,0))*(1+$AE$6)</f>
        <v>47.9</v>
      </c>
      <c r="AH27" s="258">
        <f t="array" ref="AH27">INDEX(PriceDeck!$C$18:$O$77,MATCH('Decline and Model'!$A27,PriceDeck!$B$18:$B$77,0),MATCH('Decline and Model'!AH$8,PriceDeck!$C$13:$O$13,0))</f>
        <v>0.77500000000000002</v>
      </c>
      <c r="AI27" s="258">
        <f t="shared" si="29"/>
        <v>3.15</v>
      </c>
      <c r="AJ27" s="259">
        <f t="shared" si="30"/>
        <v>3.15</v>
      </c>
      <c r="AK27" s="120">
        <v>3.15</v>
      </c>
      <c r="AL27" s="120"/>
      <c r="AN27" s="7">
        <f t="shared" si="31"/>
        <v>730489.61376216158</v>
      </c>
      <c r="AO27" s="7">
        <f t="shared" si="2"/>
        <v>101786.89215454552</v>
      </c>
      <c r="AP27" s="7">
        <f t="shared" si="32"/>
        <v>30242.293595718973</v>
      </c>
      <c r="AQ27" s="7">
        <f t="shared" si="33"/>
        <v>41325.385891033773</v>
      </c>
      <c r="AR27" s="7">
        <f t="shared" si="34"/>
        <v>63029.890373998227</v>
      </c>
      <c r="AS27" s="7">
        <f t="shared" si="35"/>
        <v>48733.809813073996</v>
      </c>
      <c r="AT27" s="7">
        <f t="shared" si="36"/>
        <v>1015607.885590532</v>
      </c>
      <c r="AU27" s="7">
        <f>SUM($AT$9:AT27)</f>
        <v>29856568.569731262</v>
      </c>
      <c r="AV27" s="7">
        <f>AT27/(1+$AR$5)^(COUNT($E$9:E27))</f>
        <v>879671.20393010892</v>
      </c>
      <c r="AW27" s="7">
        <f t="shared" si="49"/>
        <v>0</v>
      </c>
      <c r="AX27" s="7">
        <f t="shared" si="37"/>
        <v>0</v>
      </c>
      <c r="AY27" s="117">
        <f t="shared" si="38"/>
        <v>0</v>
      </c>
      <c r="AZ27" s="117">
        <f t="shared" si="3"/>
        <v>1015607.885590532</v>
      </c>
      <c r="BA27" s="120">
        <f t="shared" si="46"/>
        <v>221726.52205556058</v>
      </c>
      <c r="BB27" s="119">
        <f t="shared" si="4"/>
        <v>0</v>
      </c>
      <c r="BC27" s="17"/>
      <c r="BD27" s="126">
        <f t="shared" si="5"/>
        <v>0.71926343239981194</v>
      </c>
      <c r="BE27" s="127">
        <f t="shared" si="6"/>
        <v>0.1002226288301817</v>
      </c>
      <c r="BF27" s="127">
        <f t="shared" si="7"/>
        <v>2.9777529324848034E-2</v>
      </c>
      <c r="BG27" s="127">
        <f t="shared" si="8"/>
        <v>4.0690296400175005E-2</v>
      </c>
      <c r="BH27" s="127">
        <f t="shared" si="9"/>
        <v>6.206124555378878E-2</v>
      </c>
      <c r="BI27" s="128">
        <f t="shared" si="10"/>
        <v>4.7984867491194592E-2</v>
      </c>
      <c r="BJ27" s="126">
        <f t="array" ref="BJ27">BD27*INDEX(Royalty!$U$7:$Z$246,MATCH('Decline and Model'!$E27,Royalty!$AI$7:$AI$246,0),MATCH('Decline and Model'!BJ$8,Royalty!$U$1:$Z$1,0))</f>
        <v>0.17127213289002602</v>
      </c>
      <c r="BK27" s="127">
        <f t="array" ref="BK27">BE27*INDEX(Royalty!$U$7:$Z$246,MATCH('Decline and Model'!$E27,Royalty!$AI$7:$AI$246,0),MATCH('Decline and Model'!BK$8,Royalty!$U$1:$Z$1,0))</f>
        <v>2.3103038063772487E-2</v>
      </c>
      <c r="BL27" s="127">
        <f t="array" ref="BL27">BF27*INDEX(Royalty!$U$7:$Z$246,MATCH('Decline and Model'!$E27,Royalty!$AI$7:$AI$246,0),MATCH('Decline and Model'!BL$8,Royalty!$U$1:$Z$1,0))</f>
        <v>6.5365974374771256E-3</v>
      </c>
      <c r="BM27" s="127">
        <f t="array" ref="BM27">BG27*INDEX(Royalty!$U$7:$Z$246,MATCH('Decline and Model'!$E27,Royalty!$AI$7:$AI$246,0),MATCH('Decline and Model'!BM$8,Royalty!$U$1:$Z$1,0))</f>
        <v>8.8621901897001885E-3</v>
      </c>
      <c r="BN27" s="127">
        <f t="array" ref="BN27">BH27*INDEX(Royalty!$U$7:$Z$246,MATCH('Decline and Model'!$E27,Royalty!$AI$7:$AI$246,0),MATCH('Decline and Model'!BN$8,Royalty!$U$1:$Z$1,0))</f>
        <v>6.1458217557033975E-3</v>
      </c>
      <c r="BO27" s="127">
        <f t="array" ref="BO27">BI27*INDEX(Royalty!$U$7:$Z$246,MATCH('Decline and Model'!$E27,Royalty!$AI$7:$AI$246,0),MATCH('Decline and Model'!BO$8,Royalty!$U$1:$Z$1,0))</f>
        <v>2.3992433745597297E-3</v>
      </c>
      <c r="BP27" s="135">
        <f t="shared" si="11"/>
        <v>0.21831902371123893</v>
      </c>
      <c r="BQ27" s="7"/>
      <c r="BR27" s="7"/>
      <c r="BS27">
        <v>19</v>
      </c>
      <c r="BT27" s="120">
        <f t="shared" si="12"/>
        <v>221726.52205556058</v>
      </c>
      <c r="BU27" s="113">
        <f t="shared" si="13"/>
        <v>194241.45343557568</v>
      </c>
      <c r="BV27" s="113">
        <f t="shared" si="14"/>
        <v>58272.436030672703</v>
      </c>
      <c r="BW27" s="113">
        <f t="shared" si="47"/>
        <v>8025012.1457891753</v>
      </c>
      <c r="BX27" s="113">
        <f t="shared" si="39"/>
        <v>177388.48448976415</v>
      </c>
      <c r="BY27" s="120">
        <f t="shared" si="40"/>
        <v>363978.98957895878</v>
      </c>
      <c r="BZ27" s="153">
        <f t="shared" si="48"/>
        <v>0</v>
      </c>
      <c r="CA27" s="120">
        <f t="shared" si="50"/>
        <v>363978.98957895878</v>
      </c>
      <c r="CB27" s="120">
        <f t="shared" si="41"/>
        <v>90994.747394739694</v>
      </c>
      <c r="CC27" s="153">
        <f t="shared" si="42"/>
        <v>450372.72667398321</v>
      </c>
      <c r="CD27" s="7">
        <f t="shared" si="16"/>
        <v>390091.41649213096</v>
      </c>
      <c r="CE27" s="11">
        <f>SUM($CD$9:CD27)</f>
        <v>14404503.682662439</v>
      </c>
      <c r="CF27" s="11">
        <f t="shared" si="43"/>
        <v>12000000</v>
      </c>
      <c r="CG27">
        <f t="shared" si="44"/>
        <v>2404503.6826624386</v>
      </c>
      <c r="CI27" s="11">
        <f>CD5</f>
        <v>13666856.799841944</v>
      </c>
    </row>
    <row r="28" spans="1:92" ht="15.75" customHeight="1">
      <c r="A28">
        <f t="shared" si="17"/>
        <v>2018</v>
      </c>
      <c r="B28">
        <f t="shared" si="18"/>
        <v>30.416666666666668</v>
      </c>
      <c r="C28">
        <f t="shared" si="51"/>
        <v>2</v>
      </c>
      <c r="E28" s="97">
        <v>43405</v>
      </c>
      <c r="F28" s="2">
        <f>$F$6*EXP(-$F$3*COUNT($E$9:$E28))</f>
        <v>294.8421284390289</v>
      </c>
      <c r="G28" s="260">
        <f>$F$6/(1+$F$5*$F$3*COUNT($E$9:$E28))^(1/$F$5)</f>
        <v>316.30172084633062</v>
      </c>
      <c r="H28" s="260">
        <f>$H$6/(1+$H$5*$H$3*COUNT($E$9:$E28))^(1/$H$5)</f>
        <v>1022.4504038755746</v>
      </c>
      <c r="I28" s="260">
        <f t="shared" si="19"/>
        <v>194.75245788106182</v>
      </c>
      <c r="J28" s="260">
        <f t="shared" si="20"/>
        <v>81.094923461674142</v>
      </c>
      <c r="K28" s="260">
        <f t="shared" si="20"/>
        <v>55.173371317704813</v>
      </c>
      <c r="L28" s="260">
        <f t="shared" si="20"/>
        <v>26.31105705973145</v>
      </c>
      <c r="M28" s="260">
        <f t="shared" si="20"/>
        <v>32.192581287739522</v>
      </c>
      <c r="N28" s="19">
        <f t="shared" si="21"/>
        <v>8968.1147400204627</v>
      </c>
      <c r="O28" s="19">
        <f t="shared" si="22"/>
        <v>9620.8440090758904</v>
      </c>
      <c r="P28" s="19">
        <f t="shared" si="23"/>
        <v>31099.53311788206</v>
      </c>
      <c r="Q28" s="19">
        <f t="shared" si="24"/>
        <v>5923.7205938822972</v>
      </c>
      <c r="R28" s="19">
        <f t="shared" si="25"/>
        <v>2466.6372552925886</v>
      </c>
      <c r="S28" s="19">
        <f t="shared" si="26"/>
        <v>1678.1900442468548</v>
      </c>
      <c r="T28" s="19">
        <f t="shared" si="27"/>
        <v>800.29465223349825</v>
      </c>
      <c r="U28" s="19">
        <f t="shared" si="28"/>
        <v>979.19101416874378</v>
      </c>
      <c r="V28" s="261">
        <f t="shared" si="45"/>
        <v>18644.798383726233</v>
      </c>
      <c r="W28" s="261">
        <f>SUM(O$9:O28)</f>
        <v>306649.22640143358</v>
      </c>
      <c r="X28" s="261">
        <f>SUM(P$9:P28)</f>
        <v>1018280.3353034913</v>
      </c>
      <c r="Y28" s="261">
        <f>SUM(Q$9:Q28)</f>
        <v>193958.15910542692</v>
      </c>
      <c r="Z28" s="261">
        <f>SUM($V$9:V28)</f>
        <v>602117.17608260678</v>
      </c>
      <c r="AB28" s="257">
        <f t="array" ref="AB28">(INDEX(PriceDeck!$C$18:$O$77,MATCH('Decline and Model'!$A28,PriceDeck!$B$18:$B$77,0),MATCH('Decline and Model'!AB$8,PriceDeck!$C$13:$O$13,0))*(1+$AE$6))</f>
        <v>58.7</v>
      </c>
      <c r="AC28" s="257">
        <f t="array" ref="AC28">INDEX(PriceDeck!$C$18:$O$77,MATCH('Decline and Model'!$A28,PriceDeck!$B$18:$B$77,0),MATCH('Decline and Model'!AC$8,PriceDeck!$C$13:$O$13,0))*(1+$AE$6)</f>
        <v>72.7</v>
      </c>
      <c r="AD28" s="257">
        <f t="array" ref="AD28">INDEX(PriceDeck!$C$18:$O$77,MATCH('Decline and Model'!$A28,PriceDeck!$B$18:$B$77,0),MATCH('Decline and Model'!AD$8,PriceDeck!$C$13:$O$13,0))*(1+$AE$6)</f>
        <v>11.8</v>
      </c>
      <c r="AE28" s="257">
        <f t="array" ref="AE28">INDEX(PriceDeck!$C$18:$O$77,MATCH('Decline and Model'!$A28,PriceDeck!$B$18:$B$77,0),MATCH('Decline and Model'!AE$8,PriceDeck!$C$13:$O$13,0))*(1+$AE$6)</f>
        <v>23.7</v>
      </c>
      <c r="AF28" s="257">
        <f t="array" ref="AF28">INDEX(PriceDeck!$C$18:$O$77,MATCH('Decline and Model'!$A28,PriceDeck!$B$18:$B$77,0),MATCH('Decline and Model'!AF$8,PriceDeck!$C$13:$O$13,0))*(1+$AE$6)</f>
        <v>75.8</v>
      </c>
      <c r="AG28" s="257">
        <f t="array" ref="AG28">INDEX(PriceDeck!$C$18:$O$77,MATCH('Decline and Model'!$A28,PriceDeck!$B$18:$B$77,0),MATCH('Decline and Model'!AG$8,PriceDeck!$C$13:$O$13,0))*(1+$AE$6)</f>
        <v>47.9</v>
      </c>
      <c r="AH28" s="258">
        <f t="array" ref="AH28">INDEX(PriceDeck!$C$18:$O$77,MATCH('Decline and Model'!$A28,PriceDeck!$B$18:$B$77,0),MATCH('Decline and Model'!AH$8,PriceDeck!$C$13:$O$13,0))</f>
        <v>0.77500000000000002</v>
      </c>
      <c r="AI28" s="258">
        <f t="shared" si="29"/>
        <v>3.15</v>
      </c>
      <c r="AJ28" s="259">
        <f t="shared" si="30"/>
        <v>3.15</v>
      </c>
      <c r="AK28" s="120">
        <v>3.15</v>
      </c>
      <c r="AL28" s="120"/>
      <c r="AN28" s="7">
        <f t="shared" si="31"/>
        <v>699435.35945981729</v>
      </c>
      <c r="AO28" s="7">
        <f t="shared" si="2"/>
        <v>97963.529321328489</v>
      </c>
      <c r="AP28" s="7">
        <f t="shared" si="32"/>
        <v>29106.319612452549</v>
      </c>
      <c r="AQ28" s="7">
        <f t="shared" si="33"/>
        <v>39773.104048650457</v>
      </c>
      <c r="AR28" s="7">
        <f t="shared" si="34"/>
        <v>60662.334639299166</v>
      </c>
      <c r="AS28" s="7">
        <f t="shared" si="35"/>
        <v>46903.249578682822</v>
      </c>
      <c r="AT28" s="7">
        <f t="shared" si="36"/>
        <v>973843.89666023082</v>
      </c>
      <c r="AU28" s="7">
        <f>SUM($AT$9:AT28)</f>
        <v>30830412.466391493</v>
      </c>
      <c r="AV28" s="7">
        <f>AT28/(1+$AR$5)^(COUNT($E$9:E28))</f>
        <v>837142.03238898551</v>
      </c>
      <c r="AW28" s="7">
        <f t="shared" si="49"/>
        <v>0</v>
      </c>
      <c r="AX28" s="7">
        <f t="shared" si="37"/>
        <v>0</v>
      </c>
      <c r="AY28" s="117">
        <f t="shared" si="38"/>
        <v>0</v>
      </c>
      <c r="AZ28" s="117">
        <f t="shared" si="3"/>
        <v>973843.89666023082</v>
      </c>
      <c r="BA28" s="120">
        <f t="shared" si="46"/>
        <v>212537.05683108876</v>
      </c>
      <c r="BB28" s="119">
        <f t="shared" si="4"/>
        <v>0</v>
      </c>
      <c r="BC28" s="17"/>
      <c r="BD28" s="126">
        <f t="shared" si="5"/>
        <v>0.7182212281234297</v>
      </c>
      <c r="BE28" s="127">
        <f t="shared" si="6"/>
        <v>0.10059469454734127</v>
      </c>
      <c r="BF28" s="127">
        <f t="shared" si="7"/>
        <v>2.9888075195903391E-2</v>
      </c>
      <c r="BG28" s="127">
        <f t="shared" si="8"/>
        <v>4.0841354743867221E-2</v>
      </c>
      <c r="BH28" s="127">
        <f t="shared" si="9"/>
        <v>6.2291641244904723E-2</v>
      </c>
      <c r="BI28" s="128">
        <f t="shared" si="10"/>
        <v>4.8163006144553704E-2</v>
      </c>
      <c r="BJ28" s="126">
        <f t="array" ref="BJ28">BD28*INDEX(Royalty!$U$7:$Z$246,MATCH('Decline and Model'!$E28,Royalty!$AI$7:$AI$246,0),MATCH('Decline and Model'!BJ$8,Royalty!$U$1:$Z$1,0))</f>
        <v>0.1710239615785393</v>
      </c>
      <c r="BK28" s="127">
        <f t="array" ref="BK28">BE28*INDEX(Royalty!$U$7:$Z$246,MATCH('Decline and Model'!$E28,Royalty!$AI$7:$AI$246,0),MATCH('Decline and Model'!BK$8,Royalty!$U$1:$Z$1,0))</f>
        <v>2.3188805604756942E-2</v>
      </c>
      <c r="BL28" s="127">
        <f t="array" ref="BL28">BF28*INDEX(Royalty!$U$7:$Z$246,MATCH('Decline and Model'!$E28,Royalty!$AI$7:$AI$246,0),MATCH('Decline and Model'!BL$8,Royalty!$U$1:$Z$1,0))</f>
        <v>6.5608638515768725E-3</v>
      </c>
      <c r="BM28" s="127">
        <f t="array" ref="BM28">BG28*INDEX(Royalty!$U$7:$Z$246,MATCH('Decline and Model'!$E28,Royalty!$AI$7:$AI$246,0),MATCH('Decline and Model'!BM$8,Royalty!$U$1:$Z$1,0))</f>
        <v>8.8950901164634583E-3</v>
      </c>
      <c r="BN28" s="127">
        <f t="array" ref="BN28">BH28*INDEX(Royalty!$U$7:$Z$246,MATCH('Decline and Model'!$E28,Royalty!$AI$7:$AI$246,0),MATCH('Decline and Model'!BN$8,Royalty!$U$1:$Z$1,0))</f>
        <v>6.1686374571648427E-3</v>
      </c>
      <c r="BO28" s="127">
        <f t="array" ref="BO28">BI28*INDEX(Royalty!$U$7:$Z$246,MATCH('Decline and Model'!$E28,Royalty!$AI$7:$AI$246,0),MATCH('Decline and Model'!BO$8,Royalty!$U$1:$Z$1,0))</f>
        <v>2.4081503072276855E-3</v>
      </c>
      <c r="BP28" s="135">
        <f t="shared" si="11"/>
        <v>0.21824550891572908</v>
      </c>
      <c r="BQ28" s="7"/>
      <c r="BR28" s="7"/>
      <c r="BS28">
        <v>20</v>
      </c>
      <c r="BT28" s="120">
        <f t="shared" si="12"/>
        <v>212537.05683108876</v>
      </c>
      <c r="BU28" s="113">
        <f t="shared" si="13"/>
        <v>186447.98383726232</v>
      </c>
      <c r="BV28" s="113">
        <f t="shared" si="14"/>
        <v>55934.395151178702</v>
      </c>
      <c r="BW28" s="113">
        <f t="shared" si="47"/>
        <v>7847623.6612994112</v>
      </c>
      <c r="BX28" s="113">
        <f t="shared" si="39"/>
        <v>173467.40949848376</v>
      </c>
      <c r="BY28" s="120">
        <f t="shared" si="40"/>
        <v>345457.05134221725</v>
      </c>
      <c r="BZ28" s="153">
        <f t="shared" si="48"/>
        <v>0</v>
      </c>
      <c r="CA28" s="120">
        <f t="shared" si="50"/>
        <v>345457.05134221725</v>
      </c>
      <c r="CB28" s="120">
        <f t="shared" si="41"/>
        <v>86364.262835554313</v>
      </c>
      <c r="CC28" s="153">
        <f t="shared" si="42"/>
        <v>432560.1980051467</v>
      </c>
      <c r="CD28" s="7">
        <f t="shared" si="16"/>
        <v>371840.21436132729</v>
      </c>
      <c r="CE28" s="11">
        <f>SUM($CD$9:CD28)</f>
        <v>14776343.897023765</v>
      </c>
      <c r="CF28" s="11">
        <f t="shared" si="43"/>
        <v>12000000</v>
      </c>
      <c r="CG28">
        <f t="shared" si="44"/>
        <v>2776343.8970237654</v>
      </c>
    </row>
    <row r="29" spans="1:92" ht="15.75" customHeight="1">
      <c r="A29">
        <f t="shared" si="17"/>
        <v>2018</v>
      </c>
      <c r="B29">
        <f t="shared" si="18"/>
        <v>30.416666666666668</v>
      </c>
      <c r="C29">
        <f t="shared" si="51"/>
        <v>2</v>
      </c>
      <c r="E29" s="97">
        <v>43435</v>
      </c>
      <c r="F29" s="2">
        <f>$F$6*EXP(-$F$3*COUNT($E$9:$E29))</f>
        <v>280.46250815362299</v>
      </c>
      <c r="G29" s="260">
        <f>$F$6/(1+$F$5*$F$3*COUNT($E$9:$E29))^(1/$F$5)</f>
        <v>302.94316278236687</v>
      </c>
      <c r="H29" s="260">
        <f>$H$6/(1+$H$5*$H$3*COUNT($E$9:$E29))^(1/$H$5)</f>
        <v>985.04827937591949</v>
      </c>
      <c r="I29" s="260">
        <f t="shared" si="19"/>
        <v>187.62824369065132</v>
      </c>
      <c r="J29" s="260">
        <f t="shared" si="20"/>
        <v>78.128400672787208</v>
      </c>
      <c r="K29" s="260">
        <f t="shared" si="20"/>
        <v>53.15508143756152</v>
      </c>
      <c r="L29" s="260">
        <f t="shared" si="20"/>
        <v>25.348575722606991</v>
      </c>
      <c r="M29" s="260">
        <f t="shared" si="20"/>
        <v>31.014948682064663</v>
      </c>
      <c r="N29" s="19">
        <f t="shared" si="21"/>
        <v>8530.7346230060339</v>
      </c>
      <c r="O29" s="19">
        <f t="shared" si="22"/>
        <v>9214.5212012969932</v>
      </c>
      <c r="P29" s="19">
        <f t="shared" si="23"/>
        <v>29961.885164350886</v>
      </c>
      <c r="Q29" s="19">
        <f t="shared" si="24"/>
        <v>5707.0257455906449</v>
      </c>
      <c r="R29" s="19">
        <f t="shared" si="25"/>
        <v>2376.4055204639444</v>
      </c>
      <c r="S29" s="19">
        <f t="shared" si="26"/>
        <v>1616.8003937258297</v>
      </c>
      <c r="T29" s="19">
        <f t="shared" si="27"/>
        <v>771.01917822929602</v>
      </c>
      <c r="U29" s="19">
        <f t="shared" si="28"/>
        <v>943.37135574613353</v>
      </c>
      <c r="V29" s="261">
        <f t="shared" si="45"/>
        <v>17908.371481195612</v>
      </c>
      <c r="W29" s="261">
        <f>SUM(O$9:O29)</f>
        <v>315863.74760273058</v>
      </c>
      <c r="X29" s="261">
        <f>SUM(P$9:P29)</f>
        <v>1048242.2204678422</v>
      </c>
      <c r="Y29" s="261">
        <f>SUM(Q$9:Q29)</f>
        <v>199665.18485101758</v>
      </c>
      <c r="Z29" s="261">
        <f>SUM($V$9:V29)</f>
        <v>620025.54756380233</v>
      </c>
      <c r="AB29" s="257">
        <f t="array" ref="AB29">(INDEX(PriceDeck!$C$18:$O$77,MATCH('Decline and Model'!$A29,PriceDeck!$B$18:$B$77,0),MATCH('Decline and Model'!AB$8,PriceDeck!$C$13:$O$13,0))*(1+$AE$6))</f>
        <v>58.7</v>
      </c>
      <c r="AC29" s="257">
        <f t="array" ref="AC29">INDEX(PriceDeck!$C$18:$O$77,MATCH('Decline and Model'!$A29,PriceDeck!$B$18:$B$77,0),MATCH('Decline and Model'!AC$8,PriceDeck!$C$13:$O$13,0))*(1+$AE$6)</f>
        <v>72.7</v>
      </c>
      <c r="AD29" s="257">
        <f t="array" ref="AD29">INDEX(PriceDeck!$C$18:$O$77,MATCH('Decline and Model'!$A29,PriceDeck!$B$18:$B$77,0),MATCH('Decline and Model'!AD$8,PriceDeck!$C$13:$O$13,0))*(1+$AE$6)</f>
        <v>11.8</v>
      </c>
      <c r="AE29" s="257">
        <f t="array" ref="AE29">INDEX(PriceDeck!$C$18:$O$77,MATCH('Decline and Model'!$A29,PriceDeck!$B$18:$B$77,0),MATCH('Decline and Model'!AE$8,PriceDeck!$C$13:$O$13,0))*(1+$AE$6)</f>
        <v>23.7</v>
      </c>
      <c r="AF29" s="257">
        <f t="array" ref="AF29">INDEX(PriceDeck!$C$18:$O$77,MATCH('Decline and Model'!$A29,PriceDeck!$B$18:$B$77,0),MATCH('Decline and Model'!AF$8,PriceDeck!$C$13:$O$13,0))*(1+$AE$6)</f>
        <v>75.8</v>
      </c>
      <c r="AG29" s="257">
        <f t="array" ref="AG29">INDEX(PriceDeck!$C$18:$O$77,MATCH('Decline and Model'!$A29,PriceDeck!$B$18:$B$77,0),MATCH('Decline and Model'!AG$8,PriceDeck!$C$13:$O$13,0))*(1+$AE$6)</f>
        <v>47.9</v>
      </c>
      <c r="AH29" s="258">
        <f t="array" ref="AH29">INDEX(PriceDeck!$C$18:$O$77,MATCH('Decline and Model'!$A29,PriceDeck!$B$18:$B$77,0),MATCH('Decline and Model'!AH$8,PriceDeck!$C$13:$O$13,0))</f>
        <v>0.77500000000000002</v>
      </c>
      <c r="AI29" s="258">
        <f t="shared" si="29"/>
        <v>3.15</v>
      </c>
      <c r="AJ29" s="259">
        <f t="shared" si="30"/>
        <v>3.15</v>
      </c>
      <c r="AK29" s="120">
        <v>3.15</v>
      </c>
      <c r="AL29" s="120"/>
      <c r="AN29" s="7">
        <f t="shared" si="31"/>
        <v>669895.69133429148</v>
      </c>
      <c r="AO29" s="7">
        <f t="shared" si="2"/>
        <v>94379.938267705293</v>
      </c>
      <c r="AP29" s="7">
        <f t="shared" si="32"/>
        <v>28041.585141474545</v>
      </c>
      <c r="AQ29" s="7">
        <f t="shared" si="33"/>
        <v>38318.169331302161</v>
      </c>
      <c r="AR29" s="7">
        <f t="shared" si="34"/>
        <v>58443.253709780634</v>
      </c>
      <c r="AS29" s="7">
        <f t="shared" si="35"/>
        <v>45187.487940239793</v>
      </c>
      <c r="AT29" s="7">
        <f t="shared" si="36"/>
        <v>934266.12572479388</v>
      </c>
      <c r="AU29" s="7">
        <f>SUM($AT$9:AT29)</f>
        <v>31764678.592116285</v>
      </c>
      <c r="AV29" s="7">
        <f>AT29/(1+$AR$5)^(COUNT($E$9:E29))</f>
        <v>797068.95489299996</v>
      </c>
      <c r="AW29" s="7">
        <f t="shared" si="49"/>
        <v>0</v>
      </c>
      <c r="AX29" s="7">
        <f t="shared" si="37"/>
        <v>0</v>
      </c>
      <c r="AY29" s="117">
        <f t="shared" si="38"/>
        <v>0</v>
      </c>
      <c r="AZ29" s="117">
        <f t="shared" si="3"/>
        <v>934266.12572479388</v>
      </c>
      <c r="BA29" s="120">
        <f t="shared" si="46"/>
        <v>203820.80182307446</v>
      </c>
      <c r="BB29" s="119">
        <f t="shared" si="4"/>
        <v>0</v>
      </c>
      <c r="BC29" s="17"/>
      <c r="BD29" s="126">
        <f t="shared" si="5"/>
        <v>0.71702877037802626</v>
      </c>
      <c r="BE29" s="127">
        <f t="shared" si="6"/>
        <v>0.10102040057856783</v>
      </c>
      <c r="BF29" s="127">
        <f t="shared" si="7"/>
        <v>3.0014558346231568E-2</v>
      </c>
      <c r="BG29" s="127">
        <f t="shared" si="8"/>
        <v>4.1014191006417282E-2</v>
      </c>
      <c r="BH29" s="127">
        <f t="shared" si="9"/>
        <v>6.255525283488253E-2</v>
      </c>
      <c r="BI29" s="128">
        <f t="shared" si="10"/>
        <v>4.8366826855874512E-2</v>
      </c>
      <c r="BJ29" s="126">
        <f t="array" ref="BJ29">BD29*INDEX(Royalty!$U$7:$Z$246,MATCH('Decline and Model'!$E29,Royalty!$AI$7:$AI$246,0),MATCH('Decline and Model'!BJ$8,Royalty!$U$1:$Z$1,0))</f>
        <v>0.17074001167613004</v>
      </c>
      <c r="BK29" s="127">
        <f t="array" ref="BK29">BE29*INDEX(Royalty!$U$7:$Z$246,MATCH('Decline and Model'!$E29,Royalty!$AI$7:$AI$246,0),MATCH('Decline and Model'!BK$8,Royalty!$U$1:$Z$1,0))</f>
        <v>2.3286938159831599E-2</v>
      </c>
      <c r="BL29" s="127">
        <f t="array" ref="BL29">BF29*INDEX(Royalty!$U$7:$Z$246,MATCH('Decline and Model'!$E29,Royalty!$AI$7:$AI$246,0),MATCH('Decline and Model'!BL$8,Royalty!$U$1:$Z$1,0))</f>
        <v>6.5886287284845513E-3</v>
      </c>
      <c r="BM29" s="127">
        <f t="array" ref="BM29">BG29*INDEX(Royalty!$U$7:$Z$246,MATCH('Decline and Model'!$E29,Royalty!$AI$7:$AI$246,0),MATCH('Decline and Model'!BM$8,Royalty!$U$1:$Z$1,0))</f>
        <v>8.9327331902649323E-3</v>
      </c>
      <c r="BN29" s="127">
        <f t="array" ref="BN29">BH29*INDEX(Royalty!$U$7:$Z$246,MATCH('Decline and Model'!$E29,Royalty!$AI$7:$AI$246,0),MATCH('Decline and Model'!BN$8,Royalty!$U$1:$Z$1,0))</f>
        <v>6.1947424737542542E-3</v>
      </c>
      <c r="BO29" s="127">
        <f t="array" ref="BO29">BI29*INDEX(Royalty!$U$7:$Z$246,MATCH('Decline and Model'!$E29,Royalty!$AI$7:$AI$246,0),MATCH('Decline and Model'!BO$8,Royalty!$U$1:$Z$1,0))</f>
        <v>2.4183413427937258E-3</v>
      </c>
      <c r="BP29" s="135">
        <f t="shared" si="11"/>
        <v>0.21816139557125913</v>
      </c>
      <c r="BQ29" s="7"/>
      <c r="BR29" s="7"/>
      <c r="BS29">
        <v>21</v>
      </c>
      <c r="BT29" s="120">
        <f t="shared" si="12"/>
        <v>203820.80182307446</v>
      </c>
      <c r="BU29" s="113">
        <f t="shared" si="13"/>
        <v>179083.71481195613</v>
      </c>
      <c r="BV29" s="113">
        <f t="shared" si="14"/>
        <v>53725.114443586834</v>
      </c>
      <c r="BW29" s="113">
        <f t="shared" si="47"/>
        <v>7674156.2518009273</v>
      </c>
      <c r="BX29" s="113">
        <f t="shared" si="39"/>
        <v>169633.00771562199</v>
      </c>
      <c r="BY29" s="120">
        <f t="shared" si="40"/>
        <v>328003.48693055438</v>
      </c>
      <c r="BZ29" s="153">
        <f t="shared" si="48"/>
        <v>0</v>
      </c>
      <c r="CA29" s="120">
        <f t="shared" si="50"/>
        <v>328003.48693055438</v>
      </c>
      <c r="CB29" s="120">
        <f t="shared" si="41"/>
        <v>82000.871732638596</v>
      </c>
      <c r="CC29" s="153">
        <f t="shared" si="42"/>
        <v>415635.62291353778</v>
      </c>
      <c r="CD29" s="7">
        <f t="shared" si="16"/>
        <v>354599.44704190479</v>
      </c>
      <c r="CE29" s="11">
        <f>SUM($CD$9:CD29)</f>
        <v>15130943.34406567</v>
      </c>
      <c r="CF29" s="11">
        <f t="shared" si="43"/>
        <v>12000000</v>
      </c>
      <c r="CG29">
        <f t="shared" si="44"/>
        <v>3130943.3440656699</v>
      </c>
    </row>
    <row r="30" spans="1:92" ht="16.5" customHeight="1">
      <c r="A30">
        <f t="shared" si="17"/>
        <v>2019</v>
      </c>
      <c r="B30">
        <f t="shared" si="18"/>
        <v>30.416666666666668</v>
      </c>
      <c r="C30">
        <f t="shared" si="51"/>
        <v>2</v>
      </c>
      <c r="E30" s="97">
        <v>43466</v>
      </c>
      <c r="F30" s="2">
        <f>$F$6*EXP(-$F$3*COUNT($E$9:$E30))</f>
        <v>266.78419022499764</v>
      </c>
      <c r="G30" s="260">
        <f>$F$6/(1+$F$5*$F$3*COUNT($E$9:$E30))^(1/$F$5)</f>
        <v>290.23189951332739</v>
      </c>
      <c r="H30" s="260">
        <f>$H$6/(1+$H$5*$H$3*COUNT($E$9:$E30))^(1/$H$5)</f>
        <v>949.93199766218925</v>
      </c>
      <c r="I30" s="260">
        <f t="shared" si="19"/>
        <v>180.93942812613128</v>
      </c>
      <c r="J30" s="260">
        <f t="shared" si="20"/>
        <v>75.343177871721068</v>
      </c>
      <c r="K30" s="260">
        <f t="shared" si="20"/>
        <v>51.260139988132991</v>
      </c>
      <c r="L30" s="260">
        <f t="shared" si="20"/>
        <v>24.444916739840334</v>
      </c>
      <c r="M30" s="260">
        <f t="shared" si="20"/>
        <v>29.909287469249499</v>
      </c>
      <c r="N30" s="19">
        <f t="shared" si="21"/>
        <v>8114.6857860103455</v>
      </c>
      <c r="O30" s="19">
        <f t="shared" si="22"/>
        <v>8827.886943530375</v>
      </c>
      <c r="P30" s="19">
        <f t="shared" si="23"/>
        <v>28893.764928891589</v>
      </c>
      <c r="Q30" s="19">
        <f t="shared" si="24"/>
        <v>5503.5742721698261</v>
      </c>
      <c r="R30" s="19">
        <f t="shared" si="25"/>
        <v>2291.6883269315158</v>
      </c>
      <c r="S30" s="19">
        <f t="shared" si="26"/>
        <v>1559.1625913057119</v>
      </c>
      <c r="T30" s="19">
        <f t="shared" si="27"/>
        <v>743.53288417014357</v>
      </c>
      <c r="U30" s="19">
        <f t="shared" si="28"/>
        <v>909.74082718967225</v>
      </c>
      <c r="V30" s="261">
        <f t="shared" si="45"/>
        <v>17211.807545871125</v>
      </c>
      <c r="W30" s="261">
        <f>SUM(O$9:O30)</f>
        <v>324691.63454626093</v>
      </c>
      <c r="X30" s="261">
        <f>SUM(P$9:P30)</f>
        <v>1077135.9853967337</v>
      </c>
      <c r="Y30" s="261">
        <f>SUM(Q$9:Q30)</f>
        <v>205168.7591231874</v>
      </c>
      <c r="Z30" s="261">
        <f>SUM($V$9:V30)</f>
        <v>637237.35510967346</v>
      </c>
      <c r="AB30" s="257">
        <f t="array" ref="AB30">(INDEX(PriceDeck!$C$18:$O$77,MATCH('Decline and Model'!$A30,PriceDeck!$B$18:$B$77,0),MATCH('Decline and Model'!AB$8,PriceDeck!$C$13:$O$13,0))*(1+$AE$6))</f>
        <v>62.4</v>
      </c>
      <c r="AC30" s="257">
        <f t="array" ref="AC30">INDEX(PriceDeck!$C$18:$O$77,MATCH('Decline and Model'!$A30,PriceDeck!$B$18:$B$77,0),MATCH('Decline and Model'!AC$8,PriceDeck!$C$13:$O$13,0))*(1+$AE$6)</f>
        <v>75.5</v>
      </c>
      <c r="AD30" s="257">
        <f t="array" ref="AD30">INDEX(PriceDeck!$C$18:$O$77,MATCH('Decline and Model'!$A30,PriceDeck!$B$18:$B$77,0),MATCH('Decline and Model'!AD$8,PriceDeck!$C$13:$O$13,0))*(1+$AE$6)</f>
        <v>12.4</v>
      </c>
      <c r="AE30" s="257">
        <f t="array" ref="AE30">INDEX(PriceDeck!$C$18:$O$77,MATCH('Decline and Model'!$A30,PriceDeck!$B$18:$B$77,0),MATCH('Decline and Model'!AE$8,PriceDeck!$C$13:$O$13,0))*(1+$AE$6)</f>
        <v>26.2</v>
      </c>
      <c r="AF30" s="257">
        <f t="array" ref="AF30">INDEX(PriceDeck!$C$18:$O$77,MATCH('Decline and Model'!$A30,PriceDeck!$B$18:$B$77,0),MATCH('Decline and Model'!AF$8,PriceDeck!$C$13:$O$13,0))*(1+$AE$6)</f>
        <v>78.599999999999994</v>
      </c>
      <c r="AG30" s="257">
        <f t="array" ref="AG30">INDEX(PriceDeck!$C$18:$O$77,MATCH('Decline and Model'!$A30,PriceDeck!$B$18:$B$77,0),MATCH('Decline and Model'!AG$8,PriceDeck!$C$13:$O$13,0))*(1+$AE$6)</f>
        <v>49.8</v>
      </c>
      <c r="AH30" s="258">
        <f t="array" ref="AH30">INDEX(PriceDeck!$C$18:$O$77,MATCH('Decline and Model'!$A30,PriceDeck!$B$18:$B$77,0),MATCH('Decline and Model'!AH$8,PriceDeck!$C$13:$O$13,0))</f>
        <v>0.8</v>
      </c>
      <c r="AI30" s="258">
        <f t="shared" si="29"/>
        <v>3.3</v>
      </c>
      <c r="AJ30" s="259">
        <f t="shared" si="30"/>
        <v>3.3</v>
      </c>
      <c r="AK30" s="120">
        <v>3.3</v>
      </c>
      <c r="AL30" s="120"/>
      <c r="AN30" s="7">
        <f t="shared" si="31"/>
        <v>666505.46423654328</v>
      </c>
      <c r="AO30" s="7">
        <f t="shared" si="2"/>
        <v>95349.424265342241</v>
      </c>
      <c r="AP30" s="7">
        <f t="shared" si="32"/>
        <v>28416.935253950796</v>
      </c>
      <c r="AQ30" s="7">
        <f t="shared" si="33"/>
        <v>40850.059892209647</v>
      </c>
      <c r="AR30" s="7">
        <f t="shared" si="34"/>
        <v>58441.684695773278</v>
      </c>
      <c r="AS30" s="7">
        <f t="shared" si="35"/>
        <v>45305.093194045672</v>
      </c>
      <c r="AT30" s="7">
        <f t="shared" si="36"/>
        <v>934868.66153786494</v>
      </c>
      <c r="AU30" s="7">
        <f>SUM($AT$9:AT30)</f>
        <v>32699547.253654148</v>
      </c>
      <c r="AV30" s="7">
        <f>AT30/(1+$AR$5)^(COUNT($E$9:E30))</f>
        <v>791573.74894060381</v>
      </c>
      <c r="AW30" s="7">
        <f t="shared" si="49"/>
        <v>0</v>
      </c>
      <c r="AX30" s="7">
        <f t="shared" si="37"/>
        <v>0</v>
      </c>
      <c r="AY30" s="117">
        <f t="shared" si="38"/>
        <v>0</v>
      </c>
      <c r="AZ30" s="117">
        <f t="shared" si="3"/>
        <v>934868.66153786494</v>
      </c>
      <c r="BA30" s="120">
        <f t="shared" si="46"/>
        <v>210384.97140521603</v>
      </c>
      <c r="BB30" s="119">
        <f t="shared" si="4"/>
        <v>0</v>
      </c>
      <c r="BC30" s="17"/>
      <c r="BD30" s="126">
        <f t="shared" si="5"/>
        <v>0.71294021466088886</v>
      </c>
      <c r="BE30" s="127">
        <f t="shared" si="6"/>
        <v>0.10199232062019474</v>
      </c>
      <c r="BF30" s="127">
        <f t="shared" si="7"/>
        <v>3.0396713916160965E-2</v>
      </c>
      <c r="BG30" s="127">
        <f t="shared" si="8"/>
        <v>4.36960415648237E-2</v>
      </c>
      <c r="BH30" s="127">
        <f t="shared" si="9"/>
        <v>6.251325678158505E-2</v>
      </c>
      <c r="BI30" s="128">
        <f t="shared" si="10"/>
        <v>4.846145245634665E-2</v>
      </c>
      <c r="BJ30" s="126">
        <f t="array" ref="BJ30">BD30*INDEX(Royalty!$U$7:$Z$246,MATCH('Decline and Model'!$E30,Royalty!$AI$7:$AI$246,0),MATCH('Decline and Model'!BJ$8,Royalty!$U$1:$Z$1,0))</f>
        <v>0.17466324867025443</v>
      </c>
      <c r="BK30" s="127">
        <f t="array" ref="BK30">BE30*INDEX(Royalty!$U$7:$Z$246,MATCH('Decline and Model'!$E30,Royalty!$AI$7:$AI$246,0),MATCH('Decline and Model'!BK$8,Royalty!$U$1:$Z$1,0))</f>
        <v>2.4211513881291481E-2</v>
      </c>
      <c r="BL30" s="127">
        <f t="array" ref="BL30">BF30*INDEX(Royalty!$U$7:$Z$246,MATCH('Decline and Model'!$E30,Royalty!$AI$7:$AI$246,0),MATCH('Decline and Model'!BL$8,Royalty!$U$1:$Z$1,0))</f>
        <v>6.873763517129085E-3</v>
      </c>
      <c r="BM30" s="127">
        <f t="array" ref="BM30">BG30*INDEX(Royalty!$U$7:$Z$246,MATCH('Decline and Model'!$E30,Royalty!$AI$7:$AI$246,0),MATCH('Decline and Model'!BM$8,Royalty!$U$1:$Z$1,0))</f>
        <v>1.0281571677225584E-2</v>
      </c>
      <c r="BN30" s="127">
        <f t="array" ref="BN30">BH30*INDEX(Royalty!$U$7:$Z$246,MATCH('Decline and Model'!$E30,Royalty!$AI$7:$AI$246,0),MATCH('Decline and Model'!BN$8,Royalty!$U$1:$Z$1,0))</f>
        <v>6.58910568654251E-3</v>
      </c>
      <c r="BO30" s="127">
        <f t="array" ref="BO30">BI30*INDEX(Royalty!$U$7:$Z$246,MATCH('Decline and Model'!$E30,Royalty!$AI$7:$AI$246,0),MATCH('Decline and Model'!BO$8,Royalty!$U$1:$Z$1,0))</f>
        <v>2.4230726228173325E-3</v>
      </c>
      <c r="BP30" s="135">
        <f t="shared" si="11"/>
        <v>0.22504227605526042</v>
      </c>
      <c r="BQ30" s="7"/>
      <c r="BR30" s="7"/>
      <c r="BS30">
        <v>22</v>
      </c>
      <c r="BT30" s="120">
        <f t="shared" si="12"/>
        <v>210384.97140521603</v>
      </c>
      <c r="BU30" s="113">
        <f t="shared" si="13"/>
        <v>172118.07545871125</v>
      </c>
      <c r="BV30" s="113">
        <f t="shared" si="14"/>
        <v>51635.422637613374</v>
      </c>
      <c r="BW30" s="113">
        <f t="shared" si="47"/>
        <v>7504523.2440853054</v>
      </c>
      <c r="BX30" s="113">
        <f t="shared" si="39"/>
        <v>165883.36327752558</v>
      </c>
      <c r="BY30" s="120">
        <f t="shared" si="40"/>
        <v>334846.82875879871</v>
      </c>
      <c r="BZ30" s="153">
        <f t="shared" si="48"/>
        <v>0</v>
      </c>
      <c r="CA30" s="120">
        <f t="shared" si="50"/>
        <v>334846.82875879871</v>
      </c>
      <c r="CB30" s="120">
        <f t="shared" si="41"/>
        <v>83711.707189699679</v>
      </c>
      <c r="CC30" s="153">
        <f t="shared" si="42"/>
        <v>417018.4848466246</v>
      </c>
      <c r="CD30" s="7">
        <f t="shared" si="16"/>
        <v>353098.67472138273</v>
      </c>
      <c r="CE30" s="11">
        <f>SUM($CD$9:CD30)</f>
        <v>15484042.018787052</v>
      </c>
      <c r="CF30" s="11">
        <f t="shared" si="43"/>
        <v>12000000</v>
      </c>
      <c r="CG30">
        <f t="shared" si="44"/>
        <v>3484042.0187870525</v>
      </c>
    </row>
    <row r="31" spans="1:92" ht="16.5" customHeight="1">
      <c r="A31">
        <f t="shared" si="17"/>
        <v>2019</v>
      </c>
      <c r="B31">
        <f t="shared" si="18"/>
        <v>30.416666666666668</v>
      </c>
      <c r="C31">
        <f t="shared" si="51"/>
        <v>2</v>
      </c>
      <c r="E31" s="97">
        <v>43497</v>
      </c>
      <c r="F31" s="2">
        <f>$F$6*EXP(-$F$3*COUNT($E$9:$E31))</f>
        <v>253.77297173361347</v>
      </c>
      <c r="G31" s="260">
        <f>$F$6/(1+$F$5*$F$3*COUNT($E$9:$E31))^(1/$F$5)</f>
        <v>278.13259085953962</v>
      </c>
      <c r="H31" s="260">
        <f>$H$6/(1+$H$5*$H$3*COUNT($E$9:$E31))^(1/$H$5)</f>
        <v>916.90856454635207</v>
      </c>
      <c r="I31" s="260">
        <f t="shared" si="19"/>
        <v>174.64925038978134</v>
      </c>
      <c r="J31" s="260">
        <f t="shared" si="20"/>
        <v>72.723947862304954</v>
      </c>
      <c r="K31" s="260">
        <f t="shared" si="20"/>
        <v>49.478132635425055</v>
      </c>
      <c r="L31" s="260">
        <f t="shared" si="20"/>
        <v>23.595113727659459</v>
      </c>
      <c r="M31" s="260">
        <f t="shared" si="20"/>
        <v>28.869521089430858</v>
      </c>
      <c r="N31" s="19">
        <f t="shared" si="21"/>
        <v>7718.9278902307433</v>
      </c>
      <c r="O31" s="19">
        <f t="shared" si="22"/>
        <v>8459.8663053109976</v>
      </c>
      <c r="P31" s="19">
        <f t="shared" si="23"/>
        <v>27889.302171618208</v>
      </c>
      <c r="Q31" s="19">
        <f t="shared" si="24"/>
        <v>5312.2480326891828</v>
      </c>
      <c r="R31" s="19">
        <f t="shared" si="25"/>
        <v>2212.0200808117756</v>
      </c>
      <c r="S31" s="19">
        <f t="shared" si="26"/>
        <v>1504.9598676608455</v>
      </c>
      <c r="T31" s="19">
        <f t="shared" si="27"/>
        <v>717.68470921630853</v>
      </c>
      <c r="U31" s="19">
        <f t="shared" si="28"/>
        <v>878.11459980352197</v>
      </c>
      <c r="V31" s="261">
        <f t="shared" si="45"/>
        <v>16552.3283169934</v>
      </c>
      <c r="W31" s="261">
        <f>SUM(O$9:O31)</f>
        <v>333151.50085157191</v>
      </c>
      <c r="X31" s="261">
        <f>SUM(P$9:P31)</f>
        <v>1105025.287568352</v>
      </c>
      <c r="Y31" s="261">
        <f>SUM(Q$9:Q31)</f>
        <v>210481.00715587658</v>
      </c>
      <c r="Z31" s="261">
        <f>SUM($V$9:V31)</f>
        <v>653789.68342666689</v>
      </c>
      <c r="AB31" s="257">
        <f t="array" ref="AB31">(INDEX(PriceDeck!$C$18:$O$77,MATCH('Decline and Model'!$A31,PriceDeck!$B$18:$B$77,0),MATCH('Decline and Model'!AB$8,PriceDeck!$C$13:$O$13,0))*(1+$AE$6))</f>
        <v>62.4</v>
      </c>
      <c r="AC31" s="257">
        <f t="array" ref="AC31">INDEX(PriceDeck!$C$18:$O$77,MATCH('Decline and Model'!$A31,PriceDeck!$B$18:$B$77,0),MATCH('Decline and Model'!AC$8,PriceDeck!$C$13:$O$13,0))*(1+$AE$6)</f>
        <v>75.5</v>
      </c>
      <c r="AD31" s="257">
        <f t="array" ref="AD31">INDEX(PriceDeck!$C$18:$O$77,MATCH('Decline and Model'!$A31,PriceDeck!$B$18:$B$77,0),MATCH('Decline and Model'!AD$8,PriceDeck!$C$13:$O$13,0))*(1+$AE$6)</f>
        <v>12.4</v>
      </c>
      <c r="AE31" s="257">
        <f t="array" ref="AE31">INDEX(PriceDeck!$C$18:$O$77,MATCH('Decline and Model'!$A31,PriceDeck!$B$18:$B$77,0),MATCH('Decline and Model'!AE$8,PriceDeck!$C$13:$O$13,0))*(1+$AE$6)</f>
        <v>26.2</v>
      </c>
      <c r="AF31" s="257">
        <f t="array" ref="AF31">INDEX(PriceDeck!$C$18:$O$77,MATCH('Decline and Model'!$A31,PriceDeck!$B$18:$B$77,0),MATCH('Decline and Model'!AF$8,PriceDeck!$C$13:$O$13,0))*(1+$AE$6)</f>
        <v>78.599999999999994</v>
      </c>
      <c r="AG31" s="257">
        <f t="array" ref="AG31">INDEX(PriceDeck!$C$18:$O$77,MATCH('Decline and Model'!$A31,PriceDeck!$B$18:$B$77,0),MATCH('Decline and Model'!AG$8,PriceDeck!$C$13:$O$13,0))*(1+$AE$6)</f>
        <v>49.8</v>
      </c>
      <c r="AH31" s="258">
        <f t="array" ref="AH31">INDEX(PriceDeck!$C$18:$O$77,MATCH('Decline and Model'!$A31,PriceDeck!$B$18:$B$77,0),MATCH('Decline and Model'!AH$8,PriceDeck!$C$13:$O$13,0))</f>
        <v>0.8</v>
      </c>
      <c r="AI31" s="258">
        <f t="shared" si="29"/>
        <v>3.3</v>
      </c>
      <c r="AJ31" s="259">
        <f t="shared" si="30"/>
        <v>3.3</v>
      </c>
      <c r="AK31" s="120">
        <v>3.3</v>
      </c>
      <c r="AL31" s="120"/>
      <c r="AN31" s="7">
        <f t="shared" si="31"/>
        <v>638719.90605098032</v>
      </c>
      <c r="AO31" s="7">
        <f t="shared" si="2"/>
        <v>92034.697166340076</v>
      </c>
      <c r="AP31" s="7">
        <f t="shared" si="32"/>
        <v>27429.049002066018</v>
      </c>
      <c r="AQ31" s="7">
        <f t="shared" si="33"/>
        <v>39429.948532714152</v>
      </c>
      <c r="AR31" s="7">
        <f t="shared" si="34"/>
        <v>56410.018144401845</v>
      </c>
      <c r="AS31" s="7">
        <f t="shared" si="35"/>
        <v>43730.107070215388</v>
      </c>
      <c r="AT31" s="7">
        <f t="shared" si="36"/>
        <v>897753.72596671782</v>
      </c>
      <c r="AU31" s="7">
        <f>SUM($AT$9:AT31)</f>
        <v>33597300.979620866</v>
      </c>
      <c r="AV31" s="7">
        <f>AT31/(1+$AR$5)^(COUNT($E$9:E31))</f>
        <v>754420.51180075016</v>
      </c>
      <c r="AW31" s="7">
        <f t="shared" si="49"/>
        <v>0</v>
      </c>
      <c r="AX31" s="7">
        <f t="shared" si="37"/>
        <v>0</v>
      </c>
      <c r="AY31" s="117">
        <f t="shared" si="38"/>
        <v>0</v>
      </c>
      <c r="AZ31" s="117">
        <f t="shared" si="3"/>
        <v>897753.72596671782</v>
      </c>
      <c r="BA31" s="120">
        <f t="shared" si="46"/>
        <v>201940.47964173238</v>
      </c>
      <c r="BB31" s="119">
        <f t="shared" si="4"/>
        <v>0</v>
      </c>
      <c r="BC31" s="17"/>
      <c r="BD31" s="126">
        <f t="shared" si="5"/>
        <v>0.71146450031515596</v>
      </c>
      <c r="BE31" s="127">
        <f t="shared" si="6"/>
        <v>0.10251664181870748</v>
      </c>
      <c r="BF31" s="127">
        <f t="shared" si="7"/>
        <v>3.0552977067881185E-2</v>
      </c>
      <c r="BG31" s="127">
        <f t="shared" si="8"/>
        <v>4.3920673779721996E-2</v>
      </c>
      <c r="BH31" s="127">
        <f t="shared" si="9"/>
        <v>6.2834624366118336E-2</v>
      </c>
      <c r="BI31" s="128">
        <f t="shared" si="10"/>
        <v>4.8710582652415062E-2</v>
      </c>
      <c r="BJ31" s="126">
        <f t="array" ref="BJ31">BD31*INDEX(Royalty!$U$7:$Z$246,MATCH('Decline and Model'!$E31,Royalty!$AI$7:$AI$246,0),MATCH('Decline and Model'!BJ$8,Royalty!$U$1:$Z$1,0))</f>
        <v>0.17430171335995129</v>
      </c>
      <c r="BK31" s="127">
        <f t="array" ref="BK31">BE31*INDEX(Royalty!$U$7:$Z$246,MATCH('Decline and Model'!$E31,Royalty!$AI$7:$AI$246,0),MATCH('Decline and Model'!BK$8,Royalty!$U$1:$Z$1,0))</f>
        <v>2.4335980212666756E-2</v>
      </c>
      <c r="BL31" s="127">
        <f t="array" ref="BL31">BF31*INDEX(Royalty!$U$7:$Z$246,MATCH('Decline and Model'!$E31,Royalty!$AI$7:$AI$246,0),MATCH('Decline and Model'!BL$8,Royalty!$U$1:$Z$1,0))</f>
        <v>6.9091000983900934E-3</v>
      </c>
      <c r="BM31" s="127">
        <f t="array" ref="BM31">BG31*INDEX(Royalty!$U$7:$Z$246,MATCH('Decline and Model'!$E31,Royalty!$AI$7:$AI$246,0),MATCH('Decline and Model'!BM$8,Royalty!$U$1:$Z$1,0))</f>
        <v>1.0334427087825294E-2</v>
      </c>
      <c r="BN31" s="127">
        <f t="array" ref="BN31">BH31*INDEX(Royalty!$U$7:$Z$246,MATCH('Decline and Model'!$E31,Royalty!$AI$7:$AI$246,0),MATCH('Decline and Model'!BN$8,Royalty!$U$1:$Z$1,0))</f>
        <v>6.6229789014050329E-3</v>
      </c>
      <c r="BO31" s="127">
        <f t="array" ref="BO31">BI31*INDEX(Royalty!$U$7:$Z$246,MATCH('Decline and Model'!$E31,Royalty!$AI$7:$AI$246,0),MATCH('Decline and Model'!BO$8,Royalty!$U$1:$Z$1,0))</f>
        <v>2.4355291326207534E-3</v>
      </c>
      <c r="BP31" s="135">
        <f t="shared" si="11"/>
        <v>0.22493972879285923</v>
      </c>
      <c r="BQ31" s="7"/>
      <c r="BR31" s="7"/>
      <c r="BS31">
        <v>23</v>
      </c>
      <c r="BT31" s="120">
        <f t="shared" si="12"/>
        <v>201940.47964173238</v>
      </c>
      <c r="BU31" s="113">
        <f t="shared" si="13"/>
        <v>165523.283169934</v>
      </c>
      <c r="BV31" s="113">
        <f t="shared" si="14"/>
        <v>49656.984950980201</v>
      </c>
      <c r="BW31" s="113">
        <f t="shared" si="47"/>
        <v>7338639.8808077797</v>
      </c>
      <c r="BX31" s="113">
        <f t="shared" si="39"/>
        <v>162216.60266965468</v>
      </c>
      <c r="BY31" s="120">
        <f t="shared" si="40"/>
        <v>318416.37553441664</v>
      </c>
      <c r="BZ31" s="153">
        <f t="shared" si="48"/>
        <v>0</v>
      </c>
      <c r="CA31" s="120">
        <f t="shared" si="50"/>
        <v>318416.37553441664</v>
      </c>
      <c r="CB31" s="120">
        <f t="shared" si="41"/>
        <v>79604.093883604161</v>
      </c>
      <c r="CC31" s="153">
        <f t="shared" si="42"/>
        <v>401028.88432046713</v>
      </c>
      <c r="CD31" s="7">
        <f t="shared" si="16"/>
        <v>337001.57114930957</v>
      </c>
      <c r="CE31" s="11">
        <f>SUM($CD$9:CD31)</f>
        <v>15821043.589936363</v>
      </c>
      <c r="CF31" s="11">
        <f t="shared" si="43"/>
        <v>12000000</v>
      </c>
      <c r="CG31">
        <f t="shared" si="44"/>
        <v>3821043.5899363626</v>
      </c>
    </row>
    <row r="32" spans="1:92" ht="17.25" customHeight="1">
      <c r="A32">
        <f t="shared" si="17"/>
        <v>2019</v>
      </c>
      <c r="B32">
        <f t="shared" si="18"/>
        <v>30.416666666666668</v>
      </c>
      <c r="C32">
        <f t="shared" si="51"/>
        <v>2</v>
      </c>
      <c r="E32" s="97">
        <v>43525</v>
      </c>
      <c r="F32" s="2">
        <f>$F$6*EXP(-$F$3*COUNT($E$9:$E32))</f>
        <v>241.3963178560011</v>
      </c>
      <c r="G32" s="260">
        <f>$F$6/(1+$F$5*$F$3*COUNT($E$9:$E32))^(1/$F$5)</f>
        <v>266.61204034217025</v>
      </c>
      <c r="H32" s="260">
        <f>$H$6/(1+$H$5*$H$3*COUNT($E$9:$E32))^(1/$H$5)</f>
        <v>885.80556178171412</v>
      </c>
      <c r="I32" s="260">
        <f t="shared" si="19"/>
        <v>168.72486891080268</v>
      </c>
      <c r="J32" s="260">
        <f t="shared" si="20"/>
        <v>70.25703541445823</v>
      </c>
      <c r="K32" s="260">
        <f t="shared" si="20"/>
        <v>47.799755362430403</v>
      </c>
      <c r="L32" s="260">
        <f t="shared" si="20"/>
        <v>22.794729789849441</v>
      </c>
      <c r="M32" s="260">
        <f t="shared" si="20"/>
        <v>27.890220830955684</v>
      </c>
      <c r="N32" s="19">
        <f t="shared" si="21"/>
        <v>7342.4713347867009</v>
      </c>
      <c r="O32" s="19">
        <f t="shared" si="22"/>
        <v>8109.4495604076783</v>
      </c>
      <c r="P32" s="19">
        <f t="shared" si="23"/>
        <v>26943.252504193806</v>
      </c>
      <c r="Q32" s="19">
        <f t="shared" si="24"/>
        <v>5132.048096036915</v>
      </c>
      <c r="R32" s="19">
        <f t="shared" si="25"/>
        <v>2136.9848271897713</v>
      </c>
      <c r="S32" s="19">
        <f t="shared" si="26"/>
        <v>1453.9092256072581</v>
      </c>
      <c r="T32" s="19">
        <f t="shared" si="27"/>
        <v>693.33969777458719</v>
      </c>
      <c r="U32" s="19">
        <f t="shared" si="28"/>
        <v>848.32755027490214</v>
      </c>
      <c r="V32" s="261">
        <f t="shared" si="45"/>
        <v>15927.402337413432</v>
      </c>
      <c r="W32" s="261">
        <f>SUM(O$9:O32)</f>
        <v>341260.95041197957</v>
      </c>
      <c r="X32" s="261">
        <f>SUM(P$9:P32)</f>
        <v>1131968.5400725459</v>
      </c>
      <c r="Y32" s="261">
        <f>SUM(Q$9:Q32)</f>
        <v>215613.05525191349</v>
      </c>
      <c r="Z32" s="261">
        <f>SUM($V$9:V32)</f>
        <v>669717.08576408029</v>
      </c>
      <c r="AB32" s="257">
        <f t="array" ref="AB32">(INDEX(PriceDeck!$C$18:$O$77,MATCH('Decline and Model'!$A32,PriceDeck!$B$18:$B$77,0),MATCH('Decline and Model'!AB$8,PriceDeck!$C$13:$O$13,0))*(1+$AE$6))</f>
        <v>62.4</v>
      </c>
      <c r="AC32" s="257">
        <f t="array" ref="AC32">INDEX(PriceDeck!$C$18:$O$77,MATCH('Decline and Model'!$A32,PriceDeck!$B$18:$B$77,0),MATCH('Decline and Model'!AC$8,PriceDeck!$C$13:$O$13,0))*(1+$AE$6)</f>
        <v>75.5</v>
      </c>
      <c r="AD32" s="257">
        <f t="array" ref="AD32">INDEX(PriceDeck!$C$18:$O$77,MATCH('Decline and Model'!$A32,PriceDeck!$B$18:$B$77,0),MATCH('Decline and Model'!AD$8,PriceDeck!$C$13:$O$13,0))*(1+$AE$6)</f>
        <v>12.4</v>
      </c>
      <c r="AE32" s="257">
        <f t="array" ref="AE32">INDEX(PriceDeck!$C$18:$O$77,MATCH('Decline and Model'!$A32,PriceDeck!$B$18:$B$77,0),MATCH('Decline and Model'!AE$8,PriceDeck!$C$13:$O$13,0))*(1+$AE$6)</f>
        <v>26.2</v>
      </c>
      <c r="AF32" s="257">
        <f t="array" ref="AF32">INDEX(PriceDeck!$C$18:$O$77,MATCH('Decline and Model'!$A32,PriceDeck!$B$18:$B$77,0),MATCH('Decline and Model'!AF$8,PriceDeck!$C$13:$O$13,0))*(1+$AE$6)</f>
        <v>78.599999999999994</v>
      </c>
      <c r="AG32" s="257">
        <f t="array" ref="AG32">INDEX(PriceDeck!$C$18:$O$77,MATCH('Decline and Model'!$A32,PriceDeck!$B$18:$B$77,0),MATCH('Decline and Model'!AG$8,PriceDeck!$C$13:$O$13,0))*(1+$AE$6)</f>
        <v>49.8</v>
      </c>
      <c r="AH32" s="258">
        <f t="array" ref="AH32">INDEX(PriceDeck!$C$18:$O$77,MATCH('Decline and Model'!$A32,PriceDeck!$B$18:$B$77,0),MATCH('Decline and Model'!AH$8,PriceDeck!$C$13:$O$13,0))</f>
        <v>0.8</v>
      </c>
      <c r="AI32" s="258">
        <f t="shared" si="29"/>
        <v>3.3</v>
      </c>
      <c r="AJ32" s="259">
        <f t="shared" si="30"/>
        <v>3.3</v>
      </c>
      <c r="AK32" s="120">
        <v>3.3</v>
      </c>
      <c r="AL32" s="120"/>
      <c r="AN32" s="7">
        <f t="shared" si="31"/>
        <v>612263.44181077974</v>
      </c>
      <c r="AO32" s="7">
        <f t="shared" si="2"/>
        <v>88912.73326383956</v>
      </c>
      <c r="AP32" s="7">
        <f t="shared" si="32"/>
        <v>26498.611857153166</v>
      </c>
      <c r="AQ32" s="7">
        <f t="shared" si="33"/>
        <v>38092.421710910159</v>
      </c>
      <c r="AR32" s="7">
        <f t="shared" si="34"/>
        <v>54496.500245082549</v>
      </c>
      <c r="AS32" s="7">
        <f t="shared" si="35"/>
        <v>42246.712003690125</v>
      </c>
      <c r="AT32" s="7">
        <f t="shared" si="36"/>
        <v>862510.42089145514</v>
      </c>
      <c r="AU32" s="7">
        <f>SUM($AT$9:AT32)</f>
        <v>34459811.400512323</v>
      </c>
      <c r="AV32" s="7">
        <f>AT32/(1+$AR$5)^(COUNT($E$9:E32))</f>
        <v>719343.15038590273</v>
      </c>
      <c r="AW32" s="7">
        <f t="shared" si="49"/>
        <v>0</v>
      </c>
      <c r="AX32" s="7">
        <f t="shared" si="37"/>
        <v>0</v>
      </c>
      <c r="AY32" s="117">
        <f t="shared" si="38"/>
        <v>0</v>
      </c>
      <c r="AZ32" s="117">
        <f t="shared" si="3"/>
        <v>862510.42089145514</v>
      </c>
      <c r="BA32" s="120">
        <f t="shared" si="46"/>
        <v>193916.8178823003</v>
      </c>
      <c r="BB32" s="119">
        <f t="shared" si="4"/>
        <v>0</v>
      </c>
      <c r="BC32" s="17"/>
      <c r="BD32" s="126">
        <f t="shared" si="5"/>
        <v>0.70986208048126487</v>
      </c>
      <c r="BE32" s="127">
        <f t="shared" si="6"/>
        <v>0.1030859814678448</v>
      </c>
      <c r="BF32" s="127">
        <f t="shared" si="7"/>
        <v>3.0722657043105978E-2</v>
      </c>
      <c r="BG32" s="127">
        <f t="shared" si="8"/>
        <v>4.4164593016208897E-2</v>
      </c>
      <c r="BH32" s="127">
        <f t="shared" si="9"/>
        <v>6.3183584713976226E-2</v>
      </c>
      <c r="BI32" s="128">
        <f t="shared" si="10"/>
        <v>4.8981103277599441E-2</v>
      </c>
      <c r="BJ32" s="126">
        <f t="array" ref="BJ32">BD32*INDEX(Royalty!$U$7:$Z$246,MATCH('Decline and Model'!$E32,Royalty!$AI$7:$AI$246,0),MATCH('Decline and Model'!BJ$8,Royalty!$U$1:$Z$1,0))</f>
        <v>0.17390913646757583</v>
      </c>
      <c r="BK32" s="127">
        <f t="array" ref="BK32">BE32*INDEX(Royalty!$U$7:$Z$246,MATCH('Decline and Model'!$E32,Royalty!$AI$7:$AI$246,0),MATCH('Decline and Model'!BK$8,Royalty!$U$1:$Z$1,0))</f>
        <v>2.447113327845089E-2</v>
      </c>
      <c r="BL32" s="127">
        <f t="array" ref="BL32">BF32*INDEX(Royalty!$U$7:$Z$246,MATCH('Decline and Model'!$E32,Royalty!$AI$7:$AI$246,0),MATCH('Decline and Model'!BL$8,Royalty!$U$1:$Z$1,0))</f>
        <v>6.947470694188853E-3</v>
      </c>
      <c r="BM32" s="127">
        <f t="array" ref="BM32">BG32*INDEX(Royalty!$U$7:$Z$246,MATCH('Decline and Model'!$E32,Royalty!$AI$7:$AI$246,0),MATCH('Decline and Model'!BM$8,Royalty!$U$1:$Z$1,0))</f>
        <v>1.0391820687418835E-2</v>
      </c>
      <c r="BN32" s="127">
        <f t="array" ref="BN32">BH32*INDEX(Royalty!$U$7:$Z$246,MATCH('Decline and Model'!$E32,Royalty!$AI$7:$AI$246,0),MATCH('Decline and Model'!BN$8,Royalty!$U$1:$Z$1,0))</f>
        <v>6.6597604855173752E-3</v>
      </c>
      <c r="BO32" s="127">
        <f t="array" ref="BO32">BI32*INDEX(Royalty!$U$7:$Z$246,MATCH('Decline and Model'!$E32,Royalty!$AI$7:$AI$246,0),MATCH('Decline and Model'!BO$8,Royalty!$U$1:$Z$1,0))</f>
        <v>2.4490551638799724E-3</v>
      </c>
      <c r="BP32" s="135">
        <f t="shared" si="11"/>
        <v>0.22482837677703174</v>
      </c>
      <c r="BQ32" s="7"/>
      <c r="BR32" s="7"/>
      <c r="BS32">
        <v>24</v>
      </c>
      <c r="BT32" s="120">
        <f t="shared" si="12"/>
        <v>193916.8178823003</v>
      </c>
      <c r="BU32" s="113">
        <f t="shared" si="13"/>
        <v>159274.02337413433</v>
      </c>
      <c r="BV32" s="113">
        <f t="shared" si="14"/>
        <v>47782.207012240295</v>
      </c>
      <c r="BW32" s="113">
        <f t="shared" si="47"/>
        <v>7176423.2781381253</v>
      </c>
      <c r="BX32" s="113">
        <f t="shared" si="39"/>
        <v>158630.89379047908</v>
      </c>
      <c r="BY32" s="120">
        <f t="shared" si="40"/>
        <v>302906.4788323011</v>
      </c>
      <c r="BZ32" s="153">
        <f t="shared" si="48"/>
        <v>0</v>
      </c>
      <c r="CA32" s="120">
        <f t="shared" si="50"/>
        <v>302906.4788323011</v>
      </c>
      <c r="CB32" s="120">
        <f t="shared" si="41"/>
        <v>75726.619708075275</v>
      </c>
      <c r="CC32" s="153">
        <f t="shared" si="42"/>
        <v>385810.75291470491</v>
      </c>
      <c r="CD32" s="7">
        <f t="shared" si="16"/>
        <v>321770.39921161422</v>
      </c>
      <c r="CE32" s="11">
        <f>SUM($CD$9:CD32)</f>
        <v>16142813.989147976</v>
      </c>
      <c r="CF32" s="11">
        <f t="shared" si="43"/>
        <v>12000000</v>
      </c>
      <c r="CG32">
        <f t="shared" si="44"/>
        <v>4142813.989147976</v>
      </c>
      <c r="CJ32" s="16" t="s">
        <v>308</v>
      </c>
      <c r="CK32" s="16" t="s">
        <v>309</v>
      </c>
      <c r="CL32" s="16"/>
      <c r="CM32" s="16" t="s">
        <v>308</v>
      </c>
      <c r="CN32" s="16" t="s">
        <v>49</v>
      </c>
    </row>
    <row r="33" spans="1:94" ht="16.5" customHeight="1">
      <c r="A33">
        <f t="shared" si="17"/>
        <v>2019</v>
      </c>
      <c r="B33">
        <f t="shared" si="18"/>
        <v>30.416666666666668</v>
      </c>
      <c r="C33">
        <f t="shared" si="51"/>
        <v>3</v>
      </c>
      <c r="E33" s="97">
        <v>43556</v>
      </c>
      <c r="F33" s="2">
        <f>$F$6*EXP(-$F$3*COUNT($E$9:$E33))</f>
        <v>229.62328051075542</v>
      </c>
      <c r="G33" s="260">
        <f>$F$6/(1+$F$5*$F$3*COUNT($E$9:$E33))^(1/$F$5)</f>
        <v>255.63905231877365</v>
      </c>
      <c r="H33" s="260">
        <f>$H$6/(1+$H$5*$H$3*COUNT($E$9:$E33))^(1/$H$5)</f>
        <v>856.46851852849409</v>
      </c>
      <c r="I33" s="260">
        <f t="shared" si="19"/>
        <v>163.13686067209412</v>
      </c>
      <c r="J33" s="260">
        <f t="shared" si="20"/>
        <v>67.93018878385999</v>
      </c>
      <c r="K33" s="260">
        <f t="shared" si="20"/>
        <v>46.216672628404261</v>
      </c>
      <c r="L33" s="260">
        <f t="shared" si="20"/>
        <v>22.039789876799915</v>
      </c>
      <c r="M33" s="260">
        <f t="shared" si="20"/>
        <v>26.966523069097157</v>
      </c>
      <c r="N33" s="19">
        <f t="shared" si="21"/>
        <v>6984.3747822021442</v>
      </c>
      <c r="O33" s="19">
        <f t="shared" si="22"/>
        <v>7775.6878413626991</v>
      </c>
      <c r="P33" s="19">
        <f t="shared" si="23"/>
        <v>26050.91743857503</v>
      </c>
      <c r="Q33" s="19">
        <f t="shared" si="24"/>
        <v>4962.0795121095298</v>
      </c>
      <c r="R33" s="19">
        <f t="shared" si="25"/>
        <v>2066.2099088424079</v>
      </c>
      <c r="S33" s="19">
        <f t="shared" si="26"/>
        <v>1405.7571257806296</v>
      </c>
      <c r="T33" s="19">
        <f t="shared" si="27"/>
        <v>670.37694208599748</v>
      </c>
      <c r="U33" s="19">
        <f t="shared" si="28"/>
        <v>820.23174335170518</v>
      </c>
      <c r="V33" s="261">
        <f t="shared" si="45"/>
        <v>15334.71740918322</v>
      </c>
      <c r="W33" s="261">
        <f>SUM(O$9:O33)</f>
        <v>349036.6382533423</v>
      </c>
      <c r="X33" s="261">
        <f>SUM(P$9:P33)</f>
        <v>1158019.4575111209</v>
      </c>
      <c r="Y33" s="261">
        <f>SUM(Q$9:Q33)</f>
        <v>220575.13476402304</v>
      </c>
      <c r="Z33" s="261">
        <f>SUM($V$9:V33)</f>
        <v>685051.80317326356</v>
      </c>
      <c r="AB33" s="257">
        <f t="array" ref="AB33">(INDEX(PriceDeck!$C$18:$O$77,MATCH('Decline and Model'!$A33,PriceDeck!$B$18:$B$77,0),MATCH('Decline and Model'!AB$8,PriceDeck!$C$13:$O$13,0))*(1+$AE$6))</f>
        <v>62.4</v>
      </c>
      <c r="AC33" s="257">
        <f t="array" ref="AC33">INDEX(PriceDeck!$C$18:$O$77,MATCH('Decline and Model'!$A33,PriceDeck!$B$18:$B$77,0),MATCH('Decline and Model'!AC$8,PriceDeck!$C$13:$O$13,0))*(1+$AE$6)</f>
        <v>75.5</v>
      </c>
      <c r="AD33" s="257">
        <f t="array" ref="AD33">INDEX(PriceDeck!$C$18:$O$77,MATCH('Decline and Model'!$A33,PriceDeck!$B$18:$B$77,0),MATCH('Decline and Model'!AD$8,PriceDeck!$C$13:$O$13,0))*(1+$AE$6)</f>
        <v>12.4</v>
      </c>
      <c r="AE33" s="257">
        <f t="array" ref="AE33">INDEX(PriceDeck!$C$18:$O$77,MATCH('Decline and Model'!$A33,PriceDeck!$B$18:$B$77,0),MATCH('Decline and Model'!AE$8,PriceDeck!$C$13:$O$13,0))*(1+$AE$6)</f>
        <v>26.2</v>
      </c>
      <c r="AF33" s="257">
        <f t="array" ref="AF33">INDEX(PriceDeck!$C$18:$O$77,MATCH('Decline and Model'!$A33,PriceDeck!$B$18:$B$77,0),MATCH('Decline and Model'!AF$8,PriceDeck!$C$13:$O$13,0))*(1+$AE$6)</f>
        <v>78.599999999999994</v>
      </c>
      <c r="AG33" s="257">
        <f t="array" ref="AG33">INDEX(PriceDeck!$C$18:$O$77,MATCH('Decline and Model'!$A33,PriceDeck!$B$18:$B$77,0),MATCH('Decline and Model'!AG$8,PriceDeck!$C$13:$O$13,0))*(1+$AE$6)</f>
        <v>49.8</v>
      </c>
      <c r="AH33" s="258">
        <f t="array" ref="AH33">INDEX(PriceDeck!$C$18:$O$77,MATCH('Decline and Model'!$A33,PriceDeck!$B$18:$B$77,0),MATCH('Decline and Model'!AH$8,PriceDeck!$C$13:$O$13,0))</f>
        <v>0.8</v>
      </c>
      <c r="AI33" s="258">
        <f t="shared" si="29"/>
        <v>3.3</v>
      </c>
      <c r="AJ33" s="259">
        <f t="shared" si="30"/>
        <v>3.3</v>
      </c>
      <c r="AK33" s="120">
        <v>3.3</v>
      </c>
      <c r="AL33" s="120"/>
      <c r="AN33" s="7">
        <f t="shared" si="31"/>
        <v>587064.43202288379</v>
      </c>
      <c r="AO33" s="7">
        <f t="shared" si="2"/>
        <v>85968.027547297592</v>
      </c>
      <c r="AP33" s="7">
        <f t="shared" si="32"/>
        <v>25621.002869645858</v>
      </c>
      <c r="AQ33" s="7">
        <f t="shared" si="33"/>
        <v>36830.836695452497</v>
      </c>
      <c r="AR33" s="7">
        <f t="shared" si="34"/>
        <v>52691.627647959402</v>
      </c>
      <c r="AS33" s="7">
        <f t="shared" si="35"/>
        <v>40847.540818914917</v>
      </c>
      <c r="AT33" s="7">
        <f t="shared" si="36"/>
        <v>829023.46760215389</v>
      </c>
      <c r="AU33" s="7">
        <f>SUM($AT$9:AT33)</f>
        <v>35288834.868114479</v>
      </c>
      <c r="AV33" s="7">
        <f>AT33/(1+$AR$5)^(COUNT($E$9:E33))</f>
        <v>686205.31291962124</v>
      </c>
      <c r="AW33" s="7">
        <f t="shared" si="49"/>
        <v>0</v>
      </c>
      <c r="AX33" s="7">
        <f t="shared" si="37"/>
        <v>0</v>
      </c>
      <c r="AY33" s="117">
        <f t="shared" si="38"/>
        <v>0</v>
      </c>
      <c r="AZ33" s="117">
        <f t="shared" si="3"/>
        <v>829023.46760215389</v>
      </c>
      <c r="BA33" s="120">
        <f t="shared" si="46"/>
        <v>186288.77647706581</v>
      </c>
      <c r="BB33" s="119">
        <f t="shared" si="4"/>
        <v>0</v>
      </c>
      <c r="BC33" s="17"/>
      <c r="BD33" s="126">
        <f t="shared" si="5"/>
        <v>0.70813970287342265</v>
      </c>
      <c r="BE33" s="127">
        <f t="shared" si="6"/>
        <v>0.10369794210524498</v>
      </c>
      <c r="BF33" s="127">
        <f t="shared" si="7"/>
        <v>3.0905039327476923E-2</v>
      </c>
      <c r="BG33" s="127">
        <f t="shared" si="8"/>
        <v>4.4426772141904568E-2</v>
      </c>
      <c r="BH33" s="127">
        <f t="shared" si="9"/>
        <v>6.355866836962204E-2</v>
      </c>
      <c r="BI33" s="128">
        <f t="shared" si="10"/>
        <v>4.9271875182329027E-2</v>
      </c>
      <c r="BJ33" s="126">
        <f t="array" ref="BJ33">BD33*INDEX(Royalty!$U$7:$Z$246,MATCH('Decline and Model'!$E33,Royalty!$AI$7:$AI$246,0),MATCH('Decline and Model'!BJ$8,Royalty!$U$1:$Z$1,0))</f>
        <v>0.17348717111587281</v>
      </c>
      <c r="BK33" s="127">
        <f t="array" ref="BK33">BE33*INDEX(Royalty!$U$7:$Z$246,MATCH('Decline and Model'!$E33,Royalty!$AI$7:$AI$246,0),MATCH('Decline and Model'!BK$8,Royalty!$U$1:$Z$1,0))</f>
        <v>2.4616403955469733E-2</v>
      </c>
      <c r="BL33" s="127">
        <f t="array" ref="BL33">BF33*INDEX(Royalty!$U$7:$Z$246,MATCH('Decline and Model'!$E33,Royalty!$AI$7:$AI$246,0),MATCH('Decline and Model'!BL$8,Royalty!$U$1:$Z$1,0))</f>
        <v>6.9887137277594375E-3</v>
      </c>
      <c r="BM33" s="127">
        <f t="array" ref="BM33">BG33*INDEX(Royalty!$U$7:$Z$246,MATCH('Decline and Model'!$E33,Royalty!$AI$7:$AI$246,0),MATCH('Decline and Model'!BM$8,Royalty!$U$1:$Z$1,0))</f>
        <v>1.0453510794270125E-2</v>
      </c>
      <c r="BN33" s="127">
        <f t="array" ref="BN33">BH33*INDEX(Royalty!$U$7:$Z$246,MATCH('Decline and Model'!$E33,Royalty!$AI$7:$AI$246,0),MATCH('Decline and Model'!BN$8,Royalty!$U$1:$Z$1,0))</f>
        <v>6.699295553366744E-3</v>
      </c>
      <c r="BO33" s="127">
        <f t="array" ref="BO33">BI33*INDEX(Royalty!$U$7:$Z$246,MATCH('Decline and Model'!$E33,Royalty!$AI$7:$AI$246,0),MATCH('Decline and Model'!BO$8,Royalty!$U$1:$Z$1,0))</f>
        <v>2.4635937591164516E-3</v>
      </c>
      <c r="BP33" s="135">
        <f t="shared" si="11"/>
        <v>0.2247086889058553</v>
      </c>
      <c r="BQ33" s="7"/>
      <c r="BR33" s="7"/>
      <c r="BS33">
        <v>25</v>
      </c>
      <c r="BT33" s="120">
        <f t="shared" si="12"/>
        <v>186288.77647706581</v>
      </c>
      <c r="BU33" s="113">
        <f t="shared" si="13"/>
        <v>153347.17409183219</v>
      </c>
      <c r="BV33" s="113">
        <f t="shared" si="14"/>
        <v>46004.152227549661</v>
      </c>
      <c r="BW33" s="113">
        <f t="shared" si="47"/>
        <v>7017792.3843476465</v>
      </c>
      <c r="BX33" s="113">
        <f t="shared" si="39"/>
        <v>155124.44503606632</v>
      </c>
      <c r="BY33" s="120">
        <f t="shared" si="40"/>
        <v>288258.91976963996</v>
      </c>
      <c r="BZ33" s="153">
        <f t="shared" si="48"/>
        <v>0</v>
      </c>
      <c r="CA33" s="120">
        <f t="shared" si="50"/>
        <v>288258.91976963996</v>
      </c>
      <c r="CB33" s="120">
        <f t="shared" si="41"/>
        <v>72064.729942409991</v>
      </c>
      <c r="CC33" s="153">
        <f t="shared" si="42"/>
        <v>371318.63486329629</v>
      </c>
      <c r="CD33" s="7">
        <f t="shared" si="16"/>
        <v>307350.55156669347</v>
      </c>
      <c r="CE33" s="11">
        <f>SUM($CD$9:CD33)</f>
        <v>16450164.54071467</v>
      </c>
      <c r="CF33" s="11">
        <f t="shared" si="43"/>
        <v>12000000</v>
      </c>
      <c r="CG33">
        <f t="shared" si="44"/>
        <v>4450164.54071467</v>
      </c>
      <c r="CK33">
        <f>CD3</f>
        <v>13</v>
      </c>
      <c r="CN33" s="7">
        <f>CI27</f>
        <v>13666856.799841944</v>
      </c>
    </row>
    <row r="34" spans="1:94" ht="16.5" customHeight="1">
      <c r="A34">
        <f t="shared" si="17"/>
        <v>2019</v>
      </c>
      <c r="B34">
        <f t="shared" si="18"/>
        <v>30.416666666666668</v>
      </c>
      <c r="C34">
        <f t="shared" si="51"/>
        <v>3</v>
      </c>
      <c r="E34" s="97">
        <v>43586</v>
      </c>
      <c r="F34" s="2">
        <f>$F$6*EXP(-$F$3*COUNT($E$9:$E34))</f>
        <v>218.42442097221189</v>
      </c>
      <c r="G34" s="260">
        <f>$F$6/(1+$F$5*$F$3*COUNT($E$9:$E34))^(1/$F$5)</f>
        <v>245.18429948403485</v>
      </c>
      <c r="H34" s="260">
        <f>$H$6/(1+$H$5*$H$3*COUNT($E$9:$E34))^(1/$H$5)</f>
        <v>828.75867159034283</v>
      </c>
      <c r="I34" s="260">
        <f t="shared" si="19"/>
        <v>157.85879458863673</v>
      </c>
      <c r="J34" s="260">
        <f t="shared" si="20"/>
        <v>65.732402066708332</v>
      </c>
      <c r="K34" s="260">
        <f t="shared" si="20"/>
        <v>44.721396506960787</v>
      </c>
      <c r="L34" s="260">
        <f t="shared" si="20"/>
        <v>21.32672314892482</v>
      </c>
      <c r="M34" s="260">
        <f t="shared" si="20"/>
        <v>26.094058745501652</v>
      </c>
      <c r="N34" s="19">
        <f t="shared" si="21"/>
        <v>6643.742804571445</v>
      </c>
      <c r="O34" s="19">
        <f t="shared" si="22"/>
        <v>7457.6891093060603</v>
      </c>
      <c r="P34" s="19">
        <f t="shared" si="23"/>
        <v>25208.076260872927</v>
      </c>
      <c r="Q34" s="19">
        <f t="shared" si="24"/>
        <v>4801.538335404367</v>
      </c>
      <c r="R34" s="19">
        <f t="shared" si="25"/>
        <v>1999.3605628623784</v>
      </c>
      <c r="S34" s="19">
        <f t="shared" si="26"/>
        <v>1360.2758104200573</v>
      </c>
      <c r="T34" s="19">
        <f t="shared" si="27"/>
        <v>648.68782911312996</v>
      </c>
      <c r="U34" s="19">
        <f t="shared" si="28"/>
        <v>793.69428684234197</v>
      </c>
      <c r="V34" s="261">
        <f t="shared" si="45"/>
        <v>14772.156795640101</v>
      </c>
      <c r="W34" s="261">
        <f>SUM(O$9:O34)</f>
        <v>356494.32736264839</v>
      </c>
      <c r="X34" s="261">
        <f>SUM(P$9:P34)</f>
        <v>1183227.5337719938</v>
      </c>
      <c r="Y34" s="261">
        <f>SUM(Q$9:Q34)</f>
        <v>225376.6730994274</v>
      </c>
      <c r="Z34" s="261">
        <f>SUM($V$9:V34)</f>
        <v>699823.95996890368</v>
      </c>
      <c r="AB34" s="257">
        <f t="array" ref="AB34">(INDEX(PriceDeck!$C$18:$O$77,MATCH('Decline and Model'!$A34,PriceDeck!$B$18:$B$77,0),MATCH('Decline and Model'!AB$8,PriceDeck!$C$13:$O$13,0))*(1+$AE$6))</f>
        <v>62.4</v>
      </c>
      <c r="AC34" s="257">
        <f t="array" ref="AC34">INDEX(PriceDeck!$C$18:$O$77,MATCH('Decline and Model'!$A34,PriceDeck!$B$18:$B$77,0),MATCH('Decline and Model'!AC$8,PriceDeck!$C$13:$O$13,0))*(1+$AE$6)</f>
        <v>75.5</v>
      </c>
      <c r="AD34" s="257">
        <f t="array" ref="AD34">INDEX(PriceDeck!$C$18:$O$77,MATCH('Decline and Model'!$A34,PriceDeck!$B$18:$B$77,0),MATCH('Decline and Model'!AD$8,PriceDeck!$C$13:$O$13,0))*(1+$AE$6)</f>
        <v>12.4</v>
      </c>
      <c r="AE34" s="257">
        <f t="array" ref="AE34">INDEX(PriceDeck!$C$18:$O$77,MATCH('Decline and Model'!$A34,PriceDeck!$B$18:$B$77,0),MATCH('Decline and Model'!AE$8,PriceDeck!$C$13:$O$13,0))*(1+$AE$6)</f>
        <v>26.2</v>
      </c>
      <c r="AF34" s="257">
        <f t="array" ref="AF34">INDEX(PriceDeck!$C$18:$O$77,MATCH('Decline and Model'!$A34,PriceDeck!$B$18:$B$77,0),MATCH('Decline and Model'!AF$8,PriceDeck!$C$13:$O$13,0))*(1+$AE$6)</f>
        <v>78.599999999999994</v>
      </c>
      <c r="AG34" s="257">
        <f t="array" ref="AG34">INDEX(PriceDeck!$C$18:$O$77,MATCH('Decline and Model'!$A34,PriceDeck!$B$18:$B$77,0),MATCH('Decline and Model'!AG$8,PriceDeck!$C$13:$O$13,0))*(1+$AE$6)</f>
        <v>49.8</v>
      </c>
      <c r="AH34" s="258">
        <f t="array" ref="AH34">INDEX(PriceDeck!$C$18:$O$77,MATCH('Decline and Model'!$A34,PriceDeck!$B$18:$B$77,0),MATCH('Decline and Model'!AH$8,PriceDeck!$C$13:$O$13,0))</f>
        <v>0.8</v>
      </c>
      <c r="AI34" s="258">
        <f t="shared" si="29"/>
        <v>3.3</v>
      </c>
      <c r="AJ34" s="259">
        <f t="shared" si="30"/>
        <v>3.3</v>
      </c>
      <c r="AK34" s="120">
        <v>3.3</v>
      </c>
      <c r="AL34" s="120"/>
      <c r="AN34" s="7">
        <f t="shared" si="31"/>
        <v>563055.5277526076</v>
      </c>
      <c r="AO34" s="7">
        <f t="shared" si="2"/>
        <v>83186.651660880656</v>
      </c>
      <c r="AP34" s="7">
        <f t="shared" si="32"/>
        <v>24792.070979493492</v>
      </c>
      <c r="AQ34" s="7">
        <f t="shared" si="33"/>
        <v>35639.226233005502</v>
      </c>
      <c r="AR34" s="7">
        <f t="shared" si="34"/>
        <v>50986.863368292012</v>
      </c>
      <c r="AS34" s="7">
        <f t="shared" si="35"/>
        <v>39525.975484748626</v>
      </c>
      <c r="AT34" s="7">
        <f t="shared" si="36"/>
        <v>797186.31547902781</v>
      </c>
      <c r="AU34" s="7">
        <f>SUM($AT$9:AT34)</f>
        <v>36086021.183593504</v>
      </c>
      <c r="AV34" s="7">
        <f>AT34/(1+$AR$5)^(COUNT($E$9:E34))</f>
        <v>654881.28092531627</v>
      </c>
      <c r="AW34" s="7">
        <f t="shared" si="49"/>
        <v>0</v>
      </c>
      <c r="AX34" s="7">
        <f t="shared" si="37"/>
        <v>0</v>
      </c>
      <c r="AY34" s="117">
        <f t="shared" si="38"/>
        <v>0</v>
      </c>
      <c r="AZ34" s="117">
        <f t="shared" si="3"/>
        <v>797186.31547902781</v>
      </c>
      <c r="BA34" s="120">
        <f t="shared" si="46"/>
        <v>179032.97570759043</v>
      </c>
      <c r="BB34" s="119">
        <f t="shared" si="4"/>
        <v>0</v>
      </c>
      <c r="BC34" s="17"/>
      <c r="BD34" s="126">
        <f t="shared" si="5"/>
        <v>0.70630355391169575</v>
      </c>
      <c r="BE34" s="127">
        <f t="shared" si="6"/>
        <v>0.10435032569631347</v>
      </c>
      <c r="BF34" s="127">
        <f t="shared" si="7"/>
        <v>3.1099468841980789E-2</v>
      </c>
      <c r="BG34" s="127">
        <f t="shared" si="8"/>
        <v>4.470626946423429E-2</v>
      </c>
      <c r="BH34" s="127">
        <f t="shared" si="9"/>
        <v>6.3958528111027715E-2</v>
      </c>
      <c r="BI34" s="128">
        <f t="shared" si="10"/>
        <v>4.9581853974748097E-2</v>
      </c>
      <c r="BJ34" s="126">
        <f t="array" ref="BJ34">BD34*INDEX(Royalty!$U$7:$Z$246,MATCH('Decline and Model'!$E34,Royalty!$AI$7:$AI$246,0),MATCH('Decline and Model'!BJ$8,Royalty!$U$1:$Z$1,0))</f>
        <v>0.17303733291611537</v>
      </c>
      <c r="BK34" s="127">
        <f t="array" ref="BK34">BE34*INDEX(Royalty!$U$7:$Z$246,MATCH('Decline and Model'!$E34,Royalty!$AI$7:$AI$246,0),MATCH('Decline and Model'!BK$8,Royalty!$U$1:$Z$1,0))</f>
        <v>2.4771270461840352E-2</v>
      </c>
      <c r="BL34" s="127">
        <f t="array" ref="BL34">BF34*INDEX(Royalty!$U$7:$Z$246,MATCH('Decline and Model'!$E34,Royalty!$AI$7:$AI$246,0),MATCH('Decline and Model'!BL$8,Royalty!$U$1:$Z$1,0))</f>
        <v>7.0326810627528175E-3</v>
      </c>
      <c r="BM34" s="127">
        <f t="array" ref="BM34">BG34*INDEX(Royalty!$U$7:$Z$246,MATCH('Decline and Model'!$E34,Royalty!$AI$7:$AI$246,0),MATCH('Decline and Model'!BM$8,Royalty!$U$1:$Z$1,0))</f>
        <v>1.0519275830420198E-2</v>
      </c>
      <c r="BN34" s="127">
        <f t="array" ref="BN34">BH34*INDEX(Royalty!$U$7:$Z$246,MATCH('Decline and Model'!$E34,Royalty!$AI$7:$AI$246,0),MATCH('Decline and Model'!BN$8,Royalty!$U$1:$Z$1,0))</f>
        <v>6.7414421032596884E-3</v>
      </c>
      <c r="BO34" s="127">
        <f t="array" ref="BO34">BI34*INDEX(Royalty!$U$7:$Z$246,MATCH('Decline and Model'!$E34,Royalty!$AI$7:$AI$246,0),MATCH('Decline and Model'!BO$8,Royalty!$U$1:$Z$1,0))</f>
        <v>2.4790926987374052E-3</v>
      </c>
      <c r="BP34" s="135">
        <f t="shared" si="11"/>
        <v>0.22458109507312585</v>
      </c>
      <c r="BQ34" s="7"/>
      <c r="BR34" s="7"/>
      <c r="BS34">
        <v>26</v>
      </c>
      <c r="BT34" s="120">
        <f t="shared" si="12"/>
        <v>179032.97570759043</v>
      </c>
      <c r="BU34" s="113">
        <f t="shared" si="13"/>
        <v>147721.56795640101</v>
      </c>
      <c r="BV34" s="113">
        <f t="shared" si="14"/>
        <v>44316.470386920308</v>
      </c>
      <c r="BW34" s="113">
        <f t="shared" si="47"/>
        <v>6862667.9393115798</v>
      </c>
      <c r="BX34" s="113">
        <f t="shared" si="39"/>
        <v>151695.5044049045</v>
      </c>
      <c r="BY34" s="120">
        <f t="shared" si="40"/>
        <v>274419.79702321149</v>
      </c>
      <c r="BZ34" s="153">
        <f t="shared" si="48"/>
        <v>0</v>
      </c>
      <c r="CA34" s="120">
        <f t="shared" si="50"/>
        <v>274419.79702321149</v>
      </c>
      <c r="CB34" s="120">
        <f t="shared" si="41"/>
        <v>68604.949255802872</v>
      </c>
      <c r="CC34" s="153">
        <f t="shared" si="42"/>
        <v>357510.35217231314</v>
      </c>
      <c r="CD34" s="7">
        <f t="shared" si="16"/>
        <v>293691.49072005705</v>
      </c>
      <c r="CE34" s="11">
        <f>SUM($CD$9:CD34)</f>
        <v>16743856.031434728</v>
      </c>
      <c r="CF34" s="11">
        <f t="shared" si="43"/>
        <v>12000000</v>
      </c>
      <c r="CG34">
        <f t="shared" si="44"/>
        <v>4743856.0314347278</v>
      </c>
      <c r="CJ34">
        <v>-3</v>
      </c>
      <c r="CK34">
        <f t="dataTable" ref="CK34:CK43" dt2D="0" dtr="0" r1="CH3" ca="1"/>
        <v>18</v>
      </c>
      <c r="CM34">
        <v>-3</v>
      </c>
      <c r="CN34" s="7">
        <f t="dataTable" ref="CN34:CN43" dt2D="0" dtr="0" r1="CH3" ca="1"/>
        <v>11505048.717195865</v>
      </c>
    </row>
    <row r="35" spans="1:94" ht="16.5" customHeight="1">
      <c r="A35">
        <f t="shared" si="17"/>
        <v>2019</v>
      </c>
      <c r="B35">
        <f t="shared" si="18"/>
        <v>30.416666666666668</v>
      </c>
      <c r="C35">
        <f t="shared" si="51"/>
        <v>3</v>
      </c>
      <c r="E35" s="97">
        <v>43617</v>
      </c>
      <c r="F35" s="2">
        <f>$F$6*EXP(-$F$3*COUNT($E$9:$E35))</f>
        <v>207.7717362582988</v>
      </c>
      <c r="G35" s="260">
        <f>$F$6/(1+$F$5*$F$3*COUNT($E$9:$E35))^(1/$F$5)</f>
        <v>235.22019992321134</v>
      </c>
      <c r="H35" s="260">
        <f>$H$6/(1+$H$5*$H$3*COUNT($E$9:$E35))^(1/$H$5)</f>
        <v>802.55104943913875</v>
      </c>
      <c r="I35" s="260">
        <f t="shared" si="19"/>
        <v>152.86686655983596</v>
      </c>
      <c r="J35" s="260">
        <f t="shared" si="20"/>
        <v>63.65376323551569</v>
      </c>
      <c r="K35" s="260">
        <f t="shared" si="20"/>
        <v>43.307183296401526</v>
      </c>
      <c r="L35" s="260">
        <f t="shared" si="20"/>
        <v>20.652313672233838</v>
      </c>
      <c r="M35" s="260">
        <f t="shared" si="20"/>
        <v>25.268893042340885</v>
      </c>
      <c r="N35" s="19">
        <f t="shared" si="21"/>
        <v>6319.7236445232556</v>
      </c>
      <c r="O35" s="19">
        <f t="shared" si="22"/>
        <v>7154.6144143310121</v>
      </c>
      <c r="P35" s="19">
        <f t="shared" si="23"/>
        <v>24410.927753773805</v>
      </c>
      <c r="Q35" s="19">
        <f t="shared" si="24"/>
        <v>4649.7005245283435</v>
      </c>
      <c r="R35" s="19">
        <f t="shared" si="25"/>
        <v>1936.1352984136024</v>
      </c>
      <c r="S35" s="19">
        <f t="shared" si="26"/>
        <v>1317.2601585988798</v>
      </c>
      <c r="T35" s="19">
        <f t="shared" si="27"/>
        <v>628.17454086377927</v>
      </c>
      <c r="U35" s="19">
        <f t="shared" si="28"/>
        <v>768.59549670453532</v>
      </c>
      <c r="V35" s="261">
        <f t="shared" si="45"/>
        <v>14237.778571746578</v>
      </c>
      <c r="W35" s="261">
        <f>SUM(O$9:O35)</f>
        <v>363648.94177697942</v>
      </c>
      <c r="X35" s="261">
        <f>SUM(P$9:P35)</f>
        <v>1207638.4615257676</v>
      </c>
      <c r="Y35" s="261">
        <f>SUM(Q$9:Q35)</f>
        <v>230026.37362395573</v>
      </c>
      <c r="Z35" s="261">
        <f>SUM($V$9:V35)</f>
        <v>714061.73854065023</v>
      </c>
      <c r="AB35" s="257">
        <f t="array" ref="AB35">(INDEX(PriceDeck!$C$18:$O$77,MATCH('Decline and Model'!$A35,PriceDeck!$B$18:$B$77,0),MATCH('Decline and Model'!AB$8,PriceDeck!$C$13:$O$13,0))*(1+$AE$6))</f>
        <v>62.4</v>
      </c>
      <c r="AC35" s="257">
        <f t="array" ref="AC35">INDEX(PriceDeck!$C$18:$O$77,MATCH('Decline and Model'!$A35,PriceDeck!$B$18:$B$77,0),MATCH('Decline and Model'!AC$8,PriceDeck!$C$13:$O$13,0))*(1+$AE$6)</f>
        <v>75.5</v>
      </c>
      <c r="AD35" s="257">
        <f t="array" ref="AD35">INDEX(PriceDeck!$C$18:$O$77,MATCH('Decline and Model'!$A35,PriceDeck!$B$18:$B$77,0),MATCH('Decline and Model'!AD$8,PriceDeck!$C$13:$O$13,0))*(1+$AE$6)</f>
        <v>12.4</v>
      </c>
      <c r="AE35" s="257">
        <f t="array" ref="AE35">INDEX(PriceDeck!$C$18:$O$77,MATCH('Decline and Model'!$A35,PriceDeck!$B$18:$B$77,0),MATCH('Decline and Model'!AE$8,PriceDeck!$C$13:$O$13,0))*(1+$AE$6)</f>
        <v>26.2</v>
      </c>
      <c r="AF35" s="257">
        <f t="array" ref="AF35">INDEX(PriceDeck!$C$18:$O$77,MATCH('Decline and Model'!$A35,PriceDeck!$B$18:$B$77,0),MATCH('Decline and Model'!AF$8,PriceDeck!$C$13:$O$13,0))*(1+$AE$6)</f>
        <v>78.599999999999994</v>
      </c>
      <c r="AG35" s="257">
        <f t="array" ref="AG35">INDEX(PriceDeck!$C$18:$O$77,MATCH('Decline and Model'!$A35,PriceDeck!$B$18:$B$77,0),MATCH('Decline and Model'!AG$8,PriceDeck!$C$13:$O$13,0))*(1+$AE$6)</f>
        <v>49.8</v>
      </c>
      <c r="AH35" s="258">
        <f t="array" ref="AH35">INDEX(PriceDeck!$C$18:$O$77,MATCH('Decline and Model'!$A35,PriceDeck!$B$18:$B$77,0),MATCH('Decline and Model'!AH$8,PriceDeck!$C$13:$O$13,0))</f>
        <v>0.8</v>
      </c>
      <c r="AI35" s="258">
        <f t="shared" si="29"/>
        <v>3.3</v>
      </c>
      <c r="AJ35" s="259">
        <f t="shared" si="30"/>
        <v>3.3</v>
      </c>
      <c r="AK35" s="120">
        <v>3.3</v>
      </c>
      <c r="AL35" s="120"/>
      <c r="AN35" s="7">
        <f t="shared" si="31"/>
        <v>540173.38828199136</v>
      </c>
      <c r="AO35" s="7">
        <f t="shared" si="2"/>
        <v>80556.061587453558</v>
      </c>
      <c r="AP35" s="7">
        <f t="shared" si="32"/>
        <v>24008.077700328671</v>
      </c>
      <c r="AQ35" s="7">
        <f t="shared" si="33"/>
        <v>34512.216155290647</v>
      </c>
      <c r="AR35" s="7">
        <f t="shared" si="34"/>
        <v>49374.51891189305</v>
      </c>
      <c r="AS35" s="7">
        <f t="shared" si="35"/>
        <v>38276.055735885857</v>
      </c>
      <c r="AT35" s="7">
        <f t="shared" si="36"/>
        <v>766900.31837284309</v>
      </c>
      <c r="AU35" s="7">
        <f>SUM($AT$9:AT35)</f>
        <v>36852921.50196635</v>
      </c>
      <c r="AV35" s="7">
        <f>AT35/(1+$AR$5)^(COUNT($E$9:E35))</f>
        <v>625254.96625638264</v>
      </c>
      <c r="AW35" s="7">
        <f t="shared" si="49"/>
        <v>0</v>
      </c>
      <c r="AX35" s="7">
        <f t="shared" si="37"/>
        <v>0</v>
      </c>
      <c r="AY35" s="117">
        <f t="shared" si="38"/>
        <v>0</v>
      </c>
      <c r="AZ35" s="117">
        <f t="shared" si="3"/>
        <v>766900.31837284309</v>
      </c>
      <c r="BA35" s="120">
        <f t="shared" si="46"/>
        <v>172127.70162161705</v>
      </c>
      <c r="BB35" s="119">
        <f t="shared" si="4"/>
        <v>0</v>
      </c>
      <c r="BC35" s="17"/>
      <c r="BD35" s="126">
        <f t="shared" si="5"/>
        <v>0.70435932198867057</v>
      </c>
      <c r="BE35" s="127">
        <f t="shared" si="6"/>
        <v>0.10504111115558268</v>
      </c>
      <c r="BF35" s="127">
        <f t="shared" si="7"/>
        <v>3.1305343243653069E-2</v>
      </c>
      <c r="BG35" s="127">
        <f t="shared" si="8"/>
        <v>4.5002219100021133E-2</v>
      </c>
      <c r="BH35" s="127">
        <f t="shared" si="9"/>
        <v>6.4381925172038709E-2</v>
      </c>
      <c r="BI35" s="128">
        <f t="shared" si="10"/>
        <v>4.99100793400339E-2</v>
      </c>
      <c r="BJ35" s="126">
        <f t="array" ref="BJ35">BD35*INDEX(Royalty!$U$7:$Z$246,MATCH('Decline and Model'!$E35,Royalty!$AI$7:$AI$246,0),MATCH('Decline and Model'!BJ$8,Royalty!$U$1:$Z$1,0))</f>
        <v>0.17256101546780658</v>
      </c>
      <c r="BK35" s="127">
        <f t="array" ref="BK35">BE35*INDEX(Royalty!$U$7:$Z$246,MATCH('Decline and Model'!$E35,Royalty!$AI$7:$AI$246,0),MATCH('Decline and Model'!BK$8,Royalty!$U$1:$Z$1,0))</f>
        <v>2.4935253020864301E-2</v>
      </c>
      <c r="BL35" s="127">
        <f t="array" ref="BL35">BF35*INDEX(Royalty!$U$7:$Z$246,MATCH('Decline and Model'!$E35,Royalty!$AI$7:$AI$246,0),MATCH('Decline and Model'!BL$8,Royalty!$U$1:$Z$1,0))</f>
        <v>7.0792364882908826E-3</v>
      </c>
      <c r="BM35" s="127">
        <f t="array" ref="BM35">BG35*INDEX(Royalty!$U$7:$Z$246,MATCH('Decline and Model'!$E35,Royalty!$AI$7:$AI$246,0),MATCH('Decline and Model'!BM$8,Royalty!$U$1:$Z$1,0))</f>
        <v>1.0588912055675914E-2</v>
      </c>
      <c r="BN35" s="127">
        <f t="array" ref="BN35">BH35*INDEX(Royalty!$U$7:$Z$246,MATCH('Decline and Model'!$E35,Royalty!$AI$7:$AI$246,0),MATCH('Decline and Model'!BN$8,Royalty!$U$1:$Z$1,0))</f>
        <v>6.7860695651134235E-3</v>
      </c>
      <c r="BO35" s="127">
        <f t="array" ref="BO35">BI35*INDEX(Royalty!$U$7:$Z$246,MATCH('Decline and Model'!$E35,Royalty!$AI$7:$AI$246,0),MATCH('Decline and Model'!BO$8,Royalty!$U$1:$Z$1,0))</f>
        <v>2.4955039670016953E-3</v>
      </c>
      <c r="BP35" s="135">
        <f t="shared" si="11"/>
        <v>0.22444599056475278</v>
      </c>
      <c r="BQ35" s="7"/>
      <c r="BR35" s="7"/>
      <c r="BS35">
        <v>27</v>
      </c>
      <c r="BT35" s="120">
        <f t="shared" si="12"/>
        <v>172127.70162161705</v>
      </c>
      <c r="BU35" s="113">
        <f t="shared" si="13"/>
        <v>142377.78571746577</v>
      </c>
      <c r="BV35" s="113">
        <f t="shared" si="14"/>
        <v>42713.335715239737</v>
      </c>
      <c r="BW35" s="113">
        <f t="shared" si="47"/>
        <v>6710972.4349066755</v>
      </c>
      <c r="BX35" s="113">
        <f t="shared" si="39"/>
        <v>148342.35862251263</v>
      </c>
      <c r="BY35" s="120">
        <f t="shared" si="40"/>
        <v>261339.13669600783</v>
      </c>
      <c r="BZ35" s="153">
        <f t="shared" si="48"/>
        <v>0</v>
      </c>
      <c r="CA35" s="120">
        <f t="shared" si="50"/>
        <v>261339.13669600783</v>
      </c>
      <c r="CB35" s="120">
        <f t="shared" si="41"/>
        <v>65334.784174001958</v>
      </c>
      <c r="CC35" s="153">
        <f t="shared" si="42"/>
        <v>344346.71114451851</v>
      </c>
      <c r="CD35" s="7">
        <f t="shared" si="16"/>
        <v>280746.38398114202</v>
      </c>
      <c r="CE35" s="11">
        <f>SUM($CD$9:CD35)</f>
        <v>17024602.415415868</v>
      </c>
      <c r="CF35" s="11">
        <f t="shared" si="43"/>
        <v>12000000</v>
      </c>
      <c r="CG35">
        <f t="shared" si="44"/>
        <v>5024602.4154158682</v>
      </c>
      <c r="CJ35">
        <v>-2</v>
      </c>
      <c r="CK35">
        <v>16</v>
      </c>
      <c r="CM35">
        <v>-2</v>
      </c>
      <c r="CN35" s="7">
        <v>12132006.104728553</v>
      </c>
    </row>
    <row r="36" spans="1:94" ht="16.5" customHeight="1">
      <c r="A36">
        <f t="shared" si="17"/>
        <v>2019</v>
      </c>
      <c r="B36">
        <f t="shared" si="18"/>
        <v>30.416666666666668</v>
      </c>
      <c r="C36">
        <f t="shared" si="51"/>
        <v>3</v>
      </c>
      <c r="E36" s="97">
        <v>43647</v>
      </c>
      <c r="F36" s="2">
        <f>$F$6*EXP(-$F$3*COUNT($E$9:$E36))</f>
        <v>197.63858910849567</v>
      </c>
      <c r="G36" s="260">
        <f>$F$6/(1+$F$5*$F$3*COUNT($E$9:$E36))^(1/$F$5)</f>
        <v>225.72080297414755</v>
      </c>
      <c r="H36" s="260">
        <f>$H$6/(1+$H$5*$H$3*COUNT($E$9:$E36))^(1/$H$5)</f>
        <v>777.73282710248691</v>
      </c>
      <c r="I36" s="260">
        <f t="shared" si="19"/>
        <v>148.1395861147594</v>
      </c>
      <c r="J36" s="260">
        <f t="shared" si="20"/>
        <v>61.685323658185808</v>
      </c>
      <c r="K36" s="260">
        <f t="shared" si="20"/>
        <v>41.967944746311339</v>
      </c>
      <c r="L36" s="260">
        <f t="shared" si="20"/>
        <v>20.013658084103994</v>
      </c>
      <c r="M36" s="260">
        <f t="shared" si="20"/>
        <v>24.487473584769727</v>
      </c>
      <c r="N36" s="19">
        <f t="shared" si="21"/>
        <v>6011.5070853834104</v>
      </c>
      <c r="O36" s="19">
        <f t="shared" si="22"/>
        <v>6865.6744237969879</v>
      </c>
      <c r="P36" s="19">
        <f t="shared" si="23"/>
        <v>23656.040157700645</v>
      </c>
      <c r="Q36" s="19">
        <f t="shared" si="24"/>
        <v>4505.9124109905988</v>
      </c>
      <c r="R36" s="19">
        <f t="shared" si="25"/>
        <v>1876.2619279364851</v>
      </c>
      <c r="S36" s="19">
        <f t="shared" si="26"/>
        <v>1276.5249860336367</v>
      </c>
      <c r="T36" s="19">
        <f t="shared" si="27"/>
        <v>608.74876672482981</v>
      </c>
      <c r="U36" s="19">
        <f t="shared" si="28"/>
        <v>744.8273215367459</v>
      </c>
      <c r="V36" s="261">
        <f t="shared" si="45"/>
        <v>13729.797632940672</v>
      </c>
      <c r="W36" s="261">
        <f>SUM(O$9:O36)</f>
        <v>370514.61620077642</v>
      </c>
      <c r="X36" s="261">
        <f>SUM(P$9:P36)</f>
        <v>1231294.5016834682</v>
      </c>
      <c r="Y36" s="261">
        <f>SUM(Q$9:Q36)</f>
        <v>234532.28603494633</v>
      </c>
      <c r="Z36" s="261">
        <f>SUM($V$9:V36)</f>
        <v>727791.53617359092</v>
      </c>
      <c r="AB36" s="257">
        <f t="array" ref="AB36">(INDEX(PriceDeck!$C$18:$O$77,MATCH('Decline and Model'!$A36,PriceDeck!$B$18:$B$77,0),MATCH('Decline and Model'!AB$8,PriceDeck!$C$13:$O$13,0))*(1+$AE$6))</f>
        <v>62.4</v>
      </c>
      <c r="AC36" s="257">
        <f t="array" ref="AC36">INDEX(PriceDeck!$C$18:$O$77,MATCH('Decline and Model'!$A36,PriceDeck!$B$18:$B$77,0),MATCH('Decline and Model'!AC$8,PriceDeck!$C$13:$O$13,0))*(1+$AE$6)</f>
        <v>75.5</v>
      </c>
      <c r="AD36" s="257">
        <f t="array" ref="AD36">INDEX(PriceDeck!$C$18:$O$77,MATCH('Decline and Model'!$A36,PriceDeck!$B$18:$B$77,0),MATCH('Decline and Model'!AD$8,PriceDeck!$C$13:$O$13,0))*(1+$AE$6)</f>
        <v>12.4</v>
      </c>
      <c r="AE36" s="257">
        <f t="array" ref="AE36">INDEX(PriceDeck!$C$18:$O$77,MATCH('Decline and Model'!$A36,PriceDeck!$B$18:$B$77,0),MATCH('Decline and Model'!AE$8,PriceDeck!$C$13:$O$13,0))*(1+$AE$6)</f>
        <v>26.2</v>
      </c>
      <c r="AF36" s="257">
        <f t="array" ref="AF36">INDEX(PriceDeck!$C$18:$O$77,MATCH('Decline and Model'!$A36,PriceDeck!$B$18:$B$77,0),MATCH('Decline and Model'!AF$8,PriceDeck!$C$13:$O$13,0))*(1+$AE$6)</f>
        <v>78.599999999999994</v>
      </c>
      <c r="AG36" s="257">
        <f t="array" ref="AG36">INDEX(PriceDeck!$C$18:$O$77,MATCH('Decline and Model'!$A36,PriceDeck!$B$18:$B$77,0),MATCH('Decline and Model'!AG$8,PriceDeck!$C$13:$O$13,0))*(1+$AE$6)</f>
        <v>49.8</v>
      </c>
      <c r="AH36" s="258">
        <f t="array" ref="AH36">INDEX(PriceDeck!$C$18:$O$77,MATCH('Decline and Model'!$A36,PriceDeck!$B$18:$B$77,0),MATCH('Decline and Model'!AH$8,PriceDeck!$C$13:$O$13,0))</f>
        <v>0.8</v>
      </c>
      <c r="AI36" s="258">
        <f t="shared" si="29"/>
        <v>3.3</v>
      </c>
      <c r="AJ36" s="259">
        <f t="shared" si="30"/>
        <v>3.3</v>
      </c>
      <c r="AK36" s="120">
        <v>3.3</v>
      </c>
      <c r="AL36" s="120"/>
      <c r="AN36" s="7">
        <f t="shared" si="31"/>
        <v>518358.41899667261</v>
      </c>
      <c r="AO36" s="7">
        <f t="shared" si="2"/>
        <v>78064.932520412127</v>
      </c>
      <c r="AP36" s="7">
        <f t="shared" si="32"/>
        <v>23265.647906412418</v>
      </c>
      <c r="AQ36" s="7">
        <f t="shared" si="33"/>
        <v>33444.954634081281</v>
      </c>
      <c r="AR36" s="7">
        <f t="shared" si="34"/>
        <v>47847.653064571619</v>
      </c>
      <c r="AS36" s="7">
        <f t="shared" si="35"/>
        <v>37092.400612529942</v>
      </c>
      <c r="AT36" s="7">
        <f t="shared" si="36"/>
        <v>738074.00773468008</v>
      </c>
      <c r="AU36" s="7">
        <f>SUM($AT$9:AT36)</f>
        <v>37590995.509701028</v>
      </c>
      <c r="AV36" s="7">
        <f>AT36/(1+$AR$5)^(COUNT($E$9:E36))</f>
        <v>597219.02376927354</v>
      </c>
      <c r="AW36" s="7">
        <f t="shared" si="49"/>
        <v>0</v>
      </c>
      <c r="AX36" s="7">
        <f t="shared" si="37"/>
        <v>0</v>
      </c>
      <c r="AY36" s="117">
        <f t="shared" si="38"/>
        <v>0</v>
      </c>
      <c r="AZ36" s="117">
        <f t="shared" si="3"/>
        <v>738074.00773468008</v>
      </c>
      <c r="BA36" s="120">
        <f t="shared" si="46"/>
        <v>165552.76025303564</v>
      </c>
      <c r="BB36" s="119">
        <f t="shared" si="4"/>
        <v>0</v>
      </c>
      <c r="BC36" s="17"/>
      <c r="BD36" s="126">
        <f t="shared" si="5"/>
        <v>0.70231225265286679</v>
      </c>
      <c r="BE36" s="127">
        <f t="shared" si="6"/>
        <v>0.10576843474004927</v>
      </c>
      <c r="BF36" s="127">
        <f t="shared" si="7"/>
        <v>3.1522107082215339E-2</v>
      </c>
      <c r="BG36" s="127">
        <f t="shared" si="8"/>
        <v>4.5313822575505112E-2</v>
      </c>
      <c r="BH36" s="127">
        <f t="shared" si="9"/>
        <v>6.4827717225034304E-2</v>
      </c>
      <c r="BI36" s="128">
        <f t="shared" si="10"/>
        <v>5.025566572432906E-2</v>
      </c>
      <c r="BJ36" s="126">
        <f t="array" ref="BJ36">BD36*INDEX(Royalty!$U$7:$Z$246,MATCH('Decline and Model'!$E36,Royalty!$AI$7:$AI$246,0),MATCH('Decline and Model'!BJ$8,Royalty!$U$1:$Z$1,0))</f>
        <v>0.17205950387806573</v>
      </c>
      <c r="BK36" s="127">
        <f t="array" ref="BK36">BE36*INDEX(Royalty!$U$7:$Z$246,MATCH('Decline and Model'!$E36,Royalty!$AI$7:$AI$246,0),MATCH('Decline and Model'!BK$8,Royalty!$U$1:$Z$1,0))</f>
        <v>2.5107909206687148E-2</v>
      </c>
      <c r="BL36" s="127">
        <f t="array" ref="BL36">BF36*INDEX(Royalty!$U$7:$Z$246,MATCH('Decline and Model'!$E36,Royalty!$AI$7:$AI$246,0),MATCH('Decline and Model'!BL$8,Royalty!$U$1:$Z$1,0))</f>
        <v>7.1282543975771237E-3</v>
      </c>
      <c r="BM36" s="127">
        <f t="array" ref="BM36">BG36*INDEX(Royalty!$U$7:$Z$246,MATCH('Decline and Model'!$E36,Royalty!$AI$7:$AI$246,0),MATCH('Decline and Model'!BM$8,Royalty!$U$1:$Z$1,0))</f>
        <v>1.066223159111503E-2</v>
      </c>
      <c r="BN36" s="127">
        <f t="array" ref="BN36">BH36*INDEX(Royalty!$U$7:$Z$246,MATCH('Decline and Model'!$E36,Royalty!$AI$7:$AI$246,0),MATCH('Decline and Model'!BN$8,Royalty!$U$1:$Z$1,0))</f>
        <v>6.8330575337881578E-3</v>
      </c>
      <c r="BO36" s="127">
        <f t="array" ref="BO36">BI36*INDEX(Royalty!$U$7:$Z$246,MATCH('Decline and Model'!$E36,Royalty!$AI$7:$AI$246,0),MATCH('Decline and Model'!BO$8,Royalty!$U$1:$Z$1,0))</f>
        <v>2.5127832862164531E-3</v>
      </c>
      <c r="BP36" s="135">
        <f t="shared" si="11"/>
        <v>0.22430373989344965</v>
      </c>
      <c r="BQ36" s="7"/>
      <c r="BR36" s="7"/>
      <c r="BS36">
        <v>28</v>
      </c>
      <c r="BT36" s="120">
        <f t="shared" si="12"/>
        <v>165552.76025303564</v>
      </c>
      <c r="BU36" s="113">
        <f t="shared" si="13"/>
        <v>137297.97632940672</v>
      </c>
      <c r="BV36" s="113">
        <f t="shared" si="14"/>
        <v>41189.392898822014</v>
      </c>
      <c r="BW36" s="113">
        <f t="shared" si="47"/>
        <v>6562630.0762841627</v>
      </c>
      <c r="BX36" s="113">
        <f t="shared" si="39"/>
        <v>145063.33228540086</v>
      </c>
      <c r="BY36" s="120">
        <f t="shared" si="40"/>
        <v>248970.54596801478</v>
      </c>
      <c r="BZ36" s="153">
        <f t="shared" si="48"/>
        <v>0</v>
      </c>
      <c r="CA36" s="120">
        <f t="shared" si="50"/>
        <v>248970.54596801478</v>
      </c>
      <c r="CB36" s="120">
        <f t="shared" si="41"/>
        <v>62242.636492003694</v>
      </c>
      <c r="CC36" s="153">
        <f t="shared" si="42"/>
        <v>331791.24176141195</v>
      </c>
      <c r="CD36" s="7">
        <f t="shared" si="16"/>
        <v>268471.77847126732</v>
      </c>
      <c r="CE36" s="11">
        <f>SUM($CD$9:CD36)</f>
        <v>17293074.193887137</v>
      </c>
      <c r="CF36" s="11">
        <f t="shared" si="43"/>
        <v>12000000</v>
      </c>
      <c r="CG36">
        <f t="shared" si="44"/>
        <v>5293074.1938871369</v>
      </c>
      <c r="CJ36">
        <v>-1</v>
      </c>
      <c r="CK36">
        <v>15</v>
      </c>
      <c r="CM36">
        <v>-1</v>
      </c>
      <c r="CN36" s="7">
        <v>12853437.417138789</v>
      </c>
    </row>
    <row r="37" spans="1:94" ht="16.5" customHeight="1">
      <c r="A37">
        <f t="shared" si="17"/>
        <v>2019</v>
      </c>
      <c r="B37">
        <f t="shared" si="18"/>
        <v>30.416666666666668</v>
      </c>
      <c r="C37">
        <f t="shared" si="51"/>
        <v>3</v>
      </c>
      <c r="E37" s="97">
        <v>43678</v>
      </c>
      <c r="F37" s="2">
        <f>$F$6*EXP(-$F$3*COUNT($E$9:$E37))</f>
        <v>187.99964137680743</v>
      </c>
      <c r="G37" s="260">
        <f>$F$6/(1+$F$5*$F$3*COUNT($E$9:$E37))^(1/$F$5)</f>
        <v>216.66168321596584</v>
      </c>
      <c r="H37" s="260">
        <f>$H$6/(1+$H$5*$H$3*COUNT($E$9:$E37))^(1/$H$5)</f>
        <v>754.20190859613069</v>
      </c>
      <c r="I37" s="260">
        <f t="shared" si="19"/>
        <v>143.65750639926299</v>
      </c>
      <c r="J37" s="260">
        <f t="shared" si="20"/>
        <v>59.818985664653106</v>
      </c>
      <c r="K37" s="260">
        <f t="shared" si="20"/>
        <v>40.698171562911206</v>
      </c>
      <c r="L37" s="260">
        <f t="shared" si="20"/>
        <v>19.408129114540429</v>
      </c>
      <c r="M37" s="260">
        <f t="shared" si="20"/>
        <v>23.746585807798173</v>
      </c>
      <c r="N37" s="19">
        <f t="shared" si="21"/>
        <v>5718.3224252112259</v>
      </c>
      <c r="O37" s="19">
        <f t="shared" si="22"/>
        <v>6590.1261978189614</v>
      </c>
      <c r="P37" s="19">
        <f t="shared" si="23"/>
        <v>22940.30805313231</v>
      </c>
      <c r="Q37" s="19">
        <f t="shared" si="24"/>
        <v>4369.5824863109156</v>
      </c>
      <c r="R37" s="19">
        <f t="shared" si="25"/>
        <v>1819.4941472998653</v>
      </c>
      <c r="S37" s="19">
        <f t="shared" si="26"/>
        <v>1237.9027183718827</v>
      </c>
      <c r="T37" s="19">
        <f t="shared" si="27"/>
        <v>590.33059390060475</v>
      </c>
      <c r="U37" s="19">
        <f t="shared" si="28"/>
        <v>722.2919849871945</v>
      </c>
      <c r="V37" s="261">
        <f t="shared" si="45"/>
        <v>13246.569959441184</v>
      </c>
      <c r="W37" s="261">
        <f>SUM(O$9:O37)</f>
        <v>377104.74239859538</v>
      </c>
      <c r="X37" s="261">
        <f>SUM(P$9:P37)</f>
        <v>1254234.8097366006</v>
      </c>
      <c r="Y37" s="261">
        <f>SUM(Q$9:Q37)</f>
        <v>238901.86852125725</v>
      </c>
      <c r="Z37" s="261">
        <f>SUM($V$9:V37)</f>
        <v>741038.10613303212</v>
      </c>
      <c r="AB37" s="257">
        <f t="array" ref="AB37">(INDEX(PriceDeck!$C$18:$O$77,MATCH('Decline and Model'!$A37,PriceDeck!$B$18:$B$77,0),MATCH('Decline and Model'!AB$8,PriceDeck!$C$13:$O$13,0))*(1+$AE$6))</f>
        <v>62.4</v>
      </c>
      <c r="AC37" s="257">
        <f t="array" ref="AC37">INDEX(PriceDeck!$C$18:$O$77,MATCH('Decline and Model'!$A37,PriceDeck!$B$18:$B$77,0),MATCH('Decline and Model'!AC$8,PriceDeck!$C$13:$O$13,0))*(1+$AE$6)</f>
        <v>75.5</v>
      </c>
      <c r="AD37" s="257">
        <f t="array" ref="AD37">INDEX(PriceDeck!$C$18:$O$77,MATCH('Decline and Model'!$A37,PriceDeck!$B$18:$B$77,0),MATCH('Decline and Model'!AD$8,PriceDeck!$C$13:$O$13,0))*(1+$AE$6)</f>
        <v>12.4</v>
      </c>
      <c r="AE37" s="257">
        <f t="array" ref="AE37">INDEX(PriceDeck!$C$18:$O$77,MATCH('Decline and Model'!$A37,PriceDeck!$B$18:$B$77,0),MATCH('Decline and Model'!AE$8,PriceDeck!$C$13:$O$13,0))*(1+$AE$6)</f>
        <v>26.2</v>
      </c>
      <c r="AF37" s="257">
        <f t="array" ref="AF37">INDEX(PriceDeck!$C$18:$O$77,MATCH('Decline and Model'!$A37,PriceDeck!$B$18:$B$77,0),MATCH('Decline and Model'!AF$8,PriceDeck!$C$13:$O$13,0))*(1+$AE$6)</f>
        <v>78.599999999999994</v>
      </c>
      <c r="AG37" s="257">
        <f t="array" ref="AG37">INDEX(PriceDeck!$C$18:$O$77,MATCH('Decline and Model'!$A37,PriceDeck!$B$18:$B$77,0),MATCH('Decline and Model'!AG$8,PriceDeck!$C$13:$O$13,0))*(1+$AE$6)</f>
        <v>49.8</v>
      </c>
      <c r="AH37" s="258">
        <f t="array" ref="AH37">INDEX(PriceDeck!$C$18:$O$77,MATCH('Decline and Model'!$A37,PriceDeck!$B$18:$B$77,0),MATCH('Decline and Model'!AH$8,PriceDeck!$C$13:$O$13,0))</f>
        <v>0.8</v>
      </c>
      <c r="AI37" s="258">
        <f t="shared" si="29"/>
        <v>3.3</v>
      </c>
      <c r="AJ37" s="259">
        <f t="shared" si="30"/>
        <v>3.3</v>
      </c>
      <c r="AK37" s="120">
        <v>3.3</v>
      </c>
      <c r="AL37" s="120"/>
      <c r="AN37" s="7">
        <f t="shared" si="31"/>
        <v>497554.52793533157</v>
      </c>
      <c r="AO37" s="7">
        <f t="shared" si="2"/>
        <v>75703.016575336616</v>
      </c>
      <c r="AP37" s="7">
        <f t="shared" si="32"/>
        <v>22561.72742651833</v>
      </c>
      <c r="AQ37" s="7">
        <f t="shared" si="33"/>
        <v>32433.051221343325</v>
      </c>
      <c r="AR37" s="7">
        <f t="shared" si="34"/>
        <v>46399.984680587528</v>
      </c>
      <c r="AS37" s="7">
        <f t="shared" si="35"/>
        <v>35970.140852362281</v>
      </c>
      <c r="AT37" s="7">
        <f t="shared" si="36"/>
        <v>710622.44869147963</v>
      </c>
      <c r="AU37" s="7">
        <f>SUM($AT$9:AT37)</f>
        <v>38301617.958392508</v>
      </c>
      <c r="AV37" s="7">
        <f>AT37/(1+$AR$5)^(COUNT($E$9:E37))</f>
        <v>570674.06350616727</v>
      </c>
      <c r="AW37" s="7">
        <f t="shared" si="49"/>
        <v>0</v>
      </c>
      <c r="AX37" s="7">
        <f t="shared" si="37"/>
        <v>0</v>
      </c>
      <c r="AY37" s="117">
        <f t="shared" si="38"/>
        <v>0</v>
      </c>
      <c r="AZ37" s="117">
        <f t="shared" si="3"/>
        <v>710622.44869147963</v>
      </c>
      <c r="BA37" s="120">
        <f t="shared" si="46"/>
        <v>159289.34769570499</v>
      </c>
      <c r="BB37" s="119">
        <f t="shared" si="4"/>
        <v>0</v>
      </c>
      <c r="BC37" s="17"/>
      <c r="BD37" s="126">
        <f t="shared" si="5"/>
        <v>0.70016719687298734</v>
      </c>
      <c r="BE37" s="127">
        <f t="shared" si="6"/>
        <v>0.10653057290088998</v>
      </c>
      <c r="BF37" s="127">
        <f t="shared" si="7"/>
        <v>3.1749246689381776E-2</v>
      </c>
      <c r="BG37" s="127">
        <f t="shared" si="8"/>
        <v>4.5640341479592492E-2</v>
      </c>
      <c r="BH37" s="127">
        <f t="shared" si="9"/>
        <v>6.5294847870380632E-2</v>
      </c>
      <c r="BI37" s="128">
        <f t="shared" si="10"/>
        <v>5.0617794186767803E-2</v>
      </c>
      <c r="BJ37" s="126">
        <f t="array" ref="BJ37">BD37*INDEX(Royalty!$U$7:$Z$246,MATCH('Decline and Model'!$E37,Royalty!$AI$7:$AI$246,0),MATCH('Decline and Model'!BJ$8,Royalty!$U$1:$Z$1,0))</f>
        <v>0.17153398658588878</v>
      </c>
      <c r="BK37" s="127">
        <f t="array" ref="BK37">BE37*INDEX(Royalty!$U$7:$Z$246,MATCH('Decline and Model'!$E37,Royalty!$AI$7:$AI$246,0),MATCH('Decline and Model'!BK$8,Royalty!$U$1:$Z$1,0))</f>
        <v>2.5288829873541776E-2</v>
      </c>
      <c r="BL37" s="127">
        <f t="array" ref="BL37">BF37*INDEX(Royalty!$U$7:$Z$246,MATCH('Decline and Model'!$E37,Royalty!$AI$7:$AI$246,0),MATCH('Decline and Model'!BL$8,Royalty!$U$1:$Z$1,0))</f>
        <v>7.1796186321895234E-3</v>
      </c>
      <c r="BM37" s="127">
        <f t="array" ref="BM37">BG37*INDEX(Royalty!$U$7:$Z$246,MATCH('Decline and Model'!$E37,Royalty!$AI$7:$AI$246,0),MATCH('Decline and Model'!BM$8,Royalty!$U$1:$Z$1,0))</f>
        <v>1.0739060690413719E-2</v>
      </c>
      <c r="BN37" s="127">
        <f t="array" ref="BN37">BH37*INDEX(Royalty!$U$7:$Z$246,MATCH('Decline and Model'!$E37,Royalty!$AI$7:$AI$246,0),MATCH('Decline and Model'!BN$8,Royalty!$U$1:$Z$1,0))</f>
        <v>6.8822946612404016E-3</v>
      </c>
      <c r="BO37" s="127">
        <f t="array" ref="BO37">BI37*INDEX(Royalty!$U$7:$Z$246,MATCH('Decline and Model'!$E37,Royalty!$AI$7:$AI$246,0),MATCH('Decline and Model'!BO$8,Royalty!$U$1:$Z$1,0))</f>
        <v>2.5308897093383903E-3</v>
      </c>
      <c r="BP37" s="135">
        <f t="shared" si="11"/>
        <v>0.22415468015261261</v>
      </c>
      <c r="BQ37" s="7"/>
      <c r="BR37" s="7"/>
      <c r="BS37">
        <v>29</v>
      </c>
      <c r="BT37" s="120">
        <f t="shared" si="12"/>
        <v>159289.34769570499</v>
      </c>
      <c r="BU37" s="113">
        <f t="shared" si="13"/>
        <v>132465.69959441182</v>
      </c>
      <c r="BV37" s="113">
        <f t="shared" si="14"/>
        <v>39739.709878323549</v>
      </c>
      <c r="BW37" s="113">
        <f t="shared" si="47"/>
        <v>6417566.7439987622</v>
      </c>
      <c r="BX37" s="113">
        <f t="shared" si="39"/>
        <v>141856.78702395296</v>
      </c>
      <c r="BY37" s="120">
        <f t="shared" si="40"/>
        <v>237270.90449908629</v>
      </c>
      <c r="BZ37" s="153">
        <f t="shared" si="48"/>
        <v>0</v>
      </c>
      <c r="CA37" s="120">
        <f t="shared" si="50"/>
        <v>237270.90449908629</v>
      </c>
      <c r="CB37" s="120">
        <f t="shared" si="41"/>
        <v>59317.726124771572</v>
      </c>
      <c r="CC37" s="153">
        <f t="shared" si="42"/>
        <v>319809.96539826767</v>
      </c>
      <c r="CD37" s="7">
        <f t="shared" si="16"/>
        <v>256827.31081696041</v>
      </c>
      <c r="CE37" s="11">
        <f>SUM($CD$9:CD37)</f>
        <v>17549901.504704095</v>
      </c>
      <c r="CF37" s="11">
        <f t="shared" si="43"/>
        <v>12000000</v>
      </c>
      <c r="CG37">
        <f t="shared" si="44"/>
        <v>5549901.5047040954</v>
      </c>
      <c r="CJ37">
        <v>0</v>
      </c>
      <c r="CK37">
        <v>13</v>
      </c>
      <c r="CM37">
        <v>0</v>
      </c>
      <c r="CN37" s="7">
        <v>13666856.799841944</v>
      </c>
    </row>
    <row r="38" spans="1:94" ht="16.5" customHeight="1">
      <c r="A38">
        <f t="shared" si="17"/>
        <v>2019</v>
      </c>
      <c r="B38">
        <f t="shared" si="18"/>
        <v>30.416666666666668</v>
      </c>
      <c r="C38">
        <f t="shared" si="51"/>
        <v>3</v>
      </c>
      <c r="E38" s="97">
        <v>43709</v>
      </c>
      <c r="F38" s="2">
        <f>$F$6*EXP(-$F$3*COUNT($E$9:$E38))</f>
        <v>178.83079067320116</v>
      </c>
      <c r="G38" s="260">
        <f>$F$6/(1+$F$5*$F$3*COUNT($E$9:$E38))^(1/$F$5)</f>
        <v>208.01984195920608</v>
      </c>
      <c r="H38" s="260">
        <f>$H$6/(1+$H$5*$H$3*COUNT($E$9:$E38))^(1/$H$5)</f>
        <v>731.86570128081109</v>
      </c>
      <c r="I38" s="260">
        <f t="shared" si="19"/>
        <v>139.40299072015449</v>
      </c>
      <c r="J38" s="260">
        <f t="shared" si="20"/>
        <v>58.047405335872327</v>
      </c>
      <c r="K38" s="260">
        <f t="shared" si="20"/>
        <v>39.492867271019769</v>
      </c>
      <c r="L38" s="260">
        <f t="shared" si="20"/>
        <v>18.833344046292872</v>
      </c>
      <c r="M38" s="260">
        <f t="shared" si="20"/>
        <v>23.043314366041539</v>
      </c>
      <c r="N38" s="19">
        <f t="shared" si="21"/>
        <v>5439.4365496432019</v>
      </c>
      <c r="O38" s="19">
        <f t="shared" si="22"/>
        <v>6327.2701929258519</v>
      </c>
      <c r="P38" s="19">
        <f t="shared" si="23"/>
        <v>22260.915080624673</v>
      </c>
      <c r="Q38" s="19">
        <f t="shared" si="24"/>
        <v>4240.1743010713662</v>
      </c>
      <c r="R38" s="19">
        <f t="shared" si="25"/>
        <v>1765.6085789661167</v>
      </c>
      <c r="S38" s="19">
        <f t="shared" si="26"/>
        <v>1201.241379493518</v>
      </c>
      <c r="T38" s="19">
        <f t="shared" si="27"/>
        <v>572.84754807474155</v>
      </c>
      <c r="U38" s="19">
        <f t="shared" si="28"/>
        <v>700.90081196709684</v>
      </c>
      <c r="V38" s="261">
        <f t="shared" si="45"/>
        <v>12786.57880261096</v>
      </c>
      <c r="W38" s="261">
        <f>SUM(O$9:O38)</f>
        <v>383432.01259152126</v>
      </c>
      <c r="X38" s="261">
        <f>SUM(P$9:P38)</f>
        <v>1276495.7248172252</v>
      </c>
      <c r="Y38" s="261">
        <f>SUM(Q$9:Q38)</f>
        <v>243142.0428223286</v>
      </c>
      <c r="Z38" s="261">
        <f>SUM($V$9:V38)</f>
        <v>753824.6849356431</v>
      </c>
      <c r="AB38" s="257">
        <f t="array" ref="AB38">(INDEX(PriceDeck!$C$18:$O$77,MATCH('Decline and Model'!$A38,PriceDeck!$B$18:$B$77,0),MATCH('Decline and Model'!AB$8,PriceDeck!$C$13:$O$13,0))*(1+$AE$6))</f>
        <v>62.4</v>
      </c>
      <c r="AC38" s="257">
        <f t="array" ref="AC38">INDEX(PriceDeck!$C$18:$O$77,MATCH('Decline and Model'!$A38,PriceDeck!$B$18:$B$77,0),MATCH('Decline and Model'!AC$8,PriceDeck!$C$13:$O$13,0))*(1+$AE$6)</f>
        <v>75.5</v>
      </c>
      <c r="AD38" s="257">
        <f t="array" ref="AD38">INDEX(PriceDeck!$C$18:$O$77,MATCH('Decline and Model'!$A38,PriceDeck!$B$18:$B$77,0),MATCH('Decline and Model'!AD$8,PriceDeck!$C$13:$O$13,0))*(1+$AE$6)</f>
        <v>12.4</v>
      </c>
      <c r="AE38" s="257">
        <f t="array" ref="AE38">INDEX(PriceDeck!$C$18:$O$77,MATCH('Decline and Model'!$A38,PriceDeck!$B$18:$B$77,0),MATCH('Decline and Model'!AE$8,PriceDeck!$C$13:$O$13,0))*(1+$AE$6)</f>
        <v>26.2</v>
      </c>
      <c r="AF38" s="257">
        <f t="array" ref="AF38">INDEX(PriceDeck!$C$18:$O$77,MATCH('Decline and Model'!$A38,PriceDeck!$B$18:$B$77,0),MATCH('Decline and Model'!AF$8,PriceDeck!$C$13:$O$13,0))*(1+$AE$6)</f>
        <v>78.599999999999994</v>
      </c>
      <c r="AG38" s="257">
        <f t="array" ref="AG38">INDEX(PriceDeck!$C$18:$O$77,MATCH('Decline and Model'!$A38,PriceDeck!$B$18:$B$77,0),MATCH('Decline and Model'!AG$8,PriceDeck!$C$13:$O$13,0))*(1+$AE$6)</f>
        <v>49.8</v>
      </c>
      <c r="AH38" s="258">
        <f t="array" ref="AH38">INDEX(PriceDeck!$C$18:$O$77,MATCH('Decline and Model'!$A38,PriceDeck!$B$18:$B$77,0),MATCH('Decline and Model'!AH$8,PriceDeck!$C$13:$O$13,0))</f>
        <v>0.8</v>
      </c>
      <c r="AI38" s="258">
        <f t="shared" si="29"/>
        <v>3.3</v>
      </c>
      <c r="AJ38" s="259">
        <f t="shared" si="30"/>
        <v>3.3</v>
      </c>
      <c r="AK38" s="120">
        <v>3.3</v>
      </c>
      <c r="AL38" s="120"/>
      <c r="AN38" s="7">
        <f t="shared" si="31"/>
        <v>477708.89956590184</v>
      </c>
      <c r="AO38" s="7">
        <f t="shared" si="2"/>
        <v>73461.019766061421</v>
      </c>
      <c r="AP38" s="7">
        <f t="shared" si="32"/>
        <v>21893.546379179847</v>
      </c>
      <c r="AQ38" s="7">
        <f t="shared" si="33"/>
        <v>31472.52414273017</v>
      </c>
      <c r="AR38" s="7">
        <f t="shared" si="34"/>
        <v>45025.81727867468</v>
      </c>
      <c r="AS38" s="7">
        <f t="shared" si="35"/>
        <v>34904.860435961418</v>
      </c>
      <c r="AT38" s="7">
        <f t="shared" si="36"/>
        <v>684466.66756850935</v>
      </c>
      <c r="AU38" s="7">
        <f>SUM($AT$9:AT38)</f>
        <v>38986084.625961021</v>
      </c>
      <c r="AV38" s="7">
        <f>AT38/(1+$AR$5)^(COUNT($E$9:E38))</f>
        <v>545527.94890117738</v>
      </c>
      <c r="AW38" s="7">
        <f t="shared" si="49"/>
        <v>0</v>
      </c>
      <c r="AX38" s="7">
        <f t="shared" si="37"/>
        <v>0</v>
      </c>
      <c r="AY38" s="117">
        <f t="shared" si="38"/>
        <v>0</v>
      </c>
      <c r="AZ38" s="117">
        <f t="shared" si="3"/>
        <v>684466.66756850935</v>
      </c>
      <c r="BA38" s="120">
        <f t="shared" si="46"/>
        <v>153319.93391330395</v>
      </c>
      <c r="BB38" s="119">
        <f t="shared" si="4"/>
        <v>0</v>
      </c>
      <c r="BC38" s="17"/>
      <c r="BD38" s="126">
        <f t="shared" si="5"/>
        <v>0.69792865336000776</v>
      </c>
      <c r="BE38" s="127">
        <f t="shared" si="6"/>
        <v>0.10732592724642591</v>
      </c>
      <c r="BF38" s="127">
        <f t="shared" si="7"/>
        <v>3.1986285697379831E-2</v>
      </c>
      <c r="BG38" s="127">
        <f t="shared" si="8"/>
        <v>4.598109102161653E-2</v>
      </c>
      <c r="BH38" s="127">
        <f t="shared" si="9"/>
        <v>6.5782337419912379E-2</v>
      </c>
      <c r="BI38" s="128">
        <f t="shared" si="10"/>
        <v>5.0995705254657617E-2</v>
      </c>
      <c r="BJ38" s="126">
        <f t="array" ref="BJ38">BD38*INDEX(Royalty!$U$7:$Z$246,MATCH('Decline and Model'!$E38,Royalty!$AI$7:$AI$246,0),MATCH('Decline and Model'!BJ$8,Royalty!$U$1:$Z$1,0))</f>
        <v>0.17098556573063836</v>
      </c>
      <c r="BK38" s="127">
        <f t="array" ref="BK38">BE38*INDEX(Royalty!$U$7:$Z$246,MATCH('Decline and Model'!$E38,Royalty!$AI$7:$AI$246,0),MATCH('Decline and Model'!BK$8,Royalty!$U$1:$Z$1,0))</f>
        <v>2.5477635586171828E-2</v>
      </c>
      <c r="BL38" s="127">
        <f t="array" ref="BL38">BF38*INDEX(Royalty!$U$7:$Z$246,MATCH('Decline and Model'!$E38,Royalty!$AI$7:$AI$246,0),MATCH('Decline and Model'!BL$8,Royalty!$U$1:$Z$1,0))</f>
        <v>7.2332214686608443E-3</v>
      </c>
      <c r="BM38" s="127">
        <f t="array" ref="BM38">BG38*INDEX(Royalty!$U$7:$Z$246,MATCH('Decline and Model'!$E38,Royalty!$AI$7:$AI$246,0),MATCH('Decline and Model'!BM$8,Royalty!$U$1:$Z$1,0))</f>
        <v>1.081923822400345E-2</v>
      </c>
      <c r="BN38" s="127">
        <f t="array" ref="BN38">BH38*INDEX(Royalty!$U$7:$Z$246,MATCH('Decline and Model'!$E38,Royalty!$AI$7:$AI$246,0),MATCH('Decline and Model'!BN$8,Royalty!$U$1:$Z$1,0))</f>
        <v>6.9336776850712108E-3</v>
      </c>
      <c r="BO38" s="127">
        <f t="array" ref="BO38">BI38*INDEX(Royalty!$U$7:$Z$246,MATCH('Decline and Model'!$E38,Royalty!$AI$7:$AI$246,0),MATCH('Decline and Model'!BO$8,Royalty!$U$1:$Z$1,0))</f>
        <v>2.5497852627328812E-3</v>
      </c>
      <c r="BP38" s="135">
        <f t="shared" si="11"/>
        <v>0.22399912395727861</v>
      </c>
      <c r="BQ38" s="7"/>
      <c r="BR38" s="7"/>
      <c r="BS38">
        <v>30</v>
      </c>
      <c r="BT38" s="120">
        <f t="shared" si="12"/>
        <v>153319.93391330395</v>
      </c>
      <c r="BU38" s="113">
        <f t="shared" si="13"/>
        <v>127865.7880261096</v>
      </c>
      <c r="BV38" s="113">
        <f t="shared" si="14"/>
        <v>38359.736407832883</v>
      </c>
      <c r="BW38" s="113">
        <f t="shared" si="47"/>
        <v>6275709.9569748091</v>
      </c>
      <c r="BX38" s="113">
        <f t="shared" si="39"/>
        <v>138721.12068381289</v>
      </c>
      <c r="BY38" s="120">
        <f t="shared" si="40"/>
        <v>226200.08853745012</v>
      </c>
      <c r="BZ38" s="153">
        <f t="shared" si="48"/>
        <v>0</v>
      </c>
      <c r="CA38" s="120">
        <f t="shared" si="50"/>
        <v>226200.08853745012</v>
      </c>
      <c r="CB38" s="120">
        <f t="shared" si="41"/>
        <v>56550.022134362531</v>
      </c>
      <c r="CC38" s="153">
        <f t="shared" si="42"/>
        <v>308371.18708690046</v>
      </c>
      <c r="CD38" s="7">
        <f t="shared" si="16"/>
        <v>245775.44701970476</v>
      </c>
      <c r="CE38" s="11">
        <f>SUM($CD$9:CD38)</f>
        <v>17795676.951723799</v>
      </c>
      <c r="CF38" s="11">
        <f t="shared" si="43"/>
        <v>12000000</v>
      </c>
      <c r="CG38">
        <f t="shared" si="44"/>
        <v>5795676.9517237991</v>
      </c>
      <c r="CJ38">
        <v>1</v>
      </c>
      <c r="CK38">
        <v>12</v>
      </c>
      <c r="CM38">
        <v>1</v>
      </c>
      <c r="CN38" s="7">
        <v>14570283.594418112</v>
      </c>
    </row>
    <row r="39" spans="1:94" ht="16.5" customHeight="1">
      <c r="A39">
        <f t="shared" si="17"/>
        <v>2019</v>
      </c>
      <c r="B39">
        <f t="shared" si="18"/>
        <v>30.416666666666668</v>
      </c>
      <c r="C39">
        <f t="shared" si="51"/>
        <v>3</v>
      </c>
      <c r="E39" s="97">
        <v>43739</v>
      </c>
      <c r="F39" s="2">
        <f>$F$6*EXP(-$F$3*COUNT($E$9:$E39))</f>
        <v>170.1091100950768</v>
      </c>
      <c r="G39" s="260">
        <f>$F$6/(1+$F$5*$F$3*COUNT($E$9:$E39))^(1/$F$5)</f>
        <v>199.77361566383209</v>
      </c>
      <c r="H39" s="260">
        <f>$H$6/(1+$H$5*$H$3*COUNT($E$9:$E39))^(1/$H$5)</f>
        <v>710.64005272155885</v>
      </c>
      <c r="I39" s="260">
        <f t="shared" si="19"/>
        <v>135.36001004220168</v>
      </c>
      <c r="J39" s="260">
        <f t="shared" si="20"/>
        <v>56.363908181572775</v>
      </c>
      <c r="K39" s="260">
        <f t="shared" si="20"/>
        <v>38.347490844955736</v>
      </c>
      <c r="L39" s="260">
        <f t="shared" si="20"/>
        <v>18.287137356701447</v>
      </c>
      <c r="M39" s="260">
        <f t="shared" si="20"/>
        <v>22.375009659975937</v>
      </c>
      <c r="N39" s="19">
        <f t="shared" si="21"/>
        <v>5174.1520987252525</v>
      </c>
      <c r="O39" s="19">
        <f t="shared" si="22"/>
        <v>6076.44747644156</v>
      </c>
      <c r="P39" s="19">
        <f t="shared" si="23"/>
        <v>21615.301603614083</v>
      </c>
      <c r="Q39" s="19">
        <f t="shared" si="24"/>
        <v>4117.2003054503011</v>
      </c>
      <c r="R39" s="19">
        <f t="shared" si="25"/>
        <v>1714.4022071895054</v>
      </c>
      <c r="S39" s="19">
        <f t="shared" si="26"/>
        <v>1166.4028465340702</v>
      </c>
      <c r="T39" s="19">
        <f t="shared" si="27"/>
        <v>556.2337612663357</v>
      </c>
      <c r="U39" s="19">
        <f t="shared" si="28"/>
        <v>680.5732104909348</v>
      </c>
      <c r="V39" s="261">
        <f t="shared" si="45"/>
        <v>12348.422516258604</v>
      </c>
      <c r="W39" s="261">
        <f>SUM(O$9:O39)</f>
        <v>389508.46006796282</v>
      </c>
      <c r="X39" s="261">
        <f>SUM(P$9:P39)</f>
        <v>1298111.0264208394</v>
      </c>
      <c r="Y39" s="261">
        <f>SUM(Q$9:Q39)</f>
        <v>247259.2431277789</v>
      </c>
      <c r="Z39" s="261">
        <f>SUM($V$9:V39)</f>
        <v>766173.10745190165</v>
      </c>
      <c r="AB39" s="257">
        <f t="array" ref="AB39">(INDEX(PriceDeck!$C$18:$O$77,MATCH('Decline and Model'!$A39,PriceDeck!$B$18:$B$77,0),MATCH('Decline and Model'!AB$8,PriceDeck!$C$13:$O$13,0))*(1+$AE$6))</f>
        <v>62.4</v>
      </c>
      <c r="AC39" s="257">
        <f t="array" ref="AC39">INDEX(PriceDeck!$C$18:$O$77,MATCH('Decline and Model'!$A39,PriceDeck!$B$18:$B$77,0),MATCH('Decline and Model'!AC$8,PriceDeck!$C$13:$O$13,0))*(1+$AE$6)</f>
        <v>75.5</v>
      </c>
      <c r="AD39" s="257">
        <f t="array" ref="AD39">INDEX(PriceDeck!$C$18:$O$77,MATCH('Decline and Model'!$A39,PriceDeck!$B$18:$B$77,0),MATCH('Decline and Model'!AD$8,PriceDeck!$C$13:$O$13,0))*(1+$AE$6)</f>
        <v>12.4</v>
      </c>
      <c r="AE39" s="257">
        <f t="array" ref="AE39">INDEX(PriceDeck!$C$18:$O$77,MATCH('Decline and Model'!$A39,PriceDeck!$B$18:$B$77,0),MATCH('Decline and Model'!AE$8,PriceDeck!$C$13:$O$13,0))*(1+$AE$6)</f>
        <v>26.2</v>
      </c>
      <c r="AF39" s="257">
        <f t="array" ref="AF39">INDEX(PriceDeck!$C$18:$O$77,MATCH('Decline and Model'!$A39,PriceDeck!$B$18:$B$77,0),MATCH('Decline and Model'!AF$8,PriceDeck!$C$13:$O$13,0))*(1+$AE$6)</f>
        <v>78.599999999999994</v>
      </c>
      <c r="AG39" s="257">
        <f t="array" ref="AG39">INDEX(PriceDeck!$C$18:$O$77,MATCH('Decline and Model'!$A39,PriceDeck!$B$18:$B$77,0),MATCH('Decline and Model'!AG$8,PriceDeck!$C$13:$O$13,0))*(1+$AE$6)</f>
        <v>49.8</v>
      </c>
      <c r="AH39" s="258">
        <f t="array" ref="AH39">INDEX(PriceDeck!$C$18:$O$77,MATCH('Decline and Model'!$A39,PriceDeck!$B$18:$B$77,0),MATCH('Decline and Model'!AH$8,PriceDeck!$C$13:$O$13,0))</f>
        <v>0.8</v>
      </c>
      <c r="AI39" s="258">
        <f t="shared" si="29"/>
        <v>3.3</v>
      </c>
      <c r="AJ39" s="259">
        <f t="shared" si="30"/>
        <v>3.3</v>
      </c>
      <c r="AK39" s="120">
        <v>3.3</v>
      </c>
      <c r="AL39" s="120"/>
      <c r="AN39" s="7">
        <f t="shared" si="31"/>
        <v>458771.7844713378</v>
      </c>
      <c r="AO39" s="7">
        <f t="shared" si="2"/>
        <v>71330.495291926476</v>
      </c>
      <c r="AP39" s="7">
        <f t="shared" si="32"/>
        <v>21258.587369149867</v>
      </c>
      <c r="AQ39" s="7">
        <f t="shared" si="33"/>
        <v>30559.754579192639</v>
      </c>
      <c r="AR39" s="7">
        <f t="shared" si="34"/>
        <v>43719.973635533985</v>
      </c>
      <c r="AS39" s="7">
        <f t="shared" si="35"/>
        <v>33892.545882448554</v>
      </c>
      <c r="AT39" s="7">
        <f t="shared" si="36"/>
        <v>659533.14122958924</v>
      </c>
      <c r="AU39" s="7">
        <f>SUM($AT$9:AT39)</f>
        <v>39645617.767190613</v>
      </c>
      <c r="AV39" s="7">
        <f>AT39/(1+$AR$5)^(COUNT($E$9:E39))</f>
        <v>521695.16967694188</v>
      </c>
      <c r="AW39" s="7">
        <f t="shared" si="49"/>
        <v>0</v>
      </c>
      <c r="AX39" s="7">
        <f t="shared" si="37"/>
        <v>0</v>
      </c>
      <c r="AY39" s="117">
        <f t="shared" si="38"/>
        <v>0</v>
      </c>
      <c r="AZ39" s="117">
        <f t="shared" si="3"/>
        <v>659533.14122958924</v>
      </c>
      <c r="BA39" s="120">
        <f t="shared" si="46"/>
        <v>147628.15850376096</v>
      </c>
      <c r="BB39" s="119">
        <f t="shared" si="4"/>
        <v>0</v>
      </c>
      <c r="BC39" s="17"/>
      <c r="BD39" s="126">
        <f t="shared" si="5"/>
        <v>0.6956008057700247</v>
      </c>
      <c r="BE39" s="127">
        <f t="shared" si="6"/>
        <v>0.10815301132395364</v>
      </c>
      <c r="BF39" s="127">
        <f t="shared" si="7"/>
        <v>3.2232781099546852E-2</v>
      </c>
      <c r="BG39" s="127">
        <f t="shared" si="8"/>
        <v>4.6335434368345897E-2</v>
      </c>
      <c r="BH39" s="127">
        <f t="shared" si="9"/>
        <v>6.628927479523683E-2</v>
      </c>
      <c r="BI39" s="128">
        <f t="shared" si="10"/>
        <v>5.138869264289217E-2</v>
      </c>
      <c r="BJ39" s="126">
        <f t="array" ref="BJ39">BD39*INDEX(Royalty!$U$7:$Z$246,MATCH('Decline and Model'!$E39,Royalty!$AI$7:$AI$246,0),MATCH('Decline and Model'!BJ$8,Royalty!$U$1:$Z$1,0))</f>
        <v>0.17041526626637116</v>
      </c>
      <c r="BK39" s="127">
        <f t="array" ref="BK39">BE39*INDEX(Royalty!$U$7:$Z$246,MATCH('Decline and Model'!$E39,Royalty!$AI$7:$AI$246,0),MATCH('Decline and Model'!BK$8,Royalty!$U$1:$Z$1,0))</f>
        <v>2.5673973482028007E-2</v>
      </c>
      <c r="BL39" s="127">
        <f t="array" ref="BL39">BF39*INDEX(Royalty!$U$7:$Z$246,MATCH('Decline and Model'!$E39,Royalty!$AI$7:$AI$246,0),MATCH('Decline and Model'!BL$8,Royalty!$U$1:$Z$1,0))</f>
        <v>7.2889627276413052E-3</v>
      </c>
      <c r="BM39" s="127">
        <f t="array" ref="BM39">BG39*INDEX(Royalty!$U$7:$Z$246,MATCH('Decline and Model'!$E39,Royalty!$AI$7:$AI$246,0),MATCH('Decline and Model'!BM$8,Royalty!$U$1:$Z$1,0))</f>
        <v>1.0902614346582911E-2</v>
      </c>
      <c r="BN39" s="127">
        <f t="array" ref="BN39">BH39*INDEX(Royalty!$U$7:$Z$246,MATCH('Decline and Model'!$E39,Royalty!$AI$7:$AI$246,0),MATCH('Decline and Model'!BN$8,Royalty!$U$1:$Z$1,0))</f>
        <v>6.9871105745804209E-3</v>
      </c>
      <c r="BO39" s="127">
        <f t="array" ref="BO39">BI39*INDEX(Royalty!$U$7:$Z$246,MATCH('Decline and Model'!$E39,Royalty!$AI$7:$AI$246,0),MATCH('Decline and Model'!BO$8,Royalty!$U$1:$Z$1,0))</f>
        <v>2.5694346321446086E-3</v>
      </c>
      <c r="BP39" s="135">
        <f t="shared" si="11"/>
        <v>0.22383736202934842</v>
      </c>
      <c r="BQ39" s="7"/>
      <c r="BR39" s="7"/>
      <c r="BS39">
        <v>31</v>
      </c>
      <c r="BT39" s="120">
        <f t="shared" si="12"/>
        <v>147628.15850376096</v>
      </c>
      <c r="BU39" s="113">
        <f t="shared" si="13"/>
        <v>123484.22516258605</v>
      </c>
      <c r="BV39" s="113">
        <f t="shared" si="14"/>
        <v>37045.26754877581</v>
      </c>
      <c r="BW39" s="113">
        <f t="shared" si="47"/>
        <v>6136988.8362909965</v>
      </c>
      <c r="BX39" s="113">
        <f t="shared" si="39"/>
        <v>135654.76652536652</v>
      </c>
      <c r="BY39" s="120">
        <f t="shared" si="40"/>
        <v>215720.72348909988</v>
      </c>
      <c r="BZ39" s="153">
        <f t="shared" si="48"/>
        <v>0</v>
      </c>
      <c r="CA39" s="120">
        <f t="shared" si="50"/>
        <v>215720.72348909988</v>
      </c>
      <c r="CB39" s="120">
        <f t="shared" si="41"/>
        <v>53930.18087227497</v>
      </c>
      <c r="CC39" s="153">
        <f t="shared" si="42"/>
        <v>297445.30914219143</v>
      </c>
      <c r="CD39" s="7">
        <f t="shared" si="16"/>
        <v>235281.2486924413</v>
      </c>
      <c r="CE39" s="11">
        <f>SUM($CD$9:CD39)</f>
        <v>18030958.200416241</v>
      </c>
      <c r="CF39" s="11">
        <f t="shared" si="43"/>
        <v>12000000</v>
      </c>
      <c r="CG39">
        <f t="shared" si="44"/>
        <v>6030958.2004162408</v>
      </c>
      <c r="CJ39">
        <v>2</v>
      </c>
      <c r="CK39">
        <v>12</v>
      </c>
      <c r="CM39">
        <v>2</v>
      </c>
      <c r="CN39" s="7">
        <v>15535180.741635937</v>
      </c>
    </row>
    <row r="40" spans="1:94" ht="16.5" customHeight="1">
      <c r="A40">
        <f t="shared" si="17"/>
        <v>2019</v>
      </c>
      <c r="B40">
        <f t="shared" si="18"/>
        <v>30.416666666666668</v>
      </c>
      <c r="C40">
        <f t="shared" si="51"/>
        <v>3</v>
      </c>
      <c r="E40" s="97">
        <v>43770</v>
      </c>
      <c r="F40" s="2">
        <f>$F$6*EXP(-$F$3*COUNT($E$9:$E40))</f>
        <v>161.8127908980685</v>
      </c>
      <c r="G40" s="260">
        <f>$F$6/(1+$F$5*$F$3*COUNT($E$9:$E40))^(1/$F$5)</f>
        <v>191.90259075861022</v>
      </c>
      <c r="H40" s="260">
        <f>$H$6/(1+$H$5*$H$3*COUNT($E$9:$E40))^(1/$H$5)</f>
        <v>690.44832564335036</v>
      </c>
      <c r="I40" s="260">
        <f t="shared" si="19"/>
        <v>131.51396678920958</v>
      </c>
      <c r="J40" s="260">
        <f t="shared" si="20"/>
        <v>54.762415771026866</v>
      </c>
      <c r="K40" s="260">
        <f t="shared" si="20"/>
        <v>37.257906791383071</v>
      </c>
      <c r="L40" s="260">
        <f t="shared" si="20"/>
        <v>17.767536913222212</v>
      </c>
      <c r="M40" s="260">
        <f t="shared" si="20"/>
        <v>21.739258710256344</v>
      </c>
      <c r="N40" s="19">
        <f t="shared" si="21"/>
        <v>4921.8057231495841</v>
      </c>
      <c r="O40" s="19">
        <f t="shared" si="22"/>
        <v>5837.0371355743946</v>
      </c>
      <c r="P40" s="19">
        <f t="shared" si="23"/>
        <v>21001.136571651907</v>
      </c>
      <c r="Q40" s="19">
        <f t="shared" si="24"/>
        <v>4000.2164898384581</v>
      </c>
      <c r="R40" s="19">
        <f t="shared" si="25"/>
        <v>1665.6901463687338</v>
      </c>
      <c r="S40" s="19">
        <f t="shared" si="26"/>
        <v>1133.2613315712351</v>
      </c>
      <c r="T40" s="19">
        <f t="shared" si="27"/>
        <v>540.42924777717565</v>
      </c>
      <c r="U40" s="19">
        <f t="shared" si="28"/>
        <v>661.23578577029718</v>
      </c>
      <c r="V40" s="261">
        <f t="shared" si="45"/>
        <v>11930.803801461043</v>
      </c>
      <c r="W40" s="261">
        <f>SUM(O$9:O40)</f>
        <v>395345.4972035372</v>
      </c>
      <c r="X40" s="261">
        <f>SUM(P$9:P40)</f>
        <v>1319112.1629924914</v>
      </c>
      <c r="Y40" s="261">
        <f>SUM(Q$9:Q40)</f>
        <v>251259.45961761737</v>
      </c>
      <c r="Z40" s="261">
        <f>SUM($V$9:V40)</f>
        <v>778103.91125336266</v>
      </c>
      <c r="AB40" s="257">
        <f t="array" ref="AB40">(INDEX(PriceDeck!$C$18:$O$77,MATCH('Decline and Model'!$A40,PriceDeck!$B$18:$B$77,0),MATCH('Decline and Model'!AB$8,PriceDeck!$C$13:$O$13,0))*(1+$AE$6))</f>
        <v>62.4</v>
      </c>
      <c r="AC40" s="257">
        <f t="array" ref="AC40">INDEX(PriceDeck!$C$18:$O$77,MATCH('Decline and Model'!$A40,PriceDeck!$B$18:$B$77,0),MATCH('Decline and Model'!AC$8,PriceDeck!$C$13:$O$13,0))*(1+$AE$6)</f>
        <v>75.5</v>
      </c>
      <c r="AD40" s="257">
        <f t="array" ref="AD40">INDEX(PriceDeck!$C$18:$O$77,MATCH('Decline and Model'!$A40,PriceDeck!$B$18:$B$77,0),MATCH('Decline and Model'!AD$8,PriceDeck!$C$13:$O$13,0))*(1+$AE$6)</f>
        <v>12.4</v>
      </c>
      <c r="AE40" s="257">
        <f t="array" ref="AE40">INDEX(PriceDeck!$C$18:$O$77,MATCH('Decline and Model'!$A40,PriceDeck!$B$18:$B$77,0),MATCH('Decline and Model'!AE$8,PriceDeck!$C$13:$O$13,0))*(1+$AE$6)</f>
        <v>26.2</v>
      </c>
      <c r="AF40" s="257">
        <f t="array" ref="AF40">INDEX(PriceDeck!$C$18:$O$77,MATCH('Decline and Model'!$A40,PriceDeck!$B$18:$B$77,0),MATCH('Decline and Model'!AF$8,PriceDeck!$C$13:$O$13,0))*(1+$AE$6)</f>
        <v>78.599999999999994</v>
      </c>
      <c r="AG40" s="257">
        <f t="array" ref="AG40">INDEX(PriceDeck!$C$18:$O$77,MATCH('Decline and Model'!$A40,PriceDeck!$B$18:$B$77,0),MATCH('Decline and Model'!AG$8,PriceDeck!$C$13:$O$13,0))*(1+$AE$6)</f>
        <v>49.8</v>
      </c>
      <c r="AH40" s="258">
        <f t="array" ref="AH40">INDEX(PriceDeck!$C$18:$O$77,MATCH('Decline and Model'!$A40,PriceDeck!$B$18:$B$77,0),MATCH('Decline and Model'!AH$8,PriceDeck!$C$13:$O$13,0))</f>
        <v>0.8</v>
      </c>
      <c r="AI40" s="258">
        <f t="shared" si="29"/>
        <v>3.3</v>
      </c>
      <c r="AJ40" s="259">
        <f t="shared" si="30"/>
        <v>3.3</v>
      </c>
      <c r="AK40" s="120">
        <v>3.3</v>
      </c>
      <c r="AL40" s="120"/>
      <c r="AN40" s="7">
        <f t="shared" si="31"/>
        <v>440696.30373586679</v>
      </c>
      <c r="AO40" s="7">
        <f t="shared" si="2"/>
        <v>69303.750686451283</v>
      </c>
      <c r="AP40" s="7">
        <f t="shared" si="32"/>
        <v>20654.557814972301</v>
      </c>
      <c r="AQ40" s="7">
        <f t="shared" si="33"/>
        <v>29691.446887166359</v>
      </c>
      <c r="AR40" s="7">
        <f t="shared" si="34"/>
        <v>42477.738875286006</v>
      </c>
      <c r="AS40" s="7">
        <f t="shared" si="35"/>
        <v>32929.542131360795</v>
      </c>
      <c r="AT40" s="7">
        <f t="shared" si="36"/>
        <v>635753.34013110353</v>
      </c>
      <c r="AU40" s="7">
        <f>SUM($AT$9:AT40)</f>
        <v>40281371.107321717</v>
      </c>
      <c r="AV40" s="7">
        <f>AT40/(1+$AR$5)^(COUNT($E$9:E40))</f>
        <v>499096.27985919331</v>
      </c>
      <c r="AW40" s="7">
        <f t="shared" si="49"/>
        <v>0</v>
      </c>
      <c r="AX40" s="7">
        <f t="shared" si="37"/>
        <v>0</v>
      </c>
      <c r="AY40" s="117">
        <f t="shared" si="38"/>
        <v>0</v>
      </c>
      <c r="AZ40" s="117">
        <f t="shared" si="3"/>
        <v>635753.34013110353</v>
      </c>
      <c r="BA40" s="120">
        <f t="shared" si="46"/>
        <v>142198.73691199478</v>
      </c>
      <c r="BB40" s="119">
        <f t="shared" si="4"/>
        <v>0</v>
      </c>
      <c r="BC40" s="17"/>
      <c r="BD40" s="126">
        <f t="shared" si="5"/>
        <v>0.69318755548336952</v>
      </c>
      <c r="BE40" s="127">
        <f t="shared" si="6"/>
        <v>0.10901043897332829</v>
      </c>
      <c r="BF40" s="127">
        <f t="shared" si="7"/>
        <v>3.2488319779354943E-2</v>
      </c>
      <c r="BG40" s="127">
        <f t="shared" si="8"/>
        <v>4.6702777654370579E-2</v>
      </c>
      <c r="BH40" s="127">
        <f t="shared" si="9"/>
        <v>6.6814810389397794E-2</v>
      </c>
      <c r="BI40" s="128">
        <f t="shared" si="10"/>
        <v>5.1796097720178937E-2</v>
      </c>
      <c r="BJ40" s="126">
        <f t="array" ref="BJ40">BD40*INDEX(Royalty!$U$7:$Z$246,MATCH('Decline and Model'!$E40,Royalty!$AI$7:$AI$246,0),MATCH('Decline and Model'!BJ$8,Royalty!$U$1:$Z$1,0))</f>
        <v>0.16982404399239392</v>
      </c>
      <c r="BK40" s="127">
        <f t="array" ref="BK40">BE40*INDEX(Royalty!$U$7:$Z$246,MATCH('Decline and Model'!$E40,Royalty!$AI$7:$AI$246,0),MATCH('Decline and Model'!BK$8,Royalty!$U$1:$Z$1,0))</f>
        <v>2.5877514506575765E-2</v>
      </c>
      <c r="BL40" s="127">
        <f t="array" ref="BL40">BF40*INDEX(Royalty!$U$7:$Z$246,MATCH('Decline and Model'!$E40,Royalty!$AI$7:$AI$246,0),MATCH('Decline and Model'!BL$8,Royalty!$U$1:$Z$1,0))</f>
        <v>7.3467489889893229E-3</v>
      </c>
      <c r="BM40" s="127">
        <f t="array" ref="BM40">BG40*INDEX(Royalty!$U$7:$Z$246,MATCH('Decline and Model'!$E40,Royalty!$AI$7:$AI$246,0),MATCH('Decline and Model'!BM$8,Royalty!$U$1:$Z$1,0))</f>
        <v>1.0989049323074028E-2</v>
      </c>
      <c r="BN40" s="127">
        <f t="array" ref="BN40">BH40*INDEX(Royalty!$U$7:$Z$246,MATCH('Decline and Model'!$E40,Royalty!$AI$7:$AI$246,0),MATCH('Decline and Model'!BN$8,Royalty!$U$1:$Z$1,0))</f>
        <v>7.0425037783622231E-3</v>
      </c>
      <c r="BO40" s="127">
        <f t="array" ref="BO40">BI40*INDEX(Royalty!$U$7:$Z$246,MATCH('Decline and Model'!$E40,Royalty!$AI$7:$AI$246,0),MATCH('Decline and Model'!BO$8,Royalty!$U$1:$Z$1,0))</f>
        <v>2.589804886008947E-3</v>
      </c>
      <c r="BP40" s="135">
        <f t="shared" si="11"/>
        <v>0.22366966547540421</v>
      </c>
      <c r="BQ40" s="7"/>
      <c r="BR40" s="7"/>
      <c r="BS40">
        <v>32</v>
      </c>
      <c r="BT40" s="120">
        <f t="shared" si="12"/>
        <v>142198.73691199478</v>
      </c>
      <c r="BU40" s="113">
        <f t="shared" si="13"/>
        <v>119308.03801461043</v>
      </c>
      <c r="BV40" s="113">
        <f t="shared" si="14"/>
        <v>35792.411404383129</v>
      </c>
      <c r="BW40" s="113">
        <f t="shared" si="47"/>
        <v>6001334.0697656302</v>
      </c>
      <c r="BX40" s="113">
        <f t="shared" si="39"/>
        <v>132656.19244091806</v>
      </c>
      <c r="BY40" s="120">
        <f t="shared" si="40"/>
        <v>205797.96135919716</v>
      </c>
      <c r="BZ40" s="153">
        <f t="shared" si="48"/>
        <v>0</v>
      </c>
      <c r="CA40" s="120">
        <f t="shared" si="50"/>
        <v>205797.96135919716</v>
      </c>
      <c r="CB40" s="120">
        <f t="shared" si="41"/>
        <v>51449.490339799289</v>
      </c>
      <c r="CC40" s="153">
        <f t="shared" si="42"/>
        <v>287004.6634603159</v>
      </c>
      <c r="CD40" s="7">
        <f t="shared" si="16"/>
        <v>225312.16242724608</v>
      </c>
      <c r="CE40" s="11">
        <f>SUM($CD$9:CD40)</f>
        <v>18256270.362843487</v>
      </c>
      <c r="CF40" s="11">
        <f t="shared" si="43"/>
        <v>12000000</v>
      </c>
      <c r="CG40">
        <f t="shared" si="44"/>
        <v>6256270.3628434874</v>
      </c>
      <c r="CJ40">
        <v>3</v>
      </c>
      <c r="CK40">
        <v>12</v>
      </c>
      <c r="CM40">
        <v>3</v>
      </c>
      <c r="CN40" s="7">
        <v>16549812.873701256</v>
      </c>
    </row>
    <row r="41" spans="1:94">
      <c r="A41">
        <f t="shared" si="17"/>
        <v>2019</v>
      </c>
      <c r="B41">
        <f t="shared" si="18"/>
        <v>30.416666666666668</v>
      </c>
      <c r="C41">
        <f t="shared" si="51"/>
        <v>3</v>
      </c>
      <c r="E41" s="97">
        <v>43800</v>
      </c>
      <c r="F41" s="2">
        <f>$F$6*EXP(-$F$3*COUNT($E$9:$E41))</f>
        <v>153.92108796282406</v>
      </c>
      <c r="G41" s="260">
        <f>$F$6/(1+$F$5*$F$3*COUNT($E$9:$E41))^(1/$F$5)</f>
        <v>184.38752437832539</v>
      </c>
      <c r="H41" s="260">
        <f>$H$6/(1+$H$5*$H$3*COUNT($E$9:$E41))^(1/$H$5)</f>
        <v>671.22059065509723</v>
      </c>
      <c r="I41" s="260">
        <f t="shared" si="19"/>
        <v>127.85154107716137</v>
      </c>
      <c r="J41" s="260">
        <f t="shared" si="20"/>
        <v>53.237381704529994</v>
      </c>
      <c r="K41" s="260">
        <f t="shared" si="20"/>
        <v>36.220341587159815</v>
      </c>
      <c r="L41" s="260">
        <f t="shared" si="20"/>
        <v>17.272743199524502</v>
      </c>
      <c r="M41" s="260">
        <f t="shared" si="20"/>
        <v>21.133859740054774</v>
      </c>
      <c r="N41" s="19">
        <f t="shared" si="21"/>
        <v>4681.7664255358986</v>
      </c>
      <c r="O41" s="19">
        <f t="shared" si="22"/>
        <v>5608.4538665073978</v>
      </c>
      <c r="P41" s="19">
        <f t="shared" si="23"/>
        <v>20416.292965759207</v>
      </c>
      <c r="Q41" s="19">
        <f t="shared" si="24"/>
        <v>3888.8177077636587</v>
      </c>
      <c r="R41" s="19">
        <f t="shared" si="25"/>
        <v>1619.3036935127875</v>
      </c>
      <c r="S41" s="19">
        <f t="shared" si="26"/>
        <v>1101.7020566094445</v>
      </c>
      <c r="T41" s="19">
        <f t="shared" si="27"/>
        <v>525.37927231887033</v>
      </c>
      <c r="U41" s="19">
        <f t="shared" si="28"/>
        <v>642.82156709333276</v>
      </c>
      <c r="V41" s="261">
        <f t="shared" si="45"/>
        <v>11532.520170788068</v>
      </c>
      <c r="W41" s="261">
        <f>SUM(O$9:O41)</f>
        <v>400953.9510700446</v>
      </c>
      <c r="X41" s="261">
        <f>SUM(P$9:P41)</f>
        <v>1339528.4559582507</v>
      </c>
      <c r="Y41" s="261">
        <f>SUM(Q$9:Q41)</f>
        <v>255148.27732538103</v>
      </c>
      <c r="Z41" s="261">
        <f>SUM($V$9:V41)</f>
        <v>789636.43142415071</v>
      </c>
      <c r="AB41" s="257">
        <f t="array" ref="AB41">(INDEX(PriceDeck!$C$18:$O$77,MATCH('Decline and Model'!$A41,PriceDeck!$B$18:$B$77,0),MATCH('Decline and Model'!AB$8,PriceDeck!$C$13:$O$13,0))*(1+$AE$6))</f>
        <v>62.4</v>
      </c>
      <c r="AC41" s="257">
        <f t="array" ref="AC41">INDEX(PriceDeck!$C$18:$O$77,MATCH('Decline and Model'!$A41,PriceDeck!$B$18:$B$77,0),MATCH('Decline and Model'!AC$8,PriceDeck!$C$13:$O$13,0))*(1+$AE$6)</f>
        <v>75.5</v>
      </c>
      <c r="AD41" s="257">
        <f t="array" ref="AD41">INDEX(PriceDeck!$C$18:$O$77,MATCH('Decline and Model'!$A41,PriceDeck!$B$18:$B$77,0),MATCH('Decline and Model'!AD$8,PriceDeck!$C$13:$O$13,0))*(1+$AE$6)</f>
        <v>12.4</v>
      </c>
      <c r="AE41" s="257">
        <f t="array" ref="AE41">INDEX(PriceDeck!$C$18:$O$77,MATCH('Decline and Model'!$A41,PriceDeck!$B$18:$B$77,0),MATCH('Decline and Model'!AE$8,PriceDeck!$C$13:$O$13,0))*(1+$AE$6)</f>
        <v>26.2</v>
      </c>
      <c r="AF41" s="257">
        <f t="array" ref="AF41">INDEX(PriceDeck!$C$18:$O$77,MATCH('Decline and Model'!$A41,PriceDeck!$B$18:$B$77,0),MATCH('Decline and Model'!AF$8,PriceDeck!$C$13:$O$13,0))*(1+$AE$6)</f>
        <v>78.599999999999994</v>
      </c>
      <c r="AG41" s="257">
        <f t="array" ref="AG41">INDEX(PriceDeck!$C$18:$O$77,MATCH('Decline and Model'!$A41,PriceDeck!$B$18:$B$77,0),MATCH('Decline and Model'!AG$8,PriceDeck!$C$13:$O$13,0))*(1+$AE$6)</f>
        <v>49.8</v>
      </c>
      <c r="AH41" s="258">
        <f t="array" ref="AH41">INDEX(PriceDeck!$C$18:$O$77,MATCH('Decline and Model'!$A41,PriceDeck!$B$18:$B$77,0),MATCH('Decline and Model'!AH$8,PriceDeck!$C$13:$O$13,0))</f>
        <v>0.8</v>
      </c>
      <c r="AI41" s="258">
        <f t="shared" si="29"/>
        <v>3.3</v>
      </c>
      <c r="AJ41" s="259">
        <f t="shared" si="30"/>
        <v>3.3</v>
      </c>
      <c r="AK41" s="120">
        <v>3.3</v>
      </c>
      <c r="AL41" s="120"/>
      <c r="AN41" s="7">
        <f t="shared" si="31"/>
        <v>423438.26692130853</v>
      </c>
      <c r="AO41" s="7">
        <f t="shared" ref="AO41:AO73" si="52">P41*AJ41</f>
        <v>67373.766787005385</v>
      </c>
      <c r="AP41" s="7">
        <f t="shared" si="32"/>
        <v>20079.365799558567</v>
      </c>
      <c r="AQ41" s="7">
        <f t="shared" si="33"/>
        <v>28864.593883167447</v>
      </c>
      <c r="AR41" s="7">
        <f t="shared" si="34"/>
        <v>41294.810804263208</v>
      </c>
      <c r="AS41" s="7">
        <f t="shared" si="35"/>
        <v>32012.51404124797</v>
      </c>
      <c r="AT41" s="7">
        <f t="shared" si="36"/>
        <v>613063.31823655125</v>
      </c>
      <c r="AU41" s="7">
        <f>SUM($AT$9:AT41)</f>
        <v>40894434.425558269</v>
      </c>
      <c r="AV41" s="7">
        <f>AT41/(1+$AR$5)^(COUNT($E$9:E41))</f>
        <v>477657.39278480009</v>
      </c>
      <c r="AW41" s="7">
        <f t="shared" si="49"/>
        <v>0</v>
      </c>
      <c r="AX41" s="7">
        <f t="shared" si="37"/>
        <v>0</v>
      </c>
      <c r="AY41" s="117">
        <f t="shared" si="38"/>
        <v>0</v>
      </c>
      <c r="AZ41" s="117">
        <f t="shared" ref="AZ41:AZ73" si="53">AT41-AX41</f>
        <v>613063.31823655125</v>
      </c>
      <c r="BA41" s="120">
        <f t="shared" si="46"/>
        <v>137017.37581105833</v>
      </c>
      <c r="BB41" s="119">
        <f t="shared" si="4"/>
        <v>0</v>
      </c>
      <c r="BC41" s="17"/>
      <c r="BD41" s="126">
        <f t="shared" si="5"/>
        <v>0.69069255054976941</v>
      </c>
      <c r="BE41" s="127">
        <f t="shared" si="6"/>
        <v>0.10989691404275004</v>
      </c>
      <c r="BF41" s="127">
        <f t="shared" si="7"/>
        <v>3.2752515445412633E-2</v>
      </c>
      <c r="BG41" s="127">
        <f t="shared" si="8"/>
        <v>4.7082565576089495E-2</v>
      </c>
      <c r="BH41" s="127">
        <f t="shared" si="9"/>
        <v>6.7358149763463021E-2</v>
      </c>
      <c r="BI41" s="128">
        <f t="shared" si="10"/>
        <v>5.2217304622515191E-2</v>
      </c>
      <c r="BJ41" s="126">
        <f t="array" ref="BJ41">BD41*INDEX(Royalty!$U$7:$Z$246,MATCH('Decline and Model'!$E41,Royalty!$AI$7:$AI$246,0),MATCH('Decline and Model'!BJ$8,Royalty!$U$1:$Z$1,0))</f>
        <v>0.16921279264453976</v>
      </c>
      <c r="BK41" s="127">
        <f t="array" ref="BK41">BE41*INDEX(Royalty!$U$7:$Z$246,MATCH('Decline and Model'!$E41,Royalty!$AI$7:$AI$246,0),MATCH('Decline and Model'!BK$8,Royalty!$U$1:$Z$1,0))</f>
        <v>2.6087950971970527E-2</v>
      </c>
      <c r="BL41" s="127">
        <f t="array" ref="BL41">BF41*INDEX(Royalty!$U$7:$Z$246,MATCH('Decline and Model'!$E41,Royalty!$AI$7:$AI$246,0),MATCH('Decline and Model'!BL$8,Royalty!$U$1:$Z$1,0))</f>
        <v>7.4064928986678439E-3</v>
      </c>
      <c r="BM41" s="127">
        <f t="array" ref="BM41">BG41*INDEX(Royalty!$U$7:$Z$246,MATCH('Decline and Model'!$E41,Royalty!$AI$7:$AI$246,0),MATCH('Decline and Model'!BM$8,Royalty!$U$1:$Z$1,0))</f>
        <v>1.1078412491898022E-2</v>
      </c>
      <c r="BN41" s="127">
        <f t="array" ref="BN41">BH41*INDEX(Royalty!$U$7:$Z$246,MATCH('Decline and Model'!$E41,Royalty!$AI$7:$AI$246,0),MATCH('Decline and Model'!BN$8,Royalty!$U$1:$Z$1,0))</f>
        <v>7.0997735599044685E-3</v>
      </c>
      <c r="BO41" s="127">
        <f t="array" ref="BO41">BI41*INDEX(Royalty!$U$7:$Z$246,MATCH('Decline and Model'!$E41,Royalty!$AI$7:$AI$246,0),MATCH('Decline and Model'!BO$8,Royalty!$U$1:$Z$1,0))</f>
        <v>2.6108652311257596E-3</v>
      </c>
      <c r="BP41" s="135">
        <f t="shared" si="11"/>
        <v>0.22349628779810637</v>
      </c>
      <c r="BQ41" s="7"/>
      <c r="BR41" s="7"/>
      <c r="BS41">
        <v>33</v>
      </c>
      <c r="BT41" s="120">
        <f t="shared" si="12"/>
        <v>137017.37581105833</v>
      </c>
      <c r="BU41" s="113">
        <f t="shared" si="13"/>
        <v>115325.20170788068</v>
      </c>
      <c r="BV41" s="113">
        <f t="shared" si="14"/>
        <v>34597.560512364202</v>
      </c>
      <c r="BW41" s="113">
        <f t="shared" si="47"/>
        <v>5868677.8773247125</v>
      </c>
      <c r="BX41" s="113">
        <f t="shared" si="39"/>
        <v>129723.9001891706</v>
      </c>
      <c r="BY41" s="120">
        <f t="shared" si="40"/>
        <v>196399.28001607739</v>
      </c>
      <c r="BZ41" s="153">
        <f t="shared" si="48"/>
        <v>0</v>
      </c>
      <c r="CA41" s="120">
        <f t="shared" si="50"/>
        <v>196399.28001607739</v>
      </c>
      <c r="CB41" s="120">
        <f t="shared" si="41"/>
        <v>49099.820004019348</v>
      </c>
      <c r="CC41" s="153">
        <f t="shared" si="42"/>
        <v>277023.36020122864</v>
      </c>
      <c r="CD41" s="7">
        <f t="shared" si="16"/>
        <v>215837.82953255525</v>
      </c>
      <c r="CE41" s="11">
        <f>SUM($CD$9:CD41)</f>
        <v>18472108.192376044</v>
      </c>
      <c r="CF41" s="11">
        <f t="shared" si="43"/>
        <v>12000000</v>
      </c>
      <c r="CG41">
        <f t="shared" si="44"/>
        <v>6472108.1923760436</v>
      </c>
      <c r="CJ41">
        <v>4</v>
      </c>
      <c r="CK41">
        <v>12</v>
      </c>
      <c r="CM41">
        <v>4</v>
      </c>
      <c r="CN41" s="7">
        <v>17558210.981367979</v>
      </c>
    </row>
    <row r="42" spans="1:94">
      <c r="A42">
        <f t="shared" si="17"/>
        <v>2020</v>
      </c>
      <c r="B42">
        <f t="shared" si="18"/>
        <v>30.416666666666668</v>
      </c>
      <c r="C42">
        <f t="shared" si="51"/>
        <v>3</v>
      </c>
      <c r="E42" s="97">
        <v>43831</v>
      </c>
      <c r="F42" s="2">
        <f>$F$6*EXP(-$F$3*COUNT($E$9:$E42))</f>
        <v>146.41426792140089</v>
      </c>
      <c r="G42" s="260">
        <f>$F$6/(1+$F$5*$F$3*COUNT($E$9:$E42))^(1/$F$5)</f>
        <v>177.21027057452019</v>
      </c>
      <c r="H42" s="260">
        <f>$H$6/(1+$H$5*$H$3*COUNT($E$9:$E42))^(1/$H$5)</f>
        <v>652.89291974436037</v>
      </c>
      <c r="I42" s="260">
        <f t="shared" si="19"/>
        <v>124.36055614178292</v>
      </c>
      <c r="J42" s="260">
        <f t="shared" si="20"/>
        <v>51.783735577438406</v>
      </c>
      <c r="K42" s="260">
        <f t="shared" si="20"/>
        <v>35.231345554967099</v>
      </c>
      <c r="L42" s="260">
        <f t="shared" si="20"/>
        <v>16.801111134754873</v>
      </c>
      <c r="M42" s="260">
        <f t="shared" si="20"/>
        <v>20.556799930236718</v>
      </c>
      <c r="N42" s="19">
        <f t="shared" si="21"/>
        <v>4453.4339826092773</v>
      </c>
      <c r="O42" s="19">
        <f t="shared" si="22"/>
        <v>5390.1457299749891</v>
      </c>
      <c r="P42" s="19">
        <f t="shared" si="23"/>
        <v>19858.826308890963</v>
      </c>
      <c r="Q42" s="19">
        <f t="shared" si="24"/>
        <v>3782.6335826458971</v>
      </c>
      <c r="R42" s="19">
        <f t="shared" si="25"/>
        <v>1575.0886238137516</v>
      </c>
      <c r="S42" s="19">
        <f t="shared" si="26"/>
        <v>1071.6200939635826</v>
      </c>
      <c r="T42" s="19">
        <f t="shared" si="27"/>
        <v>511.03379701546072</v>
      </c>
      <c r="U42" s="19">
        <f t="shared" si="28"/>
        <v>625.26933121136688</v>
      </c>
      <c r="V42" s="261">
        <f t="shared" si="45"/>
        <v>11152.455468396622</v>
      </c>
      <c r="W42" s="261">
        <f>SUM(O$9:O42)</f>
        <v>406344.09680001962</v>
      </c>
      <c r="X42" s="261">
        <f>SUM(P$9:P42)</f>
        <v>1359387.2822671416</v>
      </c>
      <c r="Y42" s="261">
        <f>SUM(Q$9:Q42)</f>
        <v>258930.91090802694</v>
      </c>
      <c r="Z42" s="261">
        <f>SUM($V$9:V42)</f>
        <v>800788.88689254737</v>
      </c>
      <c r="AB42" s="257">
        <f t="array" ref="AB42">(INDEX(PriceDeck!$C$18:$O$77,MATCH('Decline and Model'!$A42,PriceDeck!$B$18:$B$77,0),MATCH('Decline and Model'!AB$8,PriceDeck!$C$13:$O$13,0))*(1+$AE$6))</f>
        <v>69</v>
      </c>
      <c r="AC42" s="257">
        <f t="array" ref="AC42">INDEX(PriceDeck!$C$18:$O$77,MATCH('Decline and Model'!$A42,PriceDeck!$B$18:$B$77,0),MATCH('Decline and Model'!AC$8,PriceDeck!$C$13:$O$13,0))*(1+$AE$6)</f>
        <v>81.099999999999994</v>
      </c>
      <c r="AD42" s="257">
        <f t="array" ref="AD42">INDEX(PriceDeck!$C$18:$O$77,MATCH('Decline and Model'!$A42,PriceDeck!$B$18:$B$77,0),MATCH('Decline and Model'!AD$8,PriceDeck!$C$13:$O$13,0))*(1+$AE$6)</f>
        <v>13.6</v>
      </c>
      <c r="AE42" s="257">
        <f t="array" ref="AE42">INDEX(PriceDeck!$C$18:$O$77,MATCH('Decline and Model'!$A42,PriceDeck!$B$18:$B$77,0),MATCH('Decline and Model'!AE$8,PriceDeck!$C$13:$O$13,0))*(1+$AE$6)</f>
        <v>28.3</v>
      </c>
      <c r="AF42" s="257">
        <f t="array" ref="AF42">INDEX(PriceDeck!$C$18:$O$77,MATCH('Decline and Model'!$A42,PriceDeck!$B$18:$B$77,0),MATCH('Decline and Model'!AF$8,PriceDeck!$C$13:$O$13,0))*(1+$AE$6)</f>
        <v>84.3</v>
      </c>
      <c r="AG42" s="257">
        <f t="array" ref="AG42">INDEX(PriceDeck!$C$18:$O$77,MATCH('Decline and Model'!$A42,PriceDeck!$B$18:$B$77,0),MATCH('Decline and Model'!AG$8,PriceDeck!$C$13:$O$13,0))*(1+$AE$6)</f>
        <v>56.4</v>
      </c>
      <c r="AH42" s="258">
        <f t="array" ref="AH42">INDEX(PriceDeck!$C$18:$O$77,MATCH('Decline and Model'!$A42,PriceDeck!$B$18:$B$77,0),MATCH('Decline and Model'!AH$8,PriceDeck!$C$13:$O$13,0))</f>
        <v>0.82499999999999996</v>
      </c>
      <c r="AI42" s="258">
        <f t="shared" si="29"/>
        <v>3.6</v>
      </c>
      <c r="AJ42" s="259">
        <f t="shared" si="30"/>
        <v>3.6</v>
      </c>
      <c r="AK42" s="120">
        <v>3.6</v>
      </c>
      <c r="AL42" s="120"/>
      <c r="AN42" s="7">
        <f t="shared" si="31"/>
        <v>437140.81870097161</v>
      </c>
      <c r="AO42" s="7">
        <f t="shared" si="52"/>
        <v>71491.774712007464</v>
      </c>
      <c r="AP42" s="7">
        <f t="shared" si="32"/>
        <v>21421.205283867021</v>
      </c>
      <c r="AQ42" s="7">
        <f t="shared" si="33"/>
        <v>30326.848659169387</v>
      </c>
      <c r="AR42" s="7">
        <f t="shared" si="34"/>
        <v>43080.149088403334</v>
      </c>
      <c r="AS42" s="7">
        <f t="shared" si="35"/>
        <v>35265.190280321091</v>
      </c>
      <c r="AT42" s="7">
        <f t="shared" si="36"/>
        <v>638725.98672473978</v>
      </c>
      <c r="AU42" s="7">
        <f>SUM($AT$9:AT42)</f>
        <v>41533160.412283011</v>
      </c>
      <c r="AV42" s="7">
        <f>AT42/(1+$AR$5)^(COUNT($E$9:E42))</f>
        <v>493902.52704678936</v>
      </c>
      <c r="AW42" s="7">
        <f t="shared" si="49"/>
        <v>0</v>
      </c>
      <c r="AX42" s="7">
        <f t="shared" si="37"/>
        <v>0</v>
      </c>
      <c r="AY42" s="117">
        <f t="shared" si="38"/>
        <v>0</v>
      </c>
      <c r="AZ42" s="117">
        <f t="shared" si="53"/>
        <v>638725.98672473978</v>
      </c>
      <c r="BA42" s="120">
        <f t="shared" si="46"/>
        <v>150932.28494493008</v>
      </c>
      <c r="BB42" s="119">
        <f t="shared" si="4"/>
        <v>0</v>
      </c>
      <c r="BC42" s="17"/>
      <c r="BD42" s="126">
        <f t="shared" si="5"/>
        <v>0.68439491704814304</v>
      </c>
      <c r="BE42" s="127">
        <f t="shared" si="6"/>
        <v>0.11192870839435093</v>
      </c>
      <c r="BF42" s="127">
        <f t="shared" si="7"/>
        <v>3.3537394327277516E-2</v>
      </c>
      <c r="BG42" s="127">
        <f t="shared" si="8"/>
        <v>4.748021732242249E-2</v>
      </c>
      <c r="BH42" s="127">
        <f t="shared" si="9"/>
        <v>6.7446996026120365E-2</v>
      </c>
      <c r="BI42" s="128">
        <f t="shared" si="10"/>
        <v>5.5211766881685831E-2</v>
      </c>
      <c r="BJ42" s="126">
        <f t="array" ref="BJ42">BD42*INDEX(Royalty!$U$7:$Z$246,MATCH('Decline and Model'!$E42,Royalty!$AI$7:$AI$246,0),MATCH('Decline and Model'!BJ$8,Royalty!$U$1:$Z$1,0))</f>
        <v>0.17723931439477933</v>
      </c>
      <c r="BK42" s="127">
        <f t="array" ref="BK42">BE42*INDEX(Royalty!$U$7:$Z$246,MATCH('Decline and Model'!$E42,Royalty!$AI$7:$AI$246,0),MATCH('Decline and Model'!BK$8,Royalty!$U$1:$Z$1,0))</f>
        <v>2.8107828321476298E-2</v>
      </c>
      <c r="BL42" s="127">
        <f t="array" ref="BL42">BF42*INDEX(Royalty!$U$7:$Z$246,MATCH('Decline and Model'!$E42,Royalty!$AI$7:$AI$246,0),MATCH('Decline and Model'!BL$8,Royalty!$U$1:$Z$1,0))</f>
        <v>8.3552766022031589E-3</v>
      </c>
      <c r="BM42" s="127">
        <f t="array" ref="BM42">BG42*INDEX(Royalty!$U$7:$Z$246,MATCH('Decline and Model'!$E42,Royalty!$AI$7:$AI$246,0),MATCH('Decline and Model'!BM$8,Royalty!$U$1:$Z$1,0))</f>
        <v>1.1869993859753361E-2</v>
      </c>
      <c r="BN42" s="127">
        <f t="array" ref="BN42">BH42*INDEX(Royalty!$U$7:$Z$246,MATCH('Decline and Model'!$E42,Royalty!$AI$7:$AI$246,0),MATCH('Decline and Model'!BN$8,Royalty!$U$1:$Z$1,0))</f>
        <v>7.9690874515386742E-3</v>
      </c>
      <c r="BO42" s="127">
        <f t="array" ref="BO42">BI42*INDEX(Royalty!$U$7:$Z$246,MATCH('Decline and Model'!$E42,Royalty!$AI$7:$AI$246,0),MATCH('Decline and Model'!BO$8,Royalty!$U$1:$Z$1,0))</f>
        <v>2.7605883440842919E-3</v>
      </c>
      <c r="BP42" s="135">
        <f t="shared" si="11"/>
        <v>0.23630208897383512</v>
      </c>
      <c r="BQ42" s="7"/>
      <c r="BR42" s="7"/>
      <c r="BS42">
        <v>34</v>
      </c>
      <c r="BT42" s="120">
        <f t="shared" si="12"/>
        <v>150932.28494493008</v>
      </c>
      <c r="BU42" s="113">
        <f t="shared" si="13"/>
        <v>111524.55468396621</v>
      </c>
      <c r="BV42" s="113">
        <f t="shared" si="14"/>
        <v>33457.366405189867</v>
      </c>
      <c r="BW42" s="113">
        <f t="shared" si="47"/>
        <v>5738953.9771355418</v>
      </c>
      <c r="BX42" s="113">
        <f t="shared" si="39"/>
        <v>126856.42464662793</v>
      </c>
      <c r="BY42" s="120">
        <f t="shared" si="40"/>
        <v>215955.35604402568</v>
      </c>
      <c r="BZ42" s="153">
        <f t="shared" si="48"/>
        <v>0</v>
      </c>
      <c r="CA42" s="120">
        <f t="shared" si="50"/>
        <v>215955.35604402568</v>
      </c>
      <c r="CB42" s="120">
        <f t="shared" si="41"/>
        <v>53988.839011006421</v>
      </c>
      <c r="CC42" s="153">
        <f t="shared" si="42"/>
        <v>288822.94167964719</v>
      </c>
      <c r="CD42" s="7">
        <f t="shared" si="16"/>
        <v>223335.80240902374</v>
      </c>
      <c r="CE42" s="11">
        <f>SUM($CD$9:CD42)</f>
        <v>18695443.994785067</v>
      </c>
      <c r="CF42" s="11">
        <f t="shared" si="43"/>
        <v>12000000</v>
      </c>
      <c r="CG42">
        <f t="shared" si="44"/>
        <v>6695443.9947850667</v>
      </c>
      <c r="CJ42">
        <v>5</v>
      </c>
      <c r="CK42">
        <v>12</v>
      </c>
      <c r="CM42">
        <v>5</v>
      </c>
      <c r="CN42" s="7">
        <v>18184306.876244463</v>
      </c>
    </row>
    <row r="43" spans="1:94">
      <c r="A43">
        <f t="shared" si="17"/>
        <v>2020</v>
      </c>
      <c r="B43">
        <f t="shared" si="18"/>
        <v>30.416666666666668</v>
      </c>
      <c r="C43">
        <f t="shared" si="51"/>
        <v>3</v>
      </c>
      <c r="E43" s="97">
        <v>43862</v>
      </c>
      <c r="F43" s="2">
        <f>$F$6*EXP(-$F$3*COUNT($E$9:$E43))</f>
        <v>139.27355981356757</v>
      </c>
      <c r="G43" s="260">
        <f>$F$6/(1+$F$5*$F$3*COUNT($E$9:$E43))^(1/$F$5)</f>
        <v>170.35371159125975</v>
      </c>
      <c r="H43" s="260">
        <f>$H$6/(1+$H$5*$H$3*COUNT($E$9:$E43))^(1/$H$5)</f>
        <v>635.40676627667369</v>
      </c>
      <c r="I43" s="260">
        <f t="shared" si="19"/>
        <v>121.02986024317593</v>
      </c>
      <c r="J43" s="260">
        <f t="shared" si="20"/>
        <v>50.39683380525846</v>
      </c>
      <c r="K43" s="260">
        <f t="shared" si="20"/>
        <v>34.287759406891745</v>
      </c>
      <c r="L43" s="260">
        <f t="shared" si="20"/>
        <v>16.351134118853068</v>
      </c>
      <c r="M43" s="260">
        <f t="shared" si="20"/>
        <v>20.00623589819698</v>
      </c>
      <c r="N43" s="19">
        <f t="shared" si="21"/>
        <v>4236.2374443293475</v>
      </c>
      <c r="O43" s="19">
        <f t="shared" si="22"/>
        <v>5181.5920609008181</v>
      </c>
      <c r="P43" s="19">
        <f t="shared" si="23"/>
        <v>19326.955807582159</v>
      </c>
      <c r="Q43" s="19">
        <f t="shared" si="24"/>
        <v>3681.3249157299347</v>
      </c>
      <c r="R43" s="19">
        <f t="shared" si="25"/>
        <v>1532.903694909945</v>
      </c>
      <c r="S43" s="19">
        <f t="shared" si="26"/>
        <v>1042.9193486262907</v>
      </c>
      <c r="T43" s="19">
        <f t="shared" si="27"/>
        <v>497.34699611511417</v>
      </c>
      <c r="U43" s="19">
        <f t="shared" si="28"/>
        <v>608.52300857015814</v>
      </c>
      <c r="V43" s="261">
        <f t="shared" si="45"/>
        <v>10789.572307659657</v>
      </c>
      <c r="W43" s="261">
        <f>SUM(O$9:O43)</f>
        <v>411525.68886092043</v>
      </c>
      <c r="X43" s="261">
        <f>SUM(P$9:P43)</f>
        <v>1378714.2380747239</v>
      </c>
      <c r="Y43" s="261">
        <f>SUM(Q$9:Q43)</f>
        <v>262612.2358237569</v>
      </c>
      <c r="Z43" s="261">
        <f>SUM($V$9:V43)</f>
        <v>811578.45920020703</v>
      </c>
      <c r="AB43" s="257">
        <f t="array" ref="AB43">(INDEX(PriceDeck!$C$18:$O$77,MATCH('Decline and Model'!$A43,PriceDeck!$B$18:$B$77,0),MATCH('Decline and Model'!AB$8,PriceDeck!$C$13:$O$13,0))*(1+$AE$6))</f>
        <v>69</v>
      </c>
      <c r="AC43" s="257">
        <f t="array" ref="AC43">INDEX(PriceDeck!$C$18:$O$77,MATCH('Decline and Model'!$A43,PriceDeck!$B$18:$B$77,0),MATCH('Decline and Model'!AC$8,PriceDeck!$C$13:$O$13,0))*(1+$AE$6)</f>
        <v>81.099999999999994</v>
      </c>
      <c r="AD43" s="257">
        <f t="array" ref="AD43">INDEX(PriceDeck!$C$18:$O$77,MATCH('Decline and Model'!$A43,PriceDeck!$B$18:$B$77,0),MATCH('Decline and Model'!AD$8,PriceDeck!$C$13:$O$13,0))*(1+$AE$6)</f>
        <v>13.6</v>
      </c>
      <c r="AE43" s="257">
        <f t="array" ref="AE43">INDEX(PriceDeck!$C$18:$O$77,MATCH('Decline and Model'!$A43,PriceDeck!$B$18:$B$77,0),MATCH('Decline and Model'!AE$8,PriceDeck!$C$13:$O$13,0))*(1+$AE$6)</f>
        <v>28.3</v>
      </c>
      <c r="AF43" s="257">
        <f t="array" ref="AF43">INDEX(PriceDeck!$C$18:$O$77,MATCH('Decline and Model'!$A43,PriceDeck!$B$18:$B$77,0),MATCH('Decline and Model'!AF$8,PriceDeck!$C$13:$O$13,0))*(1+$AE$6)</f>
        <v>84.3</v>
      </c>
      <c r="AG43" s="257">
        <f t="array" ref="AG43">INDEX(PriceDeck!$C$18:$O$77,MATCH('Decline and Model'!$A43,PriceDeck!$B$18:$B$77,0),MATCH('Decline and Model'!AG$8,PriceDeck!$C$13:$O$13,0))*(1+$AE$6)</f>
        <v>56.4</v>
      </c>
      <c r="AH43" s="258">
        <f t="array" ref="AH43">INDEX(PriceDeck!$C$18:$O$77,MATCH('Decline and Model'!$A43,PriceDeck!$B$18:$B$77,0),MATCH('Decline and Model'!AH$8,PriceDeck!$C$13:$O$13,0))</f>
        <v>0.82499999999999996</v>
      </c>
      <c r="AI43" s="258">
        <f t="shared" si="29"/>
        <v>3.6</v>
      </c>
      <c r="AJ43" s="259">
        <f t="shared" si="30"/>
        <v>3.6</v>
      </c>
      <c r="AK43" s="120">
        <v>3.6</v>
      </c>
      <c r="AL43" s="120"/>
      <c r="AN43" s="7">
        <f t="shared" si="31"/>
        <v>420227.11613905634</v>
      </c>
      <c r="AO43" s="7">
        <f t="shared" si="52"/>
        <v>69577.04090729577</v>
      </c>
      <c r="AP43" s="7">
        <f t="shared" si="32"/>
        <v>20847.490250775252</v>
      </c>
      <c r="AQ43" s="7">
        <f t="shared" si="33"/>
        <v>29514.617566124027</v>
      </c>
      <c r="AR43" s="7">
        <f t="shared" si="34"/>
        <v>41926.351772504124</v>
      </c>
      <c r="AS43" s="7">
        <f t="shared" si="35"/>
        <v>34320.697683356921</v>
      </c>
      <c r="AT43" s="7">
        <f t="shared" si="36"/>
        <v>616413.31431911245</v>
      </c>
      <c r="AU43" s="7">
        <f>SUM($AT$9:AT43)</f>
        <v>42149573.726602122</v>
      </c>
      <c r="AV43" s="7">
        <f>AT43/(1+$AR$5)^(COUNT($E$9:E43))</f>
        <v>473057.75145649799</v>
      </c>
      <c r="AW43" s="7">
        <f t="shared" si="49"/>
        <v>0</v>
      </c>
      <c r="AX43" s="7">
        <f t="shared" si="37"/>
        <v>0</v>
      </c>
      <c r="AY43" s="117">
        <f t="shared" si="38"/>
        <v>0</v>
      </c>
      <c r="AZ43" s="117">
        <f t="shared" si="53"/>
        <v>616413.31431911245</v>
      </c>
      <c r="BA43" s="120">
        <f t="shared" si="46"/>
        <v>145541.73403974413</v>
      </c>
      <c r="BB43" s="119">
        <f t="shared" si="4"/>
        <v>0</v>
      </c>
      <c r="BC43" s="17"/>
      <c r="BD43" s="126">
        <f t="shared" si="5"/>
        <v>0.68172946037552329</v>
      </c>
      <c r="BE43" s="127">
        <f t="shared" si="6"/>
        <v>0.11287400724650193</v>
      </c>
      <c r="BF43" s="127">
        <f t="shared" si="7"/>
        <v>3.3820635872869327E-2</v>
      </c>
      <c r="BG43" s="127">
        <f t="shared" si="8"/>
        <v>4.788121359566308E-2</v>
      </c>
      <c r="BH43" s="127">
        <f t="shared" si="9"/>
        <v>6.8016622611105984E-2</v>
      </c>
      <c r="BI43" s="128">
        <f t="shared" si="10"/>
        <v>5.5678060298336385E-2</v>
      </c>
      <c r="BJ43" s="126">
        <f t="array" ref="BJ43">BD43*INDEX(Royalty!$U$7:$Z$246,MATCH('Decline and Model'!$E43,Royalty!$AI$7:$AI$246,0),MATCH('Decline and Model'!BJ$8,Royalty!$U$1:$Z$1,0))</f>
        <v>0.1765490349940472</v>
      </c>
      <c r="BK43" s="127">
        <f t="array" ref="BK43">BE43*INDEX(Royalty!$U$7:$Z$246,MATCH('Decline and Model'!$E43,Royalty!$AI$7:$AI$246,0),MATCH('Decline and Model'!BK$8,Royalty!$U$1:$Z$1,0))</f>
        <v>2.8345214227468669E-2</v>
      </c>
      <c r="BL43" s="127">
        <f t="array" ref="BL43">BF43*INDEX(Royalty!$U$7:$Z$246,MATCH('Decline and Model'!$E43,Royalty!$AI$7:$AI$246,0),MATCH('Decline and Model'!BL$8,Royalty!$U$1:$Z$1,0))</f>
        <v>8.4258414599127605E-3</v>
      </c>
      <c r="BM43" s="127">
        <f t="array" ref="BM43">BG43*INDEX(Royalty!$U$7:$Z$246,MATCH('Decline and Model'!$E43,Royalty!$AI$7:$AI$246,0),MATCH('Decline and Model'!BM$8,Royalty!$U$1:$Z$1,0))</f>
        <v>1.1970242417354254E-2</v>
      </c>
      <c r="BN43" s="127">
        <f t="array" ref="BN43">BH43*INDEX(Royalty!$U$7:$Z$246,MATCH('Decline and Model'!$E43,Royalty!$AI$7:$AI$246,0),MATCH('Decline and Model'!BN$8,Royalty!$U$1:$Z$1,0))</f>
        <v>8.0363907317131354E-3</v>
      </c>
      <c r="BO43" s="127">
        <f t="array" ref="BO43">BI43*INDEX(Royalty!$U$7:$Z$246,MATCH('Decline and Model'!$E43,Royalty!$AI$7:$AI$246,0),MATCH('Decline and Model'!BO$8,Royalty!$U$1:$Z$1,0))</f>
        <v>2.7839030149168194E-3</v>
      </c>
      <c r="BP43" s="135">
        <f t="shared" si="11"/>
        <v>0.23611062684541284</v>
      </c>
      <c r="BQ43" s="7"/>
      <c r="BR43" s="7"/>
      <c r="BS43">
        <v>35</v>
      </c>
      <c r="BT43" s="120">
        <f t="shared" si="12"/>
        <v>145541.73403974413</v>
      </c>
      <c r="BU43" s="113">
        <f t="shared" si="13"/>
        <v>107895.72307659657</v>
      </c>
      <c r="BV43" s="113">
        <f t="shared" si="14"/>
        <v>32368.716922978972</v>
      </c>
      <c r="BW43" s="113">
        <f t="shared" si="47"/>
        <v>5612097.5524889138</v>
      </c>
      <c r="BX43" s="113">
        <f t="shared" si="39"/>
        <v>124052.33307554378</v>
      </c>
      <c r="BY43" s="120">
        <f t="shared" si="40"/>
        <v>206554.80720424899</v>
      </c>
      <c r="BZ43" s="153">
        <f t="shared" si="48"/>
        <v>0</v>
      </c>
      <c r="CA43" s="120">
        <f t="shared" si="50"/>
        <v>206554.80720424899</v>
      </c>
      <c r="CB43" s="120">
        <f t="shared" si="41"/>
        <v>51638.701801062249</v>
      </c>
      <c r="CC43" s="153">
        <f t="shared" si="42"/>
        <v>278968.4384787305</v>
      </c>
      <c r="CD43" s="7">
        <f t="shared" si="16"/>
        <v>214090.41493506698</v>
      </c>
      <c r="CE43" s="11">
        <f>SUM($CD$9:CD43)</f>
        <v>18909534.409720134</v>
      </c>
      <c r="CF43" s="11">
        <f t="shared" si="43"/>
        <v>12000000</v>
      </c>
      <c r="CG43">
        <f t="shared" si="44"/>
        <v>6909534.409720134</v>
      </c>
      <c r="CJ43">
        <v>6</v>
      </c>
      <c r="CK43">
        <v>12</v>
      </c>
      <c r="CM43">
        <v>6</v>
      </c>
      <c r="CN43" s="7">
        <v>18184306.876244463</v>
      </c>
    </row>
    <row r="44" spans="1:94" ht="18.75" customHeight="1">
      <c r="A44">
        <f t="shared" si="17"/>
        <v>2020</v>
      </c>
      <c r="B44">
        <f t="shared" si="18"/>
        <v>30.416666666666668</v>
      </c>
      <c r="C44">
        <f t="shared" si="51"/>
        <v>3</v>
      </c>
      <c r="E44" s="97">
        <v>43891</v>
      </c>
      <c r="F44" s="2">
        <f>$F$6*EXP(-$F$3*COUNT($E$9:$E44))</f>
        <v>132.48110814962564</v>
      </c>
      <c r="G44" s="260">
        <f>$F$6/(1+$F$5*$F$3*COUNT($E$9:$E44))^(1/$F$5)</f>
        <v>163.80169383016516</v>
      </c>
      <c r="H44" s="260">
        <f>$H$6/(1+$H$5*$H$3*COUNT($E$9:$E44))^(1/$H$5)</f>
        <v>618.70841948288933</v>
      </c>
      <c r="I44" s="260">
        <f t="shared" si="19"/>
        <v>117.84922275864558</v>
      </c>
      <c r="J44" s="260">
        <f t="shared" si="20"/>
        <v>49.072416356700018</v>
      </c>
      <c r="K44" s="260">
        <f t="shared" si="20"/>
        <v>33.38668480752429</v>
      </c>
      <c r="L44" s="260">
        <f t="shared" si="20"/>
        <v>15.921429994693018</v>
      </c>
      <c r="M44" s="260">
        <f t="shared" si="20"/>
        <v>19.480476522004114</v>
      </c>
      <c r="N44" s="19">
        <f t="shared" si="21"/>
        <v>4029.6337062177799</v>
      </c>
      <c r="O44" s="19">
        <f t="shared" si="22"/>
        <v>4982.3015206675236</v>
      </c>
      <c r="P44" s="19">
        <f t="shared" si="23"/>
        <v>18819.04775927122</v>
      </c>
      <c r="Q44" s="19">
        <f t="shared" si="24"/>
        <v>3584.5805255754699</v>
      </c>
      <c r="R44" s="19">
        <f t="shared" si="25"/>
        <v>1492.6193308496256</v>
      </c>
      <c r="S44" s="19">
        <f t="shared" si="26"/>
        <v>1015.5116628955305</v>
      </c>
      <c r="T44" s="19">
        <f t="shared" si="27"/>
        <v>484.27682900524599</v>
      </c>
      <c r="U44" s="19">
        <f t="shared" si="28"/>
        <v>592.53116087762521</v>
      </c>
      <c r="V44" s="261">
        <f t="shared" si="45"/>
        <v>10442.905308844085</v>
      </c>
      <c r="W44" s="261">
        <f>SUM(O$9:O44)</f>
        <v>416507.99038158794</v>
      </c>
      <c r="X44" s="261">
        <f>SUM(P$9:P44)</f>
        <v>1397533.2858339951</v>
      </c>
      <c r="Y44" s="261">
        <f>SUM(Q$9:Q44)</f>
        <v>266196.8163493324</v>
      </c>
      <c r="Z44" s="261">
        <f>SUM($V$9:V44)</f>
        <v>822021.36450905108</v>
      </c>
      <c r="AB44" s="257">
        <f t="array" ref="AB44">(INDEX(PriceDeck!$C$18:$O$77,MATCH('Decline and Model'!$A44,PriceDeck!$B$18:$B$77,0),MATCH('Decline and Model'!AB$8,PriceDeck!$C$13:$O$13,0))*(1+$AE$6))</f>
        <v>69</v>
      </c>
      <c r="AC44" s="257">
        <f t="array" ref="AC44">INDEX(PriceDeck!$C$18:$O$77,MATCH('Decline and Model'!$A44,PriceDeck!$B$18:$B$77,0),MATCH('Decline and Model'!AC$8,PriceDeck!$C$13:$O$13,0))*(1+$AE$6)</f>
        <v>81.099999999999994</v>
      </c>
      <c r="AD44" s="257">
        <f t="array" ref="AD44">INDEX(PriceDeck!$C$18:$O$77,MATCH('Decline and Model'!$A44,PriceDeck!$B$18:$B$77,0),MATCH('Decline and Model'!AD$8,PriceDeck!$C$13:$O$13,0))*(1+$AE$6)</f>
        <v>13.6</v>
      </c>
      <c r="AE44" s="257">
        <f t="array" ref="AE44">INDEX(PriceDeck!$C$18:$O$77,MATCH('Decline and Model'!$A44,PriceDeck!$B$18:$B$77,0),MATCH('Decline and Model'!AE$8,PriceDeck!$C$13:$O$13,0))*(1+$AE$6)</f>
        <v>28.3</v>
      </c>
      <c r="AF44" s="257">
        <f t="array" ref="AF44">INDEX(PriceDeck!$C$18:$O$77,MATCH('Decline and Model'!$A44,PriceDeck!$B$18:$B$77,0),MATCH('Decline and Model'!AF$8,PriceDeck!$C$13:$O$13,0))*(1+$AE$6)</f>
        <v>84.3</v>
      </c>
      <c r="AG44" s="257">
        <f t="array" ref="AG44">INDEX(PriceDeck!$C$18:$O$77,MATCH('Decline and Model'!$A44,PriceDeck!$B$18:$B$77,0),MATCH('Decline and Model'!AG$8,PriceDeck!$C$13:$O$13,0))*(1+$AE$6)</f>
        <v>56.4</v>
      </c>
      <c r="AH44" s="258">
        <f t="array" ref="AH44">INDEX(PriceDeck!$C$18:$O$77,MATCH('Decline and Model'!$A44,PriceDeck!$B$18:$B$77,0),MATCH('Decline and Model'!AH$8,PriceDeck!$C$13:$O$13,0))</f>
        <v>0.82499999999999996</v>
      </c>
      <c r="AI44" s="258">
        <f t="shared" si="29"/>
        <v>3.6</v>
      </c>
      <c r="AJ44" s="259">
        <f t="shared" si="30"/>
        <v>3.6</v>
      </c>
      <c r="AK44" s="120">
        <v>3.6</v>
      </c>
      <c r="AL44" s="120"/>
      <c r="AN44" s="7">
        <f t="shared" si="31"/>
        <v>404064.65332613612</v>
      </c>
      <c r="AO44" s="7">
        <f t="shared" si="52"/>
        <v>67748.571933376399</v>
      </c>
      <c r="AP44" s="7">
        <f t="shared" si="32"/>
        <v>20299.622899554906</v>
      </c>
      <c r="AQ44" s="7">
        <f t="shared" si="33"/>
        <v>28738.980059943515</v>
      </c>
      <c r="AR44" s="7">
        <f t="shared" si="34"/>
        <v>40824.536685142237</v>
      </c>
      <c r="AS44" s="7">
        <f t="shared" si="35"/>
        <v>33418.757473498059</v>
      </c>
      <c r="AT44" s="7">
        <f t="shared" si="36"/>
        <v>595095.12237765128</v>
      </c>
      <c r="AU44" s="7">
        <f>SUM($AT$9:AT44)</f>
        <v>42744668.848979771</v>
      </c>
      <c r="AV44" s="7">
        <f>AT44/(1+$AR$5)^(COUNT($E$9:E44))</f>
        <v>453256.49188721791</v>
      </c>
      <c r="AW44" s="7">
        <f t="shared" si="49"/>
        <v>0</v>
      </c>
      <c r="AX44" s="7">
        <f t="shared" si="37"/>
        <v>0</v>
      </c>
      <c r="AY44" s="117">
        <f t="shared" si="38"/>
        <v>0</v>
      </c>
      <c r="AZ44" s="117">
        <f t="shared" si="53"/>
        <v>595095.12237765128</v>
      </c>
      <c r="BA44" s="120">
        <f t="shared" si="46"/>
        <v>140391.25381376751</v>
      </c>
      <c r="BB44" s="119">
        <f t="shared" si="4"/>
        <v>0</v>
      </c>
      <c r="BC44" s="17"/>
      <c r="BD44" s="126">
        <f t="shared" si="5"/>
        <v>0.67899170759748562</v>
      </c>
      <c r="BE44" s="127">
        <f t="shared" si="6"/>
        <v>0.11384494576714529</v>
      </c>
      <c r="BF44" s="127">
        <f t="shared" si="7"/>
        <v>3.4111559877099164E-2</v>
      </c>
      <c r="BG44" s="127">
        <f t="shared" si="8"/>
        <v>4.8293086229844059E-2</v>
      </c>
      <c r="BH44" s="127">
        <f t="shared" si="9"/>
        <v>6.8601699375439876E-2</v>
      </c>
      <c r="BI44" s="128">
        <f t="shared" si="10"/>
        <v>5.6157001152985921E-2</v>
      </c>
      <c r="BJ44" s="126">
        <f t="array" ref="BJ44">BD44*INDEX(Royalty!$U$7:$Z$246,MATCH('Decline and Model'!$E44,Royalty!$AI$7:$AI$246,0),MATCH('Decline and Model'!BJ$8,Royalty!$U$1:$Z$1,0))</f>
        <v>0.17584003290581623</v>
      </c>
      <c r="BK44" s="127">
        <f t="array" ref="BK44">BE44*INDEX(Royalty!$U$7:$Z$246,MATCH('Decline and Model'!$E44,Royalty!$AI$7:$AI$246,0),MATCH('Decline and Model'!BK$8,Royalty!$U$1:$Z$1,0))</f>
        <v>2.8589038833688546E-2</v>
      </c>
      <c r="BL44" s="127">
        <f t="array" ref="BL44">BF44*INDEX(Royalty!$U$7:$Z$246,MATCH('Decline and Model'!$E44,Royalty!$AI$7:$AI$246,0),MATCH('Decline and Model'!BL$8,Royalty!$U$1:$Z$1,0))</f>
        <v>8.4983202727221315E-3</v>
      </c>
      <c r="BM44" s="127">
        <f t="array" ref="BM44">BG44*INDEX(Royalty!$U$7:$Z$246,MATCH('Decline and Model'!$E44,Royalty!$AI$7:$AI$246,0),MATCH('Decline and Model'!BM$8,Royalty!$U$1:$Z$1,0))</f>
        <v>1.20732100513381E-2</v>
      </c>
      <c r="BN44" s="127">
        <f t="array" ref="BN44">BH44*INDEX(Royalty!$U$7:$Z$246,MATCH('Decline and Model'!$E44,Royalty!$AI$7:$AI$246,0),MATCH('Decline and Model'!BN$8,Royalty!$U$1:$Z$1,0))</f>
        <v>8.1055195020891257E-3</v>
      </c>
      <c r="BO44" s="127">
        <f t="array" ref="BO44">BI44*INDEX(Royalty!$U$7:$Z$246,MATCH('Decline and Model'!$E44,Royalty!$AI$7:$AI$246,0),MATCH('Decline and Model'!BO$8,Royalty!$U$1:$Z$1,0))</f>
        <v>2.8078500576492961E-3</v>
      </c>
      <c r="BP44" s="135">
        <f t="shared" si="11"/>
        <v>0.23591397162330344</v>
      </c>
      <c r="BQ44" s="7"/>
      <c r="BR44" s="7"/>
      <c r="BS44">
        <v>36</v>
      </c>
      <c r="BT44" s="120">
        <f t="shared" si="12"/>
        <v>140391.25381376751</v>
      </c>
      <c r="BU44" s="113">
        <f t="shared" si="13"/>
        <v>104429.05308844085</v>
      </c>
      <c r="BV44" s="113">
        <f t="shared" si="14"/>
        <v>31328.715926532255</v>
      </c>
      <c r="BW44" s="113">
        <f t="shared" si="47"/>
        <v>5488045.2194133699</v>
      </c>
      <c r="BX44" s="113">
        <f t="shared" si="39"/>
        <v>121310.22440805264</v>
      </c>
      <c r="BY44" s="120">
        <f t="shared" si="40"/>
        <v>197635.875140858</v>
      </c>
      <c r="BZ44" s="153">
        <f t="shared" si="48"/>
        <v>0</v>
      </c>
      <c r="CA44" s="120">
        <f t="shared" si="50"/>
        <v>197635.875140858</v>
      </c>
      <c r="CB44" s="120">
        <f t="shared" si="41"/>
        <v>49408.9687852145</v>
      </c>
      <c r="CC44" s="153">
        <f t="shared" si="42"/>
        <v>269537.13076369616</v>
      </c>
      <c r="CD44" s="7">
        <f t="shared" si="16"/>
        <v>205293.99373192928</v>
      </c>
      <c r="CE44" s="11">
        <f>SUM($CD$9:CD44)</f>
        <v>19114828.403452065</v>
      </c>
      <c r="CF44" s="11">
        <f t="shared" si="43"/>
        <v>12000000</v>
      </c>
      <c r="CG44">
        <f t="shared" si="44"/>
        <v>7114828.4034520648</v>
      </c>
      <c r="CJ44" s="271" t="s">
        <v>317</v>
      </c>
      <c r="CK44" s="272"/>
      <c r="CL44" s="273"/>
    </row>
    <row r="45" spans="1:94" ht="18.75" customHeight="1">
      <c r="A45">
        <f t="shared" si="17"/>
        <v>2020</v>
      </c>
      <c r="B45">
        <f t="shared" si="18"/>
        <v>30.416666666666668</v>
      </c>
      <c r="C45">
        <f t="shared" si="51"/>
        <v>4</v>
      </c>
      <c r="E45" s="97">
        <v>43922</v>
      </c>
      <c r="F45" s="2">
        <f>$F$6*EXP(-$F$3*COUNT($E$9:$E45))</f>
        <v>126.01992826238525</v>
      </c>
      <c r="G45" s="260">
        <f>$F$6/(1+$F$5*$F$3*COUNT($E$9:$E45))^(1/$F$5)</f>
        <v>157.53896815889243</v>
      </c>
      <c r="H45" s="260">
        <f>$H$6/(1+$H$5*$H$3*COUNT($E$9:$E45))^(1/$H$5)</f>
        <v>602.7485232778547</v>
      </c>
      <c r="I45" s="260">
        <f t="shared" si="19"/>
        <v>114.80924252911518</v>
      </c>
      <c r="J45" s="260">
        <f t="shared" si="20"/>
        <v>47.806568589123557</v>
      </c>
      <c r="K45" s="260">
        <f t="shared" si="20"/>
        <v>32.525458408498331</v>
      </c>
      <c r="L45" s="260">
        <f t="shared" si="20"/>
        <v>15.510728665683461</v>
      </c>
      <c r="M45" s="260">
        <f t="shared" si="20"/>
        <v>18.977967790062738</v>
      </c>
      <c r="N45" s="19">
        <f t="shared" si="21"/>
        <v>3833.1061513142181</v>
      </c>
      <c r="O45" s="19">
        <f t="shared" si="22"/>
        <v>4791.8102814996446</v>
      </c>
      <c r="P45" s="19">
        <f t="shared" si="23"/>
        <v>18333.600916368083</v>
      </c>
      <c r="Q45" s="19">
        <f t="shared" si="24"/>
        <v>3492.1144602605868</v>
      </c>
      <c r="R45" s="19">
        <f t="shared" si="25"/>
        <v>1454.1164612525083</v>
      </c>
      <c r="S45" s="19">
        <f t="shared" si="26"/>
        <v>989.31602659182431</v>
      </c>
      <c r="T45" s="19">
        <f t="shared" si="27"/>
        <v>471.78466358120528</v>
      </c>
      <c r="U45" s="19">
        <f t="shared" si="28"/>
        <v>577.24652028107494</v>
      </c>
      <c r="V45" s="261">
        <f t="shared" si="45"/>
        <v>10111.555036678148</v>
      </c>
      <c r="W45" s="261">
        <f>SUM(O$9:O45)</f>
        <v>421299.80066308758</v>
      </c>
      <c r="X45" s="261">
        <f>SUM(P$9:P45)</f>
        <v>1415866.8867503633</v>
      </c>
      <c r="Y45" s="261">
        <f>SUM(Q$9:Q45)</f>
        <v>269688.930809593</v>
      </c>
      <c r="Z45" s="261">
        <f>SUM($V$9:V45)</f>
        <v>832132.91954572918</v>
      </c>
      <c r="AB45" s="257">
        <f t="array" ref="AB45">(INDEX(PriceDeck!$C$18:$O$77,MATCH('Decline and Model'!$A45,PriceDeck!$B$18:$B$77,0),MATCH('Decline and Model'!AB$8,PriceDeck!$C$13:$O$13,0))*(1+$AE$6))</f>
        <v>69</v>
      </c>
      <c r="AC45" s="257">
        <f t="array" ref="AC45">INDEX(PriceDeck!$C$18:$O$77,MATCH('Decline and Model'!$A45,PriceDeck!$B$18:$B$77,0),MATCH('Decline and Model'!AC$8,PriceDeck!$C$13:$O$13,0))*(1+$AE$6)</f>
        <v>81.099999999999994</v>
      </c>
      <c r="AD45" s="257">
        <f t="array" ref="AD45">INDEX(PriceDeck!$C$18:$O$77,MATCH('Decline and Model'!$A45,PriceDeck!$B$18:$B$77,0),MATCH('Decline and Model'!AD$8,PriceDeck!$C$13:$O$13,0))*(1+$AE$6)</f>
        <v>13.6</v>
      </c>
      <c r="AE45" s="257">
        <f t="array" ref="AE45">INDEX(PriceDeck!$C$18:$O$77,MATCH('Decline and Model'!$A45,PriceDeck!$B$18:$B$77,0),MATCH('Decline and Model'!AE$8,PriceDeck!$C$13:$O$13,0))*(1+$AE$6)</f>
        <v>28.3</v>
      </c>
      <c r="AF45" s="257">
        <f t="array" ref="AF45">INDEX(PriceDeck!$C$18:$O$77,MATCH('Decline and Model'!$A45,PriceDeck!$B$18:$B$77,0),MATCH('Decline and Model'!AF$8,PriceDeck!$C$13:$O$13,0))*(1+$AE$6)</f>
        <v>84.3</v>
      </c>
      <c r="AG45" s="257">
        <f t="array" ref="AG45">INDEX(PriceDeck!$C$18:$O$77,MATCH('Decline and Model'!$A45,PriceDeck!$B$18:$B$77,0),MATCH('Decline and Model'!AG$8,PriceDeck!$C$13:$O$13,0))*(1+$AE$6)</f>
        <v>56.4</v>
      </c>
      <c r="AH45" s="258">
        <f t="array" ref="AH45">INDEX(PriceDeck!$C$18:$O$77,MATCH('Decline and Model'!$A45,PriceDeck!$B$18:$B$77,0),MATCH('Decline and Model'!AH$8,PriceDeck!$C$13:$O$13,0))</f>
        <v>0.82499999999999996</v>
      </c>
      <c r="AI45" s="258">
        <f t="shared" si="29"/>
        <v>3.6</v>
      </c>
      <c r="AJ45" s="259">
        <f t="shared" si="30"/>
        <v>3.6</v>
      </c>
      <c r="AK45" s="120">
        <v>3.6</v>
      </c>
      <c r="AL45" s="120"/>
      <c r="AN45" s="7">
        <f t="shared" si="31"/>
        <v>388615.81382962113</v>
      </c>
      <c r="AO45" s="7">
        <f t="shared" si="52"/>
        <v>66000.963298925097</v>
      </c>
      <c r="AP45" s="7">
        <f t="shared" si="32"/>
        <v>19775.983873034114</v>
      </c>
      <c r="AQ45" s="7">
        <f t="shared" si="33"/>
        <v>27997.64355254863</v>
      </c>
      <c r="AR45" s="7">
        <f t="shared" si="34"/>
        <v>39771.447139895601</v>
      </c>
      <c r="AS45" s="7">
        <f t="shared" si="35"/>
        <v>32556.703743852624</v>
      </c>
      <c r="AT45" s="7">
        <f t="shared" si="36"/>
        <v>574718.55543787731</v>
      </c>
      <c r="AU45" s="7">
        <f>SUM($AT$9:AT45)</f>
        <v>43319387.404417649</v>
      </c>
      <c r="AV45" s="7">
        <f>AT45/(1+$AR$5)^(COUNT($E$9:E45))</f>
        <v>434438.54608023184</v>
      </c>
      <c r="AW45" s="7">
        <f t="shared" si="49"/>
        <v>0</v>
      </c>
      <c r="AX45" s="7">
        <f t="shared" si="37"/>
        <v>0</v>
      </c>
      <c r="AY45" s="117">
        <f t="shared" si="38"/>
        <v>0</v>
      </c>
      <c r="AZ45" s="117">
        <f t="shared" si="53"/>
        <v>574718.55543787731</v>
      </c>
      <c r="BA45" s="120">
        <f t="shared" si="46"/>
        <v>135468.25080029236</v>
      </c>
      <c r="BB45" s="119">
        <f t="shared" si="4"/>
        <v>0</v>
      </c>
      <c r="BC45" s="17"/>
      <c r="BD45" s="126">
        <f t="shared" si="5"/>
        <v>0.67618456051681719</v>
      </c>
      <c r="BE45" s="127">
        <f t="shared" si="6"/>
        <v>0.1148404948377542</v>
      </c>
      <c r="BF45" s="127">
        <f t="shared" si="7"/>
        <v>3.4409857983386007E-2</v>
      </c>
      <c r="BG45" s="127">
        <f t="shared" si="8"/>
        <v>4.8715398672341911E-2</v>
      </c>
      <c r="BH45" s="127">
        <f t="shared" si="9"/>
        <v>6.9201606183732473E-2</v>
      </c>
      <c r="BI45" s="128">
        <f t="shared" si="10"/>
        <v>5.664808180596799E-2</v>
      </c>
      <c r="BJ45" s="126">
        <f t="array" ref="BJ45">BD45*INDEX(Royalty!$U$7:$Z$246,MATCH('Decline and Model'!$E45,Royalty!$AI$7:$AI$246,0),MATCH('Decline and Model'!BJ$8,Royalty!$U$1:$Z$1,0))</f>
        <v>0.17511305961658011</v>
      </c>
      <c r="BK45" s="127">
        <f t="array" ref="BK45">BE45*INDEX(Royalty!$U$7:$Z$246,MATCH('Decline and Model'!$E45,Royalty!$AI$7:$AI$246,0),MATCH('Decline and Model'!BK$8,Royalty!$U$1:$Z$1,0))</f>
        <v>2.8839043705215256E-2</v>
      </c>
      <c r="BL45" s="127">
        <f t="array" ref="BL45">BF45*INDEX(Royalty!$U$7:$Z$246,MATCH('Decline and Model'!$E45,Royalty!$AI$7:$AI$246,0),MATCH('Decline and Model'!BL$8,Royalty!$U$1:$Z$1,0))</f>
        <v>8.5726362187857411E-3</v>
      </c>
      <c r="BM45" s="127">
        <f t="array" ref="BM45">BG45*INDEX(Royalty!$U$7:$Z$246,MATCH('Decline and Model'!$E45,Royalty!$AI$7:$AI$246,0),MATCH('Decline and Model'!BM$8,Royalty!$U$1:$Z$1,0))</f>
        <v>1.2178787624105014E-2</v>
      </c>
      <c r="BN45" s="127">
        <f t="array" ref="BN45">BH45*INDEX(Royalty!$U$7:$Z$246,MATCH('Decline and Model'!$E45,Royalty!$AI$7:$AI$246,0),MATCH('Decline and Model'!BN$8,Royalty!$U$1:$Z$1,0))</f>
        <v>8.1764004916028143E-3</v>
      </c>
      <c r="BO45" s="127">
        <f t="array" ref="BO45">BI45*INDEX(Royalty!$U$7:$Z$246,MATCH('Decline and Model'!$E45,Royalty!$AI$7:$AI$246,0),MATCH('Decline and Model'!BO$8,Royalty!$U$1:$Z$1,0))</f>
        <v>2.8324040902983996E-3</v>
      </c>
      <c r="BP45" s="135">
        <f t="shared" si="11"/>
        <v>0.23571233174658732</v>
      </c>
      <c r="BQ45" s="7"/>
      <c r="BR45" s="7"/>
      <c r="BS45">
        <v>37</v>
      </c>
      <c r="BT45" s="120">
        <f t="shared" si="12"/>
        <v>135468.25080029236</v>
      </c>
      <c r="BU45" s="113">
        <f t="shared" si="13"/>
        <v>101115.55036678148</v>
      </c>
      <c r="BV45" s="113">
        <f t="shared" si="14"/>
        <v>30334.665110034446</v>
      </c>
      <c r="BW45" s="113">
        <f t="shared" si="47"/>
        <v>5366734.995005317</v>
      </c>
      <c r="BX45" s="113">
        <f t="shared" si="39"/>
        <v>118628.72854612437</v>
      </c>
      <c r="BY45" s="120">
        <f t="shared" si="40"/>
        <v>189171.36061464465</v>
      </c>
      <c r="BZ45" s="153">
        <f t="shared" si="48"/>
        <v>0</v>
      </c>
      <c r="CA45" s="120">
        <f t="shared" si="50"/>
        <v>189171.36061464465</v>
      </c>
      <c r="CB45" s="120">
        <f t="shared" si="41"/>
        <v>47292.840153661164</v>
      </c>
      <c r="CC45" s="153">
        <f t="shared" si="42"/>
        <v>260507.24900710786</v>
      </c>
      <c r="CD45" s="7">
        <f t="shared" si="16"/>
        <v>196921.41384887329</v>
      </c>
      <c r="CE45" s="11">
        <f>SUM($CD$9:CD45)</f>
        <v>19311749.817300938</v>
      </c>
      <c r="CF45" s="11">
        <f t="shared" si="43"/>
        <v>12000000</v>
      </c>
      <c r="CG45">
        <f t="shared" si="44"/>
        <v>7311749.8173009381</v>
      </c>
      <c r="CJ45" s="170" t="s">
        <v>310</v>
      </c>
      <c r="CK45" s="170" t="s">
        <v>309</v>
      </c>
      <c r="CL45" s="170" t="s">
        <v>49</v>
      </c>
      <c r="CO45" s="15">
        <f>'C'!H10</f>
        <v>314834.71060024848</v>
      </c>
    </row>
    <row r="46" spans="1:94" ht="18.75" customHeight="1">
      <c r="A46">
        <f t="shared" si="17"/>
        <v>2020</v>
      </c>
      <c r="B46">
        <f t="shared" si="18"/>
        <v>30.416666666666668</v>
      </c>
      <c r="C46">
        <f t="shared" si="51"/>
        <v>4</v>
      </c>
      <c r="E46" s="97">
        <v>43952</v>
      </c>
      <c r="F46" s="2">
        <f>$F$6*EXP(-$F$3*COUNT($E$9:$E46))</f>
        <v>119.87386383664997</v>
      </c>
      <c r="G46" s="260">
        <f>$F$6/(1+$F$5*$F$3*COUNT($E$9:$E46))^(1/$F$5)</f>
        <v>151.55113424462104</v>
      </c>
      <c r="H46" s="260">
        <f>$H$6/(1+$H$5*$H$3*COUNT($E$9:$E46))^(1/$H$5)</f>
        <v>587.48165079733189</v>
      </c>
      <c r="I46" s="260">
        <f t="shared" si="19"/>
        <v>111.9012668185394</v>
      </c>
      <c r="J46" s="260">
        <f t="shared" si="20"/>
        <v>46.595687503239802</v>
      </c>
      <c r="K46" s="260">
        <f t="shared" si="20"/>
        <v>31.701628889692213</v>
      </c>
      <c r="L46" s="260">
        <f t="shared" si="20"/>
        <v>15.117861147184673</v>
      </c>
      <c r="M46" s="260">
        <f t="shared" si="20"/>
        <v>18.497279405104564</v>
      </c>
      <c r="N46" s="19">
        <f t="shared" si="21"/>
        <v>3646.1633583647704</v>
      </c>
      <c r="O46" s="19">
        <f t="shared" si="22"/>
        <v>4609.68033327389</v>
      </c>
      <c r="P46" s="19">
        <f t="shared" si="23"/>
        <v>17869.233545085513</v>
      </c>
      <c r="Q46" s="19">
        <f t="shared" si="24"/>
        <v>3403.66353239724</v>
      </c>
      <c r="R46" s="19">
        <f t="shared" si="25"/>
        <v>1417.2854948902107</v>
      </c>
      <c r="S46" s="19">
        <f t="shared" si="26"/>
        <v>964.25787872813817</v>
      </c>
      <c r="T46" s="19">
        <f t="shared" si="27"/>
        <v>459.83494322686715</v>
      </c>
      <c r="U46" s="19">
        <f t="shared" si="28"/>
        <v>562.62558190526386</v>
      </c>
      <c r="V46" s="261">
        <f t="shared" si="45"/>
        <v>9794.682552104774</v>
      </c>
      <c r="W46" s="261">
        <f>SUM(O$9:O46)</f>
        <v>425909.48099636147</v>
      </c>
      <c r="X46" s="261">
        <f>SUM(P$9:P46)</f>
        <v>1433736.1202954487</v>
      </c>
      <c r="Y46" s="261">
        <f>SUM(Q$9:Q46)</f>
        <v>273092.59434199025</v>
      </c>
      <c r="Z46" s="261">
        <f>SUM($V$9:V46)</f>
        <v>841927.60209783399</v>
      </c>
      <c r="AB46" s="257">
        <f t="array" ref="AB46">(INDEX(PriceDeck!$C$18:$O$77,MATCH('Decline and Model'!$A46,PriceDeck!$B$18:$B$77,0),MATCH('Decline and Model'!AB$8,PriceDeck!$C$13:$O$13,0))*(1+$AE$6))</f>
        <v>69</v>
      </c>
      <c r="AC46" s="257">
        <f t="array" ref="AC46">INDEX(PriceDeck!$C$18:$O$77,MATCH('Decline and Model'!$A46,PriceDeck!$B$18:$B$77,0),MATCH('Decline and Model'!AC$8,PriceDeck!$C$13:$O$13,0))*(1+$AE$6)</f>
        <v>81.099999999999994</v>
      </c>
      <c r="AD46" s="257">
        <f t="array" ref="AD46">INDEX(PriceDeck!$C$18:$O$77,MATCH('Decline and Model'!$A46,PriceDeck!$B$18:$B$77,0),MATCH('Decline and Model'!AD$8,PriceDeck!$C$13:$O$13,0))*(1+$AE$6)</f>
        <v>13.6</v>
      </c>
      <c r="AE46" s="257">
        <f t="array" ref="AE46">INDEX(PriceDeck!$C$18:$O$77,MATCH('Decline and Model'!$A46,PriceDeck!$B$18:$B$77,0),MATCH('Decline and Model'!AE$8,PriceDeck!$C$13:$O$13,0))*(1+$AE$6)</f>
        <v>28.3</v>
      </c>
      <c r="AF46" s="257">
        <f t="array" ref="AF46">INDEX(PriceDeck!$C$18:$O$77,MATCH('Decline and Model'!$A46,PriceDeck!$B$18:$B$77,0),MATCH('Decline and Model'!AF$8,PriceDeck!$C$13:$O$13,0))*(1+$AE$6)</f>
        <v>84.3</v>
      </c>
      <c r="AG46" s="257">
        <f t="array" ref="AG46">INDEX(PriceDeck!$C$18:$O$77,MATCH('Decline and Model'!$A46,PriceDeck!$B$18:$B$77,0),MATCH('Decline and Model'!AG$8,PriceDeck!$C$13:$O$13,0))*(1+$AE$6)</f>
        <v>56.4</v>
      </c>
      <c r="AH46" s="258">
        <f t="array" ref="AH46">INDEX(PriceDeck!$C$18:$O$77,MATCH('Decline and Model'!$A46,PriceDeck!$B$18:$B$77,0),MATCH('Decline and Model'!AH$8,PriceDeck!$C$13:$O$13,0))</f>
        <v>0.82499999999999996</v>
      </c>
      <c r="AI46" s="258">
        <f t="shared" si="29"/>
        <v>3.6</v>
      </c>
      <c r="AJ46" s="259">
        <f t="shared" si="30"/>
        <v>3.6</v>
      </c>
      <c r="AK46" s="120">
        <v>3.6</v>
      </c>
      <c r="AL46" s="120"/>
      <c r="AN46" s="7">
        <f t="shared" si="31"/>
        <v>373845.07502851245</v>
      </c>
      <c r="AO46" s="7">
        <f t="shared" si="52"/>
        <v>64329.240762307847</v>
      </c>
      <c r="AP46" s="7">
        <f t="shared" si="32"/>
        <v>19275.082730506863</v>
      </c>
      <c r="AQ46" s="7">
        <f t="shared" si="33"/>
        <v>27288.497968006312</v>
      </c>
      <c r="AR46" s="7">
        <f t="shared" si="34"/>
        <v>38764.085714024899</v>
      </c>
      <c r="AS46" s="7">
        <f t="shared" si="35"/>
        <v>31732.082819456882</v>
      </c>
      <c r="AT46" s="7">
        <f t="shared" si="36"/>
        <v>555234.06502281525</v>
      </c>
      <c r="AU46" s="7">
        <f>SUM($AT$9:AT46)</f>
        <v>43874621.469440468</v>
      </c>
      <c r="AV46" s="7">
        <f>AT46/(1+$AR$5)^(COUNT($E$9:E46))</f>
        <v>416547.6857303413</v>
      </c>
      <c r="AW46" s="7">
        <f t="shared" si="49"/>
        <v>0</v>
      </c>
      <c r="AX46" s="7">
        <f t="shared" si="37"/>
        <v>0</v>
      </c>
      <c r="AY46" s="117">
        <f t="shared" si="38"/>
        <v>0</v>
      </c>
      <c r="AZ46" s="117">
        <f t="shared" si="53"/>
        <v>555234.06502281525</v>
      </c>
      <c r="BA46" s="120">
        <f t="shared" si="46"/>
        <v>130760.90080683454</v>
      </c>
      <c r="BB46" s="119">
        <f t="shared" si="4"/>
        <v>0</v>
      </c>
      <c r="BC46" s="17"/>
      <c r="BD46" s="126">
        <f t="shared" si="5"/>
        <v>0.67331076851913019</v>
      </c>
      <c r="BE46" s="127">
        <f t="shared" si="6"/>
        <v>0.11585967939424696</v>
      </c>
      <c r="BF46" s="127">
        <f t="shared" si="7"/>
        <v>3.4715238031576515E-2</v>
      </c>
      <c r="BG46" s="127">
        <f t="shared" si="8"/>
        <v>4.9147737300457232E-2</v>
      </c>
      <c r="BH46" s="127">
        <f t="shared" si="9"/>
        <v>6.9815755473202165E-2</v>
      </c>
      <c r="BI46" s="128">
        <f t="shared" si="10"/>
        <v>5.7150821281386925E-2</v>
      </c>
      <c r="BJ46" s="126">
        <f t="array" ref="BJ46">BD46*INDEX(Royalty!$U$7:$Z$246,MATCH('Decline and Model'!$E46,Royalty!$AI$7:$AI$246,0),MATCH('Decline and Model'!BJ$8,Royalty!$U$1:$Z$1,0))</f>
        <v>0.17436882714100865</v>
      </c>
      <c r="BK46" s="127">
        <f t="array" ref="BK46">BE46*INDEX(Royalty!$U$7:$Z$246,MATCH('Decline and Model'!$E46,Royalty!$AI$7:$AI$246,0),MATCH('Decline and Model'!BK$8,Royalty!$U$1:$Z$1,0))</f>
        <v>2.9094983981420967E-2</v>
      </c>
      <c r="BL46" s="127">
        <f t="array" ref="BL46">BF46*INDEX(Royalty!$U$7:$Z$246,MATCH('Decline and Model'!$E46,Royalty!$AI$7:$AI$246,0),MATCH('Decline and Model'!BL$8,Royalty!$U$1:$Z$1,0))</f>
        <v>8.6487165113250612E-3</v>
      </c>
      <c r="BM46" s="127">
        <f t="array" ref="BM46">BG46*INDEX(Royalty!$U$7:$Z$246,MATCH('Decline and Model'!$E46,Royalty!$AI$7:$AI$246,0),MATCH('Decline and Model'!BM$8,Royalty!$U$1:$Z$1,0))</f>
        <v>1.2286871730506934E-2</v>
      </c>
      <c r="BN46" s="127">
        <f t="array" ref="BN46">BH46*INDEX(Royalty!$U$7:$Z$246,MATCH('Decline and Model'!$E46,Royalty!$AI$7:$AI$246,0),MATCH('Decline and Model'!BN$8,Royalty!$U$1:$Z$1,0))</f>
        <v>8.248964277752591E-3</v>
      </c>
      <c r="BO46" s="127">
        <f t="array" ref="BO46">BI46*INDEX(Royalty!$U$7:$Z$246,MATCH('Decline and Model'!$E46,Royalty!$AI$7:$AI$246,0),MATCH('Decline and Model'!BO$8,Royalty!$U$1:$Z$1,0))</f>
        <v>2.8575410640693465E-3</v>
      </c>
      <c r="BP46" s="135">
        <f t="shared" si="11"/>
        <v>0.23550590470608357</v>
      </c>
      <c r="BQ46" s="7"/>
      <c r="BR46" s="7"/>
      <c r="BS46">
        <v>38</v>
      </c>
      <c r="BT46" s="120">
        <f t="shared" si="12"/>
        <v>130760.90080683454</v>
      </c>
      <c r="BU46" s="113">
        <f t="shared" si="13"/>
        <v>97946.825521047736</v>
      </c>
      <c r="BV46" s="113">
        <f t="shared" si="14"/>
        <v>29384.047656314324</v>
      </c>
      <c r="BW46" s="113">
        <f t="shared" si="47"/>
        <v>5248106.2664591931</v>
      </c>
      <c r="BX46" s="113">
        <f t="shared" si="39"/>
        <v>116006.50567699311</v>
      </c>
      <c r="BY46" s="120">
        <f t="shared" si="40"/>
        <v>181135.78536162549</v>
      </c>
      <c r="BZ46" s="153">
        <f t="shared" si="48"/>
        <v>0</v>
      </c>
      <c r="CA46" s="120">
        <f t="shared" si="50"/>
        <v>181135.78536162549</v>
      </c>
      <c r="CB46" s="120">
        <f t="shared" si="41"/>
        <v>45283.946340406372</v>
      </c>
      <c r="CC46" s="153">
        <f t="shared" si="42"/>
        <v>251858.34469821223</v>
      </c>
      <c r="CD46" s="7">
        <f t="shared" si="16"/>
        <v>188949.16076808787</v>
      </c>
      <c r="CE46" s="11">
        <f>SUM($CD$9:CD46)</f>
        <v>19500698.978069026</v>
      </c>
      <c r="CF46" s="11">
        <f t="shared" si="43"/>
        <v>12000000</v>
      </c>
      <c r="CG46">
        <f t="shared" si="44"/>
        <v>7500698.978069026</v>
      </c>
      <c r="CJ46" s="171" t="s">
        <v>311</v>
      </c>
      <c r="CK46" s="175">
        <f>CK34</f>
        <v>18</v>
      </c>
      <c r="CL46" s="178">
        <f>CN34</f>
        <v>11505048.717195865</v>
      </c>
      <c r="CN46">
        <v>0</v>
      </c>
      <c r="CO46" s="7">
        <f t="dataTable" ref="CO46:CO54" dt2D="0" dtr="0" r1="CH2" ca="1"/>
        <v>314834.71060024848</v>
      </c>
    </row>
    <row r="47" spans="1:94" ht="18.75" customHeight="1">
      <c r="A47">
        <f t="shared" si="17"/>
        <v>2020</v>
      </c>
      <c r="B47">
        <f t="shared" si="18"/>
        <v>30.416666666666668</v>
      </c>
      <c r="C47">
        <f t="shared" si="51"/>
        <v>4</v>
      </c>
      <c r="E47" s="97">
        <v>43983</v>
      </c>
      <c r="F47" s="2">
        <f>$F$6*EXP(-$F$3*COUNT($E$9:$E47))</f>
        <v>114.02754651001349</v>
      </c>
      <c r="G47" s="260">
        <f>$F$6/(1+$F$5*$F$3*COUNT($E$9:$E47))^(1/$F$5)</f>
        <v>145.82458861919039</v>
      </c>
      <c r="H47" s="260">
        <f>$H$6/(1+$H$5*$H$3*COUNT($E$9:$E47))^(1/$H$5)</f>
        <v>572.86592732579493</v>
      </c>
      <c r="I47" s="260">
        <f t="shared" si="19"/>
        <v>109.11731949062759</v>
      </c>
      <c r="J47" s="260">
        <f t="shared" si="20"/>
        <v>45.43645183589733</v>
      </c>
      <c r="K47" s="260">
        <f t="shared" si="20"/>
        <v>30.912936611694796</v>
      </c>
      <c r="L47" s="260">
        <f t="shared" si="20"/>
        <v>14.741749863183788</v>
      </c>
      <c r="M47" s="260">
        <f t="shared" si="20"/>
        <v>18.037092911800741</v>
      </c>
      <c r="N47" s="19">
        <f t="shared" si="21"/>
        <v>3468.3378730129107</v>
      </c>
      <c r="O47" s="19">
        <f t="shared" si="22"/>
        <v>4435.4979038337078</v>
      </c>
      <c r="P47" s="19">
        <f t="shared" si="23"/>
        <v>17424.671956159596</v>
      </c>
      <c r="Q47" s="19">
        <f t="shared" si="24"/>
        <v>3318.9851345065895</v>
      </c>
      <c r="R47" s="19">
        <f t="shared" si="25"/>
        <v>1382.0254100085438</v>
      </c>
      <c r="S47" s="19">
        <f t="shared" si="26"/>
        <v>940.26848860571681</v>
      </c>
      <c r="T47" s="19">
        <f t="shared" si="27"/>
        <v>448.39489167184024</v>
      </c>
      <c r="U47" s="19">
        <f t="shared" si="28"/>
        <v>548.62824273393926</v>
      </c>
      <c r="V47" s="261">
        <f t="shared" si="45"/>
        <v>9491.5045046280356</v>
      </c>
      <c r="W47" s="261">
        <f>SUM(O$9:O47)</f>
        <v>430344.97890019516</v>
      </c>
      <c r="X47" s="261">
        <f>SUM(P$9:P47)</f>
        <v>1451160.7922516083</v>
      </c>
      <c r="Y47" s="261">
        <f>SUM(Q$9:Q47)</f>
        <v>276411.57947649685</v>
      </c>
      <c r="Z47" s="261">
        <f>SUM($V$9:V47)</f>
        <v>851419.10660246201</v>
      </c>
      <c r="AB47" s="257">
        <f t="array" ref="AB47">(INDEX(PriceDeck!$C$18:$O$77,MATCH('Decline and Model'!$A47,PriceDeck!$B$18:$B$77,0),MATCH('Decline and Model'!AB$8,PriceDeck!$C$13:$O$13,0))*(1+$AE$6))</f>
        <v>69</v>
      </c>
      <c r="AC47" s="257">
        <f t="array" ref="AC47">INDEX(PriceDeck!$C$18:$O$77,MATCH('Decline and Model'!$A47,PriceDeck!$B$18:$B$77,0),MATCH('Decline and Model'!AC$8,PriceDeck!$C$13:$O$13,0))*(1+$AE$6)</f>
        <v>81.099999999999994</v>
      </c>
      <c r="AD47" s="257">
        <f t="array" ref="AD47">INDEX(PriceDeck!$C$18:$O$77,MATCH('Decline and Model'!$A47,PriceDeck!$B$18:$B$77,0),MATCH('Decline and Model'!AD$8,PriceDeck!$C$13:$O$13,0))*(1+$AE$6)</f>
        <v>13.6</v>
      </c>
      <c r="AE47" s="257">
        <f t="array" ref="AE47">INDEX(PriceDeck!$C$18:$O$77,MATCH('Decline and Model'!$A47,PriceDeck!$B$18:$B$77,0),MATCH('Decline and Model'!AE$8,PriceDeck!$C$13:$O$13,0))*(1+$AE$6)</f>
        <v>28.3</v>
      </c>
      <c r="AF47" s="257">
        <f t="array" ref="AF47">INDEX(PriceDeck!$C$18:$O$77,MATCH('Decline and Model'!$A47,PriceDeck!$B$18:$B$77,0),MATCH('Decline and Model'!AF$8,PriceDeck!$C$13:$O$13,0))*(1+$AE$6)</f>
        <v>84.3</v>
      </c>
      <c r="AG47" s="257">
        <f t="array" ref="AG47">INDEX(PriceDeck!$C$18:$O$77,MATCH('Decline and Model'!$A47,PriceDeck!$B$18:$B$77,0),MATCH('Decline and Model'!AG$8,PriceDeck!$C$13:$O$13,0))*(1+$AE$6)</f>
        <v>56.4</v>
      </c>
      <c r="AH47" s="258">
        <f t="array" ref="AH47">INDEX(PriceDeck!$C$18:$O$77,MATCH('Decline and Model'!$A47,PriceDeck!$B$18:$B$77,0),MATCH('Decline and Model'!AH$8,PriceDeck!$C$13:$O$13,0))</f>
        <v>0.82499999999999996</v>
      </c>
      <c r="AI47" s="258">
        <f t="shared" si="29"/>
        <v>3.6</v>
      </c>
      <c r="AJ47" s="259">
        <f t="shared" si="30"/>
        <v>3.6</v>
      </c>
      <c r="AK47" s="120">
        <v>3.6</v>
      </c>
      <c r="AL47" s="120"/>
      <c r="AN47" s="7">
        <f t="shared" si="31"/>
        <v>359718.88000091369</v>
      </c>
      <c r="AO47" s="7">
        <f t="shared" si="52"/>
        <v>62728.819042174546</v>
      </c>
      <c r="AP47" s="7">
        <f t="shared" si="32"/>
        <v>18795.545576116194</v>
      </c>
      <c r="AQ47" s="7">
        <f t="shared" si="33"/>
        <v>26609.598227541788</v>
      </c>
      <c r="AR47" s="7">
        <f t="shared" si="34"/>
        <v>37799.689367936131</v>
      </c>
      <c r="AS47" s="7">
        <f t="shared" si="35"/>
        <v>30942.632890194174</v>
      </c>
      <c r="AT47" s="7">
        <f t="shared" si="36"/>
        <v>536595.16510487651</v>
      </c>
      <c r="AU47" s="7">
        <f>SUM($AT$9:AT47)</f>
        <v>44411216.634545341</v>
      </c>
      <c r="AV47" s="7">
        <f>AT47/(1+$AR$5)^(COUNT($E$9:E47))</f>
        <v>399531.35474201851</v>
      </c>
      <c r="AW47" s="7">
        <f t="shared" si="49"/>
        <v>0</v>
      </c>
      <c r="AX47" s="7">
        <f t="shared" si="37"/>
        <v>0</v>
      </c>
      <c r="AY47" s="117">
        <f t="shared" si="38"/>
        <v>0</v>
      </c>
      <c r="AZ47" s="117">
        <f t="shared" si="53"/>
        <v>536595.16510487651</v>
      </c>
      <c r="BA47" s="120">
        <f t="shared" si="46"/>
        <v>126258.09394986965</v>
      </c>
      <c r="BB47" s="119">
        <f t="shared" si="4"/>
        <v>0</v>
      </c>
      <c r="BC47" s="17"/>
      <c r="BD47" s="126">
        <f t="shared" si="5"/>
        <v>0.67037294294406724</v>
      </c>
      <c r="BE47" s="127">
        <f t="shared" si="6"/>
        <v>0.11690157333026718</v>
      </c>
      <c r="BF47" s="127">
        <f t="shared" si="7"/>
        <v>3.5027422530806145E-2</v>
      </c>
      <c r="BG47" s="127">
        <f t="shared" si="8"/>
        <v>4.9589709259383642E-2</v>
      </c>
      <c r="BH47" s="127">
        <f t="shared" si="9"/>
        <v>7.0443589182448654E-2</v>
      </c>
      <c r="BI47" s="128">
        <f t="shared" si="10"/>
        <v>5.7664762753027218E-2</v>
      </c>
      <c r="BJ47" s="126">
        <f t="array" ref="BJ47">BD47*INDEX(Royalty!$U$7:$Z$246,MATCH('Decline and Model'!$E47,Royalty!$AI$7:$AI$246,0),MATCH('Decline and Model'!BJ$8,Royalty!$U$1:$Z$1,0))</f>
        <v>0.17360801174369184</v>
      </c>
      <c r="BK47" s="127">
        <f t="array" ref="BK47">BE47*INDEX(Royalty!$U$7:$Z$246,MATCH('Decline and Model'!$E47,Royalty!$AI$7:$AI$246,0),MATCH('Decline and Model'!BK$8,Royalty!$U$1:$Z$1,0))</f>
        <v>2.9356627096069128E-2</v>
      </c>
      <c r="BL47" s="127">
        <f t="array" ref="BL47">BF47*INDEX(Royalty!$U$7:$Z$246,MATCH('Decline and Model'!$E47,Royalty!$AI$7:$AI$246,0),MATCH('Decline and Model'!BL$8,Royalty!$U$1:$Z$1,0))</f>
        <v>8.726492018167652E-3</v>
      </c>
      <c r="BM47" s="127">
        <f t="array" ref="BM47">BG47*INDEX(Royalty!$U$7:$Z$246,MATCH('Decline and Model'!$E47,Royalty!$AI$7:$AI$246,0),MATCH('Decline and Model'!BM$8,Royalty!$U$1:$Z$1,0))</f>
        <v>1.2397364157342609E-2</v>
      </c>
      <c r="BN47" s="127">
        <f t="array" ref="BN47">BH47*INDEX(Royalty!$U$7:$Z$246,MATCH('Decline and Model'!$E47,Royalty!$AI$7:$AI$246,0),MATCH('Decline and Model'!BN$8,Royalty!$U$1:$Z$1,0))</f>
        <v>8.3231449237234148E-3</v>
      </c>
      <c r="BO47" s="127">
        <f t="array" ref="BO47">BI47*INDEX(Royalty!$U$7:$Z$246,MATCH('Decline and Model'!$E47,Royalty!$AI$7:$AI$246,0),MATCH('Decline and Model'!BO$8,Royalty!$U$1:$Z$1,0))</f>
        <v>2.883238137651361E-3</v>
      </c>
      <c r="BP47" s="135">
        <f t="shared" si="11"/>
        <v>0.23529487807664601</v>
      </c>
      <c r="BQ47" s="7"/>
      <c r="BR47" s="7"/>
      <c r="BS47">
        <v>39</v>
      </c>
      <c r="BT47" s="120">
        <f t="shared" si="12"/>
        <v>126258.09394986965</v>
      </c>
      <c r="BU47" s="113">
        <f t="shared" si="13"/>
        <v>94915.045046280356</v>
      </c>
      <c r="BV47" s="113">
        <f t="shared" si="14"/>
        <v>28474.513513884107</v>
      </c>
      <c r="BW47" s="113">
        <f t="shared" si="47"/>
        <v>5132099.7607821999</v>
      </c>
      <c r="BX47" s="113">
        <f t="shared" si="39"/>
        <v>113442.24560371799</v>
      </c>
      <c r="BY47" s="120">
        <f t="shared" si="40"/>
        <v>173505.26699112443</v>
      </c>
      <c r="BZ47" s="153">
        <f t="shared" si="48"/>
        <v>0</v>
      </c>
      <c r="CA47" s="120">
        <f t="shared" si="50"/>
        <v>173505.26699112443</v>
      </c>
      <c r="CB47" s="120">
        <f t="shared" si="41"/>
        <v>43376.316747781108</v>
      </c>
      <c r="CC47" s="153">
        <f t="shared" si="42"/>
        <v>243571.19584706132</v>
      </c>
      <c r="CD47" s="7">
        <f t="shared" si="16"/>
        <v>181355.21186421803</v>
      </c>
      <c r="CE47" s="11">
        <f>SUM($CD$9:CD47)</f>
        <v>19682054.189933244</v>
      </c>
      <c r="CF47" s="11">
        <f t="shared" si="43"/>
        <v>12000000</v>
      </c>
      <c r="CG47">
        <f t="shared" si="44"/>
        <v>7682054.1899332441</v>
      </c>
      <c r="CJ47" s="172" t="s">
        <v>312</v>
      </c>
      <c r="CK47" s="176">
        <f t="shared" ref="CK47:CK55" si="54">CK35</f>
        <v>16</v>
      </c>
      <c r="CL47" s="179">
        <f t="shared" ref="CL47:CL55" si="55">CN35</f>
        <v>12132006.104728553</v>
      </c>
      <c r="CN47">
        <v>1</v>
      </c>
      <c r="CO47" s="7">
        <v>354189.04942527949</v>
      </c>
      <c r="CP47" s="11">
        <f>CO47-$CO$46</f>
        <v>39354.338825031009</v>
      </c>
    </row>
    <row r="48" spans="1:94" ht="18.75" customHeight="1">
      <c r="A48">
        <f t="shared" si="17"/>
        <v>2020</v>
      </c>
      <c r="B48">
        <f t="shared" si="18"/>
        <v>30.416666666666668</v>
      </c>
      <c r="C48">
        <f t="shared" si="51"/>
        <v>4</v>
      </c>
      <c r="E48" s="97">
        <v>44013</v>
      </c>
      <c r="F48" s="2">
        <f>$F$6*EXP(-$F$3*COUNT($E$9:$E48))</f>
        <v>108.46635744394857</v>
      </c>
      <c r="G48" s="260">
        <f>$F$6/(1+$F$5*$F$3*COUNT($E$9:$E48))^(1/$F$5)</f>
        <v>140.34647620548256</v>
      </c>
      <c r="H48" s="260">
        <f>$H$6/(1+$H$5*$H$3*COUNT($E$9:$E48))^(1/$H$5)</f>
        <v>558.86269536246152</v>
      </c>
      <c r="I48" s="260">
        <f t="shared" si="19"/>
        <v>106.45003721189742</v>
      </c>
      <c r="J48" s="260">
        <f t="shared" si="20"/>
        <v>44.325795495034086</v>
      </c>
      <c r="K48" s="260">
        <f t="shared" si="20"/>
        <v>30.157295542130541</v>
      </c>
      <c r="L48" s="260">
        <f t="shared" si="20"/>
        <v>14.381400027327341</v>
      </c>
      <c r="M48" s="260">
        <f t="shared" si="20"/>
        <v>17.596191151126643</v>
      </c>
      <c r="N48" s="19">
        <f t="shared" si="21"/>
        <v>3299.1850389201022</v>
      </c>
      <c r="O48" s="19">
        <f t="shared" si="22"/>
        <v>4268.8719845834285</v>
      </c>
      <c r="P48" s="19">
        <f t="shared" si="23"/>
        <v>16998.740317274871</v>
      </c>
      <c r="Q48" s="19">
        <f t="shared" si="24"/>
        <v>3237.8552985285469</v>
      </c>
      <c r="R48" s="19">
        <f t="shared" si="25"/>
        <v>1348.2429463072867</v>
      </c>
      <c r="S48" s="19">
        <f t="shared" si="26"/>
        <v>917.28440607313735</v>
      </c>
      <c r="T48" s="19">
        <f t="shared" si="27"/>
        <v>437.43425083120667</v>
      </c>
      <c r="U48" s="19">
        <f t="shared" si="28"/>
        <v>535.21748084676869</v>
      </c>
      <c r="V48" s="261">
        <f t="shared" si="45"/>
        <v>9201.2887018432757</v>
      </c>
      <c r="W48" s="261">
        <f>SUM(O$9:O48)</f>
        <v>434613.8508847786</v>
      </c>
      <c r="X48" s="261">
        <f>SUM(P$9:P48)</f>
        <v>1468159.5325688832</v>
      </c>
      <c r="Y48" s="261">
        <f>SUM(Q$9:Q48)</f>
        <v>279649.43477502541</v>
      </c>
      <c r="Z48" s="261">
        <f>SUM($V$9:V48)</f>
        <v>860620.39530430525</v>
      </c>
      <c r="AB48" s="257">
        <f t="array" ref="AB48">(INDEX(PriceDeck!$C$18:$O$77,MATCH('Decline and Model'!$A48,PriceDeck!$B$18:$B$77,0),MATCH('Decline and Model'!AB$8,PriceDeck!$C$13:$O$13,0))*(1+$AE$6))</f>
        <v>69</v>
      </c>
      <c r="AC48" s="257">
        <f t="array" ref="AC48">INDEX(PriceDeck!$C$18:$O$77,MATCH('Decline and Model'!$A48,PriceDeck!$B$18:$B$77,0),MATCH('Decline and Model'!AC$8,PriceDeck!$C$13:$O$13,0))*(1+$AE$6)</f>
        <v>81.099999999999994</v>
      </c>
      <c r="AD48" s="257">
        <f t="array" ref="AD48">INDEX(PriceDeck!$C$18:$O$77,MATCH('Decline and Model'!$A48,PriceDeck!$B$18:$B$77,0),MATCH('Decline and Model'!AD$8,PriceDeck!$C$13:$O$13,0))*(1+$AE$6)</f>
        <v>13.6</v>
      </c>
      <c r="AE48" s="257">
        <f t="array" ref="AE48">INDEX(PriceDeck!$C$18:$O$77,MATCH('Decline and Model'!$A48,PriceDeck!$B$18:$B$77,0),MATCH('Decline and Model'!AE$8,PriceDeck!$C$13:$O$13,0))*(1+$AE$6)</f>
        <v>28.3</v>
      </c>
      <c r="AF48" s="257">
        <f t="array" ref="AF48">INDEX(PriceDeck!$C$18:$O$77,MATCH('Decline and Model'!$A48,PriceDeck!$B$18:$B$77,0),MATCH('Decline and Model'!AF$8,PriceDeck!$C$13:$O$13,0))*(1+$AE$6)</f>
        <v>84.3</v>
      </c>
      <c r="AG48" s="257">
        <f t="array" ref="AG48">INDEX(PriceDeck!$C$18:$O$77,MATCH('Decline and Model'!$A48,PriceDeck!$B$18:$B$77,0),MATCH('Decline and Model'!AG$8,PriceDeck!$C$13:$O$13,0))*(1+$AE$6)</f>
        <v>56.4</v>
      </c>
      <c r="AH48" s="258">
        <f t="array" ref="AH48">INDEX(PriceDeck!$C$18:$O$77,MATCH('Decline and Model'!$A48,PriceDeck!$B$18:$B$77,0),MATCH('Decline and Model'!AH$8,PriceDeck!$C$13:$O$13,0))</f>
        <v>0.82499999999999996</v>
      </c>
      <c r="AI48" s="258">
        <f t="shared" si="29"/>
        <v>3.6</v>
      </c>
      <c r="AJ48" s="259">
        <f t="shared" si="30"/>
        <v>3.6</v>
      </c>
      <c r="AK48" s="120">
        <v>3.6</v>
      </c>
      <c r="AL48" s="120"/>
      <c r="AN48" s="7">
        <f t="shared" si="31"/>
        <v>346205.51794971601</v>
      </c>
      <c r="AO48" s="7">
        <f t="shared" si="52"/>
        <v>61195.46514218954</v>
      </c>
      <c r="AP48" s="7">
        <f t="shared" si="32"/>
        <v>18336.1040697791</v>
      </c>
      <c r="AQ48" s="7">
        <f t="shared" si="33"/>
        <v>25959.148691869788</v>
      </c>
      <c r="AR48" s="7">
        <f t="shared" si="34"/>
        <v>36875.707345070718</v>
      </c>
      <c r="AS48" s="7">
        <f t="shared" si="35"/>
        <v>30186.265919757752</v>
      </c>
      <c r="AT48" s="7">
        <f t="shared" si="36"/>
        <v>518758.20911838295</v>
      </c>
      <c r="AU48" s="7">
        <f>SUM($AT$9:AT48)</f>
        <v>44929974.843663722</v>
      </c>
      <c r="AV48" s="7">
        <f>AT48/(1+$AR$5)^(COUNT($E$9:E48))</f>
        <v>383340.39413340919</v>
      </c>
      <c r="AW48" s="7">
        <f t="shared" si="49"/>
        <v>0</v>
      </c>
      <c r="AX48" s="7">
        <f t="shared" si="37"/>
        <v>0</v>
      </c>
      <c r="AY48" s="117">
        <f t="shared" si="38"/>
        <v>0</v>
      </c>
      <c r="AZ48" s="117">
        <f t="shared" si="53"/>
        <v>518758.20911838295</v>
      </c>
      <c r="BA48" s="120">
        <f t="shared" si="46"/>
        <v>121949.38433551704</v>
      </c>
      <c r="BB48" s="119">
        <f t="shared" si="4"/>
        <v>0</v>
      </c>
      <c r="BC48" s="17"/>
      <c r="BD48" s="126">
        <f t="shared" si="5"/>
        <v>0.66737356992978281</v>
      </c>
      <c r="BE48" s="127">
        <f t="shared" si="6"/>
        <v>0.11796529494191477</v>
      </c>
      <c r="BF48" s="127">
        <f t="shared" si="7"/>
        <v>3.5346147294595814E-2</v>
      </c>
      <c r="BG48" s="127">
        <f t="shared" si="8"/>
        <v>5.004094052986021E-2</v>
      </c>
      <c r="BH48" s="127">
        <f t="shared" si="9"/>
        <v>7.1084576006498465E-2</v>
      </c>
      <c r="BI48" s="128">
        <f t="shared" si="10"/>
        <v>5.8189471297347917E-2</v>
      </c>
      <c r="BJ48" s="126">
        <f t="array" ref="BJ48">BD48*INDEX(Royalty!$U$7:$Z$246,MATCH('Decline and Model'!$E48,Royalty!$AI$7:$AI$246,0),MATCH('Decline and Model'!BJ$8,Royalty!$U$1:$Z$1,0))</f>
        <v>0.17283125726550422</v>
      </c>
      <c r="BK48" s="127">
        <f t="array" ref="BK48">BE48*INDEX(Royalty!$U$7:$Z$246,MATCH('Decline and Model'!$E48,Royalty!$AI$7:$AI$246,0),MATCH('Decline and Model'!BK$8,Royalty!$U$1:$Z$1,0))</f>
        <v>2.9623751633383481E-2</v>
      </c>
      <c r="BL48" s="127">
        <f t="array" ref="BL48">BF48*INDEX(Royalty!$U$7:$Z$246,MATCH('Decline and Model'!$E48,Royalty!$AI$7:$AI$246,0),MATCH('Decline and Model'!BL$8,Royalty!$U$1:$Z$1,0))</f>
        <v>8.8058969217044963E-3</v>
      </c>
      <c r="BM48" s="127">
        <f t="array" ref="BM48">BG48*INDEX(Royalty!$U$7:$Z$246,MATCH('Decline and Model'!$E48,Royalty!$AI$7:$AI$246,0),MATCH('Decline and Model'!BM$8,Royalty!$U$1:$Z$1,0))</f>
        <v>1.2510171400273154E-2</v>
      </c>
      <c r="BN48" s="127">
        <f t="array" ref="BN48">BH48*INDEX(Royalty!$U$7:$Z$246,MATCH('Decline and Model'!$E48,Royalty!$AI$7:$AI$246,0),MATCH('Decline and Model'!BN$8,Royalty!$U$1:$Z$1,0))</f>
        <v>8.3988796540612753E-3</v>
      </c>
      <c r="BO48" s="127">
        <f t="array" ref="BO48">BI48*INDEX(Royalty!$U$7:$Z$246,MATCH('Decline and Model'!$E48,Royalty!$AI$7:$AI$246,0),MATCH('Decline and Model'!BO$8,Royalty!$U$1:$Z$1,0))</f>
        <v>2.909473564867396E-3</v>
      </c>
      <c r="BP48" s="135">
        <f t="shared" si="11"/>
        <v>0.23507943043979404</v>
      </c>
      <c r="BQ48" s="7"/>
      <c r="BR48" s="7"/>
      <c r="BS48">
        <v>40</v>
      </c>
      <c r="BT48" s="120">
        <f t="shared" si="12"/>
        <v>121949.38433551704</v>
      </c>
      <c r="BU48" s="113">
        <f t="shared" si="13"/>
        <v>92012.887018432753</v>
      </c>
      <c r="BV48" s="113">
        <f t="shared" si="14"/>
        <v>27603.866105529829</v>
      </c>
      <c r="BW48" s="113">
        <f t="shared" si="47"/>
        <v>5018657.515178482</v>
      </c>
      <c r="BX48" s="113">
        <f t="shared" si="39"/>
        <v>110934.66709054177</v>
      </c>
      <c r="BY48" s="120">
        <f t="shared" si="40"/>
        <v>166257.40456836161</v>
      </c>
      <c r="BZ48" s="153">
        <f t="shared" si="48"/>
        <v>0</v>
      </c>
      <c r="CA48" s="120">
        <f t="shared" si="50"/>
        <v>166257.40456836161</v>
      </c>
      <c r="CB48" s="120">
        <f t="shared" si="41"/>
        <v>41564.351142090403</v>
      </c>
      <c r="CC48" s="153">
        <f t="shared" si="42"/>
        <v>235627.72051681299</v>
      </c>
      <c r="CD48" s="7">
        <f t="shared" si="16"/>
        <v>174118.9279783699</v>
      </c>
      <c r="CE48" s="11">
        <f>SUM($CD$9:CD48)</f>
        <v>19856173.117911614</v>
      </c>
      <c r="CF48" s="11">
        <f t="shared" si="43"/>
        <v>12000000</v>
      </c>
      <c r="CG48">
        <f t="shared" si="44"/>
        <v>7856173.1179116145</v>
      </c>
      <c r="CJ48" s="172" t="s">
        <v>313</v>
      </c>
      <c r="CK48" s="176">
        <f t="shared" si="54"/>
        <v>15</v>
      </c>
      <c r="CL48" s="179">
        <f t="shared" si="55"/>
        <v>12853437.417138789</v>
      </c>
      <c r="CN48">
        <v>2</v>
      </c>
      <c r="CO48" s="7">
        <v>393543.38825031061</v>
      </c>
      <c r="CP48" s="11">
        <f>CO48-$CO$46</f>
        <v>78708.677650062134</v>
      </c>
    </row>
    <row r="49" spans="1:95" ht="18.75" customHeight="1">
      <c r="A49">
        <f t="shared" si="17"/>
        <v>2020</v>
      </c>
      <c r="B49">
        <f t="shared" si="18"/>
        <v>30.416666666666668</v>
      </c>
      <c r="C49">
        <f t="shared" si="51"/>
        <v>4</v>
      </c>
      <c r="E49" s="97">
        <v>44044</v>
      </c>
      <c r="F49" s="2">
        <f>$F$6*EXP(-$F$3*COUNT($E$9:$E49))</f>
        <v>103.17639076909589</v>
      </c>
      <c r="G49" s="260">
        <f>$F$6/(1+$F$5*$F$3*COUNT($E$9:$E49))^(1/$F$5)</f>
        <v>135.10464505569749</v>
      </c>
      <c r="H49" s="260">
        <f>$H$6/(1+$H$5*$H$3*COUNT($E$9:$E49))^(1/$H$5)</f>
        <v>545.43621647426153</v>
      </c>
      <c r="I49" s="260">
        <f t="shared" si="19"/>
        <v>103.89261266176409</v>
      </c>
      <c r="J49" s="260">
        <f t="shared" si="20"/>
        <v>43.260883912358565</v>
      </c>
      <c r="K49" s="260">
        <f t="shared" si="20"/>
        <v>29.432777167077766</v>
      </c>
      <c r="L49" s="260">
        <f t="shared" si="20"/>
        <v>14.035891970604329</v>
      </c>
      <c r="M49" s="260">
        <f t="shared" si="20"/>
        <v>17.173448872989603</v>
      </c>
      <c r="N49" s="19">
        <f t="shared" si="21"/>
        <v>3138.2818858933333</v>
      </c>
      <c r="O49" s="19">
        <f t="shared" si="22"/>
        <v>4109.4329537774656</v>
      </c>
      <c r="P49" s="19">
        <f t="shared" si="23"/>
        <v>16590.351584425454</v>
      </c>
      <c r="Q49" s="19">
        <f t="shared" si="24"/>
        <v>3160.0669684619911</v>
      </c>
      <c r="R49" s="19">
        <f t="shared" si="25"/>
        <v>1315.851885667573</v>
      </c>
      <c r="S49" s="19">
        <f t="shared" si="26"/>
        <v>895.24697216528205</v>
      </c>
      <c r="T49" s="19">
        <f t="shared" si="27"/>
        <v>426.92504743921501</v>
      </c>
      <c r="U49" s="19">
        <f t="shared" si="28"/>
        <v>522.35906988676709</v>
      </c>
      <c r="V49" s="261">
        <f t="shared" si="45"/>
        <v>8923.3501013368459</v>
      </c>
      <c r="W49" s="261">
        <f>SUM(O$9:O49)</f>
        <v>438723.28383855609</v>
      </c>
      <c r="X49" s="261">
        <f>SUM(P$9:P49)</f>
        <v>1484749.8841533086</v>
      </c>
      <c r="Y49" s="261">
        <f>SUM(Q$9:Q49)</f>
        <v>282809.50174348737</v>
      </c>
      <c r="Z49" s="261">
        <f>SUM($V$9:V49)</f>
        <v>869543.74540564208</v>
      </c>
      <c r="AB49" s="257">
        <f t="array" ref="AB49">(INDEX(PriceDeck!$C$18:$O$77,MATCH('Decline and Model'!$A49,PriceDeck!$B$18:$B$77,0),MATCH('Decline and Model'!AB$8,PriceDeck!$C$13:$O$13,0))*(1+$AE$6))</f>
        <v>69</v>
      </c>
      <c r="AC49" s="257">
        <f t="array" ref="AC49">INDEX(PriceDeck!$C$18:$O$77,MATCH('Decline and Model'!$A49,PriceDeck!$B$18:$B$77,0),MATCH('Decline and Model'!AC$8,PriceDeck!$C$13:$O$13,0))*(1+$AE$6)</f>
        <v>81.099999999999994</v>
      </c>
      <c r="AD49" s="257">
        <f t="array" ref="AD49">INDEX(PriceDeck!$C$18:$O$77,MATCH('Decline and Model'!$A49,PriceDeck!$B$18:$B$77,0),MATCH('Decline and Model'!AD$8,PriceDeck!$C$13:$O$13,0))*(1+$AE$6)</f>
        <v>13.6</v>
      </c>
      <c r="AE49" s="257">
        <f t="array" ref="AE49">INDEX(PriceDeck!$C$18:$O$77,MATCH('Decline and Model'!$A49,PriceDeck!$B$18:$B$77,0),MATCH('Decline and Model'!AE$8,PriceDeck!$C$13:$O$13,0))*(1+$AE$6)</f>
        <v>28.3</v>
      </c>
      <c r="AF49" s="257">
        <f t="array" ref="AF49">INDEX(PriceDeck!$C$18:$O$77,MATCH('Decline and Model'!$A49,PriceDeck!$B$18:$B$77,0),MATCH('Decline and Model'!AF$8,PriceDeck!$C$13:$O$13,0))*(1+$AE$6)</f>
        <v>84.3</v>
      </c>
      <c r="AG49" s="257">
        <f t="array" ref="AG49">INDEX(PriceDeck!$C$18:$O$77,MATCH('Decline and Model'!$A49,PriceDeck!$B$18:$B$77,0),MATCH('Decline and Model'!AG$8,PriceDeck!$C$13:$O$13,0))*(1+$AE$6)</f>
        <v>56.4</v>
      </c>
      <c r="AH49" s="258">
        <f t="array" ref="AH49">INDEX(PriceDeck!$C$18:$O$77,MATCH('Decline and Model'!$A49,PriceDeck!$B$18:$B$77,0),MATCH('Decline and Model'!AH$8,PriceDeck!$C$13:$O$13,0))</f>
        <v>0.82499999999999996</v>
      </c>
      <c r="AI49" s="258">
        <f t="shared" si="29"/>
        <v>3.6</v>
      </c>
      <c r="AJ49" s="259">
        <f t="shared" si="30"/>
        <v>3.6</v>
      </c>
      <c r="AK49" s="120">
        <v>3.6</v>
      </c>
      <c r="AL49" s="120"/>
      <c r="AN49" s="7">
        <f t="shared" si="31"/>
        <v>333275.01255135244</v>
      </c>
      <c r="AO49" s="7">
        <f t="shared" si="52"/>
        <v>59725.26570393164</v>
      </c>
      <c r="AP49" s="7">
        <f t="shared" si="32"/>
        <v>17895.585645078994</v>
      </c>
      <c r="AQ49" s="7">
        <f t="shared" si="33"/>
        <v>25335.489312277481</v>
      </c>
      <c r="AR49" s="7">
        <f t="shared" si="34"/>
        <v>35989.781499125827</v>
      </c>
      <c r="AS49" s="7">
        <f t="shared" si="35"/>
        <v>29461.051541613662</v>
      </c>
      <c r="AT49" s="7">
        <f t="shared" si="36"/>
        <v>501682.18625337997</v>
      </c>
      <c r="AU49">
        <f>SUM($AT$9:AT49)</f>
        <v>45431657.029917099</v>
      </c>
      <c r="AV49" s="7">
        <f>AT49/(1+$AR$5)^(COUNT($E$9:E49))</f>
        <v>367928.79082641745</v>
      </c>
      <c r="AW49" s="7">
        <f t="shared" si="49"/>
        <v>0</v>
      </c>
      <c r="AX49" s="7">
        <f t="shared" si="37"/>
        <v>0</v>
      </c>
      <c r="AY49" s="117">
        <f t="shared" si="38"/>
        <v>0</v>
      </c>
      <c r="AZ49" s="117">
        <f t="shared" si="53"/>
        <v>501682.18625337997</v>
      </c>
      <c r="BA49" s="120">
        <f t="shared" si="46"/>
        <v>117824.94391767183</v>
      </c>
      <c r="BB49" s="119">
        <f t="shared" si="4"/>
        <v>0</v>
      </c>
      <c r="BC49" s="17"/>
      <c r="BD49" s="126">
        <f t="shared" si="5"/>
        <v>0.66431502190717273</v>
      </c>
      <c r="BE49" s="127">
        <f t="shared" si="6"/>
        <v>0.11905000285134054</v>
      </c>
      <c r="BF49" s="127">
        <f t="shared" si="7"/>
        <v>3.5671160219431501E-2</v>
      </c>
      <c r="BG49" s="127">
        <f t="shared" si="8"/>
        <v>5.0501074198958142E-2</v>
      </c>
      <c r="BH49" s="127">
        <f t="shared" si="9"/>
        <v>7.1738208940408346E-2</v>
      </c>
      <c r="BI49" s="128">
        <f t="shared" si="10"/>
        <v>5.8724531882688856E-2</v>
      </c>
      <c r="BJ49" s="126">
        <f t="array" ref="BJ49">BD49*INDEX(Royalty!$U$7:$Z$246,MATCH('Decline and Model'!$E49,Royalty!$AI$7:$AI$246,0),MATCH('Decline and Model'!BJ$8,Royalty!$U$1:$Z$1,0))</f>
        <v>0.1720391781002921</v>
      </c>
      <c r="BK49" s="127">
        <f t="array" ref="BK49">BE49*INDEX(Royalty!$U$7:$Z$246,MATCH('Decline and Model'!$E49,Royalty!$AI$7:$AI$246,0),MATCH('Decline and Model'!BK$8,Royalty!$U$1:$Z$1,0))</f>
        <v>2.9896146304370555E-2</v>
      </c>
      <c r="BL49" s="127">
        <f t="array" ref="BL49">BF49*INDEX(Royalty!$U$7:$Z$246,MATCH('Decline and Model'!$E49,Royalty!$AI$7:$AI$246,0),MATCH('Decline and Model'!BL$8,Royalty!$U$1:$Z$1,0))</f>
        <v>8.8868684145936901E-3</v>
      </c>
      <c r="BM49" s="127">
        <f t="array" ref="BM49">BG49*INDEX(Royalty!$U$7:$Z$246,MATCH('Decline and Model'!$E49,Royalty!$AI$7:$AI$246,0),MATCH('Decline and Model'!BM$8,Royalty!$U$1:$Z$1,0))</f>
        <v>1.2625204231520935E-2</v>
      </c>
      <c r="BN49" s="127">
        <f t="array" ref="BN49">BH49*INDEX(Royalty!$U$7:$Z$246,MATCH('Decline and Model'!$E49,Royalty!$AI$7:$AI$246,0),MATCH('Decline and Model'!BN$8,Royalty!$U$1:$Z$1,0))</f>
        <v>8.4761085644417533E-3</v>
      </c>
      <c r="BO49" s="127">
        <f t="array" ref="BO49">BI49*INDEX(Royalty!$U$7:$Z$246,MATCH('Decline and Model'!$E49,Royalty!$AI$7:$AI$246,0),MATCH('Decline and Model'!BO$8,Royalty!$U$1:$Z$1,0))</f>
        <v>2.9362265941344431E-3</v>
      </c>
      <c r="BP49" s="135">
        <f t="shared" si="11"/>
        <v>0.23485973220935349</v>
      </c>
      <c r="BQ49" s="7"/>
      <c r="BR49" s="7"/>
      <c r="BS49">
        <v>41</v>
      </c>
      <c r="BT49" s="120">
        <f t="shared" si="12"/>
        <v>117824.94391767183</v>
      </c>
      <c r="BU49" s="113">
        <f t="shared" si="13"/>
        <v>89233.501013368455</v>
      </c>
      <c r="BV49" s="113">
        <f t="shared" si="14"/>
        <v>26770.05030401054</v>
      </c>
      <c r="BW49" s="113">
        <f t="shared" si="47"/>
        <v>4907722.8480879404</v>
      </c>
      <c r="BX49" s="113">
        <f t="shared" si="39"/>
        <v>108482.51722271967</v>
      </c>
      <c r="BY49" s="120">
        <f t="shared" si="40"/>
        <v>159371.17379560944</v>
      </c>
      <c r="BZ49" s="153">
        <f t="shared" si="48"/>
        <v>0</v>
      </c>
      <c r="CA49" s="120">
        <f t="shared" si="50"/>
        <v>159371.17379560944</v>
      </c>
      <c r="CB49" s="120">
        <f t="shared" si="41"/>
        <v>39842.793448902361</v>
      </c>
      <c r="CC49" s="153">
        <f t="shared" si="42"/>
        <v>228010.89756942674</v>
      </c>
      <c r="CD49" s="7">
        <f t="shared" si="16"/>
        <v>167220.95409541781</v>
      </c>
      <c r="CE49" s="11">
        <f>SUM($CD$9:CD49)</f>
        <v>20023394.072007034</v>
      </c>
      <c r="CF49" s="11">
        <f t="shared" si="43"/>
        <v>12000000</v>
      </c>
      <c r="CG49">
        <f t="shared" si="44"/>
        <v>8023394.072007034</v>
      </c>
      <c r="CJ49" s="173" t="s">
        <v>314</v>
      </c>
      <c r="CK49" s="176">
        <f t="shared" si="54"/>
        <v>13</v>
      </c>
      <c r="CL49" s="179">
        <f t="shared" si="55"/>
        <v>13666856.799841944</v>
      </c>
      <c r="CN49">
        <v>3</v>
      </c>
      <c r="CO49" s="7">
        <v>432897.72707534157</v>
      </c>
      <c r="CP49" s="11">
        <f t="shared" ref="CP49:CP54" si="56">CO49-$CO$46</f>
        <v>118063.01647509309</v>
      </c>
    </row>
    <row r="50" spans="1:95" ht="18.75" customHeight="1">
      <c r="A50">
        <f t="shared" si="17"/>
        <v>2020</v>
      </c>
      <c r="B50">
        <f t="shared" si="18"/>
        <v>30.416666666666668</v>
      </c>
      <c r="C50">
        <f t="shared" si="51"/>
        <v>4</v>
      </c>
      <c r="E50" s="97">
        <v>44075</v>
      </c>
      <c r="F50" s="2">
        <f>$F$6*EXP(-$F$3*COUNT($E$9:$E50))</f>
        <v>98.144418813347897</v>
      </c>
      <c r="G50" s="260">
        <f>$F$6/(1+$F$5*$F$3*COUNT($E$9:$E50))^(1/$F$5)</f>
        <v>130.08760407145616</v>
      </c>
      <c r="H50" s="260">
        <f>$H$6/(1+$H$5*$H$3*COUNT($E$9:$E50))^(1/$H$5)</f>
        <v>532.55340534283084</v>
      </c>
      <c r="I50" s="260">
        <f t="shared" si="19"/>
        <v>101.43874387482492</v>
      </c>
      <c r="J50" s="260">
        <f t="shared" si="20"/>
        <v>42.239092949477097</v>
      </c>
      <c r="K50" s="260">
        <f t="shared" si="20"/>
        <v>28.737596139737899</v>
      </c>
      <c r="L50" s="260">
        <f t="shared" si="20"/>
        <v>13.704374297488847</v>
      </c>
      <c r="M50" s="260">
        <f t="shared" si="20"/>
        <v>16.767824362508559</v>
      </c>
      <c r="N50" s="19">
        <f t="shared" si="21"/>
        <v>2985.2260722393321</v>
      </c>
      <c r="O50" s="19">
        <f t="shared" si="22"/>
        <v>3956.8312905067914</v>
      </c>
      <c r="P50" s="19">
        <f t="shared" si="23"/>
        <v>16198.499412511106</v>
      </c>
      <c r="Q50" s="19">
        <f t="shared" si="24"/>
        <v>3085.4284595259251</v>
      </c>
      <c r="R50" s="19">
        <f t="shared" si="25"/>
        <v>1284.772410546595</v>
      </c>
      <c r="S50" s="19">
        <f t="shared" si="26"/>
        <v>874.10188258369442</v>
      </c>
      <c r="T50" s="19">
        <f t="shared" si="27"/>
        <v>416.84138488195248</v>
      </c>
      <c r="U50" s="19">
        <f t="shared" si="28"/>
        <v>510.02132435963534</v>
      </c>
      <c r="V50" s="261">
        <f t="shared" si="45"/>
        <v>8657.0471774215384</v>
      </c>
      <c r="W50" s="261">
        <f>SUM(O$9:O50)</f>
        <v>442680.11512906291</v>
      </c>
      <c r="X50" s="261">
        <f>SUM(P$9:P50)</f>
        <v>1500948.3835658196</v>
      </c>
      <c r="Y50" s="261">
        <f>SUM(Q$9:Q50)</f>
        <v>285894.9302030133</v>
      </c>
      <c r="Z50" s="261">
        <f>SUM($V$9:V50)</f>
        <v>878200.79258306359</v>
      </c>
      <c r="AB50" s="257">
        <f t="array" ref="AB50">(INDEX(PriceDeck!$C$18:$O$77,MATCH('Decline and Model'!$A50,PriceDeck!$B$18:$B$77,0),MATCH('Decline and Model'!AB$8,PriceDeck!$C$13:$O$13,0))*(1+$AE$6))</f>
        <v>69</v>
      </c>
      <c r="AC50" s="257">
        <f t="array" ref="AC50">INDEX(PriceDeck!$C$18:$O$77,MATCH('Decline and Model'!$A50,PriceDeck!$B$18:$B$77,0),MATCH('Decline and Model'!AC$8,PriceDeck!$C$13:$O$13,0))*(1+$AE$6)</f>
        <v>81.099999999999994</v>
      </c>
      <c r="AD50" s="257">
        <f t="array" ref="AD50">INDEX(PriceDeck!$C$18:$O$77,MATCH('Decline and Model'!$A50,PriceDeck!$B$18:$B$77,0),MATCH('Decline and Model'!AD$8,PriceDeck!$C$13:$O$13,0))*(1+$AE$6)</f>
        <v>13.6</v>
      </c>
      <c r="AE50" s="257">
        <f t="array" ref="AE50">INDEX(PriceDeck!$C$18:$O$77,MATCH('Decline and Model'!$A50,PriceDeck!$B$18:$B$77,0),MATCH('Decline and Model'!AE$8,PriceDeck!$C$13:$O$13,0))*(1+$AE$6)</f>
        <v>28.3</v>
      </c>
      <c r="AF50" s="257">
        <f t="array" ref="AF50">INDEX(PriceDeck!$C$18:$O$77,MATCH('Decline and Model'!$A50,PriceDeck!$B$18:$B$77,0),MATCH('Decline and Model'!AF$8,PriceDeck!$C$13:$O$13,0))*(1+$AE$6)</f>
        <v>84.3</v>
      </c>
      <c r="AG50" s="257">
        <f t="array" ref="AG50">INDEX(PriceDeck!$C$18:$O$77,MATCH('Decline and Model'!$A50,PriceDeck!$B$18:$B$77,0),MATCH('Decline and Model'!AG$8,PriceDeck!$C$13:$O$13,0))*(1+$AE$6)</f>
        <v>56.4</v>
      </c>
      <c r="AH50" s="258">
        <f t="array" ref="AH50">INDEX(PriceDeck!$C$18:$O$77,MATCH('Decline and Model'!$A50,PriceDeck!$B$18:$B$77,0),MATCH('Decline and Model'!AH$8,PriceDeck!$C$13:$O$13,0))</f>
        <v>0.82499999999999996</v>
      </c>
      <c r="AI50" s="258">
        <f t="shared" si="29"/>
        <v>3.6</v>
      </c>
      <c r="AJ50" s="259">
        <f t="shared" si="30"/>
        <v>3.6</v>
      </c>
      <c r="AK50" s="120">
        <v>3.6</v>
      </c>
      <c r="AL50" s="120"/>
      <c r="AN50" s="7">
        <f t="shared" si="31"/>
        <v>320899.01766010077</v>
      </c>
      <c r="AO50" s="7">
        <f t="shared" si="52"/>
        <v>58314.597885039984</v>
      </c>
      <c r="AP50" s="7">
        <f t="shared" si="32"/>
        <v>17472.904783433693</v>
      </c>
      <c r="AQ50" s="7">
        <f t="shared" si="33"/>
        <v>24737.083277118552</v>
      </c>
      <c r="AR50" s="7">
        <f t="shared" si="34"/>
        <v>35139.728745548593</v>
      </c>
      <c r="AS50" s="7">
        <f t="shared" si="35"/>
        <v>28765.202693883431</v>
      </c>
      <c r="AT50" s="7">
        <f t="shared" si="36"/>
        <v>485328.53504512506</v>
      </c>
      <c r="AU50">
        <f>SUM($AT$9:AT50)</f>
        <v>45916985.564962223</v>
      </c>
      <c r="AV50" s="7">
        <f>AT50/(1+$AR$5)^(COUNT($E$9:E50))</f>
        <v>353253.4478966879</v>
      </c>
      <c r="AW50" s="7">
        <f t="shared" si="49"/>
        <v>0</v>
      </c>
      <c r="AX50" s="7">
        <f t="shared" si="37"/>
        <v>0</v>
      </c>
      <c r="AY50" s="117">
        <f t="shared" si="38"/>
        <v>0</v>
      </c>
      <c r="AZ50" s="117">
        <f t="shared" si="53"/>
        <v>485328.53504512506</v>
      </c>
      <c r="BA50" s="120">
        <f t="shared" si="46"/>
        <v>113875.52012122927</v>
      </c>
      <c r="BB50" s="119">
        <f t="shared" si="4"/>
        <v>0</v>
      </c>
      <c r="BC50" s="17"/>
      <c r="BD50" s="126">
        <f t="shared" si="5"/>
        <v>0.661199567897371</v>
      </c>
      <c r="BE50" s="127">
        <f t="shared" si="6"/>
        <v>0.12015489235475921</v>
      </c>
      <c r="BF50" s="127">
        <f t="shared" si="7"/>
        <v>3.6002220190512989E-2</v>
      </c>
      <c r="BG50" s="127">
        <f t="shared" si="8"/>
        <v>5.0969768910905967E-2</v>
      </c>
      <c r="BH50" s="127">
        <f t="shared" si="9"/>
        <v>7.2404003078618398E-2</v>
      </c>
      <c r="BI50" s="128">
        <f t="shared" si="10"/>
        <v>5.9269547567832356E-2</v>
      </c>
      <c r="BJ50" s="126">
        <f t="array" ref="BJ50">BD50*INDEX(Royalty!$U$7:$Z$246,MATCH('Decline and Model'!$E50,Royalty!$AI$7:$AI$246,0),MATCH('Decline and Model'!BJ$8,Royalty!$U$1:$Z$1,0))</f>
        <v>0.17123236186163951</v>
      </c>
      <c r="BK50" s="127">
        <f t="array" ref="BK50">BE50*INDEX(Royalty!$U$7:$Z$246,MATCH('Decline and Model'!$E50,Royalty!$AI$7:$AI$246,0),MATCH('Decline and Model'!BK$8,Royalty!$U$1:$Z$1,0))</f>
        <v>3.0173609029723155E-2</v>
      </c>
      <c r="BL50" s="127">
        <f t="array" ref="BL50">BF50*INDEX(Royalty!$U$7:$Z$246,MATCH('Decline and Model'!$E50,Royalty!$AI$7:$AI$246,0),MATCH('Decline and Model'!BL$8,Royalty!$U$1:$Z$1,0))</f>
        <v>8.969346427146186E-3</v>
      </c>
      <c r="BM50" s="127">
        <f t="array" ref="BM50">BG50*INDEX(Royalty!$U$7:$Z$246,MATCH('Decline and Model'!$E50,Royalty!$AI$7:$AI$246,0),MATCH('Decline and Model'!BM$8,Royalty!$U$1:$Z$1,0))</f>
        <v>1.2742377312577838E-2</v>
      </c>
      <c r="BN50" s="127">
        <f t="array" ref="BN50">BH50*INDEX(Royalty!$U$7:$Z$246,MATCH('Decline and Model'!$E50,Royalty!$AI$7:$AI$246,0),MATCH('Decline and Model'!BN$8,Royalty!$U$1:$Z$1,0))</f>
        <v>8.5547743616562495E-3</v>
      </c>
      <c r="BO50" s="127">
        <f t="array" ref="BO50">BI50*INDEX(Royalty!$U$7:$Z$246,MATCH('Decline and Model'!$E50,Royalty!$AI$7:$AI$246,0),MATCH('Decline and Model'!BO$8,Royalty!$U$1:$Z$1,0))</f>
        <v>2.9634773783916179E-3</v>
      </c>
      <c r="BP50" s="135">
        <f t="shared" si="11"/>
        <v>0.23463594637113458</v>
      </c>
      <c r="BQ50" s="7"/>
      <c r="BR50" s="7"/>
      <c r="BS50">
        <v>42</v>
      </c>
      <c r="BT50" s="120">
        <f t="shared" si="12"/>
        <v>113875.52012122927</v>
      </c>
      <c r="BU50" s="113">
        <f t="shared" si="13"/>
        <v>86570.471774215388</v>
      </c>
      <c r="BV50" s="113">
        <f t="shared" si="14"/>
        <v>25971.141532264613</v>
      </c>
      <c r="BW50" s="113">
        <f t="shared" si="47"/>
        <v>4799240.3308652211</v>
      </c>
      <c r="BX50" s="113">
        <f t="shared" si="39"/>
        <v>106084.57078049899</v>
      </c>
      <c r="BY50" s="120">
        <f t="shared" si="40"/>
        <v>152826.83083691675</v>
      </c>
      <c r="BZ50" s="153">
        <f t="shared" si="48"/>
        <v>0</v>
      </c>
      <c r="CA50" s="120">
        <f t="shared" si="50"/>
        <v>152826.83083691675</v>
      </c>
      <c r="CB50" s="120">
        <f t="shared" si="41"/>
        <v>38206.707709229187</v>
      </c>
      <c r="CC50" s="153">
        <f t="shared" si="42"/>
        <v>220704.69390818657</v>
      </c>
      <c r="CD50" s="7">
        <f t="shared" si="16"/>
        <v>160643.12823230351</v>
      </c>
      <c r="CE50" s="11">
        <f>SUM($CD$9:CD50)</f>
        <v>20184037.200239338</v>
      </c>
      <c r="CF50" s="11">
        <f t="shared" si="43"/>
        <v>12000000</v>
      </c>
      <c r="CG50">
        <f t="shared" si="44"/>
        <v>8184037.200239338</v>
      </c>
      <c r="CJ50" s="172" t="s">
        <v>245</v>
      </c>
      <c r="CK50" s="176">
        <f t="shared" si="54"/>
        <v>12</v>
      </c>
      <c r="CL50" s="179">
        <f t="shared" si="55"/>
        <v>14570283.594418112</v>
      </c>
      <c r="CM50" s="11">
        <f>CL50-CL49</f>
        <v>903426.79457616806</v>
      </c>
      <c r="CN50">
        <v>4</v>
      </c>
      <c r="CO50" s="7">
        <v>472252.06590037263</v>
      </c>
      <c r="CP50" s="11">
        <f t="shared" si="56"/>
        <v>157417.35530012415</v>
      </c>
    </row>
    <row r="51" spans="1:95" ht="18.75" customHeight="1">
      <c r="A51">
        <f t="shared" si="17"/>
        <v>2020</v>
      </c>
      <c r="B51">
        <f t="shared" si="18"/>
        <v>30.416666666666668</v>
      </c>
      <c r="C51">
        <f t="shared" si="51"/>
        <v>4</v>
      </c>
      <c r="E51" s="97">
        <v>44105</v>
      </c>
      <c r="F51" s="2">
        <f>$F$6*EXP(-$F$3*COUNT($E$9:$E51))</f>
        <v>93.357859025777984</v>
      </c>
      <c r="G51" s="260">
        <f>$F$6/(1+$F$5*$F$3*COUNT($E$9:$E51))^(1/$F$5)</f>
        <v>125.28448349337157</v>
      </c>
      <c r="H51" s="260">
        <f>$H$6/(1+$H$5*$H$3*COUNT($E$9:$E51))^(1/$H$5)</f>
        <v>520.18359205275135</v>
      </c>
      <c r="I51" s="260">
        <f t="shared" si="19"/>
        <v>99.082588962428829</v>
      </c>
      <c r="J51" s="260">
        <f t="shared" si="20"/>
        <v>41.257990043955367</v>
      </c>
      <c r="K51" s="260">
        <f t="shared" si="20"/>
        <v>28.070097453056086</v>
      </c>
      <c r="L51" s="260">
        <f t="shared" si="20"/>
        <v>13.386057768824134</v>
      </c>
      <c r="M51" s="260">
        <f t="shared" si="20"/>
        <v>16.378351955489485</v>
      </c>
      <c r="N51" s="19">
        <f t="shared" si="21"/>
        <v>2839.6348787007473</v>
      </c>
      <c r="O51" s="19">
        <f t="shared" si="22"/>
        <v>3810.7363729233853</v>
      </c>
      <c r="P51" s="19">
        <f t="shared" si="23"/>
        <v>15822.250924937855</v>
      </c>
      <c r="Q51" s="19">
        <f t="shared" si="24"/>
        <v>3013.7620809405435</v>
      </c>
      <c r="R51" s="19">
        <f t="shared" si="25"/>
        <v>1254.9305305036426</v>
      </c>
      <c r="S51" s="19">
        <f t="shared" si="26"/>
        <v>853.798797530456</v>
      </c>
      <c r="T51" s="19">
        <f t="shared" si="27"/>
        <v>407.15925713506743</v>
      </c>
      <c r="U51" s="19">
        <f t="shared" si="28"/>
        <v>498.17487197947185</v>
      </c>
      <c r="V51" s="261">
        <f t="shared" si="45"/>
        <v>8401.7786213618692</v>
      </c>
      <c r="W51" s="261">
        <f>SUM(O$9:O51)</f>
        <v>446490.85150198627</v>
      </c>
      <c r="X51" s="261">
        <f>SUM(P$9:P51)</f>
        <v>1516770.6344907575</v>
      </c>
      <c r="Y51" s="261">
        <f>SUM(Q$9:Q51)</f>
        <v>288908.69228395383</v>
      </c>
      <c r="Z51" s="261">
        <f>SUM($V$9:V51)</f>
        <v>886602.57120442542</v>
      </c>
      <c r="AB51" s="257">
        <f t="array" ref="AB51">(INDEX(PriceDeck!$C$18:$O$77,MATCH('Decline and Model'!$A51,PriceDeck!$B$18:$B$77,0),MATCH('Decline and Model'!AB$8,PriceDeck!$C$13:$O$13,0))*(1+$AE$6))</f>
        <v>69</v>
      </c>
      <c r="AC51" s="257">
        <f t="array" ref="AC51">INDEX(PriceDeck!$C$18:$O$77,MATCH('Decline and Model'!$A51,PriceDeck!$B$18:$B$77,0),MATCH('Decline and Model'!AC$8,PriceDeck!$C$13:$O$13,0))*(1+$AE$6)</f>
        <v>81.099999999999994</v>
      </c>
      <c r="AD51" s="257">
        <f t="array" ref="AD51">INDEX(PriceDeck!$C$18:$O$77,MATCH('Decline and Model'!$A51,PriceDeck!$B$18:$B$77,0),MATCH('Decline and Model'!AD$8,PriceDeck!$C$13:$O$13,0))*(1+$AE$6)</f>
        <v>13.6</v>
      </c>
      <c r="AE51" s="257">
        <f t="array" ref="AE51">INDEX(PriceDeck!$C$18:$O$77,MATCH('Decline and Model'!$A51,PriceDeck!$B$18:$B$77,0),MATCH('Decline and Model'!AE$8,PriceDeck!$C$13:$O$13,0))*(1+$AE$6)</f>
        <v>28.3</v>
      </c>
      <c r="AF51" s="257">
        <f t="array" ref="AF51">INDEX(PriceDeck!$C$18:$O$77,MATCH('Decline and Model'!$A51,PriceDeck!$B$18:$B$77,0),MATCH('Decline and Model'!AF$8,PriceDeck!$C$13:$O$13,0))*(1+$AE$6)</f>
        <v>84.3</v>
      </c>
      <c r="AG51" s="257">
        <f t="array" ref="AG51">INDEX(PriceDeck!$C$18:$O$77,MATCH('Decline and Model'!$A51,PriceDeck!$B$18:$B$77,0),MATCH('Decline and Model'!AG$8,PriceDeck!$C$13:$O$13,0))*(1+$AE$6)</f>
        <v>56.4</v>
      </c>
      <c r="AH51" s="258">
        <f t="array" ref="AH51">INDEX(PriceDeck!$C$18:$O$77,MATCH('Decline and Model'!$A51,PriceDeck!$B$18:$B$77,0),MATCH('Decline and Model'!AH$8,PriceDeck!$C$13:$O$13,0))</f>
        <v>0.82499999999999996</v>
      </c>
      <c r="AI51" s="258">
        <f t="shared" si="29"/>
        <v>3.6</v>
      </c>
      <c r="AJ51" s="259">
        <f t="shared" si="30"/>
        <v>3.6</v>
      </c>
      <c r="AK51" s="120">
        <v>3.6</v>
      </c>
      <c r="AL51" s="120"/>
      <c r="AN51" s="7">
        <f t="shared" si="31"/>
        <v>309050.7198440865</v>
      </c>
      <c r="AO51" s="7">
        <f t="shared" si="52"/>
        <v>56960.103329776277</v>
      </c>
      <c r="AP51" s="7">
        <f t="shared" si="32"/>
        <v>17067.055214849537</v>
      </c>
      <c r="AQ51" s="7">
        <f t="shared" si="33"/>
        <v>24162.505970111906</v>
      </c>
      <c r="AR51" s="7">
        <f t="shared" si="34"/>
        <v>34323.525376486185</v>
      </c>
      <c r="AS51" s="7">
        <f t="shared" si="35"/>
        <v>28097.062779642212</v>
      </c>
      <c r="AT51" s="7">
        <f t="shared" si="36"/>
        <v>469660.97251495265</v>
      </c>
      <c r="AU51">
        <f>SUM($AT$9:AT51)</f>
        <v>46386646.537477173</v>
      </c>
      <c r="AV51" s="7">
        <f>AT51/(1+$AR$5)^(COUNT($E$9:E51))</f>
        <v>339273.97414572607</v>
      </c>
      <c r="AW51" s="7">
        <f t="shared" si="49"/>
        <v>0</v>
      </c>
      <c r="AX51" s="7">
        <f t="shared" si="37"/>
        <v>0</v>
      </c>
      <c r="AY51" s="117">
        <f t="shared" si="38"/>
        <v>0</v>
      </c>
      <c r="AZ51" s="117">
        <f t="shared" si="53"/>
        <v>469660.97251495265</v>
      </c>
      <c r="BA51" s="120">
        <f t="shared" si="46"/>
        <v>110092.39686634282</v>
      </c>
      <c r="BB51" s="119">
        <f t="shared" si="4"/>
        <v>0</v>
      </c>
      <c r="BC51" s="17"/>
      <c r="BD51" s="126">
        <f t="shared" si="5"/>
        <v>0.65802938274639633</v>
      </c>
      <c r="BE51" s="127">
        <f t="shared" si="6"/>
        <v>0.12127919214740124</v>
      </c>
      <c r="BF51" s="127">
        <f t="shared" si="7"/>
        <v>3.6339096100445459E-2</v>
      </c>
      <c r="BG51" s="127">
        <f t="shared" si="8"/>
        <v>5.1446697477812345E-2</v>
      </c>
      <c r="BH51" s="127">
        <f t="shared" si="9"/>
        <v>7.3081493641444575E-2</v>
      </c>
      <c r="BI51" s="128">
        <f t="shared" si="10"/>
        <v>5.9824137886499998E-2</v>
      </c>
      <c r="BJ51" s="126">
        <f t="array" ref="BJ51">BD51*INDEX(Royalty!$U$7:$Z$246,MATCH('Decline and Model'!$E51,Royalty!$AI$7:$AI$246,0),MATCH('Decline and Model'!BJ$8,Royalty!$U$1:$Z$1,0))</f>
        <v>0.17041137177438595</v>
      </c>
      <c r="BK51" s="127">
        <f t="array" ref="BK51">BE51*INDEX(Royalty!$U$7:$Z$246,MATCH('Decline and Model'!$E51,Royalty!$AI$7:$AI$246,0),MATCH('Decline and Model'!BK$8,Royalty!$U$1:$Z$1,0))</f>
        <v>3.0455946117381789E-2</v>
      </c>
      <c r="BL51" s="127">
        <f t="array" ref="BL51">BF51*INDEX(Royalty!$U$7:$Z$246,MATCH('Decline and Model'!$E51,Royalty!$AI$7:$AI$246,0),MATCH('Decline and Model'!BL$8,Royalty!$U$1:$Z$1,0))</f>
        <v>9.0532733828493413E-3</v>
      </c>
      <c r="BM51" s="127">
        <f t="array" ref="BM51">BG51*INDEX(Royalty!$U$7:$Z$246,MATCH('Decline and Model'!$E51,Royalty!$AI$7:$AI$246,0),MATCH('Decline and Model'!BM$8,Royalty!$U$1:$Z$1,0))</f>
        <v>1.2861608846887732E-2</v>
      </c>
      <c r="BN51" s="127">
        <f t="array" ref="BN51">BH51*INDEX(Royalty!$U$7:$Z$246,MATCH('Decline and Model'!$E51,Royalty!$AI$7:$AI$246,0),MATCH('Decline and Model'!BN$8,Royalty!$U$1:$Z$1,0))</f>
        <v>8.6348221304355013E-3</v>
      </c>
      <c r="BO51" s="127">
        <f t="array" ref="BO51">BI51*INDEX(Royalty!$U$7:$Z$246,MATCH('Decline and Model'!$E51,Royalty!$AI$7:$AI$246,0),MATCH('Decline and Model'!BO$8,Royalty!$U$1:$Z$1,0))</f>
        <v>2.9912068943250001E-3</v>
      </c>
      <c r="BP51" s="135">
        <f t="shared" si="11"/>
        <v>0.2344082291462653</v>
      </c>
      <c r="BQ51" s="7"/>
      <c r="BR51" s="7"/>
      <c r="BS51">
        <v>43</v>
      </c>
      <c r="BT51" s="120">
        <f t="shared" si="12"/>
        <v>110092.39686634282</v>
      </c>
      <c r="BU51" s="113">
        <f t="shared" si="13"/>
        <v>84017.786213618689</v>
      </c>
      <c r="BV51" s="113">
        <f t="shared" si="14"/>
        <v>25205.33586408561</v>
      </c>
      <c r="BW51" s="113">
        <f t="shared" si="47"/>
        <v>4693155.7600847222</v>
      </c>
      <c r="BX51" s="113">
        <f t="shared" si="39"/>
        <v>103739.62962693651</v>
      </c>
      <c r="BY51" s="120">
        <f t="shared" si="40"/>
        <v>146605.82394396901</v>
      </c>
      <c r="BZ51" s="153">
        <f t="shared" si="48"/>
        <v>0</v>
      </c>
      <c r="CA51" s="120">
        <f t="shared" si="50"/>
        <v>146605.82394396901</v>
      </c>
      <c r="CB51" s="120">
        <f t="shared" si="41"/>
        <v>36651.455985992252</v>
      </c>
      <c r="CC51" s="153">
        <f t="shared" si="42"/>
        <v>213693.99758491328</v>
      </c>
      <c r="CD51" s="7">
        <f t="shared" si="16"/>
        <v>154368.39774761675</v>
      </c>
      <c r="CE51" s="11">
        <f>SUM($CD$9:CD51)</f>
        <v>20338405.597986955</v>
      </c>
      <c r="CF51" s="11">
        <f t="shared" si="43"/>
        <v>12000000</v>
      </c>
      <c r="CG51">
        <f t="shared" si="44"/>
        <v>8338405.5979869552</v>
      </c>
      <c r="CJ51" s="172" t="s">
        <v>247</v>
      </c>
      <c r="CK51" s="176">
        <f t="shared" si="54"/>
        <v>12</v>
      </c>
      <c r="CL51" s="179">
        <f t="shared" si="55"/>
        <v>15535180.741635937</v>
      </c>
      <c r="CN51">
        <v>5</v>
      </c>
      <c r="CO51" s="7">
        <v>511606.40472540376</v>
      </c>
      <c r="CP51" s="11">
        <f t="shared" si="56"/>
        <v>196771.69412515528</v>
      </c>
    </row>
    <row r="52" spans="1:95" ht="18.75" customHeight="1">
      <c r="A52">
        <f t="shared" si="17"/>
        <v>2020</v>
      </c>
      <c r="B52">
        <f t="shared" si="18"/>
        <v>30.416666666666668</v>
      </c>
      <c r="C52">
        <f t="shared" si="51"/>
        <v>4</v>
      </c>
      <c r="E52" s="97">
        <v>44136</v>
      </c>
      <c r="F52" s="2">
        <f>$F$6*EXP(-$F$3*COUNT($E$9:$E52))</f>
        <v>88.804742513709556</v>
      </c>
      <c r="G52" s="260">
        <f>$F$6/(1+$F$5*$F$3*COUNT($E$9:$E52))^(1/$F$5)</f>
        <v>120.68499796396856</v>
      </c>
      <c r="H52" s="260">
        <f>$H$6/(1+$H$5*$H$3*COUNT($E$9:$E52))^(1/$H$5)</f>
        <v>508.29830921016156</v>
      </c>
      <c r="I52" s="260">
        <f t="shared" si="19"/>
        <v>96.818725563840289</v>
      </c>
      <c r="J52" s="260">
        <f t="shared" si="20"/>
        <v>40.315317324783095</v>
      </c>
      <c r="K52" s="260">
        <f t="shared" si="20"/>
        <v>27.428744952235952</v>
      </c>
      <c r="L52" s="260">
        <f t="shared" si="20"/>
        <v>13.080209823674823</v>
      </c>
      <c r="M52" s="260">
        <f t="shared" si="20"/>
        <v>16.004135335702799</v>
      </c>
      <c r="N52" s="19">
        <f t="shared" si="21"/>
        <v>2701.1442514586656</v>
      </c>
      <c r="O52" s="19">
        <f t="shared" si="22"/>
        <v>3670.8353547373772</v>
      </c>
      <c r="P52" s="19">
        <f t="shared" si="23"/>
        <v>15460.740238475748</v>
      </c>
      <c r="Q52" s="19">
        <f t="shared" si="24"/>
        <v>2944.9029025668087</v>
      </c>
      <c r="R52" s="19">
        <f t="shared" si="25"/>
        <v>1226.2575686288192</v>
      </c>
      <c r="S52" s="19">
        <f t="shared" si="26"/>
        <v>834.2909922971769</v>
      </c>
      <c r="T52" s="19">
        <f t="shared" si="27"/>
        <v>397.85638213677589</v>
      </c>
      <c r="U52" s="19">
        <f t="shared" si="28"/>
        <v>486.79244979429347</v>
      </c>
      <c r="V52" s="261">
        <f t="shared" si="45"/>
        <v>8156.9803390202524</v>
      </c>
      <c r="W52" s="261">
        <f>SUM(O$9:O52)</f>
        <v>450161.68685672362</v>
      </c>
      <c r="X52" s="261">
        <f>SUM(P$9:P52)</f>
        <v>1532231.3747292333</v>
      </c>
      <c r="Y52" s="261">
        <f>SUM(Q$9:Q52)</f>
        <v>291853.59518652066</v>
      </c>
      <c r="Z52" s="261">
        <f>SUM($V$9:V52)</f>
        <v>894759.55154344568</v>
      </c>
      <c r="AB52" s="257">
        <f t="array" ref="AB52">(INDEX(PriceDeck!$C$18:$O$77,MATCH('Decline and Model'!$A52,PriceDeck!$B$18:$B$77,0),MATCH('Decline and Model'!AB$8,PriceDeck!$C$13:$O$13,0))*(1+$AE$6))</f>
        <v>69</v>
      </c>
      <c r="AC52" s="257">
        <f t="array" ref="AC52">INDEX(PriceDeck!$C$18:$O$77,MATCH('Decline and Model'!$A52,PriceDeck!$B$18:$B$77,0),MATCH('Decline and Model'!AC$8,PriceDeck!$C$13:$O$13,0))*(1+$AE$6)</f>
        <v>81.099999999999994</v>
      </c>
      <c r="AD52" s="257">
        <f t="array" ref="AD52">INDEX(PriceDeck!$C$18:$O$77,MATCH('Decline and Model'!$A52,PriceDeck!$B$18:$B$77,0),MATCH('Decline and Model'!AD$8,PriceDeck!$C$13:$O$13,0))*(1+$AE$6)</f>
        <v>13.6</v>
      </c>
      <c r="AE52" s="257">
        <f t="array" ref="AE52">INDEX(PriceDeck!$C$18:$O$77,MATCH('Decline and Model'!$A52,PriceDeck!$B$18:$B$77,0),MATCH('Decline and Model'!AE$8,PriceDeck!$C$13:$O$13,0))*(1+$AE$6)</f>
        <v>28.3</v>
      </c>
      <c r="AF52" s="257">
        <f t="array" ref="AF52">INDEX(PriceDeck!$C$18:$O$77,MATCH('Decline and Model'!$A52,PriceDeck!$B$18:$B$77,0),MATCH('Decline and Model'!AF$8,PriceDeck!$C$13:$O$13,0))*(1+$AE$6)</f>
        <v>84.3</v>
      </c>
      <c r="AG52" s="257">
        <f t="array" ref="AG52">INDEX(PriceDeck!$C$18:$O$77,MATCH('Decline and Model'!$A52,PriceDeck!$B$18:$B$77,0),MATCH('Decline and Model'!AG$8,PriceDeck!$C$13:$O$13,0))*(1+$AE$6)</f>
        <v>56.4</v>
      </c>
      <c r="AH52" s="258">
        <f t="array" ref="AH52">INDEX(PriceDeck!$C$18:$O$77,MATCH('Decline and Model'!$A52,PriceDeck!$B$18:$B$77,0),MATCH('Decline and Model'!AH$8,PriceDeck!$C$13:$O$13,0))</f>
        <v>0.82499999999999996</v>
      </c>
      <c r="AI52" s="258">
        <f t="shared" si="29"/>
        <v>3.6</v>
      </c>
      <c r="AJ52" s="259">
        <f t="shared" si="30"/>
        <v>3.6</v>
      </c>
      <c r="AK52" s="120">
        <v>3.6</v>
      </c>
      <c r="AL52" s="120"/>
      <c r="AN52" s="7">
        <f t="shared" si="31"/>
        <v>297704.74726920127</v>
      </c>
      <c r="AO52" s="7">
        <f t="shared" si="52"/>
        <v>55658.664858512697</v>
      </c>
      <c r="AP52" s="7">
        <f t="shared" si="32"/>
        <v>16677.10293335194</v>
      </c>
      <c r="AQ52" s="7">
        <f t="shared" si="33"/>
        <v>23610.435082010106</v>
      </c>
      <c r="AR52" s="7">
        <f t="shared" si="34"/>
        <v>33539.293014130206</v>
      </c>
      <c r="AS52" s="7">
        <f t="shared" si="35"/>
        <v>27455.094168398151</v>
      </c>
      <c r="AT52" s="7">
        <f t="shared" si="36"/>
        <v>454645.3373256044</v>
      </c>
      <c r="AU52">
        <f>SUM($AT$9:AT52)</f>
        <v>46841291.874802776</v>
      </c>
      <c r="AV52" s="7">
        <f>AT52/(1+$AR$5)^(COUNT($E$9:E52))</f>
        <v>325952.49110614113</v>
      </c>
      <c r="AW52" s="7">
        <f t="shared" si="49"/>
        <v>0</v>
      </c>
      <c r="AX52" s="7">
        <f t="shared" si="37"/>
        <v>0</v>
      </c>
      <c r="AY52" s="117">
        <f t="shared" si="38"/>
        <v>0</v>
      </c>
      <c r="AZ52" s="117">
        <f t="shared" si="53"/>
        <v>454645.3373256044</v>
      </c>
      <c r="BA52" s="120">
        <f t="shared" si="46"/>
        <v>106467.35867134476</v>
      </c>
      <c r="BB52" s="119">
        <f t="shared" si="4"/>
        <v>0</v>
      </c>
      <c r="BC52" s="17"/>
      <c r="BD52" s="126">
        <f t="shared" si="5"/>
        <v>0.65480655541396959</v>
      </c>
      <c r="BE52" s="127">
        <f t="shared" si="6"/>
        <v>0.12242216138389977</v>
      </c>
      <c r="BF52" s="127">
        <f t="shared" si="7"/>
        <v>3.6681565968438079E-2</v>
      </c>
      <c r="BG52" s="127">
        <f t="shared" si="8"/>
        <v>5.193154563268064E-2</v>
      </c>
      <c r="BH52" s="127">
        <f t="shared" si="9"/>
        <v>7.3770234203700394E-2</v>
      </c>
      <c r="BI52" s="128">
        <f t="shared" si="10"/>
        <v>6.0387937397311464E-2</v>
      </c>
      <c r="BJ52" s="126">
        <f t="array" ref="BJ52">BD52*INDEX(Royalty!$U$7:$Z$246,MATCH('Decline and Model'!$E52,Royalty!$AI$7:$AI$246,0),MATCH('Decline and Model'!BJ$8,Royalty!$U$1:$Z$1,0))</f>
        <v>0.16957674882120014</v>
      </c>
      <c r="BK52" s="127">
        <f t="array" ref="BK52">BE52*INDEX(Royalty!$U$7:$Z$246,MATCH('Decline and Model'!$E52,Royalty!$AI$7:$AI$246,0),MATCH('Decline and Model'!BK$8,Royalty!$U$1:$Z$1,0))</f>
        <v>3.0742971524331371E-2</v>
      </c>
      <c r="BL52" s="127">
        <f t="array" ref="BL52">BF52*INDEX(Royalty!$U$7:$Z$246,MATCH('Decline and Model'!$E52,Royalty!$AI$7:$AI$246,0),MATCH('Decline and Model'!BL$8,Royalty!$U$1:$Z$1,0))</f>
        <v>9.1385939789300867E-3</v>
      </c>
      <c r="BM52" s="127">
        <f t="array" ref="BM52">BG52*INDEX(Royalty!$U$7:$Z$246,MATCH('Decline and Model'!$E52,Royalty!$AI$7:$AI$246,0),MATCH('Decline and Model'!BM$8,Royalty!$U$1:$Z$1,0))</f>
        <v>1.298282026810171E-2</v>
      </c>
      <c r="BN52" s="127">
        <f t="array" ref="BN52">BH52*INDEX(Royalty!$U$7:$Z$246,MATCH('Decline and Model'!$E52,Royalty!$AI$7:$AI$246,0),MATCH('Decline and Model'!BN$8,Royalty!$U$1:$Z$1,0))</f>
        <v>8.716199124155324E-3</v>
      </c>
      <c r="BO52" s="127">
        <f t="array" ref="BO52">BI52*INDEX(Royalty!$U$7:$Z$246,MATCH('Decline and Model'!$E52,Royalty!$AI$7:$AI$246,0),MATCH('Decline and Model'!BO$8,Royalty!$U$1:$Z$1,0))</f>
        <v>3.0193968698655734E-3</v>
      </c>
      <c r="BP52" s="135">
        <f t="shared" si="11"/>
        <v>0.2341767305865842</v>
      </c>
      <c r="BQ52" s="7"/>
      <c r="BR52" s="7"/>
      <c r="BS52">
        <v>44</v>
      </c>
      <c r="BT52" s="120">
        <f t="shared" si="12"/>
        <v>106467.35867134476</v>
      </c>
      <c r="BU52" s="113">
        <f t="shared" si="13"/>
        <v>81569.80339020252</v>
      </c>
      <c r="BV52" s="113">
        <f t="shared" si="14"/>
        <v>24470.941017060759</v>
      </c>
      <c r="BW52" s="113">
        <f t="shared" si="47"/>
        <v>4589416.1304577859</v>
      </c>
      <c r="BX52" s="113">
        <f t="shared" si="39"/>
        <v>101446.52210924789</v>
      </c>
      <c r="BY52" s="120">
        <f t="shared" si="40"/>
        <v>140690.71213774846</v>
      </c>
      <c r="BZ52" s="153">
        <f t="shared" si="48"/>
        <v>0</v>
      </c>
      <c r="CA52" s="120">
        <f t="shared" si="50"/>
        <v>140690.71213774846</v>
      </c>
      <c r="CB52" s="120">
        <f t="shared" si="41"/>
        <v>35172.678034437115</v>
      </c>
      <c r="CC52" s="153">
        <f t="shared" si="42"/>
        <v>206964.55621255923</v>
      </c>
      <c r="CD52" s="7">
        <f t="shared" si="16"/>
        <v>148380.74237160213</v>
      </c>
      <c r="CE52" s="11">
        <f>SUM($CD$9:CD52)</f>
        <v>20486786.340358559</v>
      </c>
      <c r="CF52" s="11">
        <f t="shared" si="43"/>
        <v>12000000</v>
      </c>
      <c r="CG52">
        <f t="shared" si="44"/>
        <v>8486786.340358559</v>
      </c>
      <c r="CJ52" s="172" t="s">
        <v>248</v>
      </c>
      <c r="CK52" s="176">
        <f t="shared" si="54"/>
        <v>12</v>
      </c>
      <c r="CL52" s="179">
        <f t="shared" si="55"/>
        <v>16549812.873701256</v>
      </c>
      <c r="CN52">
        <v>6</v>
      </c>
      <c r="CO52" s="7">
        <v>550960.74355043471</v>
      </c>
      <c r="CP52" s="11">
        <f t="shared" si="56"/>
        <v>236126.03295018623</v>
      </c>
    </row>
    <row r="53" spans="1:95" ht="18.75" customHeight="1">
      <c r="A53">
        <f t="shared" si="17"/>
        <v>2020</v>
      </c>
      <c r="B53">
        <f t="shared" si="18"/>
        <v>30.416666666666668</v>
      </c>
      <c r="C53">
        <f t="shared" si="51"/>
        <v>4</v>
      </c>
      <c r="E53" s="97">
        <v>44166</v>
      </c>
      <c r="F53" s="2">
        <f>$F$6*EXP(-$F$3*COUNT($E$9:$E53))</f>
        <v>84.473684114250048</v>
      </c>
      <c r="G53" s="260">
        <f>$F$6/(1+$F$5*$F$3*COUNT($E$9:$E53))^(1/$F$5)</f>
        <v>116.27941198275535</v>
      </c>
      <c r="H53" s="260">
        <f>$H$6/(1+$H$5*$H$3*COUNT($E$9:$E53))^(1/$H$5)</f>
        <v>496.87110094097272</v>
      </c>
      <c r="I53" s="260">
        <f t="shared" si="19"/>
        <v>94.642114464947184</v>
      </c>
      <c r="J53" s="260">
        <f t="shared" si="20"/>
        <v>39.408976463204006</v>
      </c>
      <c r="K53" s="260">
        <f t="shared" si="20"/>
        <v>26.812111027919538</v>
      </c>
      <c r="L53" s="260">
        <f t="shared" si="20"/>
        <v>12.786149664214363</v>
      </c>
      <c r="M53" s="260">
        <f t="shared" si="20"/>
        <v>15.64434152105577</v>
      </c>
      <c r="N53" s="19">
        <f t="shared" si="21"/>
        <v>2569.4078918084392</v>
      </c>
      <c r="O53" s="19">
        <f t="shared" si="22"/>
        <v>3536.8321144754755</v>
      </c>
      <c r="P53" s="19">
        <f t="shared" si="23"/>
        <v>15113.162653621253</v>
      </c>
      <c r="Q53" s="19">
        <f t="shared" si="24"/>
        <v>2878.6976483088101</v>
      </c>
      <c r="R53" s="19">
        <f t="shared" si="25"/>
        <v>1198.6897007557886</v>
      </c>
      <c r="S53" s="19">
        <f t="shared" si="26"/>
        <v>815.53504376588603</v>
      </c>
      <c r="T53" s="19">
        <f t="shared" si="27"/>
        <v>388.91205228652024</v>
      </c>
      <c r="U53" s="19">
        <f t="shared" si="28"/>
        <v>475.84872126544633</v>
      </c>
      <c r="V53" s="261">
        <f t="shared" si="45"/>
        <v>7922.1227143697124</v>
      </c>
      <c r="W53" s="261">
        <f>SUM(O$9:O53)</f>
        <v>453698.51897119911</v>
      </c>
      <c r="X53" s="261">
        <f>SUM(P$9:P53)</f>
        <v>1547344.5373828546</v>
      </c>
      <c r="Y53" s="261">
        <f>SUM(Q$9:Q53)</f>
        <v>294732.29283482948</v>
      </c>
      <c r="Z53" s="261">
        <f>SUM($V$9:V53)</f>
        <v>902681.67425781535</v>
      </c>
      <c r="AB53" s="257">
        <f t="array" ref="AB53">(INDEX(PriceDeck!$C$18:$O$77,MATCH('Decline and Model'!$A53,PriceDeck!$B$18:$B$77,0),MATCH('Decline and Model'!AB$8,PriceDeck!$C$13:$O$13,0))*(1+$AE$6))</f>
        <v>69</v>
      </c>
      <c r="AC53" s="257">
        <f t="array" ref="AC53">INDEX(PriceDeck!$C$18:$O$77,MATCH('Decline and Model'!$A53,PriceDeck!$B$18:$B$77,0),MATCH('Decline and Model'!AC$8,PriceDeck!$C$13:$O$13,0))*(1+$AE$6)</f>
        <v>81.099999999999994</v>
      </c>
      <c r="AD53" s="257">
        <f t="array" ref="AD53">INDEX(PriceDeck!$C$18:$O$77,MATCH('Decline and Model'!$A53,PriceDeck!$B$18:$B$77,0),MATCH('Decline and Model'!AD$8,PriceDeck!$C$13:$O$13,0))*(1+$AE$6)</f>
        <v>13.6</v>
      </c>
      <c r="AE53" s="257">
        <f t="array" ref="AE53">INDEX(PriceDeck!$C$18:$O$77,MATCH('Decline and Model'!$A53,PriceDeck!$B$18:$B$77,0),MATCH('Decline and Model'!AE$8,PriceDeck!$C$13:$O$13,0))*(1+$AE$6)</f>
        <v>28.3</v>
      </c>
      <c r="AF53" s="257">
        <f t="array" ref="AF53">INDEX(PriceDeck!$C$18:$O$77,MATCH('Decline and Model'!$A53,PriceDeck!$B$18:$B$77,0),MATCH('Decline and Model'!AF$8,PriceDeck!$C$13:$O$13,0))*(1+$AE$6)</f>
        <v>84.3</v>
      </c>
      <c r="AG53" s="257">
        <f t="array" ref="AG53">INDEX(PriceDeck!$C$18:$O$77,MATCH('Decline and Model'!$A53,PriceDeck!$B$18:$B$77,0),MATCH('Decline and Model'!AG$8,PriceDeck!$C$13:$O$13,0))*(1+$AE$6)</f>
        <v>56.4</v>
      </c>
      <c r="AH53" s="258">
        <f t="array" ref="AH53">INDEX(PriceDeck!$C$18:$O$77,MATCH('Decline and Model'!$A53,PriceDeck!$B$18:$B$77,0),MATCH('Decline and Model'!AH$8,PriceDeck!$C$13:$O$13,0))</f>
        <v>0.82499999999999996</v>
      </c>
      <c r="AI53" s="258">
        <f t="shared" si="29"/>
        <v>3.6</v>
      </c>
      <c r="AJ53" s="259">
        <f t="shared" si="30"/>
        <v>3.6</v>
      </c>
      <c r="AK53" s="120">
        <v>3.6</v>
      </c>
      <c r="AL53" s="120"/>
      <c r="AN53" s="7">
        <f t="shared" si="31"/>
        <v>286837.08448396105</v>
      </c>
      <c r="AO53" s="7">
        <f t="shared" si="52"/>
        <v>54407.385553036511</v>
      </c>
      <c r="AP53" s="7">
        <f t="shared" si="32"/>
        <v>16302.179930278726</v>
      </c>
      <c r="AQ53" s="7">
        <f t="shared" si="33"/>
        <v>23079.641738574574</v>
      </c>
      <c r="AR53" s="7">
        <f t="shared" si="34"/>
        <v>32785.286007753653</v>
      </c>
      <c r="AS53" s="7">
        <f t="shared" si="35"/>
        <v>26837.867879371173</v>
      </c>
      <c r="AT53" s="7">
        <f t="shared" si="36"/>
        <v>440249.44559297565</v>
      </c>
      <c r="AU53">
        <f>SUM($AT$9:AT53)</f>
        <v>47281541.320395753</v>
      </c>
      <c r="AV53" s="7">
        <f>AT53/(1+$AR$5)^(COUNT($E$9:E53))</f>
        <v>313253.45580626751</v>
      </c>
      <c r="AW53" s="7">
        <f t="shared" si="49"/>
        <v>0</v>
      </c>
      <c r="AX53" s="7">
        <f t="shared" si="37"/>
        <v>0</v>
      </c>
      <c r="AY53" s="117">
        <f t="shared" si="38"/>
        <v>0</v>
      </c>
      <c r="AZ53" s="117">
        <f t="shared" si="53"/>
        <v>440249.44559297565</v>
      </c>
      <c r="BA53" s="120">
        <f t="shared" si="46"/>
        <v>102992.65754807615</v>
      </c>
      <c r="BB53" s="119">
        <f t="shared" si="4"/>
        <v>0</v>
      </c>
      <c r="BC53" s="17"/>
      <c r="BD53" s="126">
        <f t="shared" si="5"/>
        <v>0.651533096419049</v>
      </c>
      <c r="BE53" s="127">
        <f t="shared" si="6"/>
        <v>0.12358308703774686</v>
      </c>
      <c r="BF53" s="127">
        <f t="shared" si="7"/>
        <v>3.7029416149113335E-2</v>
      </c>
      <c r="BG53" s="127">
        <f t="shared" si="8"/>
        <v>5.2424010909288964E-2</v>
      </c>
      <c r="BH53" s="127">
        <f t="shared" si="9"/>
        <v>7.4469795103534714E-2</v>
      </c>
      <c r="BI53" s="128">
        <f t="shared" si="10"/>
        <v>6.0960594381267247E-2</v>
      </c>
      <c r="BJ53" s="126">
        <f t="array" ref="BJ53">BD53*INDEX(Royalty!$U$7:$Z$246,MATCH('Decline and Model'!$E53,Royalty!$AI$7:$AI$246,0),MATCH('Decline and Model'!BJ$8,Royalty!$U$1:$Z$1,0))</f>
        <v>0.16872901367076748</v>
      </c>
      <c r="BK53" s="127">
        <f t="array" ref="BK53">BE53*INDEX(Royalty!$U$7:$Z$246,MATCH('Decline and Model'!$E53,Royalty!$AI$7:$AI$246,0),MATCH('Decline and Model'!BK$8,Royalty!$U$1:$Z$1,0))</f>
        <v>3.1034506193501003E-2</v>
      </c>
      <c r="BL53" s="127">
        <f t="array" ref="BL53">BF53*INDEX(Royalty!$U$7:$Z$246,MATCH('Decline and Model'!$E53,Royalty!$AI$7:$AI$246,0),MATCH('Decline and Model'!BL$8,Royalty!$U$1:$Z$1,0))</f>
        <v>9.2252549892431097E-3</v>
      </c>
      <c r="BM53" s="127">
        <f t="array" ref="BM53">BG53*INDEX(Royalty!$U$7:$Z$246,MATCH('Decline and Model'!$E53,Royalty!$AI$7:$AI$246,0),MATCH('Decline and Model'!BM$8,Royalty!$U$1:$Z$1,0))</f>
        <v>1.3105935960049523E-2</v>
      </c>
      <c r="BN53" s="127">
        <f t="array" ref="BN53">BH53*INDEX(Royalty!$U$7:$Z$246,MATCH('Decline and Model'!$E53,Royalty!$AI$7:$AI$246,0),MATCH('Decline and Model'!BN$8,Royalty!$U$1:$Z$1,0))</f>
        <v>8.7988545768354961E-3</v>
      </c>
      <c r="BO53" s="127">
        <f t="array" ref="BO53">BI53*INDEX(Royalty!$U$7:$Z$246,MATCH('Decline and Model'!$E53,Royalty!$AI$7:$AI$246,0),MATCH('Decline and Model'!BO$8,Royalty!$U$1:$Z$1,0))</f>
        <v>3.0480297190633625E-3</v>
      </c>
      <c r="BP53" s="135">
        <f t="shared" si="11"/>
        <v>0.23394159510946</v>
      </c>
      <c r="BQ53" s="7"/>
      <c r="BR53" s="7"/>
      <c r="BS53">
        <v>45</v>
      </c>
      <c r="BT53" s="120">
        <f t="shared" si="12"/>
        <v>102992.65754807615</v>
      </c>
      <c r="BU53" s="113">
        <f t="shared" si="13"/>
        <v>79221.22714369712</v>
      </c>
      <c r="BV53" s="113">
        <f t="shared" si="14"/>
        <v>23766.368143109139</v>
      </c>
      <c r="BW53" s="113">
        <f t="shared" si="47"/>
        <v>4487969.6083485382</v>
      </c>
      <c r="BX53" s="113">
        <f t="shared" si="39"/>
        <v>99204.102473389852</v>
      </c>
      <c r="BY53" s="120">
        <f t="shared" si="40"/>
        <v>135065.09028470336</v>
      </c>
      <c r="BZ53" s="153">
        <f t="shared" si="48"/>
        <v>0</v>
      </c>
      <c r="CA53" s="120">
        <f t="shared" si="50"/>
        <v>135065.09028470336</v>
      </c>
      <c r="CB53" s="120">
        <f t="shared" si="41"/>
        <v>33766.272571175839</v>
      </c>
      <c r="CC53" s="153">
        <f t="shared" si="42"/>
        <v>200502.92018691736</v>
      </c>
      <c r="CD53" s="7">
        <f t="shared" si="16"/>
        <v>142665.1033329597</v>
      </c>
      <c r="CE53" s="11">
        <f>SUM($CD$9:CD53)</f>
        <v>20629451.443691518</v>
      </c>
      <c r="CF53" s="11">
        <f t="shared" si="43"/>
        <v>12000000</v>
      </c>
      <c r="CG53">
        <f t="shared" si="44"/>
        <v>8629451.4436915182</v>
      </c>
      <c r="CJ53" s="172" t="s">
        <v>249</v>
      </c>
      <c r="CK53" s="176">
        <f t="shared" si="54"/>
        <v>12</v>
      </c>
      <c r="CL53" s="179">
        <f t="shared" si="55"/>
        <v>17558210.981367979</v>
      </c>
      <c r="CN53">
        <v>7</v>
      </c>
      <c r="CO53" s="7">
        <v>590315.08237546566</v>
      </c>
      <c r="CP53" s="11">
        <f t="shared" si="56"/>
        <v>275480.37177521718</v>
      </c>
    </row>
    <row r="54" spans="1:95" ht="18.75" customHeight="1">
      <c r="A54">
        <f t="shared" si="17"/>
        <v>2021</v>
      </c>
      <c r="B54">
        <f t="shared" si="18"/>
        <v>30.416666666666668</v>
      </c>
      <c r="C54">
        <f t="shared" si="51"/>
        <v>4</v>
      </c>
      <c r="E54" s="97">
        <v>44197</v>
      </c>
      <c r="F54" s="2">
        <f>$F$6*EXP(-$F$3*COUNT($E$9:$E54))</f>
        <v>80.353853925453151</v>
      </c>
      <c r="G54" s="260">
        <f>$F$6/(1+$F$5*$F$3*COUNT($E$9:$E54))^(1/$F$5)</f>
        <v>112.05850758594819</v>
      </c>
      <c r="H54" s="260">
        <f>$H$6/(1+$H$5*$H$3*COUNT($E$9:$E54))^(1/$H$5)</f>
        <v>485.87735120968415</v>
      </c>
      <c r="I54" s="260">
        <f t="shared" si="19"/>
        <v>92.548066897082691</v>
      </c>
      <c r="J54" s="260">
        <f t="shared" si="20"/>
        <v>38.537015055945233</v>
      </c>
      <c r="K54" s="260">
        <f t="shared" si="20"/>
        <v>26.218867351943526</v>
      </c>
      <c r="L54" s="260">
        <f t="shared" si="20"/>
        <v>12.503243837795871</v>
      </c>
      <c r="M54" s="260">
        <f t="shared" si="20"/>
        <v>15.298195458087768</v>
      </c>
      <c r="N54" s="19">
        <f t="shared" si="21"/>
        <v>2444.0963902325334</v>
      </c>
      <c r="O54" s="19">
        <f t="shared" si="22"/>
        <v>3408.4462724059244</v>
      </c>
      <c r="P54" s="19">
        <f t="shared" si="23"/>
        <v>14778.769432627894</v>
      </c>
      <c r="Q54" s="19">
        <f t="shared" si="24"/>
        <v>2815.0037014529321</v>
      </c>
      <c r="R54" s="19">
        <f t="shared" si="25"/>
        <v>1172.1675412850009</v>
      </c>
      <c r="S54" s="19">
        <f t="shared" si="26"/>
        <v>797.49054862161563</v>
      </c>
      <c r="T54" s="19">
        <f t="shared" si="27"/>
        <v>380.3070000662911</v>
      </c>
      <c r="U54" s="19">
        <f t="shared" si="28"/>
        <v>465.32011185016967</v>
      </c>
      <c r="V54" s="261">
        <f t="shared" si="45"/>
        <v>7696.7081111930875</v>
      </c>
      <c r="W54" s="261">
        <f>SUM(O$9:O54)</f>
        <v>457106.96524360502</v>
      </c>
      <c r="X54" s="261">
        <f>SUM(P$9:P54)</f>
        <v>1562123.3068154824</v>
      </c>
      <c r="Y54" s="261">
        <f>SUM(Q$9:Q54)</f>
        <v>297547.2965362824</v>
      </c>
      <c r="Z54" s="261">
        <f>SUM($V$9:V54)</f>
        <v>910378.38236900838</v>
      </c>
      <c r="AB54" s="257">
        <f t="array" ref="AB54">(INDEX(PriceDeck!$C$18:$O$77,MATCH('Decline and Model'!$A54,PriceDeck!$B$18:$B$77,0),MATCH('Decline and Model'!AB$8,PriceDeck!$C$13:$O$13,0))*(1+$AE$6))</f>
        <v>75.8</v>
      </c>
      <c r="AC54" s="257">
        <f t="array" ref="AC54">INDEX(PriceDeck!$C$18:$O$77,MATCH('Decline and Model'!$A54,PriceDeck!$B$18:$B$77,0),MATCH('Decline and Model'!AC$8,PriceDeck!$C$13:$O$13,0))*(1+$AE$6)</f>
        <v>86.6</v>
      </c>
      <c r="AD54" s="257">
        <f t="array" ref="AD54">INDEX(PriceDeck!$C$18:$O$77,MATCH('Decline and Model'!$A54,PriceDeck!$B$18:$B$77,0),MATCH('Decline and Model'!AD$8,PriceDeck!$C$13:$O$13,0))*(1+$AE$6)</f>
        <v>14.8</v>
      </c>
      <c r="AE54" s="257">
        <f t="array" ref="AE54">INDEX(PriceDeck!$C$18:$O$77,MATCH('Decline and Model'!$A54,PriceDeck!$B$18:$B$77,0),MATCH('Decline and Model'!AE$8,PriceDeck!$C$13:$O$13,0))*(1+$AE$6)</f>
        <v>30.3</v>
      </c>
      <c r="AF54" s="257">
        <f t="array" ref="AF54">INDEX(PriceDeck!$C$18:$O$77,MATCH('Decline and Model'!$A54,PriceDeck!$B$18:$B$77,0),MATCH('Decline and Model'!AF$8,PriceDeck!$C$13:$O$13,0))*(1+$AE$6)</f>
        <v>89.8</v>
      </c>
      <c r="AG54" s="257">
        <f t="array" ref="AG54">INDEX(PriceDeck!$C$18:$O$77,MATCH('Decline and Model'!$A54,PriceDeck!$B$18:$B$77,0),MATCH('Decline and Model'!AG$8,PriceDeck!$C$13:$O$13,0))*(1+$AE$6)</f>
        <v>63.4</v>
      </c>
      <c r="AH54" s="258">
        <f t="array" ref="AH54">INDEX(PriceDeck!$C$18:$O$77,MATCH('Decline and Model'!$A54,PriceDeck!$B$18:$B$77,0),MATCH('Decline and Model'!AH$8,PriceDeck!$C$13:$O$13,0))</f>
        <v>0.85</v>
      </c>
      <c r="AI54" s="258">
        <f t="shared" si="29"/>
        <v>3.9</v>
      </c>
      <c r="AJ54" s="259">
        <f t="shared" si="30"/>
        <v>3.9</v>
      </c>
      <c r="AK54" s="120">
        <v>3.9</v>
      </c>
      <c r="AL54" s="120"/>
      <c r="AN54" s="7">
        <f t="shared" si="31"/>
        <v>295171.44719035306</v>
      </c>
      <c r="AO54" s="7">
        <f t="shared" si="52"/>
        <v>57637.200787248788</v>
      </c>
      <c r="AP54" s="7">
        <f t="shared" si="32"/>
        <v>17348.079611018013</v>
      </c>
      <c r="AQ54" s="7">
        <f t="shared" si="33"/>
        <v>24163.963623234955</v>
      </c>
      <c r="AR54" s="7">
        <f t="shared" si="34"/>
        <v>34151.56860595294</v>
      </c>
      <c r="AS54" s="7">
        <f t="shared" si="35"/>
        <v>29501.295091300755</v>
      </c>
      <c r="AT54" s="7">
        <f t="shared" si="36"/>
        <v>457973.5549091085</v>
      </c>
      <c r="AU54">
        <f>SUM($AT$9:AT54)</f>
        <v>47739514.875304863</v>
      </c>
      <c r="AV54" s="7">
        <f>AT54/(1+$AR$5)^(COUNT($E$9:E54))</f>
        <v>323409.6274600756</v>
      </c>
      <c r="AW54" s="7">
        <f t="shared" si="49"/>
        <v>0</v>
      </c>
      <c r="AX54" s="7">
        <f t="shared" si="37"/>
        <v>0</v>
      </c>
      <c r="AY54" s="117">
        <f t="shared" si="38"/>
        <v>0</v>
      </c>
      <c r="AZ54" s="117">
        <f t="shared" si="53"/>
        <v>457973.5549091085</v>
      </c>
      <c r="BA54" s="120">
        <f t="shared" si="46"/>
        <v>112745.23110964918</v>
      </c>
      <c r="BB54" s="119">
        <f t="shared" si="4"/>
        <v>0</v>
      </c>
      <c r="BC54" s="17"/>
      <c r="BD54" s="126">
        <f t="shared" si="5"/>
        <v>0.64451635695195131</v>
      </c>
      <c r="BE54" s="127">
        <f t="shared" si="6"/>
        <v>0.12585268334694069</v>
      </c>
      <c r="BF54" s="127">
        <f t="shared" si="7"/>
        <v>3.7880090291372806E-2</v>
      </c>
      <c r="BG54" s="127">
        <f t="shared" si="8"/>
        <v>5.2762792445582678E-2</v>
      </c>
      <c r="BH54" s="127">
        <f t="shared" si="9"/>
        <v>7.4571049441339063E-2</v>
      </c>
      <c r="BI54" s="128">
        <f t="shared" si="10"/>
        <v>6.4417027522813447E-2</v>
      </c>
      <c r="BJ54" s="126">
        <f t="array" ref="BJ54">BD54*INDEX(Royalty!$U$7:$Z$246,MATCH('Decline and Model'!$E54,Royalty!$AI$7:$AI$246,0),MATCH('Decline and Model'!BJ$8,Royalty!$U$1:$Z$1,0))</f>
        <v>0.17560745687033311</v>
      </c>
      <c r="BK54" s="127">
        <f t="array" ref="BK54">BE54*INDEX(Royalty!$U$7:$Z$246,MATCH('Decline and Model'!$E54,Royalty!$AI$7:$AI$246,0),MATCH('Decline and Model'!BK$8,Royalty!$U$1:$Z$1,0))</f>
        <v>3.330241252581826E-2</v>
      </c>
      <c r="BL54" s="127">
        <f t="array" ref="BL54">BF54*INDEX(Royalty!$U$7:$Z$246,MATCH('Decline and Model'!$E54,Royalty!$AI$7:$AI$246,0),MATCH('Decline and Model'!BL$8,Royalty!$U$1:$Z$1,0))</f>
        <v>1.0361152852896582E-2</v>
      </c>
      <c r="BM54" s="127">
        <f t="array" ref="BM54">BG54*INDEX(Royalty!$U$7:$Z$246,MATCH('Decline and Model'!$E54,Royalty!$AI$7:$AI$246,0),MATCH('Decline and Model'!BM$8,Royalty!$U$1:$Z$1,0))</f>
        <v>1.3929368946093536E-2</v>
      </c>
      <c r="BN54" s="127">
        <f t="array" ref="BN54">BH54*INDEX(Royalty!$U$7:$Z$246,MATCH('Decline and Model'!$E54,Royalty!$AI$7:$AI$246,0),MATCH('Decline and Model'!BN$8,Royalty!$U$1:$Z$1,0))</f>
        <v>9.7615989948102687E-3</v>
      </c>
      <c r="BO54" s="127">
        <f t="array" ref="BO54">BI54*INDEX(Royalty!$U$7:$Z$246,MATCH('Decline and Model'!$E54,Royalty!$AI$7:$AI$246,0),MATCH('Decline and Model'!BO$8,Royalty!$U$1:$Z$1,0))</f>
        <v>3.2208513761406727E-3</v>
      </c>
      <c r="BP54" s="135">
        <f t="shared" si="11"/>
        <v>0.24618284156609241</v>
      </c>
      <c r="BQ54" s="7"/>
      <c r="BR54" s="7"/>
      <c r="BS54">
        <v>46</v>
      </c>
      <c r="BT54" s="120">
        <f t="shared" si="12"/>
        <v>112745.23110964918</v>
      </c>
      <c r="BU54" s="113">
        <f t="shared" si="13"/>
        <v>76967.081111930878</v>
      </c>
      <c r="BV54" s="113">
        <f t="shared" si="14"/>
        <v>23090.124333579261</v>
      </c>
      <c r="BW54" s="113">
        <f t="shared" si="47"/>
        <v>4388765.5058751479</v>
      </c>
      <c r="BX54" s="113">
        <f t="shared" si="39"/>
        <v>97011.250291582794</v>
      </c>
      <c r="BY54" s="120">
        <f t="shared" si="40"/>
        <v>148159.86806236638</v>
      </c>
      <c r="BZ54" s="153">
        <f t="shared" si="48"/>
        <v>0</v>
      </c>
      <c r="CA54" s="120">
        <f t="shared" si="50"/>
        <v>148159.86806236638</v>
      </c>
      <c r="CB54" s="120">
        <f t="shared" si="41"/>
        <v>37039.967015591596</v>
      </c>
      <c r="CC54" s="153">
        <f t="shared" si="42"/>
        <v>208131.15133835759</v>
      </c>
      <c r="CD54" s="7">
        <f t="shared" si="16"/>
        <v>146977.08502084541</v>
      </c>
      <c r="CE54" s="11">
        <f>SUM($CD$9:CD54)</f>
        <v>20776428.528712362</v>
      </c>
      <c r="CF54" s="11">
        <f t="shared" si="43"/>
        <v>12000000</v>
      </c>
      <c r="CG54">
        <f t="shared" si="44"/>
        <v>8776428.5287123621</v>
      </c>
      <c r="CJ54" s="172" t="s">
        <v>315</v>
      </c>
      <c r="CK54" s="176">
        <f t="shared" si="54"/>
        <v>12</v>
      </c>
      <c r="CL54" s="179">
        <f t="shared" si="55"/>
        <v>18184306.876244463</v>
      </c>
      <c r="CN54">
        <v>8</v>
      </c>
      <c r="CO54" s="7">
        <v>629669.42120049696</v>
      </c>
      <c r="CP54" s="11">
        <f t="shared" si="56"/>
        <v>314834.71060024848</v>
      </c>
    </row>
    <row r="55" spans="1:95" ht="18.75" customHeight="1">
      <c r="A55">
        <f t="shared" si="17"/>
        <v>2021</v>
      </c>
      <c r="B55">
        <f t="shared" si="18"/>
        <v>30.416666666666668</v>
      </c>
      <c r="C55">
        <f t="shared" si="51"/>
        <v>4</v>
      </c>
      <c r="E55" s="97">
        <v>44228</v>
      </c>
      <c r="F55" s="2">
        <f>$F$6*EXP(-$F$3*COUNT($E$9:$E55))</f>
        <v>76.434950225923259</v>
      </c>
      <c r="G55" s="260">
        <f>$F$6/(1+$F$5*$F$3*COUNT($E$9:$E55))^(1/$F$5)</f>
        <v>108.01355409596005</v>
      </c>
      <c r="H55" s="260">
        <f>$H$6/(1+$H$5*$H$3*COUNT($E$9:$E55))^(1/$H$5)</f>
        <v>475.29412923423774</v>
      </c>
      <c r="I55" s="260">
        <f t="shared" si="19"/>
        <v>90.532215092235759</v>
      </c>
      <c r="J55" s="260">
        <f t="shared" si="20"/>
        <v>37.697614364406967</v>
      </c>
      <c r="K55" s="260">
        <f t="shared" si="20"/>
        <v>25.647776535630392</v>
      </c>
      <c r="L55" s="260">
        <f t="shared" si="20"/>
        <v>12.23090225896105</v>
      </c>
      <c r="M55" s="260">
        <f t="shared" si="20"/>
        <v>14.964975154746572</v>
      </c>
      <c r="N55" s="19">
        <f t="shared" si="21"/>
        <v>2324.8964027051661</v>
      </c>
      <c r="O55" s="19">
        <f t="shared" si="22"/>
        <v>3285.4122704187848</v>
      </c>
      <c r="P55" s="19">
        <f t="shared" si="23"/>
        <v>14456.863097541398</v>
      </c>
      <c r="Q55" s="19">
        <f t="shared" si="24"/>
        <v>2753.6882090555046</v>
      </c>
      <c r="R55" s="19">
        <f t="shared" si="25"/>
        <v>1146.6357702507119</v>
      </c>
      <c r="S55" s="19">
        <f t="shared" si="26"/>
        <v>780.11986962542449</v>
      </c>
      <c r="T55" s="19">
        <f t="shared" si="27"/>
        <v>372.02327704339865</v>
      </c>
      <c r="U55" s="19">
        <f t="shared" si="28"/>
        <v>455.18466095687489</v>
      </c>
      <c r="V55" s="261">
        <f t="shared" si="45"/>
        <v>7480.268588623996</v>
      </c>
      <c r="W55" s="261">
        <f>SUM(O$9:O55)</f>
        <v>460392.3775140238</v>
      </c>
      <c r="X55" s="261">
        <f>SUM(P$9:P55)</f>
        <v>1576580.1699130239</v>
      </c>
      <c r="Y55" s="261">
        <f>SUM(Q$9:Q55)</f>
        <v>300300.98474533792</v>
      </c>
      <c r="Z55" s="261">
        <f>SUM($V$9:V55)</f>
        <v>917858.65095763234</v>
      </c>
      <c r="AB55" s="257">
        <f t="array" ref="AB55">(INDEX(PriceDeck!$C$18:$O$77,MATCH('Decline and Model'!$A55,PriceDeck!$B$18:$B$77,0),MATCH('Decline and Model'!AB$8,PriceDeck!$C$13:$O$13,0))*(1+$AE$6))</f>
        <v>75.8</v>
      </c>
      <c r="AC55" s="257">
        <f t="array" ref="AC55">INDEX(PriceDeck!$C$18:$O$77,MATCH('Decline and Model'!$A55,PriceDeck!$B$18:$B$77,0),MATCH('Decline and Model'!AC$8,PriceDeck!$C$13:$O$13,0))*(1+$AE$6)</f>
        <v>86.6</v>
      </c>
      <c r="AD55" s="257">
        <f t="array" ref="AD55">INDEX(PriceDeck!$C$18:$O$77,MATCH('Decline and Model'!$A55,PriceDeck!$B$18:$B$77,0),MATCH('Decline and Model'!AD$8,PriceDeck!$C$13:$O$13,0))*(1+$AE$6)</f>
        <v>14.8</v>
      </c>
      <c r="AE55" s="257">
        <f t="array" ref="AE55">INDEX(PriceDeck!$C$18:$O$77,MATCH('Decline and Model'!$A55,PriceDeck!$B$18:$B$77,0),MATCH('Decline and Model'!AE$8,PriceDeck!$C$13:$O$13,0))*(1+$AE$6)</f>
        <v>30.3</v>
      </c>
      <c r="AF55" s="257">
        <f t="array" ref="AF55">INDEX(PriceDeck!$C$18:$O$77,MATCH('Decline and Model'!$A55,PriceDeck!$B$18:$B$77,0),MATCH('Decline and Model'!AF$8,PriceDeck!$C$13:$O$13,0))*(1+$AE$6)</f>
        <v>89.8</v>
      </c>
      <c r="AG55" s="257">
        <f t="array" ref="AG55">INDEX(PriceDeck!$C$18:$O$77,MATCH('Decline and Model'!$A55,PriceDeck!$B$18:$B$77,0),MATCH('Decline and Model'!AG$8,PriceDeck!$C$13:$O$13,0))*(1+$AE$6)</f>
        <v>63.4</v>
      </c>
      <c r="AH55" s="258">
        <f t="array" ref="AH55">INDEX(PriceDeck!$C$18:$O$77,MATCH('Decline and Model'!$A55,PriceDeck!$B$18:$B$77,0),MATCH('Decline and Model'!AH$8,PriceDeck!$C$13:$O$13,0))</f>
        <v>0.85</v>
      </c>
      <c r="AI55" s="258">
        <f t="shared" si="29"/>
        <v>3.9</v>
      </c>
      <c r="AJ55" s="259">
        <f t="shared" si="30"/>
        <v>3.9</v>
      </c>
      <c r="AK55" s="120">
        <v>3.9</v>
      </c>
      <c r="AL55" s="120"/>
      <c r="AN55" s="7">
        <f t="shared" si="31"/>
        <v>284516.70261826675</v>
      </c>
      <c r="AO55" s="7">
        <f t="shared" si="52"/>
        <v>56381.766080411449</v>
      </c>
      <c r="AP55" s="7">
        <f t="shared" si="32"/>
        <v>16970.209399710537</v>
      </c>
      <c r="AQ55" s="7">
        <f t="shared" si="33"/>
        <v>23637.632049650361</v>
      </c>
      <c r="AR55" s="7">
        <f t="shared" si="34"/>
        <v>33407.690278497197</v>
      </c>
      <c r="AS55" s="7">
        <f t="shared" si="35"/>
        <v>28858.707504665868</v>
      </c>
      <c r="AT55" s="7">
        <f t="shared" si="36"/>
        <v>443772.70793120214</v>
      </c>
      <c r="AU55">
        <f>SUM($AT$9:AT55)</f>
        <v>48183287.583236068</v>
      </c>
      <c r="AV55" s="7">
        <f>AT55/(1+$AR$5)^(COUNT($E$9:E55))</f>
        <v>311020.21896491025</v>
      </c>
      <c r="AW55" s="7">
        <f t="shared" si="49"/>
        <v>0</v>
      </c>
      <c r="AX55" s="7">
        <f t="shared" si="37"/>
        <v>0</v>
      </c>
      <c r="AY55" s="117">
        <f t="shared" si="38"/>
        <v>0</v>
      </c>
      <c r="AZ55" s="117">
        <f t="shared" si="53"/>
        <v>443772.70793120214</v>
      </c>
      <c r="BA55" s="120">
        <f t="shared" si="46"/>
        <v>109138.17772378946</v>
      </c>
      <c r="BB55" s="119">
        <f t="shared" si="4"/>
        <v>0</v>
      </c>
      <c r="BC55" s="17"/>
      <c r="BD55" s="126">
        <f t="shared" si="5"/>
        <v>0.6411315917660606</v>
      </c>
      <c r="BE55" s="127">
        <f t="shared" si="6"/>
        <v>0.12705099947054943</v>
      </c>
      <c r="BF55" s="127">
        <f t="shared" si="7"/>
        <v>3.8240768520495454E-2</v>
      </c>
      <c r="BG55" s="127">
        <f t="shared" si="8"/>
        <v>5.3265177482061138E-2</v>
      </c>
      <c r="BH55" s="127">
        <f t="shared" si="9"/>
        <v>7.528108349483352E-2</v>
      </c>
      <c r="BI55" s="128">
        <f t="shared" si="10"/>
        <v>6.5030379265999874E-2</v>
      </c>
      <c r="BJ55" s="126">
        <f t="array" ref="BJ55">BD55*INDEX(Royalty!$U$7:$Z$246,MATCH('Decline and Model'!$E55,Royalty!$AI$7:$AI$246,0),MATCH('Decline and Model'!BJ$8,Royalty!$U$1:$Z$1,0))</f>
        <v>0.17468523045980647</v>
      </c>
      <c r="BK55" s="127">
        <f t="array" ref="BK55">BE55*INDEX(Royalty!$U$7:$Z$246,MATCH('Decline and Model'!$E55,Royalty!$AI$7:$AI$246,0),MATCH('Decline and Model'!BK$8,Royalty!$U$1:$Z$1,0))</f>
        <v>3.3619504039669783E-2</v>
      </c>
      <c r="BL55" s="127">
        <f t="array" ref="BL55">BF55*INDEX(Royalty!$U$7:$Z$246,MATCH('Decline and Model'!$E55,Royalty!$AI$7:$AI$246,0),MATCH('Decline and Model'!BL$8,Royalty!$U$1:$Z$1,0))</f>
        <v>1.045980737652381E-2</v>
      </c>
      <c r="BM55" s="127">
        <f t="array" ref="BM55">BG55*INDEX(Royalty!$U$7:$Z$246,MATCH('Decline and Model'!$E55,Royalty!$AI$7:$AI$246,0),MATCH('Decline and Model'!BM$8,Royalty!$U$1:$Z$1,0))</f>
        <v>1.4061998517079993E-2</v>
      </c>
      <c r="BN55" s="127">
        <f t="array" ref="BN55">BH55*INDEX(Royalty!$U$7:$Z$246,MATCH('Decline and Model'!$E55,Royalty!$AI$7:$AI$246,0),MATCH('Decline and Model'!BN$8,Royalty!$U$1:$Z$1,0))</f>
        <v>9.8545448196953652E-3</v>
      </c>
      <c r="BO55" s="127">
        <f t="array" ref="BO55">BI55*INDEX(Royalty!$U$7:$Z$246,MATCH('Decline and Model'!$E55,Royalty!$AI$7:$AI$246,0),MATCH('Decline and Model'!BO$8,Royalty!$U$1:$Z$1,0))</f>
        <v>3.2515189632999937E-3</v>
      </c>
      <c r="BP55" s="135">
        <f t="shared" si="11"/>
        <v>0.2459326041760754</v>
      </c>
      <c r="BQ55" s="7"/>
      <c r="BR55" s="7"/>
      <c r="BS55">
        <v>47</v>
      </c>
      <c r="BT55" s="120">
        <f t="shared" si="12"/>
        <v>109138.17772378946</v>
      </c>
      <c r="BU55" s="113">
        <f t="shared" si="13"/>
        <v>74802.685886239953</v>
      </c>
      <c r="BV55" s="113">
        <f t="shared" si="14"/>
        <v>22440.805765871988</v>
      </c>
      <c r="BW55" s="113">
        <f t="shared" si="47"/>
        <v>4291754.2555835648</v>
      </c>
      <c r="BX55" s="113">
        <f t="shared" si="39"/>
        <v>94866.869902487597</v>
      </c>
      <c r="BY55" s="120">
        <f t="shared" si="40"/>
        <v>142524.16865281312</v>
      </c>
      <c r="BZ55" s="153">
        <f t="shared" si="48"/>
        <v>0</v>
      </c>
      <c r="CA55" s="120">
        <f t="shared" si="50"/>
        <v>142524.16865281312</v>
      </c>
      <c r="CB55" s="120">
        <f t="shared" si="41"/>
        <v>35631.042163203281</v>
      </c>
      <c r="CC55" s="153">
        <f t="shared" si="42"/>
        <v>201759.99639209744</v>
      </c>
      <c r="CD55" s="7">
        <f t="shared" si="16"/>
        <v>141404.45578270662</v>
      </c>
      <c r="CE55" s="11">
        <f>SUM($CD$9:CD55)</f>
        <v>20917832.98449507</v>
      </c>
      <c r="CF55" s="11">
        <f t="shared" si="43"/>
        <v>12000000</v>
      </c>
      <c r="CG55">
        <f t="shared" si="44"/>
        <v>8917832.9844950698</v>
      </c>
      <c r="CJ55" s="174" t="s">
        <v>316</v>
      </c>
      <c r="CK55" s="177">
        <f t="shared" si="54"/>
        <v>12</v>
      </c>
      <c r="CL55" s="180">
        <f t="shared" si="55"/>
        <v>18184306.876244463</v>
      </c>
      <c r="CM55">
        <v>250</v>
      </c>
      <c r="CO55" t="s">
        <v>142</v>
      </c>
      <c r="CP55" t="s">
        <v>320</v>
      </c>
      <c r="CQ55" t="s">
        <v>321</v>
      </c>
    </row>
    <row r="56" spans="1:95">
      <c r="A56">
        <f t="shared" si="17"/>
        <v>2021</v>
      </c>
      <c r="B56">
        <f t="shared" si="18"/>
        <v>30.416666666666668</v>
      </c>
      <c r="C56">
        <f t="shared" si="51"/>
        <v>4</v>
      </c>
      <c r="E56" s="97">
        <v>44256</v>
      </c>
      <c r="F56" s="2">
        <f>$F$6*EXP(-$F$3*COUNT($E$9:$E56))</f>
        <v>72.707173715145686</v>
      </c>
      <c r="G56" s="260">
        <f>$F$6/(1+$F$5*$F$3*COUNT($E$9:$E56))^(1/$F$5)</f>
        <v>104.13627979733401</v>
      </c>
      <c r="H56" s="260">
        <f>$H$6/(1+$H$5*$H$3*COUNT($E$9:$E56))^(1/$H$5)</f>
        <v>465.10005005865247</v>
      </c>
      <c r="I56" s="260">
        <f t="shared" si="19"/>
        <v>88.590485725457611</v>
      </c>
      <c r="J56" s="260">
        <f t="shared" si="20"/>
        <v>36.889078256080552</v>
      </c>
      <c r="K56" s="260">
        <f t="shared" si="20"/>
        <v>25.097684606022142</v>
      </c>
      <c r="L56" s="260">
        <f t="shared" si="20"/>
        <v>11.968574621509322</v>
      </c>
      <c r="M56" s="260">
        <f t="shared" si="20"/>
        <v>14.644007290418143</v>
      </c>
      <c r="N56" s="19">
        <f t="shared" si="21"/>
        <v>2211.5098671690148</v>
      </c>
      <c r="O56" s="19">
        <f t="shared" si="22"/>
        <v>3167.4785105022429</v>
      </c>
      <c r="P56" s="19">
        <f t="shared" si="23"/>
        <v>14146.793189284013</v>
      </c>
      <c r="Q56" s="19">
        <f t="shared" si="24"/>
        <v>2694.6272741493358</v>
      </c>
      <c r="R56" s="19">
        <f t="shared" si="25"/>
        <v>1122.0427969557834</v>
      </c>
      <c r="S56" s="19">
        <f t="shared" si="26"/>
        <v>763.38790676650683</v>
      </c>
      <c r="T56" s="19">
        <f t="shared" si="27"/>
        <v>364.04414473757527</v>
      </c>
      <c r="U56" s="19">
        <f t="shared" si="28"/>
        <v>445.42188841688522</v>
      </c>
      <c r="V56" s="261">
        <f t="shared" si="45"/>
        <v>7272.3638090635031</v>
      </c>
      <c r="W56" s="261">
        <f>SUM(O$9:O56)</f>
        <v>463559.85602452606</v>
      </c>
      <c r="X56" s="261">
        <f>SUM(P$9:P56)</f>
        <v>1590726.9631023079</v>
      </c>
      <c r="Y56" s="261">
        <f>SUM(Q$9:Q56)</f>
        <v>302995.61201948725</v>
      </c>
      <c r="Z56" s="261">
        <f>SUM($V$9:V56)</f>
        <v>925131.01476669579</v>
      </c>
      <c r="AB56" s="257">
        <f t="array" ref="AB56">(INDEX(PriceDeck!$C$18:$O$77,MATCH('Decline and Model'!$A56,PriceDeck!$B$18:$B$77,0),MATCH('Decline and Model'!AB$8,PriceDeck!$C$13:$O$13,0))*(1+$AE$6))</f>
        <v>75.8</v>
      </c>
      <c r="AC56" s="257">
        <f t="array" ref="AC56">INDEX(PriceDeck!$C$18:$O$77,MATCH('Decline and Model'!$A56,PriceDeck!$B$18:$B$77,0),MATCH('Decline and Model'!AC$8,PriceDeck!$C$13:$O$13,0))*(1+$AE$6)</f>
        <v>86.6</v>
      </c>
      <c r="AD56" s="257">
        <f t="array" ref="AD56">INDEX(PriceDeck!$C$18:$O$77,MATCH('Decline and Model'!$A56,PriceDeck!$B$18:$B$77,0),MATCH('Decline and Model'!AD$8,PriceDeck!$C$13:$O$13,0))*(1+$AE$6)</f>
        <v>14.8</v>
      </c>
      <c r="AE56" s="257">
        <f t="array" ref="AE56">INDEX(PriceDeck!$C$18:$O$77,MATCH('Decline and Model'!$A56,PriceDeck!$B$18:$B$77,0),MATCH('Decline and Model'!AE$8,PriceDeck!$C$13:$O$13,0))*(1+$AE$6)</f>
        <v>30.3</v>
      </c>
      <c r="AF56" s="257">
        <f t="array" ref="AF56">INDEX(PriceDeck!$C$18:$O$77,MATCH('Decline and Model'!$A56,PriceDeck!$B$18:$B$77,0),MATCH('Decline and Model'!AF$8,PriceDeck!$C$13:$O$13,0))*(1+$AE$6)</f>
        <v>89.8</v>
      </c>
      <c r="AG56" s="257">
        <f t="array" ref="AG56">INDEX(PriceDeck!$C$18:$O$77,MATCH('Decline and Model'!$A56,PriceDeck!$B$18:$B$77,0),MATCH('Decline and Model'!AG$8,PriceDeck!$C$13:$O$13,0))*(1+$AE$6)</f>
        <v>63.4</v>
      </c>
      <c r="AH56" s="258">
        <f t="array" ref="AH56">INDEX(PriceDeck!$C$18:$O$77,MATCH('Decline and Model'!$A56,PriceDeck!$B$18:$B$77,0),MATCH('Decline and Model'!AH$8,PriceDeck!$C$13:$O$13,0))</f>
        <v>0.85</v>
      </c>
      <c r="AI56" s="258">
        <f t="shared" si="29"/>
        <v>3.9</v>
      </c>
      <c r="AJ56" s="259">
        <f t="shared" si="30"/>
        <v>3.9</v>
      </c>
      <c r="AK56" s="120">
        <v>3.9</v>
      </c>
      <c r="AL56" s="120"/>
      <c r="AN56" s="7">
        <f t="shared" si="31"/>
        <v>274303.63900949422</v>
      </c>
      <c r="AO56" s="7">
        <f t="shared" si="52"/>
        <v>55172.493438207654</v>
      </c>
      <c r="AP56" s="7">
        <f t="shared" si="32"/>
        <v>16606.233394945593</v>
      </c>
      <c r="AQ56" s="7">
        <f t="shared" si="33"/>
        <v>23130.653575025157</v>
      </c>
      <c r="AR56" s="7">
        <f t="shared" si="34"/>
        <v>32691.164197434256</v>
      </c>
      <c r="AS56" s="7">
        <f t="shared" si="35"/>
        <v>28239.747725630521</v>
      </c>
      <c r="AT56" s="7">
        <f t="shared" si="36"/>
        <v>430143.93134073744</v>
      </c>
      <c r="AU56">
        <f>SUM($AT$9:AT56)</f>
        <v>48613431.514576808</v>
      </c>
      <c r="AV56" s="7">
        <f>AT56/(1+$AR$5)^(COUNT($E$9:E56))</f>
        <v>299197.06113860931</v>
      </c>
      <c r="AW56" s="7">
        <f t="shared" si="49"/>
        <v>0</v>
      </c>
      <c r="AX56" s="7">
        <f t="shared" si="37"/>
        <v>0</v>
      </c>
      <c r="AY56" s="117">
        <f t="shared" si="38"/>
        <v>0</v>
      </c>
      <c r="AZ56" s="117">
        <f t="shared" si="53"/>
        <v>430143.93134073744</v>
      </c>
      <c r="BA56" s="120">
        <f t="shared" si="46"/>
        <v>105677.35312593028</v>
      </c>
      <c r="BB56" s="119">
        <f t="shared" si="4"/>
        <v>0</v>
      </c>
      <c r="BC56" s="17"/>
      <c r="BD56" s="126">
        <f t="shared" si="5"/>
        <v>0.63770198536685918</v>
      </c>
      <c r="BE56" s="127">
        <f t="shared" si="6"/>
        <v>0.12826519083098001</v>
      </c>
      <c r="BF56" s="127">
        <f t="shared" si="7"/>
        <v>3.8606224998187888E-2</v>
      </c>
      <c r="BG56" s="127">
        <f t="shared" si="8"/>
        <v>5.3774218092367473E-2</v>
      </c>
      <c r="BH56" s="127">
        <f t="shared" si="9"/>
        <v>7.6000524046770823E-2</v>
      </c>
      <c r="BI56" s="128">
        <f t="shared" si="10"/>
        <v>6.5651856664834529E-2</v>
      </c>
      <c r="BJ56" s="126">
        <f t="array" ref="BJ56">BD56*INDEX(Royalty!$U$7:$Z$246,MATCH('Decline and Model'!$E56,Royalty!$AI$7:$AI$246,0),MATCH('Decline and Model'!BJ$8,Royalty!$U$1:$Z$1,0))</f>
        <v>0.17375078643626266</v>
      </c>
      <c r="BK56" s="127">
        <f t="array" ref="BK56">BE56*INDEX(Royalty!$U$7:$Z$246,MATCH('Decline and Model'!$E56,Royalty!$AI$7:$AI$246,0),MATCH('Decline and Model'!BK$8,Royalty!$U$1:$Z$1,0))</f>
        <v>3.3940796367294405E-2</v>
      </c>
      <c r="BL56" s="127">
        <f t="array" ref="BL56">BF56*INDEX(Royalty!$U$7:$Z$246,MATCH('Decline and Model'!$E56,Royalty!$AI$7:$AI$246,0),MATCH('Decline and Model'!BL$8,Royalty!$U$1:$Z$1,0))</f>
        <v>1.0559768870736903E-2</v>
      </c>
      <c r="BM56" s="127">
        <f t="array" ref="BM56">BG56*INDEX(Royalty!$U$7:$Z$246,MATCH('Decline and Model'!$E56,Royalty!$AI$7:$AI$246,0),MATCH('Decline and Model'!BM$8,Royalty!$U$1:$Z$1,0))</f>
        <v>1.4196385158515139E-2</v>
      </c>
      <c r="BN56" s="127">
        <f t="array" ref="BN56">BH56*INDEX(Royalty!$U$7:$Z$246,MATCH('Decline and Model'!$E56,Royalty!$AI$7:$AI$246,0),MATCH('Decline and Model'!BN$8,Royalty!$U$1:$Z$1,0))</f>
        <v>9.9487219865882822E-3</v>
      </c>
      <c r="BO56" s="127">
        <f t="array" ref="BO56">BI56*INDEX(Royalty!$U$7:$Z$246,MATCH('Decline and Model'!$E56,Royalty!$AI$7:$AI$246,0),MATCH('Decline and Model'!BO$8,Royalty!$U$1:$Z$1,0))</f>
        <v>3.2825928332417265E-3</v>
      </c>
      <c r="BP56" s="135">
        <f t="shared" si="11"/>
        <v>0.24567905165263912</v>
      </c>
      <c r="BQ56" s="7"/>
      <c r="BR56" s="7"/>
      <c r="BS56">
        <v>48</v>
      </c>
      <c r="BT56" s="120">
        <f t="shared" si="12"/>
        <v>105677.35312593028</v>
      </c>
      <c r="BU56" s="113">
        <f t="shared" si="13"/>
        <v>72723.638090635039</v>
      </c>
      <c r="BV56" s="113">
        <f t="shared" si="14"/>
        <v>21817.091427190509</v>
      </c>
      <c r="BW56" s="113">
        <f t="shared" si="47"/>
        <v>4196887.3856810769</v>
      </c>
      <c r="BX56" s="113">
        <f t="shared" si="39"/>
        <v>92769.889863757067</v>
      </c>
      <c r="BY56" s="120">
        <f t="shared" si="40"/>
        <v>137155.95883322452</v>
      </c>
      <c r="BZ56" s="153">
        <f t="shared" si="48"/>
        <v>0</v>
      </c>
      <c r="CA56" s="120">
        <f t="shared" si="50"/>
        <v>137155.95883322452</v>
      </c>
      <c r="CB56" s="120">
        <f t="shared" si="41"/>
        <v>34288.98970830613</v>
      </c>
      <c r="CC56" s="153">
        <f t="shared" si="42"/>
        <v>195636.85898867546</v>
      </c>
      <c r="CD56" s="7">
        <f t="shared" si="16"/>
        <v>136079.96997040667</v>
      </c>
      <c r="CE56" s="11">
        <f>SUM($CD$9:CD56)</f>
        <v>21053912.954465475</v>
      </c>
      <c r="CF56" s="11">
        <f t="shared" si="43"/>
        <v>12000000</v>
      </c>
      <c r="CG56">
        <f t="shared" si="44"/>
        <v>9053912.9544654749</v>
      </c>
      <c r="CN56" s="7"/>
      <c r="CO56" s="7">
        <f>CD5</f>
        <v>13666856.799841944</v>
      </c>
    </row>
    <row r="57" spans="1:95">
      <c r="A57">
        <f t="shared" si="17"/>
        <v>2021</v>
      </c>
      <c r="B57">
        <f t="shared" si="18"/>
        <v>30.416666666666668</v>
      </c>
      <c r="C57">
        <f t="shared" si="51"/>
        <v>5</v>
      </c>
      <c r="E57" s="97">
        <v>44287</v>
      </c>
      <c r="F57" s="2">
        <f>$F$6*EXP(-$F$3*COUNT($E$9:$E57))</f>
        <v>69.161203010131473</v>
      </c>
      <c r="G57" s="260">
        <f>$F$6/(1+$F$5*$F$3*COUNT($E$9:$E57))^(1/$F$5)</f>
        <v>100.41884540648077</v>
      </c>
      <c r="H57" s="260">
        <f>$H$6/(1+$H$5*$H$3*COUNT($E$9:$E57))^(1/$H$5)</f>
        <v>455.27514859085107</v>
      </c>
      <c r="I57" s="260">
        <f t="shared" si="19"/>
        <v>86.719075922066864</v>
      </c>
      <c r="J57" s="260">
        <f t="shared" si="20"/>
        <v>36.109823213948644</v>
      </c>
      <c r="K57" s="260">
        <f t="shared" si="20"/>
        <v>24.567514208721541</v>
      </c>
      <c r="L57" s="260">
        <f t="shared" si="20"/>
        <v>11.715747157071233</v>
      </c>
      <c r="M57" s="260">
        <f t="shared" si="20"/>
        <v>14.334663249917654</v>
      </c>
      <c r="N57" s="19">
        <f t="shared" si="21"/>
        <v>2103.6532582248324</v>
      </c>
      <c r="O57" s="19">
        <f t="shared" si="22"/>
        <v>3054.406547780457</v>
      </c>
      <c r="P57" s="19">
        <f t="shared" si="23"/>
        <v>13847.952436305053</v>
      </c>
      <c r="Q57" s="19">
        <f t="shared" si="24"/>
        <v>2637.7052259628672</v>
      </c>
      <c r="R57" s="19">
        <f t="shared" si="25"/>
        <v>1098.340456090938</v>
      </c>
      <c r="S57" s="19">
        <f t="shared" si="26"/>
        <v>747.26189051528024</v>
      </c>
      <c r="T57" s="19">
        <f t="shared" si="27"/>
        <v>356.35397602758337</v>
      </c>
      <c r="U57" s="19">
        <f t="shared" si="28"/>
        <v>436.01267385166199</v>
      </c>
      <c r="V57" s="261">
        <f t="shared" si="45"/>
        <v>7072.5791194996009</v>
      </c>
      <c r="W57" s="261">
        <f>SUM(O$9:O57)</f>
        <v>466614.2625723065</v>
      </c>
      <c r="X57" s="261">
        <f>SUM(P$9:P57)</f>
        <v>1604574.915538613</v>
      </c>
      <c r="Y57" s="261">
        <f>SUM(Q$9:Q57)</f>
        <v>305633.3172454501</v>
      </c>
      <c r="Z57" s="261">
        <f>SUM($V$9:V57)</f>
        <v>932203.59388619545</v>
      </c>
      <c r="AB57" s="257">
        <f t="array" ref="AB57">(INDEX(PriceDeck!$C$18:$O$77,MATCH('Decline and Model'!$A57,PriceDeck!$B$18:$B$77,0),MATCH('Decline and Model'!AB$8,PriceDeck!$C$13:$O$13,0))*(1+$AE$6))</f>
        <v>75.8</v>
      </c>
      <c r="AC57" s="257">
        <f t="array" ref="AC57">INDEX(PriceDeck!$C$18:$O$77,MATCH('Decline and Model'!$A57,PriceDeck!$B$18:$B$77,0),MATCH('Decline and Model'!AC$8,PriceDeck!$C$13:$O$13,0))*(1+$AE$6)</f>
        <v>86.6</v>
      </c>
      <c r="AD57" s="257">
        <f t="array" ref="AD57">INDEX(PriceDeck!$C$18:$O$77,MATCH('Decline and Model'!$A57,PriceDeck!$B$18:$B$77,0),MATCH('Decline and Model'!AD$8,PriceDeck!$C$13:$O$13,0))*(1+$AE$6)</f>
        <v>14.8</v>
      </c>
      <c r="AE57" s="257">
        <f t="array" ref="AE57">INDEX(PriceDeck!$C$18:$O$77,MATCH('Decline and Model'!$A57,PriceDeck!$B$18:$B$77,0),MATCH('Decline and Model'!AE$8,PriceDeck!$C$13:$O$13,0))*(1+$AE$6)</f>
        <v>30.3</v>
      </c>
      <c r="AF57" s="257">
        <f t="array" ref="AF57">INDEX(PriceDeck!$C$18:$O$77,MATCH('Decline and Model'!$A57,PriceDeck!$B$18:$B$77,0),MATCH('Decline and Model'!AF$8,PriceDeck!$C$13:$O$13,0))*(1+$AE$6)</f>
        <v>89.8</v>
      </c>
      <c r="AG57" s="257">
        <f t="array" ref="AG57">INDEX(PriceDeck!$C$18:$O$77,MATCH('Decline and Model'!$A57,PriceDeck!$B$18:$B$77,0),MATCH('Decline and Model'!AG$8,PriceDeck!$C$13:$O$13,0))*(1+$AE$6)</f>
        <v>63.4</v>
      </c>
      <c r="AH57" s="258">
        <f t="array" ref="AH57">INDEX(PriceDeck!$C$18:$O$77,MATCH('Decline and Model'!$A57,PriceDeck!$B$18:$B$77,0),MATCH('Decline and Model'!AH$8,PriceDeck!$C$13:$O$13,0))</f>
        <v>0.85</v>
      </c>
      <c r="AI57" s="258">
        <f t="shared" si="29"/>
        <v>3.9</v>
      </c>
      <c r="AJ57" s="259">
        <f t="shared" si="30"/>
        <v>3.9</v>
      </c>
      <c r="AK57" s="120">
        <v>3.9</v>
      </c>
      <c r="AL57" s="120"/>
      <c r="AN57" s="7">
        <f t="shared" si="31"/>
        <v>264511.60703778756</v>
      </c>
      <c r="AO57" s="7">
        <f t="shared" si="52"/>
        <v>54007.014501589707</v>
      </c>
      <c r="AP57" s="7">
        <f t="shared" si="32"/>
        <v>16255.438750145884</v>
      </c>
      <c r="AQ57" s="7">
        <f t="shared" si="33"/>
        <v>22642.035282612993</v>
      </c>
      <c r="AR57" s="7">
        <f t="shared" si="34"/>
        <v>32000.587047276986</v>
      </c>
      <c r="AS57" s="7">
        <f t="shared" si="35"/>
        <v>27643.20352219537</v>
      </c>
      <c r="AT57" s="7">
        <f t="shared" si="36"/>
        <v>417059.88614160847</v>
      </c>
      <c r="AU57">
        <f>SUM($AT$9:AT57)</f>
        <v>49030491.400718413</v>
      </c>
      <c r="AV57" s="7">
        <f>AT57/(1+$AR$5)^(COUNT($E$9:E57))</f>
        <v>287910.4535624804</v>
      </c>
      <c r="AW57" s="7">
        <f t="shared" si="49"/>
        <v>0</v>
      </c>
      <c r="AX57" s="7">
        <f t="shared" si="37"/>
        <v>0</v>
      </c>
      <c r="AY57" s="117">
        <f t="shared" si="38"/>
        <v>0</v>
      </c>
      <c r="AZ57" s="117">
        <f t="shared" si="53"/>
        <v>417059.88614160847</v>
      </c>
      <c r="BA57" s="120">
        <f t="shared" si="46"/>
        <v>102355.80299651682</v>
      </c>
      <c r="BB57" s="119">
        <f t="shared" si="4"/>
        <v>0</v>
      </c>
      <c r="BC57" s="17"/>
      <c r="BD57" s="126">
        <f t="shared" si="5"/>
        <v>0.63422931772435032</v>
      </c>
      <c r="BE57" s="127">
        <f t="shared" si="6"/>
        <v>0.12949462726140046</v>
      </c>
      <c r="BF57" s="127">
        <f t="shared" si="7"/>
        <v>3.8976270052081957E-2</v>
      </c>
      <c r="BG57" s="127">
        <f t="shared" si="8"/>
        <v>5.4289650083789449E-2</v>
      </c>
      <c r="BH57" s="127">
        <f t="shared" si="9"/>
        <v>7.6728997706606364E-2</v>
      </c>
      <c r="BI57" s="128">
        <f t="shared" si="10"/>
        <v>6.6281137171771531E-2</v>
      </c>
      <c r="BJ57" s="126">
        <f t="array" ref="BJ57">BD57*INDEX(Royalty!$U$7:$Z$246,MATCH('Decline and Model'!$E57,Royalty!$AI$7:$AI$246,0),MATCH('Decline and Model'!BJ$8,Royalty!$U$1:$Z$1,0))</f>
        <v>0.1728046097773166</v>
      </c>
      <c r="BK57" s="127">
        <f t="array" ref="BK57">BE57*INDEX(Royalty!$U$7:$Z$246,MATCH('Decline and Model'!$E57,Royalty!$AI$7:$AI$246,0),MATCH('Decline and Model'!BK$8,Royalty!$U$1:$Z$1,0))</f>
        <v>3.4266122757572973E-2</v>
      </c>
      <c r="BL57" s="127">
        <f t="array" ref="BL57">BF57*INDEX(Royalty!$U$7:$Z$246,MATCH('Decline and Model'!$E57,Royalty!$AI$7:$AI$246,0),MATCH('Decline and Model'!BL$8,Royalty!$U$1:$Z$1,0))</f>
        <v>1.0660985455395573E-2</v>
      </c>
      <c r="BM57" s="127">
        <f t="array" ref="BM57">BG57*INDEX(Royalty!$U$7:$Z$246,MATCH('Decline and Model'!$E57,Royalty!$AI$7:$AI$246,0),MATCH('Decline and Model'!BM$8,Royalty!$U$1:$Z$1,0))</f>
        <v>1.4332459123564302E-2</v>
      </c>
      <c r="BN57" s="127">
        <f t="array" ref="BN57">BH57*INDEX(Royalty!$U$7:$Z$246,MATCH('Decline and Model'!$E57,Royalty!$AI$7:$AI$246,0),MATCH('Decline and Model'!BN$8,Royalty!$U$1:$Z$1,0))</f>
        <v>1.0044081617421831E-2</v>
      </c>
      <c r="BO57" s="127">
        <f t="array" ref="BO57">BI57*INDEX(Royalty!$U$7:$Z$246,MATCH('Decline and Model'!$E57,Royalty!$AI$7:$AI$246,0),MATCH('Decline and Model'!BO$8,Royalty!$U$1:$Z$1,0))</f>
        <v>3.3140568585885767E-3</v>
      </c>
      <c r="BP57" s="135">
        <f t="shared" si="11"/>
        <v>0.2454223155898598</v>
      </c>
      <c r="BQ57" s="7"/>
      <c r="BR57" s="7"/>
      <c r="BS57">
        <v>49</v>
      </c>
      <c r="BT57" s="120">
        <f t="shared" si="12"/>
        <v>102355.80299651682</v>
      </c>
      <c r="BU57" s="113">
        <f t="shared" si="13"/>
        <v>70725.791194996011</v>
      </c>
      <c r="BV57" s="113">
        <f t="shared" si="14"/>
        <v>21217.737358498802</v>
      </c>
      <c r="BW57" s="113">
        <f t="shared" si="47"/>
        <v>4104117.49581732</v>
      </c>
      <c r="BX57" s="113">
        <f t="shared" si="39"/>
        <v>90719.262416688463</v>
      </c>
      <c r="BY57" s="120">
        <f t="shared" si="40"/>
        <v>132041.29217490839</v>
      </c>
      <c r="BZ57" s="153">
        <f t="shared" si="48"/>
        <v>0</v>
      </c>
      <c r="CA57" s="120">
        <f t="shared" si="50"/>
        <v>132041.29217490839</v>
      </c>
      <c r="CB57" s="120">
        <f t="shared" si="41"/>
        <v>33010.323043727098</v>
      </c>
      <c r="CC57" s="153">
        <f t="shared" si="42"/>
        <v>189750.23154786974</v>
      </c>
      <c r="CD57" s="7">
        <f t="shared" si="16"/>
        <v>130990.96087602015</v>
      </c>
      <c r="CE57" s="11">
        <f>SUM($CD$9:CD57)</f>
        <v>21184903.915341496</v>
      </c>
      <c r="CF57" s="11">
        <f t="shared" si="43"/>
        <v>12000000</v>
      </c>
      <c r="CG57">
        <f t="shared" si="44"/>
        <v>9184903.9153414965</v>
      </c>
      <c r="CN57" s="7">
        <v>0</v>
      </c>
      <c r="CO57" s="7">
        <f t="dataTable" ref="CO57:CO65" dt2D="0" dtr="0" r1="CH2" ca="1"/>
        <v>13666856.799841944</v>
      </c>
    </row>
    <row r="58" spans="1:95">
      <c r="A58">
        <f t="shared" si="17"/>
        <v>2021</v>
      </c>
      <c r="B58">
        <f t="shared" si="18"/>
        <v>30.416666666666668</v>
      </c>
      <c r="C58">
        <f t="shared" si="51"/>
        <v>5</v>
      </c>
      <c r="E58" s="97">
        <v>44317</v>
      </c>
      <c r="F58" s="2">
        <f>$F$6*EXP(-$F$3*COUNT($E$9:$E58))</f>
        <v>65.78817133710443</v>
      </c>
      <c r="G58" s="260">
        <f>$F$6/(1+$F$5*$F$3*COUNT($E$9:$E58))^(1/$F$5)</f>
        <v>96.853819212372613</v>
      </c>
      <c r="H58" s="260">
        <f>$H$6/(1+$H$5*$H$3*COUNT($E$9:$E58))^(1/$H$5)</f>
        <v>445.80076562445072</v>
      </c>
      <c r="I58" s="260">
        <f t="shared" si="19"/>
        <v>84.914431547514411</v>
      </c>
      <c r="J58" s="260">
        <f t="shared" si="20"/>
        <v>35.358369296385</v>
      </c>
      <c r="K58" s="260">
        <f t="shared" si="20"/>
        <v>24.056258457410831</v>
      </c>
      <c r="L58" s="260">
        <f t="shared" si="20"/>
        <v>11.471939702069196</v>
      </c>
      <c r="M58" s="260">
        <f t="shared" si="20"/>
        <v>14.036355534804132</v>
      </c>
      <c r="N58" s="19">
        <f t="shared" si="21"/>
        <v>2001.0568781702598</v>
      </c>
      <c r="O58" s="19">
        <f t="shared" si="22"/>
        <v>2945.970334376334</v>
      </c>
      <c r="P58" s="19">
        <f t="shared" si="23"/>
        <v>13559.77328774371</v>
      </c>
      <c r="Q58" s="19">
        <f t="shared" si="24"/>
        <v>2582.8139595702301</v>
      </c>
      <c r="R58" s="19">
        <f t="shared" si="25"/>
        <v>1075.4837327650439</v>
      </c>
      <c r="S58" s="19">
        <f t="shared" si="26"/>
        <v>731.71119474624618</v>
      </c>
      <c r="T58" s="19">
        <f t="shared" si="27"/>
        <v>348.93816593793809</v>
      </c>
      <c r="U58" s="19">
        <f t="shared" si="28"/>
        <v>426.93914751695905</v>
      </c>
      <c r="V58" s="261">
        <f t="shared" si="45"/>
        <v>6880.5237894198035</v>
      </c>
      <c r="W58" s="261">
        <f>SUM(O$9:O58)</f>
        <v>469560.23290668282</v>
      </c>
      <c r="X58" s="261">
        <f>SUM(P$9:P58)</f>
        <v>1618134.6888263568</v>
      </c>
      <c r="Y58" s="261">
        <f>SUM(Q$9:Q58)</f>
        <v>308216.13120502036</v>
      </c>
      <c r="Z58" s="261">
        <f>SUM($V$9:V58)</f>
        <v>939084.11767561524</v>
      </c>
      <c r="AB58" s="257">
        <f t="array" ref="AB58">(INDEX(PriceDeck!$C$18:$O$77,MATCH('Decline and Model'!$A58,PriceDeck!$B$18:$B$77,0),MATCH('Decline and Model'!AB$8,PriceDeck!$C$13:$O$13,0))*(1+$AE$6))</f>
        <v>75.8</v>
      </c>
      <c r="AC58" s="257">
        <f t="array" ref="AC58">INDEX(PriceDeck!$C$18:$O$77,MATCH('Decline and Model'!$A58,PriceDeck!$B$18:$B$77,0),MATCH('Decline and Model'!AC$8,PriceDeck!$C$13:$O$13,0))*(1+$AE$6)</f>
        <v>86.6</v>
      </c>
      <c r="AD58" s="257">
        <f t="array" ref="AD58">INDEX(PriceDeck!$C$18:$O$77,MATCH('Decline and Model'!$A58,PriceDeck!$B$18:$B$77,0),MATCH('Decline and Model'!AD$8,PriceDeck!$C$13:$O$13,0))*(1+$AE$6)</f>
        <v>14.8</v>
      </c>
      <c r="AE58" s="257">
        <f t="array" ref="AE58">INDEX(PriceDeck!$C$18:$O$77,MATCH('Decline and Model'!$A58,PriceDeck!$B$18:$B$77,0),MATCH('Decline and Model'!AE$8,PriceDeck!$C$13:$O$13,0))*(1+$AE$6)</f>
        <v>30.3</v>
      </c>
      <c r="AF58" s="257">
        <f t="array" ref="AF58">INDEX(PriceDeck!$C$18:$O$77,MATCH('Decline and Model'!$A58,PriceDeck!$B$18:$B$77,0),MATCH('Decline and Model'!AF$8,PriceDeck!$C$13:$O$13,0))*(1+$AE$6)</f>
        <v>89.8</v>
      </c>
      <c r="AG58" s="257">
        <f t="array" ref="AG58">INDEX(PriceDeck!$C$18:$O$77,MATCH('Decline and Model'!$A58,PriceDeck!$B$18:$B$77,0),MATCH('Decline and Model'!AG$8,PriceDeck!$C$13:$O$13,0))*(1+$AE$6)</f>
        <v>63.4</v>
      </c>
      <c r="AH58" s="258">
        <f t="array" ref="AH58">INDEX(PriceDeck!$C$18:$O$77,MATCH('Decline and Model'!$A58,PriceDeck!$B$18:$B$77,0),MATCH('Decline and Model'!AH$8,PriceDeck!$C$13:$O$13,0))</f>
        <v>0.85</v>
      </c>
      <c r="AI58" s="258">
        <f t="shared" si="29"/>
        <v>3.9</v>
      </c>
      <c r="AJ58" s="259">
        <f t="shared" si="30"/>
        <v>3.9</v>
      </c>
      <c r="AK58" s="120">
        <v>3.9</v>
      </c>
      <c r="AL58" s="120"/>
      <c r="AN58" s="7">
        <f t="shared" si="31"/>
        <v>255121.03095699049</v>
      </c>
      <c r="AO58" s="7">
        <f t="shared" si="52"/>
        <v>52883.115822200467</v>
      </c>
      <c r="AP58" s="7">
        <f t="shared" si="32"/>
        <v>15917.15924492265</v>
      </c>
      <c r="AQ58" s="7">
        <f t="shared" si="33"/>
        <v>22170.849200811259</v>
      </c>
      <c r="AR58" s="7">
        <f t="shared" si="34"/>
        <v>31334.64730122684</v>
      </c>
      <c r="AS58" s="7">
        <f t="shared" si="35"/>
        <v>27067.941952575202</v>
      </c>
      <c r="AT58" s="7">
        <f t="shared" si="36"/>
        <v>404494.74447872688</v>
      </c>
      <c r="AU58">
        <f>SUM($AT$9:AT58)</f>
        <v>49434986.145197138</v>
      </c>
      <c r="AV58" s="7">
        <f>AT58/(1+$AR$5)^(COUNT($E$9:E58))</f>
        <v>277132.45353129361</v>
      </c>
      <c r="AW58" s="7">
        <f t="shared" si="49"/>
        <v>0</v>
      </c>
      <c r="AX58" s="7">
        <f t="shared" si="37"/>
        <v>0</v>
      </c>
      <c r="AY58" s="117">
        <f t="shared" si="38"/>
        <v>0</v>
      </c>
      <c r="AZ58" s="117">
        <f t="shared" si="53"/>
        <v>404494.74447872688</v>
      </c>
      <c r="BA58" s="120">
        <f t="shared" si="46"/>
        <v>99166.952398309382</v>
      </c>
      <c r="BB58" s="119">
        <f t="shared" si="4"/>
        <v>0</v>
      </c>
      <c r="BC58" s="17"/>
      <c r="BD58" s="126">
        <f t="shared" si="5"/>
        <v>0.6307153169215225</v>
      </c>
      <c r="BE58" s="127">
        <f t="shared" si="6"/>
        <v>0.13073869696465656</v>
      </c>
      <c r="BF58" s="127">
        <f t="shared" si="7"/>
        <v>3.9350719538853642E-2</v>
      </c>
      <c r="BG58" s="127">
        <f t="shared" si="8"/>
        <v>5.4811216964964216E-2</v>
      </c>
      <c r="BH58" s="127">
        <f t="shared" si="9"/>
        <v>7.7466141968316193E-2</v>
      </c>
      <c r="BI58" s="128">
        <f t="shared" si="10"/>
        <v>6.6917907641686938E-2</v>
      </c>
      <c r="BJ58" s="126">
        <f t="array" ref="BJ58">BD58*INDEX(Royalty!$U$7:$Z$246,MATCH('Decline and Model'!$E58,Royalty!$AI$7:$AI$246,0),MATCH('Decline and Model'!BJ$8,Royalty!$U$1:$Z$1,0))</f>
        <v>0.17184717132324351</v>
      </c>
      <c r="BK58" s="127">
        <f t="array" ref="BK58">BE58*INDEX(Royalty!$U$7:$Z$246,MATCH('Decline and Model'!$E58,Royalty!$AI$7:$AI$246,0),MATCH('Decline and Model'!BK$8,Royalty!$U$1:$Z$1,0))</f>
        <v>3.4595321320264674E-2</v>
      </c>
      <c r="BL58" s="127">
        <f t="array" ref="BL58">BF58*INDEX(Royalty!$U$7:$Z$246,MATCH('Decline and Model'!$E58,Royalty!$AI$7:$AI$246,0),MATCH('Decline and Model'!BL$8,Royalty!$U$1:$Z$1,0))</f>
        <v>1.0763406762691498E-2</v>
      </c>
      <c r="BM58" s="127">
        <f t="array" ref="BM58">BG58*INDEX(Royalty!$U$7:$Z$246,MATCH('Decline and Model'!$E58,Royalty!$AI$7:$AI$246,0),MATCH('Decline and Model'!BM$8,Royalty!$U$1:$Z$1,0))</f>
        <v>1.4470152698547839E-2</v>
      </c>
      <c r="BN58" s="127">
        <f t="array" ref="BN58">BH58*INDEX(Royalty!$U$7:$Z$246,MATCH('Decline and Model'!$E58,Royalty!$AI$7:$AI$246,0),MATCH('Decline and Model'!BN$8,Royalty!$U$1:$Z$1,0))</f>
        <v>1.0140576258948866E-2</v>
      </c>
      <c r="BO58" s="127">
        <f t="array" ref="BO58">BI58*INDEX(Royalty!$U$7:$Z$246,MATCH('Decline and Model'!$E58,Royalty!$AI$7:$AI$246,0),MATCH('Decline and Model'!BO$8,Royalty!$U$1:$Z$1,0))</f>
        <v>3.345895382084347E-3</v>
      </c>
      <c r="BP58" s="135">
        <f t="shared" si="11"/>
        <v>0.24516252374578074</v>
      </c>
      <c r="BQ58" s="7"/>
      <c r="BR58" s="7"/>
      <c r="BS58">
        <v>50</v>
      </c>
      <c r="BT58" s="120">
        <f t="shared" si="12"/>
        <v>99166.952398309382</v>
      </c>
      <c r="BU58" s="113">
        <f t="shared" si="13"/>
        <v>68805.237894198042</v>
      </c>
      <c r="BV58" s="113">
        <f t="shared" si="14"/>
        <v>20641.571368259411</v>
      </c>
      <c r="BW58" s="113">
        <f t="shared" si="47"/>
        <v>4013398.2334006317</v>
      </c>
      <c r="BX58" s="113">
        <f t="shared" si="39"/>
        <v>88713.962962709498</v>
      </c>
      <c r="BY58" s="120">
        <f t="shared" si="40"/>
        <v>127167.01985525056</v>
      </c>
      <c r="BZ58" s="153">
        <f t="shared" si="48"/>
        <v>0</v>
      </c>
      <c r="CA58" s="120">
        <f t="shared" si="50"/>
        <v>127167.01985525056</v>
      </c>
      <c r="CB58" s="120">
        <f t="shared" si="41"/>
        <v>31791.75496381264</v>
      </c>
      <c r="CC58" s="153">
        <f t="shared" si="42"/>
        <v>184089.22785414744</v>
      </c>
      <c r="CD58" s="7">
        <f t="shared" si="16"/>
        <v>126125.49379262532</v>
      </c>
      <c r="CE58" s="11">
        <f>SUM($CD$9:CD58)</f>
        <v>21311029.409134123</v>
      </c>
      <c r="CF58" s="11">
        <f t="shared" si="43"/>
        <v>12000000</v>
      </c>
      <c r="CG58">
        <f t="shared" si="44"/>
        <v>9311029.4091341235</v>
      </c>
      <c r="CK58" s="11">
        <f>CD5</f>
        <v>13666856.799841944</v>
      </c>
      <c r="CN58" s="7">
        <v>1</v>
      </c>
      <c r="CO58" s="7">
        <v>13860675.489056114</v>
      </c>
      <c r="CP58" s="11">
        <f>CO58-$CO$57</f>
        <v>193818.68921416998</v>
      </c>
      <c r="CQ58" s="11">
        <f>CP58-CP47</f>
        <v>154464.35038913897</v>
      </c>
    </row>
    <row r="59" spans="1:95" ht="22.5" customHeight="1">
      <c r="A59">
        <f t="shared" si="17"/>
        <v>2021</v>
      </c>
      <c r="B59">
        <f t="shared" si="18"/>
        <v>30.416666666666668</v>
      </c>
      <c r="C59">
        <f t="shared" si="51"/>
        <v>5</v>
      </c>
      <c r="E59" s="97">
        <v>44348</v>
      </c>
      <c r="F59" s="2">
        <f>$F$6*EXP(-$F$3*COUNT($E$9:$E59))</f>
        <v>62.579644359948198</v>
      </c>
      <c r="G59" s="260">
        <f>$F$6/(1+$F$5*$F$3*COUNT($E$9:$E59))^(1/$F$5)</f>
        <v>93.434153774403086</v>
      </c>
      <c r="H59" s="260">
        <f>$H$6/(1+$H$5*$H$3*COUNT($E$9:$E59))^(1/$H$5)</f>
        <v>436.65944454553585</v>
      </c>
      <c r="I59" s="260">
        <f t="shared" si="19"/>
        <v>83.173227532483011</v>
      </c>
      <c r="J59" s="260">
        <f t="shared" si="20"/>
        <v>34.633331944525928</v>
      </c>
      <c r="K59" s="260">
        <f t="shared" si="20"/>
        <v>23.562975359952436</v>
      </c>
      <c r="L59" s="260">
        <f t="shared" si="20"/>
        <v>11.236703039638455</v>
      </c>
      <c r="M59" s="260">
        <f t="shared" si="20"/>
        <v>13.748534511119441</v>
      </c>
      <c r="N59" s="19">
        <f t="shared" si="21"/>
        <v>1903.464182615091</v>
      </c>
      <c r="O59" s="19">
        <f t="shared" si="22"/>
        <v>2841.955510638094</v>
      </c>
      <c r="P59" s="19">
        <f t="shared" si="23"/>
        <v>13281.724771593383</v>
      </c>
      <c r="Q59" s="19">
        <f t="shared" si="24"/>
        <v>2529.8523374463584</v>
      </c>
      <c r="R59" s="19">
        <f t="shared" si="25"/>
        <v>1053.4305133126636</v>
      </c>
      <c r="S59" s="19">
        <f t="shared" si="26"/>
        <v>716.70716719855329</v>
      </c>
      <c r="T59" s="19">
        <f t="shared" si="27"/>
        <v>341.78305078900303</v>
      </c>
      <c r="U59" s="19">
        <f t="shared" si="28"/>
        <v>418.18459137988305</v>
      </c>
      <c r="V59" s="261">
        <f t="shared" si="45"/>
        <v>6695.8293903911863</v>
      </c>
      <c r="W59" s="261">
        <f>SUM(O$9:O59)</f>
        <v>472402.1884173209</v>
      </c>
      <c r="X59" s="261">
        <f>SUM(P$9:P59)</f>
        <v>1631416.4135979502</v>
      </c>
      <c r="Y59" s="261">
        <f>SUM(Q$9:Q59)</f>
        <v>310745.98354246671</v>
      </c>
      <c r="Z59" s="261">
        <f>SUM($V$9:V59)</f>
        <v>945779.94706600648</v>
      </c>
      <c r="AB59" s="257">
        <f t="array" ref="AB59">(INDEX(PriceDeck!$C$18:$O$77,MATCH('Decline and Model'!$A59,PriceDeck!$B$18:$B$77,0),MATCH('Decline and Model'!AB$8,PriceDeck!$C$13:$O$13,0))*(1+$AE$6))</f>
        <v>75.8</v>
      </c>
      <c r="AC59" s="257">
        <f t="array" ref="AC59">INDEX(PriceDeck!$C$18:$O$77,MATCH('Decline and Model'!$A59,PriceDeck!$B$18:$B$77,0),MATCH('Decline and Model'!AC$8,PriceDeck!$C$13:$O$13,0))*(1+$AE$6)</f>
        <v>86.6</v>
      </c>
      <c r="AD59" s="257">
        <f t="array" ref="AD59">INDEX(PriceDeck!$C$18:$O$77,MATCH('Decline and Model'!$A59,PriceDeck!$B$18:$B$77,0),MATCH('Decline and Model'!AD$8,PriceDeck!$C$13:$O$13,0))*(1+$AE$6)</f>
        <v>14.8</v>
      </c>
      <c r="AE59" s="257">
        <f t="array" ref="AE59">INDEX(PriceDeck!$C$18:$O$77,MATCH('Decline and Model'!$A59,PriceDeck!$B$18:$B$77,0),MATCH('Decline and Model'!AE$8,PriceDeck!$C$13:$O$13,0))*(1+$AE$6)</f>
        <v>30.3</v>
      </c>
      <c r="AF59" s="257">
        <f t="array" ref="AF59">INDEX(PriceDeck!$C$18:$O$77,MATCH('Decline and Model'!$A59,PriceDeck!$B$18:$B$77,0),MATCH('Decline and Model'!AF$8,PriceDeck!$C$13:$O$13,0))*(1+$AE$6)</f>
        <v>89.8</v>
      </c>
      <c r="AG59" s="257">
        <f t="array" ref="AG59">INDEX(PriceDeck!$C$18:$O$77,MATCH('Decline and Model'!$A59,PriceDeck!$B$18:$B$77,0),MATCH('Decline and Model'!AG$8,PriceDeck!$C$13:$O$13,0))*(1+$AE$6)</f>
        <v>63.4</v>
      </c>
      <c r="AH59" s="258">
        <f t="array" ref="AH59">INDEX(PriceDeck!$C$18:$O$77,MATCH('Decline and Model'!$A59,PriceDeck!$B$18:$B$77,0),MATCH('Decline and Model'!AH$8,PriceDeck!$C$13:$O$13,0))</f>
        <v>0.85</v>
      </c>
      <c r="AI59" s="258">
        <f t="shared" si="29"/>
        <v>3.9</v>
      </c>
      <c r="AJ59" s="259">
        <f t="shared" si="30"/>
        <v>3.9</v>
      </c>
      <c r="AK59" s="120">
        <v>3.9</v>
      </c>
      <c r="AL59" s="120"/>
      <c r="AN59" s="7">
        <f t="shared" si="31"/>
        <v>246113.34722125891</v>
      </c>
      <c r="AO59" s="7">
        <f t="shared" si="52"/>
        <v>51798.726609214194</v>
      </c>
      <c r="AP59" s="7">
        <f t="shared" si="32"/>
        <v>15590.771597027422</v>
      </c>
      <c r="AQ59" s="7">
        <f t="shared" si="33"/>
        <v>21716.227166116165</v>
      </c>
      <c r="AR59" s="7">
        <f t="shared" si="34"/>
        <v>30692.117960852473</v>
      </c>
      <c r="AS59" s="7">
        <f t="shared" si="35"/>
        <v>26512.903093484583</v>
      </c>
      <c r="AT59" s="7">
        <f t="shared" si="36"/>
        <v>392424.09364795376</v>
      </c>
      <c r="AU59">
        <f>SUM($AT$9:AT59)</f>
        <v>49827410.238845095</v>
      </c>
      <c r="AV59" s="7">
        <f>AT59/(1+$AR$5)^(COUNT($E$9:E59))</f>
        <v>266836.75919659465</v>
      </c>
      <c r="AW59" s="7">
        <f t="shared" si="49"/>
        <v>0</v>
      </c>
      <c r="AX59" s="7">
        <f t="shared" si="37"/>
        <v>0</v>
      </c>
      <c r="AY59" s="117">
        <f t="shared" si="38"/>
        <v>0</v>
      </c>
      <c r="AZ59" s="117">
        <f t="shared" si="53"/>
        <v>392424.09364795376</v>
      </c>
      <c r="BA59" s="120">
        <f t="shared" si="46"/>
        <v>96104.582181308506</v>
      </c>
      <c r="BB59" s="119">
        <f t="shared" si="4"/>
        <v>0</v>
      </c>
      <c r="BC59" s="17"/>
      <c r="BD59" s="126">
        <f t="shared" si="5"/>
        <v>0.62716166312165533</v>
      </c>
      <c r="BE59" s="127">
        <f t="shared" si="6"/>
        <v>0.13199680510871784</v>
      </c>
      <c r="BF59" s="127">
        <f t="shared" si="7"/>
        <v>3.9729394421469964E-2</v>
      </c>
      <c r="BG59" s="127">
        <f t="shared" si="8"/>
        <v>5.5338669357029684E-2</v>
      </c>
      <c r="BH59" s="127">
        <f t="shared" si="9"/>
        <v>7.8211604378161784E-2</v>
      </c>
      <c r="BI59" s="128">
        <f t="shared" si="10"/>
        <v>6.7561863612965317E-2</v>
      </c>
      <c r="BJ59" s="126">
        <f t="array" ref="BJ59">BD59*INDEX(Royalty!$U$7:$Z$246,MATCH('Decline and Model'!$E59,Royalty!$AI$7:$AI$246,0),MATCH('Decline and Model'!BJ$8,Royalty!$U$1:$Z$1,0))</f>
        <v>0.17087892885792652</v>
      </c>
      <c r="BK59" s="127">
        <f t="array" ref="BK59">BE59*INDEX(Royalty!$U$7:$Z$246,MATCH('Decline and Model'!$E59,Royalty!$AI$7:$AI$246,0),MATCH('Decline and Model'!BK$8,Royalty!$U$1:$Z$1,0))</f>
        <v>3.4928234654342097E-2</v>
      </c>
      <c r="BL59" s="127">
        <f t="array" ref="BL59">BF59*INDEX(Royalty!$U$7:$Z$246,MATCH('Decline and Model'!$E59,Royalty!$AI$7:$AI$246,0),MATCH('Decline and Model'!BL$8,Royalty!$U$1:$Z$1,0))</f>
        <v>1.0866983821514771E-2</v>
      </c>
      <c r="BM59" s="127">
        <f t="array" ref="BM59">BG59*INDEX(Royalty!$U$7:$Z$246,MATCH('Decline and Model'!$E59,Royalty!$AI$7:$AI$246,0),MATCH('Decline and Model'!BM$8,Royalty!$U$1:$Z$1,0))</f>
        <v>1.4609400047485198E-2</v>
      </c>
      <c r="BN59" s="127">
        <f t="array" ref="BN59">BH59*INDEX(Royalty!$U$7:$Z$246,MATCH('Decline and Model'!$E59,Royalty!$AI$7:$AI$246,0),MATCH('Decline and Model'!BN$8,Royalty!$U$1:$Z$1,0))</f>
        <v>1.0238159773799918E-2</v>
      </c>
      <c r="BO59" s="127">
        <f t="array" ref="BO59">BI59*INDEX(Royalty!$U$7:$Z$246,MATCH('Decline and Model'!$E59,Royalty!$AI$7:$AI$246,0),MATCH('Decline and Model'!BO$8,Royalty!$U$1:$Z$1,0))</f>
        <v>3.3780931806482659E-3</v>
      </c>
      <c r="BP59" s="135">
        <f t="shared" si="11"/>
        <v>0.24489980033571679</v>
      </c>
      <c r="BQ59" s="7"/>
      <c r="BR59" s="7"/>
      <c r="BS59">
        <v>51</v>
      </c>
      <c r="BT59" s="120">
        <f t="shared" si="12"/>
        <v>96104.582181308506</v>
      </c>
      <c r="BU59" s="113">
        <f t="shared" si="13"/>
        <v>66958.293903911865</v>
      </c>
      <c r="BV59" s="113">
        <f t="shared" si="14"/>
        <v>20087.488171173558</v>
      </c>
      <c r="BW59" s="113">
        <f t="shared" si="47"/>
        <v>3924684.2704379223</v>
      </c>
      <c r="BX59" s="113">
        <f t="shared" si="39"/>
        <v>86752.989551436418</v>
      </c>
      <c r="BY59" s="120">
        <f t="shared" si="40"/>
        <v>122520.73984012345</v>
      </c>
      <c r="BZ59" s="153">
        <f t="shared" si="48"/>
        <v>0</v>
      </c>
      <c r="CA59" s="120">
        <f t="shared" si="50"/>
        <v>122520.73984012345</v>
      </c>
      <c r="CB59" s="120">
        <f t="shared" si="41"/>
        <v>30630.184960030863</v>
      </c>
      <c r="CC59" s="153">
        <f t="shared" si="42"/>
        <v>178643.54443152901</v>
      </c>
      <c r="CD59" s="7">
        <f t="shared" si="16"/>
        <v>121472.31838997618</v>
      </c>
      <c r="CE59" s="11">
        <f>SUM($CD$9:CD59)</f>
        <v>21432501.727524098</v>
      </c>
      <c r="CF59" s="11">
        <f t="shared" si="43"/>
        <v>12000000</v>
      </c>
      <c r="CG59">
        <f t="shared" si="44"/>
        <v>9432501.727524098</v>
      </c>
      <c r="CJ59" s="219">
        <v>-0.46992699999999998</v>
      </c>
      <c r="CK59" s="7">
        <f t="dataTable" ref="CK59:CK71" dt2D="0" dtr="0" r1="AE6"/>
        <v>7.5892373919487E-2</v>
      </c>
      <c r="CN59" s="7">
        <v>2</v>
      </c>
      <c r="CO59" s="7">
        <v>14052827.384336192</v>
      </c>
      <c r="CP59" s="11">
        <f t="shared" ref="CP59:CP65" si="57">CO59-$CO$57</f>
        <v>385970.58449424803</v>
      </c>
      <c r="CQ59" s="11">
        <f t="shared" ref="CQ59:CQ65" si="58">CP59-CP48</f>
        <v>307261.9068441859</v>
      </c>
    </row>
    <row r="60" spans="1:95" ht="22.5" customHeight="1">
      <c r="A60">
        <f t="shared" si="17"/>
        <v>2021</v>
      </c>
      <c r="B60">
        <f t="shared" si="18"/>
        <v>30.416666666666668</v>
      </c>
      <c r="C60">
        <f t="shared" si="51"/>
        <v>5</v>
      </c>
      <c r="E60" s="97">
        <v>44378</v>
      </c>
      <c r="F60" s="2">
        <f>$F$6*EXP(-$F$3*COUNT($E$9:$E60))</f>
        <v>59.527599089972888</v>
      </c>
      <c r="G60" s="260">
        <f>$F$6/(1+$F$5*$F$3*COUNT($E$9:$E60))^(1/$F$5)</f>
        <v>90.15316407192995</v>
      </c>
      <c r="H60" s="260">
        <f>$H$6/(1+$H$5*$H$3*COUNT($E$9:$E60))^(1/$H$5)</f>
        <v>427.8348375829529</v>
      </c>
      <c r="I60" s="260">
        <f t="shared" si="19"/>
        <v>81.492350015800554</v>
      </c>
      <c r="J60" s="260">
        <f t="shared" si="20"/>
        <v>33.93341454657935</v>
      </c>
      <c r="K60" s="260">
        <f t="shared" si="20"/>
        <v>23.086782759476296</v>
      </c>
      <c r="L60" s="260">
        <f t="shared" si="20"/>
        <v>11.009616487134654</v>
      </c>
      <c r="M60" s="260">
        <f t="shared" si="20"/>
        <v>13.470685457611832</v>
      </c>
      <c r="N60" s="19">
        <f t="shared" si="21"/>
        <v>1810.6311389866755</v>
      </c>
      <c r="O60" s="19">
        <f t="shared" si="22"/>
        <v>2742.1587405212026</v>
      </c>
      <c r="P60" s="19">
        <f t="shared" si="23"/>
        <v>13013.309643148152</v>
      </c>
      <c r="Q60" s="19">
        <f t="shared" si="24"/>
        <v>2478.7256463139338</v>
      </c>
      <c r="R60" s="19">
        <f t="shared" si="25"/>
        <v>1032.1413591251219</v>
      </c>
      <c r="S60" s="19">
        <f t="shared" si="26"/>
        <v>702.22297560073741</v>
      </c>
      <c r="T60" s="19">
        <f t="shared" si="27"/>
        <v>334.87583481701239</v>
      </c>
      <c r="U60" s="19">
        <f t="shared" si="28"/>
        <v>409.73334933569328</v>
      </c>
      <c r="V60" s="261">
        <f t="shared" si="45"/>
        <v>6518.1483040250923</v>
      </c>
      <c r="W60" s="261">
        <f>SUM(O$9:O60)</f>
        <v>475144.34715784207</v>
      </c>
      <c r="X60" s="261">
        <f>SUM(P$9:P60)</f>
        <v>1644429.7232410985</v>
      </c>
      <c r="Y60" s="261">
        <f>SUM(Q$9:Q60)</f>
        <v>313224.70918878063</v>
      </c>
      <c r="Z60" s="261">
        <f>SUM($V$9:V60)</f>
        <v>952298.09537003154</v>
      </c>
      <c r="AB60" s="257">
        <f t="array" ref="AB60">(INDEX(PriceDeck!$C$18:$O$77,MATCH('Decline and Model'!$A60,PriceDeck!$B$18:$B$77,0),MATCH('Decline and Model'!AB$8,PriceDeck!$C$13:$O$13,0))*(1+$AE$6))</f>
        <v>75.8</v>
      </c>
      <c r="AC60" s="257">
        <f t="array" ref="AC60">INDEX(PriceDeck!$C$18:$O$77,MATCH('Decline and Model'!$A60,PriceDeck!$B$18:$B$77,0),MATCH('Decline and Model'!AC$8,PriceDeck!$C$13:$O$13,0))*(1+$AE$6)</f>
        <v>86.6</v>
      </c>
      <c r="AD60" s="257">
        <f t="array" ref="AD60">INDEX(PriceDeck!$C$18:$O$77,MATCH('Decline and Model'!$A60,PriceDeck!$B$18:$B$77,0),MATCH('Decline and Model'!AD$8,PriceDeck!$C$13:$O$13,0))*(1+$AE$6)</f>
        <v>14.8</v>
      </c>
      <c r="AE60" s="257">
        <f t="array" ref="AE60">INDEX(PriceDeck!$C$18:$O$77,MATCH('Decline and Model'!$A60,PriceDeck!$B$18:$B$77,0),MATCH('Decline and Model'!AE$8,PriceDeck!$C$13:$O$13,0))*(1+$AE$6)</f>
        <v>30.3</v>
      </c>
      <c r="AF60" s="257">
        <f t="array" ref="AF60">INDEX(PriceDeck!$C$18:$O$77,MATCH('Decline and Model'!$A60,PriceDeck!$B$18:$B$77,0),MATCH('Decline and Model'!AF$8,PriceDeck!$C$13:$O$13,0))*(1+$AE$6)</f>
        <v>89.8</v>
      </c>
      <c r="AG60" s="257">
        <f t="array" ref="AG60">INDEX(PriceDeck!$C$18:$O$77,MATCH('Decline and Model'!$A60,PriceDeck!$B$18:$B$77,0),MATCH('Decline and Model'!AG$8,PriceDeck!$C$13:$O$13,0))*(1+$AE$6)</f>
        <v>63.4</v>
      </c>
      <c r="AH60" s="258">
        <f t="array" ref="AH60">INDEX(PriceDeck!$C$18:$O$77,MATCH('Decline and Model'!$A60,PriceDeck!$B$18:$B$77,0),MATCH('Decline and Model'!AH$8,PriceDeck!$C$13:$O$13,0))</f>
        <v>0.85</v>
      </c>
      <c r="AI60" s="258">
        <f t="shared" si="29"/>
        <v>3.9</v>
      </c>
      <c r="AJ60" s="259">
        <f t="shared" si="30"/>
        <v>3.9</v>
      </c>
      <c r="AK60" s="120">
        <v>3.9</v>
      </c>
      <c r="AL60" s="120"/>
      <c r="AN60" s="7">
        <f t="shared" si="31"/>
        <v>237470.94692913612</v>
      </c>
      <c r="AO60" s="7">
        <f t="shared" si="52"/>
        <v>50751.90760827779</v>
      </c>
      <c r="AP60" s="7">
        <f t="shared" si="32"/>
        <v>15275.692115051805</v>
      </c>
      <c r="AQ60" s="7">
        <f t="shared" si="33"/>
        <v>21277.356160702344</v>
      </c>
      <c r="AR60" s="7">
        <f t="shared" si="34"/>
        <v>30071.849966567712</v>
      </c>
      <c r="AS60" s="7">
        <f t="shared" si="35"/>
        <v>25977.094347882954</v>
      </c>
      <c r="AT60" s="7">
        <f t="shared" si="36"/>
        <v>380824.84712761873</v>
      </c>
      <c r="AU60">
        <f>SUM($AT$9:AT60)</f>
        <v>50208235.085972711</v>
      </c>
      <c r="AV60" s="7">
        <f>AT60/(1+$AR$5)^(COUNT($E$9:E60))</f>
        <v>256998.60146289229</v>
      </c>
      <c r="AW60" s="7">
        <f t="shared" si="49"/>
        <v>0</v>
      </c>
      <c r="AX60" s="7">
        <f t="shared" si="37"/>
        <v>0</v>
      </c>
      <c r="AY60" s="117">
        <f t="shared" si="38"/>
        <v>0</v>
      </c>
      <c r="AZ60" s="117">
        <f t="shared" si="53"/>
        <v>380824.84712761873</v>
      </c>
      <c r="BA60" s="120">
        <f t="shared" si="46"/>
        <v>93162.807064399633</v>
      </c>
      <c r="BB60" s="119">
        <f t="shared" si="4"/>
        <v>0</v>
      </c>
      <c r="BC60" s="17"/>
      <c r="BD60" s="126">
        <f t="shared" si="5"/>
        <v>0.62356999213750597</v>
      </c>
      <c r="BE60" s="127">
        <f t="shared" si="6"/>
        <v>0.13326837256307031</v>
      </c>
      <c r="BF60" s="127">
        <f t="shared" si="7"/>
        <v>4.0112120388858835E-2</v>
      </c>
      <c r="BG60" s="127">
        <f t="shared" si="8"/>
        <v>5.5871764463866665E-2</v>
      </c>
      <c r="BH60" s="127">
        <f t="shared" si="9"/>
        <v>7.8965041785969109E-2</v>
      </c>
      <c r="BI60" s="128">
        <f t="shared" si="10"/>
        <v>6.8212708660729093E-2</v>
      </c>
      <c r="BJ60" s="126">
        <f t="array" ref="BJ60">BD60*INDEX(Royalty!$U$7:$Z$246,MATCH('Decline and Model'!$E60,Royalty!$AI$7:$AI$246,0),MATCH('Decline and Model'!BJ$8,Royalty!$U$1:$Z$1,0))</f>
        <v>0.1699003280813314</v>
      </c>
      <c r="BK60" s="127">
        <f t="array" ref="BK60">BE60*INDEX(Royalty!$U$7:$Z$246,MATCH('Decline and Model'!$E60,Royalty!$AI$7:$AI$246,0),MATCH('Decline and Model'!BK$8,Royalty!$U$1:$Z$1,0))</f>
        <v>3.5264709513622719E-2</v>
      </c>
      <c r="BL60" s="127">
        <f t="array" ref="BL60">BF60*INDEX(Royalty!$U$7:$Z$246,MATCH('Decline and Model'!$E60,Royalty!$AI$7:$AI$246,0),MATCH('Decline and Model'!BL$8,Royalty!$U$1:$Z$1,0))</f>
        <v>1.0971668953424078E-2</v>
      </c>
      <c r="BM60" s="127">
        <f t="array" ref="BM60">BG60*INDEX(Royalty!$U$7:$Z$246,MATCH('Decline and Model'!$E60,Royalty!$AI$7:$AI$246,0),MATCH('Decline and Model'!BM$8,Royalty!$U$1:$Z$1,0))</f>
        <v>1.475013707223892E-2</v>
      </c>
      <c r="BN60" s="127">
        <f t="array" ref="BN60">BH60*INDEX(Royalty!$U$7:$Z$246,MATCH('Decline and Model'!$E60,Royalty!$AI$7:$AI$246,0),MATCH('Decline and Model'!BN$8,Royalty!$U$1:$Z$1,0))</f>
        <v>1.0336787242473134E-2</v>
      </c>
      <c r="BO60" s="127">
        <f t="array" ref="BO60">BI60*INDEX(Royalty!$U$7:$Z$246,MATCH('Decline and Model'!$E60,Royalty!$AI$7:$AI$246,0),MATCH('Decline and Model'!BO$8,Royalty!$U$1:$Z$1,0))</f>
        <v>3.4106354330364548E-3</v>
      </c>
      <c r="BP60" s="135">
        <f t="shared" si="11"/>
        <v>0.24463426629612672</v>
      </c>
      <c r="BQ60" s="7"/>
      <c r="BR60" s="7"/>
      <c r="BS60">
        <v>52</v>
      </c>
      <c r="BT60" s="120">
        <f t="shared" si="12"/>
        <v>93162.807064399633</v>
      </c>
      <c r="BU60" s="113">
        <f t="shared" si="13"/>
        <v>65181.483040250925</v>
      </c>
      <c r="BV60" s="113">
        <f t="shared" si="14"/>
        <v>19554.444912075276</v>
      </c>
      <c r="BW60" s="113">
        <f t="shared" si="47"/>
        <v>3837931.2808864857</v>
      </c>
      <c r="BX60" s="113">
        <f t="shared" si="39"/>
        <v>84835.362380048216</v>
      </c>
      <c r="BY60" s="120">
        <f t="shared" si="40"/>
        <v>118090.74973084468</v>
      </c>
      <c r="BZ60" s="153">
        <f t="shared" si="48"/>
        <v>0</v>
      </c>
      <c r="CA60" s="120">
        <f t="shared" si="50"/>
        <v>118090.74973084468</v>
      </c>
      <c r="CB60" s="120">
        <f t="shared" si="41"/>
        <v>29522.687432711169</v>
      </c>
      <c r="CC60" s="153">
        <f t="shared" si="42"/>
        <v>173403.42467818171</v>
      </c>
      <c r="CD60" s="7">
        <f t="shared" si="16"/>
        <v>117020.82457932329</v>
      </c>
      <c r="CE60" s="11">
        <f>SUM($CD$9:CD60)</f>
        <v>21549522.552103423</v>
      </c>
      <c r="CF60" s="11">
        <f t="shared" si="43"/>
        <v>12000000</v>
      </c>
      <c r="CG60">
        <f t="shared" si="44"/>
        <v>9549522.5521034226</v>
      </c>
      <c r="CI60" s="219"/>
      <c r="CJ60" s="219">
        <v>-0.36992700000000001</v>
      </c>
      <c r="CK60" s="7">
        <v>3203349.9530324489</v>
      </c>
      <c r="CN60" s="7">
        <v>3</v>
      </c>
      <c r="CO60" s="7">
        <v>14243094.366587568</v>
      </c>
      <c r="CP60" s="11">
        <f t="shared" si="57"/>
        <v>576237.56674562395</v>
      </c>
      <c r="CQ60" s="11">
        <f t="shared" si="58"/>
        <v>458174.55027053086</v>
      </c>
    </row>
    <row r="61" spans="1:95" ht="22.5" customHeight="1">
      <c r="A61">
        <f t="shared" si="17"/>
        <v>2021</v>
      </c>
      <c r="B61">
        <f t="shared" si="18"/>
        <v>30.416666666666668</v>
      </c>
      <c r="C61">
        <f t="shared" si="51"/>
        <v>5</v>
      </c>
      <c r="E61" s="97">
        <v>44409</v>
      </c>
      <c r="F61" s="2">
        <f>$F$6*EXP(-$F$3*COUNT($E$9:$E61))</f>
        <v>56.624403824264128</v>
      </c>
      <c r="G61" s="260">
        <f>$F$6/(1+$F$5*$F$3*COUNT($E$9:$E61))^(1/$F$5)</f>
        <v>87.004507007710885</v>
      </c>
      <c r="H61" s="260">
        <f>$H$6/(1+$H$5*$H$3*COUNT($E$9:$E61))^(1/$H$5)</f>
        <v>419.31162059711596</v>
      </c>
      <c r="I61" s="260">
        <f t="shared" si="19"/>
        <v>79.868880113736367</v>
      </c>
      <c r="J61" s="260">
        <f t="shared" si="20"/>
        <v>33.257401679359823</v>
      </c>
      <c r="K61" s="260">
        <f t="shared" si="20"/>
        <v>22.626853736221513</v>
      </c>
      <c r="L61" s="260">
        <f t="shared" si="20"/>
        <v>10.790285703365782</v>
      </c>
      <c r="M61" s="260">
        <f t="shared" si="20"/>
        <v>13.202325882800622</v>
      </c>
      <c r="N61" s="19">
        <f t="shared" si="21"/>
        <v>1722.3256163213673</v>
      </c>
      <c r="O61" s="19">
        <f t="shared" si="22"/>
        <v>2646.3870881512062</v>
      </c>
      <c r="P61" s="19">
        <f t="shared" si="23"/>
        <v>12754.061793162278</v>
      </c>
      <c r="Q61" s="19">
        <f t="shared" si="24"/>
        <v>2429.3451034594814</v>
      </c>
      <c r="R61" s="19">
        <f t="shared" si="25"/>
        <v>1011.579301080528</v>
      </c>
      <c r="S61" s="19">
        <f t="shared" si="26"/>
        <v>688.23346781007103</v>
      </c>
      <c r="T61" s="19">
        <f t="shared" si="27"/>
        <v>328.20452347737591</v>
      </c>
      <c r="U61" s="19">
        <f t="shared" si="28"/>
        <v>401.57074560185225</v>
      </c>
      <c r="V61" s="261">
        <f t="shared" si="45"/>
        <v>6347.152346482053</v>
      </c>
      <c r="W61" s="261">
        <f>SUM(O$9:O61)</f>
        <v>477790.73424599326</v>
      </c>
      <c r="X61" s="261">
        <f>SUM(P$9:P61)</f>
        <v>1657183.7850342607</v>
      </c>
      <c r="Y61" s="261">
        <f>SUM(Q$9:Q61)</f>
        <v>315654.05429224012</v>
      </c>
      <c r="Z61" s="261">
        <f>SUM($V$9:V61)</f>
        <v>958645.24771651358</v>
      </c>
      <c r="AB61" s="257">
        <f t="array" ref="AB61">(INDEX(PriceDeck!$C$18:$O$77,MATCH('Decline and Model'!$A61,PriceDeck!$B$18:$B$77,0),MATCH('Decline and Model'!AB$8,PriceDeck!$C$13:$O$13,0))*(1+$AE$6))</f>
        <v>75.8</v>
      </c>
      <c r="AC61" s="257">
        <f t="array" ref="AC61">INDEX(PriceDeck!$C$18:$O$77,MATCH('Decline and Model'!$A61,PriceDeck!$B$18:$B$77,0),MATCH('Decline and Model'!AC$8,PriceDeck!$C$13:$O$13,0))*(1+$AE$6)</f>
        <v>86.6</v>
      </c>
      <c r="AD61" s="257">
        <f t="array" ref="AD61">INDEX(PriceDeck!$C$18:$O$77,MATCH('Decline and Model'!$A61,PriceDeck!$B$18:$B$77,0),MATCH('Decline and Model'!AD$8,PriceDeck!$C$13:$O$13,0))*(1+$AE$6)</f>
        <v>14.8</v>
      </c>
      <c r="AE61" s="257">
        <f t="array" ref="AE61">INDEX(PriceDeck!$C$18:$O$77,MATCH('Decline and Model'!$A61,PriceDeck!$B$18:$B$77,0),MATCH('Decline and Model'!AE$8,PriceDeck!$C$13:$O$13,0))*(1+$AE$6)</f>
        <v>30.3</v>
      </c>
      <c r="AF61" s="257">
        <f t="array" ref="AF61">INDEX(PriceDeck!$C$18:$O$77,MATCH('Decline and Model'!$A61,PriceDeck!$B$18:$B$77,0),MATCH('Decline and Model'!AF$8,PriceDeck!$C$13:$O$13,0))*(1+$AE$6)</f>
        <v>89.8</v>
      </c>
      <c r="AG61" s="257">
        <f t="array" ref="AG61">INDEX(PriceDeck!$C$18:$O$77,MATCH('Decline and Model'!$A61,PriceDeck!$B$18:$B$77,0),MATCH('Decline and Model'!AG$8,PriceDeck!$C$13:$O$13,0))*(1+$AE$6)</f>
        <v>63.4</v>
      </c>
      <c r="AH61" s="258">
        <f t="array" ref="AH61">INDEX(PriceDeck!$C$18:$O$77,MATCH('Decline and Model'!$A61,PriceDeck!$B$18:$B$77,0),MATCH('Decline and Model'!AH$8,PriceDeck!$C$13:$O$13,0))</f>
        <v>0.85</v>
      </c>
      <c r="AI61" s="258">
        <f t="shared" si="29"/>
        <v>3.9</v>
      </c>
      <c r="AJ61" s="259">
        <f t="shared" si="30"/>
        <v>3.9</v>
      </c>
      <c r="AK61" s="120">
        <v>3.9</v>
      </c>
      <c r="AL61" s="120"/>
      <c r="AN61" s="7">
        <f t="shared" si="31"/>
        <v>229177.12183389443</v>
      </c>
      <c r="AO61" s="7">
        <f t="shared" si="52"/>
        <v>49740.840993332888</v>
      </c>
      <c r="AP61" s="7">
        <f t="shared" si="32"/>
        <v>14971.373655991816</v>
      </c>
      <c r="AQ61" s="7">
        <f t="shared" si="33"/>
        <v>20853.474074645153</v>
      </c>
      <c r="AR61" s="7">
        <f t="shared" si="34"/>
        <v>29472.766208268356</v>
      </c>
      <c r="AS61" s="7">
        <f t="shared" si="35"/>
        <v>25459.585271157433</v>
      </c>
      <c r="AT61" s="7">
        <f t="shared" si="36"/>
        <v>369675.16203729005</v>
      </c>
      <c r="AU61">
        <f>SUM($AT$9:AT61)</f>
        <v>50577910.248010002</v>
      </c>
      <c r="AV61" s="7">
        <f>AT61/(1+$AR$5)^(COUNT($E$9:E61))</f>
        <v>247594.64389309194</v>
      </c>
      <c r="AW61" s="7">
        <f t="shared" si="49"/>
        <v>0</v>
      </c>
      <c r="AX61" s="7">
        <f t="shared" si="37"/>
        <v>0</v>
      </c>
      <c r="AY61" s="117">
        <f t="shared" si="38"/>
        <v>0</v>
      </c>
      <c r="AZ61" s="117">
        <f t="shared" si="53"/>
        <v>369675.16203729005</v>
      </c>
      <c r="BA61" s="120">
        <f t="shared" si="46"/>
        <v>90336.055256677442</v>
      </c>
      <c r="BB61" s="119">
        <f t="shared" si="4"/>
        <v>0</v>
      </c>
      <c r="BC61" s="17"/>
      <c r="BD61" s="126">
        <f t="shared" si="5"/>
        <v>0.61994189864120963</v>
      </c>
      <c r="BE61" s="127">
        <f t="shared" si="6"/>
        <v>0.13455283476230789</v>
      </c>
      <c r="BF61" s="127">
        <f t="shared" si="7"/>
        <v>4.0498727513864227E-2</v>
      </c>
      <c r="BG61" s="127">
        <f t="shared" si="8"/>
        <v>5.6410265595668044E-2</v>
      </c>
      <c r="BH61" s="127">
        <f t="shared" si="9"/>
        <v>7.9726119671776507E-2</v>
      </c>
      <c r="BI61" s="128">
        <f t="shared" si="10"/>
        <v>6.8870153815173724E-2</v>
      </c>
      <c r="BJ61" s="126">
        <f t="array" ref="BJ61">BD61*INDEX(Royalty!$U$7:$Z$246,MATCH('Decline and Model'!$E61,Royalty!$AI$7:$AI$246,0),MATCH('Decline and Model'!BJ$8,Royalty!$U$1:$Z$1,0))</f>
        <v>0.16891180348408852</v>
      </c>
      <c r="BK61" s="127">
        <f t="array" ref="BK61">BE61*INDEX(Royalty!$U$7:$Z$246,MATCH('Decline and Model'!$E61,Royalty!$AI$7:$AI$246,0),MATCH('Decline and Model'!BK$8,Royalty!$U$1:$Z$1,0))</f>
        <v>3.5604596506059023E-2</v>
      </c>
      <c r="BL61" s="127">
        <f t="array" ref="BL61">BF61*INDEX(Royalty!$U$7:$Z$246,MATCH('Decline and Model'!$E61,Royalty!$AI$7:$AI$246,0),MATCH('Decline and Model'!BL$8,Royalty!$U$1:$Z$1,0))</f>
        <v>1.1077415679088881E-2</v>
      </c>
      <c r="BM61" s="127">
        <f t="array" ref="BM61">BG61*INDEX(Royalty!$U$7:$Z$246,MATCH('Decline and Model'!$E61,Royalty!$AI$7:$AI$246,0),MATCH('Decline and Model'!BM$8,Royalty!$U$1:$Z$1,0))</f>
        <v>1.4892301286736978E-2</v>
      </c>
      <c r="BN61" s="127">
        <f t="array" ref="BN61">BH61*INDEX(Royalty!$U$7:$Z$246,MATCH('Decline and Model'!$E61,Royalty!$AI$7:$AI$246,0),MATCH('Decline and Model'!BN$8,Royalty!$U$1:$Z$1,0))</f>
        <v>1.0436414875190226E-2</v>
      </c>
      <c r="BO61" s="127">
        <f t="array" ref="BO61">BI61*INDEX(Royalty!$U$7:$Z$246,MATCH('Decline and Model'!$E61,Royalty!$AI$7:$AI$246,0),MATCH('Decline and Model'!BO$8,Royalty!$U$1:$Z$1,0))</f>
        <v>3.4435076907586865E-3</v>
      </c>
      <c r="BP61" s="135">
        <f t="shared" si="11"/>
        <v>0.24436603952192229</v>
      </c>
      <c r="BQ61" s="7"/>
      <c r="BR61" s="7"/>
      <c r="BS61">
        <v>53</v>
      </c>
      <c r="BT61" s="120">
        <f t="shared" si="12"/>
        <v>90336.055256677442</v>
      </c>
      <c r="BU61" s="113">
        <f t="shared" si="13"/>
        <v>63471.52346482053</v>
      </c>
      <c r="BV61" s="113">
        <f t="shared" si="14"/>
        <v>19041.457039446159</v>
      </c>
      <c r="BW61" s="113">
        <f t="shared" si="47"/>
        <v>3753095.9185064374</v>
      </c>
      <c r="BX61" s="113">
        <f t="shared" si="39"/>
        <v>82960.123303726941</v>
      </c>
      <c r="BY61" s="120">
        <f t="shared" si="40"/>
        <v>113866.00297261898</v>
      </c>
      <c r="BZ61" s="153">
        <f t="shared" si="48"/>
        <v>0</v>
      </c>
      <c r="CA61" s="120">
        <f t="shared" si="50"/>
        <v>113866.00297261898</v>
      </c>
      <c r="CB61" s="120">
        <f t="shared" si="41"/>
        <v>28466.500743154746</v>
      </c>
      <c r="CC61" s="153">
        <f t="shared" si="42"/>
        <v>168359.6255331912</v>
      </c>
      <c r="CD61" s="7">
        <f t="shared" si="16"/>
        <v>112761.00157808255</v>
      </c>
      <c r="CE61" s="11">
        <f>SUM($CD$9:CD61)</f>
        <v>21662283.553681504</v>
      </c>
      <c r="CF61" s="11">
        <f t="shared" si="43"/>
        <v>12000000</v>
      </c>
      <c r="CG61">
        <f t="shared" si="44"/>
        <v>9662283.553681504</v>
      </c>
      <c r="CJ61" s="219">
        <v>-0.26992699999999997</v>
      </c>
      <c r="CK61" s="7">
        <v>6194324.5004062764</v>
      </c>
      <c r="CN61" s="7">
        <v>4</v>
      </c>
      <c r="CO61" s="7">
        <v>14431313.808582138</v>
      </c>
      <c r="CP61" s="11">
        <f t="shared" si="57"/>
        <v>764457.00874019414</v>
      </c>
      <c r="CQ61" s="11">
        <f t="shared" si="58"/>
        <v>607039.65344006999</v>
      </c>
    </row>
    <row r="62" spans="1:95" ht="22.5" customHeight="1">
      <c r="A62">
        <f t="shared" si="17"/>
        <v>2021</v>
      </c>
      <c r="B62">
        <f t="shared" si="18"/>
        <v>30.416666666666668</v>
      </c>
      <c r="C62">
        <f t="shared" si="51"/>
        <v>5</v>
      </c>
      <c r="E62" s="97">
        <v>44440</v>
      </c>
      <c r="F62" s="2">
        <f>$F$6*EXP(-$F$3*COUNT($E$9:$E62))</f>
        <v>53.862799062450804</v>
      </c>
      <c r="G62" s="260">
        <f>$F$6/(1+$F$5*$F$3*COUNT($E$9:$E62))^(1/$F$5)</f>
        <v>83.982162174507948</v>
      </c>
      <c r="H62" s="260">
        <f>$H$6/(1+$H$5*$H$3*COUNT($E$9:$E62))^(1/$H$5)</f>
        <v>411.07541552076236</v>
      </c>
      <c r="I62" s="260">
        <f t="shared" si="19"/>
        <v>78.300079146811868</v>
      </c>
      <c r="J62" s="260">
        <f t="shared" si="20"/>
        <v>32.604152956732463</v>
      </c>
      <c r="K62" s="260">
        <f t="shared" si="20"/>
        <v>22.182412422291801</v>
      </c>
      <c r="L62" s="260">
        <f t="shared" si="20"/>
        <v>10.578340692734283</v>
      </c>
      <c r="M62" s="260">
        <f t="shared" si="20"/>
        <v>12.943003082968001</v>
      </c>
      <c r="N62" s="19">
        <f t="shared" si="21"/>
        <v>1638.326804816212</v>
      </c>
      <c r="O62" s="19">
        <f t="shared" si="22"/>
        <v>2554.4574328079502</v>
      </c>
      <c r="P62" s="19">
        <f t="shared" si="23"/>
        <v>12503.543888756521</v>
      </c>
      <c r="Q62" s="19">
        <f t="shared" si="24"/>
        <v>2381.6274073821942</v>
      </c>
      <c r="R62" s="19">
        <f t="shared" si="25"/>
        <v>991.70965243394573</v>
      </c>
      <c r="S62" s="19">
        <f t="shared" si="26"/>
        <v>674.71504451137559</v>
      </c>
      <c r="T62" s="19">
        <f t="shared" si="27"/>
        <v>321.75786273733445</v>
      </c>
      <c r="U62" s="19">
        <f t="shared" si="28"/>
        <v>393.68301044027675</v>
      </c>
      <c r="V62" s="261">
        <f t="shared" si="45"/>
        <v>6182.5314989327408</v>
      </c>
      <c r="W62" s="261">
        <f>SUM(O$9:O62)</f>
        <v>480345.1916788012</v>
      </c>
      <c r="X62" s="261">
        <f>SUM(P$9:P62)</f>
        <v>1669687.3289230173</v>
      </c>
      <c r="Y62" s="261">
        <f>SUM(Q$9:Q62)</f>
        <v>318035.68169962231</v>
      </c>
      <c r="Z62" s="261">
        <f>SUM($V$9:V62)</f>
        <v>964827.77921544632</v>
      </c>
      <c r="AB62" s="257">
        <f t="array" ref="AB62">(INDEX(PriceDeck!$C$18:$O$77,MATCH('Decline and Model'!$A62,PriceDeck!$B$18:$B$77,0),MATCH('Decline and Model'!AB$8,PriceDeck!$C$13:$O$13,0))*(1+$AE$6))</f>
        <v>75.8</v>
      </c>
      <c r="AC62" s="257">
        <f t="array" ref="AC62">INDEX(PriceDeck!$C$18:$O$77,MATCH('Decline and Model'!$A62,PriceDeck!$B$18:$B$77,0),MATCH('Decline and Model'!AC$8,PriceDeck!$C$13:$O$13,0))*(1+$AE$6)</f>
        <v>86.6</v>
      </c>
      <c r="AD62" s="257">
        <f t="array" ref="AD62">INDEX(PriceDeck!$C$18:$O$77,MATCH('Decline and Model'!$A62,PriceDeck!$B$18:$B$77,0),MATCH('Decline and Model'!AD$8,PriceDeck!$C$13:$O$13,0))*(1+$AE$6)</f>
        <v>14.8</v>
      </c>
      <c r="AE62" s="257">
        <f t="array" ref="AE62">INDEX(PriceDeck!$C$18:$O$77,MATCH('Decline and Model'!$A62,PriceDeck!$B$18:$B$77,0),MATCH('Decline and Model'!AE$8,PriceDeck!$C$13:$O$13,0))*(1+$AE$6)</f>
        <v>30.3</v>
      </c>
      <c r="AF62" s="257">
        <f t="array" ref="AF62">INDEX(PriceDeck!$C$18:$O$77,MATCH('Decline and Model'!$A62,PriceDeck!$B$18:$B$77,0),MATCH('Decline and Model'!AF$8,PriceDeck!$C$13:$O$13,0))*(1+$AE$6)</f>
        <v>89.8</v>
      </c>
      <c r="AG62" s="257">
        <f t="array" ref="AG62">INDEX(PriceDeck!$C$18:$O$77,MATCH('Decline and Model'!$A62,PriceDeck!$B$18:$B$77,0),MATCH('Decline and Model'!AG$8,PriceDeck!$C$13:$O$13,0))*(1+$AE$6)</f>
        <v>63.4</v>
      </c>
      <c r="AH62" s="258">
        <f t="array" ref="AH62">INDEX(PriceDeck!$C$18:$O$77,MATCH('Decline and Model'!$A62,PriceDeck!$B$18:$B$77,0),MATCH('Decline and Model'!AH$8,PriceDeck!$C$13:$O$13,0))</f>
        <v>0.85</v>
      </c>
      <c r="AI62" s="258">
        <f t="shared" si="29"/>
        <v>3.9</v>
      </c>
      <c r="AJ62" s="259">
        <f t="shared" si="30"/>
        <v>3.9</v>
      </c>
      <c r="AK62" s="120">
        <v>3.9</v>
      </c>
      <c r="AL62" s="120"/>
      <c r="AN62" s="7">
        <f t="shared" si="31"/>
        <v>221216.01368116846</v>
      </c>
      <c r="AO62" s="7">
        <f t="shared" si="52"/>
        <v>48763.821166150432</v>
      </c>
      <c r="AP62" s="7">
        <f t="shared" si="32"/>
        <v>14677.302856022397</v>
      </c>
      <c r="AQ62" s="7">
        <f t="shared" si="33"/>
        <v>20443.865848694681</v>
      </c>
      <c r="AR62" s="7">
        <f t="shared" si="34"/>
        <v>28893.856073812633</v>
      </c>
      <c r="AS62" s="7">
        <f t="shared" si="35"/>
        <v>24959.502861913545</v>
      </c>
      <c r="AT62" s="7">
        <f t="shared" si="36"/>
        <v>358954.36248776212</v>
      </c>
      <c r="AU62">
        <f>SUM($AT$9:AT62)</f>
        <v>50936864.610497765</v>
      </c>
      <c r="AV62" s="7">
        <f>AT62/(1+$AR$5)^(COUNT($E$9:E62))</f>
        <v>238602.88995165803</v>
      </c>
      <c r="AW62" s="7">
        <f t="shared" si="49"/>
        <v>0</v>
      </c>
      <c r="AX62" s="7">
        <f t="shared" si="37"/>
        <v>0</v>
      </c>
      <c r="AY62" s="117">
        <f t="shared" si="38"/>
        <v>0</v>
      </c>
      <c r="AZ62" s="117">
        <f t="shared" si="53"/>
        <v>358954.36248776212</v>
      </c>
      <c r="BA62" s="120">
        <f t="shared" si="46"/>
        <v>87619.049494362334</v>
      </c>
      <c r="BB62" s="119">
        <f t="shared" si="4"/>
        <v>0</v>
      </c>
      <c r="BC62" s="17"/>
      <c r="BD62" s="126">
        <f t="shared" si="5"/>
        <v>0.61627893904955788</v>
      </c>
      <c r="BE62" s="127">
        <f t="shared" si="6"/>
        <v>0.13584964068465094</v>
      </c>
      <c r="BF62" s="127">
        <f t="shared" si="7"/>
        <v>4.0889049945793017E-2</v>
      </c>
      <c r="BG62" s="127">
        <f t="shared" si="8"/>
        <v>5.6953941740690441E-2</v>
      </c>
      <c r="BH62" s="127">
        <f t="shared" si="9"/>
        <v>8.0494511540579794E-2</v>
      </c>
      <c r="BI62" s="128">
        <f t="shared" si="10"/>
        <v>6.9533917038727994E-2</v>
      </c>
      <c r="BJ62" s="126">
        <f t="array" ref="BJ62">BD62*INDEX(Royalty!$U$7:$Z$246,MATCH('Decline and Model'!$E62,Royalty!$AI$7:$AI$246,0),MATCH('Decline and Model'!BJ$8,Royalty!$U$1:$Z$1,0))</f>
        <v>0.16791377913362704</v>
      </c>
      <c r="BK62" s="127">
        <f t="array" ref="BK62">BE62*INDEX(Royalty!$U$7:$Z$246,MATCH('Decline and Model'!$E62,Royalty!$AI$7:$AI$246,0),MATCH('Decline and Model'!BK$8,Royalty!$U$1:$Z$1,0))</f>
        <v>3.5947749823439935E-2</v>
      </c>
      <c r="BL62" s="127">
        <f t="array" ref="BL62">BF62*INDEX(Royalty!$U$7:$Z$246,MATCH('Decline and Model'!$E62,Royalty!$AI$7:$AI$246,0),MATCH('Decline and Model'!BL$8,Royalty!$U$1:$Z$1,0))</f>
        <v>1.1184178634193282E-2</v>
      </c>
      <c r="BM62" s="127">
        <f t="array" ref="BM62">BG62*INDEX(Royalty!$U$7:$Z$246,MATCH('Decline and Model'!$E62,Royalty!$AI$7:$AI$246,0),MATCH('Decline and Model'!BM$8,Royalty!$U$1:$Z$1,0))</f>
        <v>1.5035831703915283E-2</v>
      </c>
      <c r="BN62" s="127">
        <f t="array" ref="BN62">BH62*INDEX(Royalty!$U$7:$Z$246,MATCH('Decline and Model'!$E62,Royalty!$AI$7:$AI$246,0),MATCH('Decline and Model'!BN$8,Royalty!$U$1:$Z$1,0))</f>
        <v>1.0536999932666598E-2</v>
      </c>
      <c r="BO62" s="127">
        <f t="array" ref="BO62">BI62*INDEX(Royalty!$U$7:$Z$246,MATCH('Decline and Model'!$E62,Royalty!$AI$7:$AI$246,0),MATCH('Decline and Model'!BO$8,Royalty!$U$1:$Z$1,0))</f>
        <v>3.4766958519364E-3</v>
      </c>
      <c r="BP62" s="135">
        <f t="shared" si="11"/>
        <v>0.24409523507977854</v>
      </c>
      <c r="BQ62" s="7"/>
      <c r="BR62" s="7"/>
      <c r="BS62">
        <v>54</v>
      </c>
      <c r="BT62" s="120">
        <f t="shared" si="12"/>
        <v>87619.049494362334</v>
      </c>
      <c r="BU62" s="113">
        <f t="shared" si="13"/>
        <v>61825.314989327409</v>
      </c>
      <c r="BV62" s="113">
        <f t="shared" si="14"/>
        <v>18547.594496798221</v>
      </c>
      <c r="BW62" s="113">
        <f t="shared" si="47"/>
        <v>3670135.7952027107</v>
      </c>
      <c r="BX62" s="113">
        <f t="shared" si="39"/>
        <v>81126.33535691943</v>
      </c>
      <c r="BY62" s="120">
        <f t="shared" si="40"/>
        <v>109836.06815035474</v>
      </c>
      <c r="BZ62" s="153">
        <f t="shared" si="48"/>
        <v>0</v>
      </c>
      <c r="CA62" s="120">
        <f t="shared" si="50"/>
        <v>109836.06815035474</v>
      </c>
      <c r="CB62" s="120">
        <f t="shared" si="41"/>
        <v>27459.017037588685</v>
      </c>
      <c r="CC62" s="153">
        <f t="shared" si="42"/>
        <v>163503.38646968547</v>
      </c>
      <c r="CD62" s="7">
        <f t="shared" si="16"/>
        <v>108683.39991237696</v>
      </c>
      <c r="CE62" s="11">
        <f>SUM($CD$9:CD62)</f>
        <v>21770966.95359388</v>
      </c>
      <c r="CF62" s="11">
        <f t="shared" si="43"/>
        <v>12000000</v>
      </c>
      <c r="CG62">
        <f t="shared" si="44"/>
        <v>9770966.9535938799</v>
      </c>
      <c r="CJ62" s="219">
        <v>-0.16992699999999999</v>
      </c>
      <c r="CK62" s="7">
        <v>9032950.1067451946</v>
      </c>
      <c r="CN62" s="7">
        <v>5</v>
      </c>
      <c r="CO62" s="7">
        <v>14617588.595554385</v>
      </c>
      <c r="CP62" s="11">
        <f t="shared" si="57"/>
        <v>950731.79571244121</v>
      </c>
      <c r="CQ62" s="11">
        <f t="shared" si="58"/>
        <v>753960.10158728599</v>
      </c>
    </row>
    <row r="63" spans="1:95" ht="22.5" customHeight="1">
      <c r="A63">
        <f t="shared" si="17"/>
        <v>2021</v>
      </c>
      <c r="B63">
        <f t="shared" si="18"/>
        <v>30.416666666666668</v>
      </c>
      <c r="C63">
        <f t="shared" si="51"/>
        <v>5</v>
      </c>
      <c r="E63" s="97">
        <v>44470</v>
      </c>
      <c r="F63" s="2">
        <f>$F$6*EXP(-$F$3*COUNT($E$9:$E63))</f>
        <v>51.235879354172681</v>
      </c>
      <c r="G63" s="260">
        <f>$F$6/(1+$F$5*$F$3*COUNT($E$9:$E63))^(1/$F$5)</f>
        <v>81.080413800676439</v>
      </c>
      <c r="H63" s="260">
        <f>$H$6/(1+$H$5*$H$3*COUNT($E$9:$E63))^(1/$H$5)</f>
        <v>403.11271966814451</v>
      </c>
      <c r="I63" s="260">
        <f t="shared" si="19"/>
        <v>76.783375174884668</v>
      </c>
      <c r="J63" s="260">
        <f t="shared" si="20"/>
        <v>31.972597422821977</v>
      </c>
      <c r="K63" s="260">
        <f t="shared" si="20"/>
        <v>21.752730187044826</v>
      </c>
      <c r="L63" s="260">
        <f t="shared" si="20"/>
        <v>10.373433986126919</v>
      </c>
      <c r="M63" s="260">
        <f t="shared" si="20"/>
        <v>12.692291916408436</v>
      </c>
      <c r="N63" s="19">
        <f t="shared" si="21"/>
        <v>1558.424663689419</v>
      </c>
      <c r="O63" s="19">
        <f t="shared" si="22"/>
        <v>2466.1959197705751</v>
      </c>
      <c r="P63" s="19">
        <f t="shared" si="23"/>
        <v>12261.345223239396</v>
      </c>
      <c r="Q63" s="19">
        <f t="shared" si="24"/>
        <v>2335.4943282360755</v>
      </c>
      <c r="R63" s="19">
        <f t="shared" si="25"/>
        <v>972.49983827750179</v>
      </c>
      <c r="S63" s="19">
        <f t="shared" si="26"/>
        <v>661.64554318928015</v>
      </c>
      <c r="T63" s="19">
        <f t="shared" si="27"/>
        <v>315.52528374469381</v>
      </c>
      <c r="U63" s="19">
        <f t="shared" si="28"/>
        <v>386.0572124574233</v>
      </c>
      <c r="V63" s="261">
        <f t="shared" si="45"/>
        <v>6023.9927344992338</v>
      </c>
      <c r="W63" s="261">
        <f>SUM(O$9:O63)</f>
        <v>482811.38759857178</v>
      </c>
      <c r="X63" s="261">
        <f>SUM(P$9:P63)</f>
        <v>1681948.6741462566</v>
      </c>
      <c r="Y63" s="261">
        <f>SUM(Q$9:Q63)</f>
        <v>320371.1760278584</v>
      </c>
      <c r="Z63" s="261">
        <f>SUM($V$9:V63)</f>
        <v>970851.7719499456</v>
      </c>
      <c r="AB63" s="257">
        <f t="array" ref="AB63">(INDEX(PriceDeck!$C$18:$O$77,MATCH('Decline and Model'!$A63,PriceDeck!$B$18:$B$77,0),MATCH('Decline and Model'!AB$8,PriceDeck!$C$13:$O$13,0))*(1+$AE$6))</f>
        <v>75.8</v>
      </c>
      <c r="AC63" s="257">
        <f t="array" ref="AC63">INDEX(PriceDeck!$C$18:$O$77,MATCH('Decline and Model'!$A63,PriceDeck!$B$18:$B$77,0),MATCH('Decline and Model'!AC$8,PriceDeck!$C$13:$O$13,0))*(1+$AE$6)</f>
        <v>86.6</v>
      </c>
      <c r="AD63" s="257">
        <f t="array" ref="AD63">INDEX(PriceDeck!$C$18:$O$77,MATCH('Decline and Model'!$A63,PriceDeck!$B$18:$B$77,0),MATCH('Decline and Model'!AD$8,PriceDeck!$C$13:$O$13,0))*(1+$AE$6)</f>
        <v>14.8</v>
      </c>
      <c r="AE63" s="257">
        <f t="array" ref="AE63">INDEX(PriceDeck!$C$18:$O$77,MATCH('Decline and Model'!$A63,PriceDeck!$B$18:$B$77,0),MATCH('Decline and Model'!AE$8,PriceDeck!$C$13:$O$13,0))*(1+$AE$6)</f>
        <v>30.3</v>
      </c>
      <c r="AF63" s="257">
        <f t="array" ref="AF63">INDEX(PriceDeck!$C$18:$O$77,MATCH('Decline and Model'!$A63,PriceDeck!$B$18:$B$77,0),MATCH('Decline and Model'!AF$8,PriceDeck!$C$13:$O$13,0))*(1+$AE$6)</f>
        <v>89.8</v>
      </c>
      <c r="AG63" s="257">
        <f t="array" ref="AG63">INDEX(PriceDeck!$C$18:$O$77,MATCH('Decline and Model'!$A63,PriceDeck!$B$18:$B$77,0),MATCH('Decline and Model'!AG$8,PriceDeck!$C$13:$O$13,0))*(1+$AE$6)</f>
        <v>63.4</v>
      </c>
      <c r="AH63" s="258">
        <f t="array" ref="AH63">INDEX(PriceDeck!$C$18:$O$77,MATCH('Decline and Model'!$A63,PriceDeck!$B$18:$B$77,0),MATCH('Decline and Model'!AH$8,PriceDeck!$C$13:$O$13,0))</f>
        <v>0.85</v>
      </c>
      <c r="AI63" s="258">
        <f t="shared" si="29"/>
        <v>3.9</v>
      </c>
      <c r="AJ63" s="259">
        <f t="shared" si="30"/>
        <v>3.9</v>
      </c>
      <c r="AK63" s="120">
        <v>3.9</v>
      </c>
      <c r="AL63" s="120"/>
      <c r="AN63" s="7">
        <f t="shared" si="31"/>
        <v>213572.56665213179</v>
      </c>
      <c r="AO63" s="7">
        <f t="shared" si="52"/>
        <v>47819.246370633642</v>
      </c>
      <c r="AP63" s="7">
        <f t="shared" si="32"/>
        <v>14392.997606507028</v>
      </c>
      <c r="AQ63" s="7">
        <f t="shared" si="33"/>
        <v>20047.859958635188</v>
      </c>
      <c r="AR63" s="7">
        <f t="shared" si="34"/>
        <v>28334.170480273504</v>
      </c>
      <c r="AS63" s="7">
        <f t="shared" si="35"/>
        <v>24476.027269800637</v>
      </c>
      <c r="AT63" s="7">
        <f t="shared" si="36"/>
        <v>348642.86833798181</v>
      </c>
      <c r="AU63">
        <f>SUM($AT$9:AT63)</f>
        <v>51285507.478835747</v>
      </c>
      <c r="AV63" s="7">
        <f>AT63/(1+$AR$5)^(COUNT($E$9:E63))</f>
        <v>230002.59697812298</v>
      </c>
      <c r="AW63" s="7">
        <f t="shared" si="49"/>
        <v>0</v>
      </c>
      <c r="AX63" s="7">
        <f t="shared" si="37"/>
        <v>0</v>
      </c>
      <c r="AY63" s="117">
        <f t="shared" si="38"/>
        <v>0</v>
      </c>
      <c r="AZ63" s="117">
        <f t="shared" si="53"/>
        <v>348642.86833798181</v>
      </c>
      <c r="BA63" s="120">
        <f t="shared" si="46"/>
        <v>85006.789380769158</v>
      </c>
      <c r="BB63" s="119">
        <f t="shared" si="4"/>
        <v>0</v>
      </c>
      <c r="BC63" s="17"/>
      <c r="BD63" s="126">
        <f t="shared" si="5"/>
        <v>0.61258263411569347</v>
      </c>
      <c r="BE63" s="127">
        <f t="shared" si="6"/>
        <v>0.13715825193440254</v>
      </c>
      <c r="BF63" s="127">
        <f t="shared" si="7"/>
        <v>4.128292563424573E-2</v>
      </c>
      <c r="BG63" s="127">
        <f t="shared" si="8"/>
        <v>5.7502567180580805E-2</v>
      </c>
      <c r="BH63" s="127">
        <f t="shared" si="9"/>
        <v>8.1269898378663399E-2</v>
      </c>
      <c r="BI63" s="128">
        <f t="shared" si="10"/>
        <v>7.0203722756414039E-2</v>
      </c>
      <c r="BJ63" s="126">
        <f t="array" ref="BJ63">BD63*INDEX(Royalty!$U$7:$Z$246,MATCH('Decline and Model'!$E63,Royalty!$AI$7:$AI$246,0),MATCH('Decline and Model'!BJ$8,Royalty!$U$1:$Z$1,0))</f>
        <v>0.16690666938031851</v>
      </c>
      <c r="BK63" s="127">
        <f t="array" ref="BK63">BE63*INDEX(Royalty!$U$7:$Z$246,MATCH('Decline and Model'!$E63,Royalty!$AI$7:$AI$246,0),MATCH('Decline and Model'!BK$8,Royalty!$U$1:$Z$1,0))</f>
        <v>3.629402699859572E-2</v>
      </c>
      <c r="BL63" s="127">
        <f t="array" ref="BL63">BF63*INDEX(Royalty!$U$7:$Z$246,MATCH('Decline and Model'!$E63,Royalty!$AI$7:$AI$246,0),MATCH('Decline and Model'!BL$8,Royalty!$U$1:$Z$1,0))</f>
        <v>1.129191349389682E-2</v>
      </c>
      <c r="BM63" s="127">
        <f t="array" ref="BM63">BG63*INDEX(Royalty!$U$7:$Z$246,MATCH('Decline and Model'!$E63,Royalty!$AI$7:$AI$246,0),MATCH('Decline and Model'!BM$8,Royalty!$U$1:$Z$1,0))</f>
        <v>1.5180668734163964E-2</v>
      </c>
      <c r="BN63" s="127">
        <f t="array" ref="BN63">BH63*INDEX(Royalty!$U$7:$Z$246,MATCH('Decline and Model'!$E63,Royalty!$AI$7:$AI$246,0),MATCH('Decline and Model'!BN$8,Royalty!$U$1:$Z$1,0))</f>
        <v>1.0638500654943281E-2</v>
      </c>
      <c r="BO63" s="127">
        <f t="array" ref="BO63">BI63*INDEX(Royalty!$U$7:$Z$246,MATCH('Decline and Model'!$E63,Royalty!$AI$7:$AI$246,0),MATCH('Decline and Model'!BO$8,Royalty!$U$1:$Z$1,0))</f>
        <v>3.5101861378207021E-3</v>
      </c>
      <c r="BP63" s="135">
        <f t="shared" si="11"/>
        <v>0.24382196539973899</v>
      </c>
      <c r="BQ63" s="7"/>
      <c r="BR63" s="7"/>
      <c r="BS63">
        <v>55</v>
      </c>
      <c r="BT63" s="120">
        <f t="shared" si="12"/>
        <v>85006.789380769158</v>
      </c>
      <c r="BU63" s="113">
        <f t="shared" si="13"/>
        <v>60239.927344992335</v>
      </c>
      <c r="BV63" s="113">
        <f t="shared" si="14"/>
        <v>18071.978203497703</v>
      </c>
      <c r="BW63" s="113">
        <f t="shared" si="47"/>
        <v>3589009.4598457911</v>
      </c>
      <c r="BX63" s="113">
        <f t="shared" si="39"/>
        <v>79333.082285181299</v>
      </c>
      <c r="BY63" s="120">
        <f t="shared" si="40"/>
        <v>105991.09112354126</v>
      </c>
      <c r="BZ63" s="153">
        <f t="shared" si="48"/>
        <v>0</v>
      </c>
      <c r="CA63" s="120">
        <f t="shared" si="50"/>
        <v>105991.09112354126</v>
      </c>
      <c r="CB63" s="120">
        <f t="shared" si="41"/>
        <v>26497.772780885316</v>
      </c>
      <c r="CC63" s="153">
        <f t="shared" si="42"/>
        <v>158826.40062783725</v>
      </c>
      <c r="CD63" s="7">
        <f t="shared" si="16"/>
        <v>104779.09611986361</v>
      </c>
      <c r="CE63" s="11">
        <f>SUM($CD$9:CD63)</f>
        <v>21875746.049713742</v>
      </c>
      <c r="CF63" s="11">
        <f t="shared" si="43"/>
        <v>12000000</v>
      </c>
      <c r="CG63">
        <f t="shared" si="44"/>
        <v>9875746.049713742</v>
      </c>
      <c r="CJ63" s="219">
        <v>-6.9927000000000003E-2</v>
      </c>
      <c r="CK63" s="7">
        <v>11798120.961409636</v>
      </c>
      <c r="CN63" s="7">
        <v>6</v>
      </c>
      <c r="CO63" s="7">
        <v>14801426.764822308</v>
      </c>
      <c r="CP63" s="11">
        <f t="shared" si="57"/>
        <v>1134569.9649803638</v>
      </c>
      <c r="CQ63" s="11">
        <f t="shared" si="58"/>
        <v>898443.93203017768</v>
      </c>
    </row>
    <row r="64" spans="1:95" ht="22.5" customHeight="1">
      <c r="A64">
        <f t="shared" si="17"/>
        <v>2021</v>
      </c>
      <c r="B64">
        <f t="shared" si="18"/>
        <v>30.416666666666668</v>
      </c>
      <c r="C64">
        <f t="shared" si="51"/>
        <v>5</v>
      </c>
      <c r="E64" s="97">
        <v>44501</v>
      </c>
      <c r="F64" s="2">
        <f>$F$6*EXP(-$F$3*COUNT($E$9:$E64))</f>
        <v>48.737076031857683</v>
      </c>
      <c r="G64" s="260">
        <f>$F$6/(1+$F$5*$F$3*COUNT($E$9:$E64))^(1/$F$5)</f>
        <v>78.293833796578241</v>
      </c>
      <c r="H64" s="260">
        <f>$H$6/(1+$H$5*$H$3*COUNT($E$9:$E64))^(1/$H$5)</f>
        <v>395.41084121896927</v>
      </c>
      <c r="I64" s="260">
        <f t="shared" si="19"/>
        <v>75.316350708375097</v>
      </c>
      <c r="J64" s="260">
        <f t="shared" si="20"/>
        <v>31.361728434967389</v>
      </c>
      <c r="K64" s="260">
        <f t="shared" si="20"/>
        <v>21.337122155682664</v>
      </c>
      <c r="L64" s="260">
        <f t="shared" si="20"/>
        <v>10.175238980701476</v>
      </c>
      <c r="M64" s="260">
        <f t="shared" si="20"/>
        <v>12.449792772094403</v>
      </c>
      <c r="N64" s="19">
        <f t="shared" si="21"/>
        <v>1482.4193959690047</v>
      </c>
      <c r="O64" s="19">
        <f t="shared" si="22"/>
        <v>2381.4374446459215</v>
      </c>
      <c r="P64" s="19">
        <f t="shared" si="23"/>
        <v>12027.079753743648</v>
      </c>
      <c r="Q64" s="19">
        <f t="shared" si="24"/>
        <v>2290.8723340464094</v>
      </c>
      <c r="R64" s="19">
        <f t="shared" si="25"/>
        <v>953.91923989692475</v>
      </c>
      <c r="S64" s="19">
        <f t="shared" si="26"/>
        <v>649.0041322353477</v>
      </c>
      <c r="T64" s="19">
        <f t="shared" si="27"/>
        <v>309.49685232966988</v>
      </c>
      <c r="U64" s="19">
        <f t="shared" si="28"/>
        <v>378.68119681787147</v>
      </c>
      <c r="V64" s="261">
        <f t="shared" si="45"/>
        <v>5871.258933176834</v>
      </c>
      <c r="W64" s="261">
        <f>SUM(O$9:O64)</f>
        <v>485192.82504321769</v>
      </c>
      <c r="X64" s="261">
        <f>SUM(P$9:P64)</f>
        <v>1693975.7539000004</v>
      </c>
      <c r="Y64" s="261">
        <f>SUM(Q$9:Q64)</f>
        <v>322662.0483619048</v>
      </c>
      <c r="Z64" s="261">
        <f>SUM($V$9:V64)</f>
        <v>976723.03088312247</v>
      </c>
      <c r="AB64" s="257">
        <f t="array" ref="AB64">(INDEX(PriceDeck!$C$18:$O$77,MATCH('Decline and Model'!$A64,PriceDeck!$B$18:$B$77,0),MATCH('Decline and Model'!AB$8,PriceDeck!$C$13:$O$13,0))*(1+$AE$6))</f>
        <v>75.8</v>
      </c>
      <c r="AC64" s="257">
        <f t="array" ref="AC64">INDEX(PriceDeck!$C$18:$O$77,MATCH('Decline and Model'!$A64,PriceDeck!$B$18:$B$77,0),MATCH('Decline and Model'!AC$8,PriceDeck!$C$13:$O$13,0))*(1+$AE$6)</f>
        <v>86.6</v>
      </c>
      <c r="AD64" s="257">
        <f t="array" ref="AD64">INDEX(PriceDeck!$C$18:$O$77,MATCH('Decline and Model'!$A64,PriceDeck!$B$18:$B$77,0),MATCH('Decline and Model'!AD$8,PriceDeck!$C$13:$O$13,0))*(1+$AE$6)</f>
        <v>14.8</v>
      </c>
      <c r="AE64" s="257">
        <f t="array" ref="AE64">INDEX(PriceDeck!$C$18:$O$77,MATCH('Decline and Model'!$A64,PriceDeck!$B$18:$B$77,0),MATCH('Decline and Model'!AE$8,PriceDeck!$C$13:$O$13,0))*(1+$AE$6)</f>
        <v>30.3</v>
      </c>
      <c r="AF64" s="257">
        <f t="array" ref="AF64">INDEX(PriceDeck!$C$18:$O$77,MATCH('Decline and Model'!$A64,PriceDeck!$B$18:$B$77,0),MATCH('Decline and Model'!AF$8,PriceDeck!$C$13:$O$13,0))*(1+$AE$6)</f>
        <v>89.8</v>
      </c>
      <c r="AG64" s="257">
        <f t="array" ref="AG64">INDEX(PriceDeck!$C$18:$O$77,MATCH('Decline and Model'!$A64,PriceDeck!$B$18:$B$77,0),MATCH('Decline and Model'!AG$8,PriceDeck!$C$13:$O$13,0))*(1+$AE$6)</f>
        <v>63.4</v>
      </c>
      <c r="AH64" s="258">
        <f t="array" ref="AH64">INDEX(PriceDeck!$C$18:$O$77,MATCH('Decline and Model'!$A64,PriceDeck!$B$18:$B$77,0),MATCH('Decline and Model'!AH$8,PriceDeck!$C$13:$O$13,0))</f>
        <v>0.85</v>
      </c>
      <c r="AI64" s="258">
        <f t="shared" si="29"/>
        <v>3.9</v>
      </c>
      <c r="AJ64" s="259">
        <f t="shared" si="30"/>
        <v>3.9</v>
      </c>
      <c r="AK64" s="120">
        <v>3.9</v>
      </c>
      <c r="AL64" s="120"/>
      <c r="AN64" s="7">
        <f t="shared" si="31"/>
        <v>206232.4827063368</v>
      </c>
      <c r="AO64" s="7">
        <f t="shared" si="52"/>
        <v>46905.611039600226</v>
      </c>
      <c r="AP64" s="7">
        <f t="shared" si="32"/>
        <v>14118.004750474487</v>
      </c>
      <c r="AQ64" s="7">
        <f t="shared" si="33"/>
        <v>19664.825206731035</v>
      </c>
      <c r="AR64" s="7">
        <f t="shared" si="34"/>
        <v>27792.817339204354</v>
      </c>
      <c r="AS64" s="7">
        <f t="shared" si="35"/>
        <v>24008.387878253052</v>
      </c>
      <c r="AT64" s="7">
        <f t="shared" si="36"/>
        <v>338722.12892059999</v>
      </c>
      <c r="AU64">
        <f>SUM($AT$9:AT64)</f>
        <v>51624229.607756346</v>
      </c>
      <c r="AV64" s="7">
        <f>AT64/(1+$AR$5)^(COUNT($E$9:E64))</f>
        <v>221774.19634069345</v>
      </c>
      <c r="AW64" s="7">
        <f t="shared" si="49"/>
        <v>0</v>
      </c>
      <c r="AX64" s="7">
        <f t="shared" si="37"/>
        <v>0</v>
      </c>
      <c r="AY64" s="117">
        <f t="shared" si="38"/>
        <v>0</v>
      </c>
      <c r="AZ64" s="117">
        <f t="shared" si="53"/>
        <v>338722.12892059999</v>
      </c>
      <c r="BA64" s="120">
        <f t="shared" si="46"/>
        <v>82494.534927087894</v>
      </c>
      <c r="BB64" s="119">
        <f t="shared" si="4"/>
        <v>0</v>
      </c>
      <c r="BC64" s="17"/>
      <c r="BD64" s="126">
        <f t="shared" si="5"/>
        <v>0.60885447125504999</v>
      </c>
      <c r="BE64" s="127">
        <f t="shared" si="6"/>
        <v>0.13847814191849092</v>
      </c>
      <c r="BF64" s="127">
        <f t="shared" si="7"/>
        <v>4.1680196081266052E-2</v>
      </c>
      <c r="BG64" s="127">
        <f t="shared" si="8"/>
        <v>5.8055921145148078E-2</v>
      </c>
      <c r="BH64" s="127">
        <f t="shared" si="9"/>
        <v>8.2051968165679778E-2</v>
      </c>
      <c r="BI64" s="128">
        <f t="shared" si="10"/>
        <v>7.0879301434365008E-2</v>
      </c>
      <c r="BJ64" s="126">
        <f t="array" ref="BJ64">BD64*INDEX(Royalty!$U$7:$Z$246,MATCH('Decline and Model'!$E64,Royalty!$AI$7:$AI$246,0),MATCH('Decline and Model'!BJ$8,Royalty!$U$1:$Z$1,0))</f>
        <v>0.16589087949121126</v>
      </c>
      <c r="BK64" s="127">
        <f t="array" ref="BK64">BE64*INDEX(Royalty!$U$7:$Z$246,MATCH('Decline and Model'!$E64,Royalty!$AI$7:$AI$246,0),MATCH('Decline and Model'!BK$8,Royalty!$U$1:$Z$1,0))</f>
        <v>3.6643288687499359E-2</v>
      </c>
      <c r="BL64" s="127">
        <f t="array" ref="BL64">BF64*INDEX(Royalty!$U$7:$Z$246,MATCH('Decline and Model'!$E64,Royalty!$AI$7:$AI$246,0),MATCH('Decline and Model'!BL$8,Royalty!$U$1:$Z$1,0))</f>
        <v>1.1400576905041159E-2</v>
      </c>
      <c r="BM64" s="127">
        <f t="array" ref="BM64">BG64*INDEX(Royalty!$U$7:$Z$246,MATCH('Decline and Model'!$E64,Royalty!$AI$7:$AI$246,0),MATCH('Decline and Model'!BM$8,Royalty!$U$1:$Z$1,0))</f>
        <v>1.5326754094187142E-2</v>
      </c>
      <c r="BN64" s="127">
        <f t="array" ref="BN64">BH64*INDEX(Royalty!$U$7:$Z$246,MATCH('Decline and Model'!$E64,Royalty!$AI$7:$AI$246,0),MATCH('Decline and Model'!BN$8,Royalty!$U$1:$Z$1,0))</f>
        <v>1.0740876197516487E-2</v>
      </c>
      <c r="BO64" s="127">
        <f t="array" ref="BO64">BI64*INDEX(Royalty!$U$7:$Z$246,MATCH('Decline and Model'!$E64,Royalty!$AI$7:$AI$246,0),MATCH('Decline and Model'!BO$8,Royalty!$U$1:$Z$1,0))</f>
        <v>3.5439650717182507E-3</v>
      </c>
      <c r="BP64" s="135">
        <f t="shared" si="11"/>
        <v>0.24354634044717366</v>
      </c>
      <c r="BQ64" s="7"/>
      <c r="BR64" s="7"/>
      <c r="BS64">
        <v>56</v>
      </c>
      <c r="BT64" s="120">
        <f t="shared" si="12"/>
        <v>82494.534927087894</v>
      </c>
      <c r="BU64" s="113">
        <f t="shared" si="13"/>
        <v>58712.589331768337</v>
      </c>
      <c r="BV64" s="113">
        <f t="shared" si="14"/>
        <v>17613.776799530504</v>
      </c>
      <c r="BW64" s="113">
        <f t="shared" si="47"/>
        <v>3509676.37756061</v>
      </c>
      <c r="BX64" s="113">
        <f t="shared" si="39"/>
        <v>77579.468087369241</v>
      </c>
      <c r="BY64" s="120">
        <f t="shared" si="40"/>
        <v>102321.75977484403</v>
      </c>
      <c r="BZ64" s="153">
        <f t="shared" si="48"/>
        <v>0</v>
      </c>
      <c r="CA64" s="120">
        <f t="shared" si="50"/>
        <v>102321.75977484403</v>
      </c>
      <c r="CB64" s="120">
        <f t="shared" si="41"/>
        <v>25580.439943711008</v>
      </c>
      <c r="CC64" s="153">
        <f t="shared" si="42"/>
        <v>154320.78791850226</v>
      </c>
      <c r="CD64" s="7">
        <f t="shared" si="16"/>
        <v>101039.65993704232</v>
      </c>
      <c r="CE64" s="11">
        <f>SUM($CD$9:CD64)</f>
        <v>21976785.709650785</v>
      </c>
      <c r="CF64" s="11">
        <f t="shared" si="43"/>
        <v>12000000</v>
      </c>
      <c r="CG64">
        <f t="shared" si="44"/>
        <v>9976785.7096507847</v>
      </c>
      <c r="CJ64" s="219">
        <v>3.0072999999999999E-2</v>
      </c>
      <c r="CK64" s="7">
        <v>14450028.764334962</v>
      </c>
      <c r="CN64" s="7">
        <v>7</v>
      </c>
      <c r="CO64" s="7">
        <v>14982930.080816936</v>
      </c>
      <c r="CP64" s="11">
        <f t="shared" si="57"/>
        <v>1316073.2809749916</v>
      </c>
      <c r="CQ64" s="11">
        <f t="shared" si="58"/>
        <v>1040592.9091997745</v>
      </c>
    </row>
    <row r="65" spans="1:95" ht="22.5" customHeight="1">
      <c r="A65">
        <f t="shared" si="17"/>
        <v>2021</v>
      </c>
      <c r="B65">
        <f t="shared" si="18"/>
        <v>30.416666666666668</v>
      </c>
      <c r="C65">
        <f t="shared" si="51"/>
        <v>5</v>
      </c>
      <c r="E65" s="97">
        <v>44531</v>
      </c>
      <c r="F65" s="2">
        <f>$F$6*EXP(-$F$3*COUNT($E$9:$E65))</f>
        <v>46.360140785631529</v>
      </c>
      <c r="G65" s="260">
        <f>$F$6/(1+$F$5*$F$3*COUNT($E$9:$E65))^(1/$F$5)</f>
        <v>75.617265829229524</v>
      </c>
      <c r="H65" s="260">
        <f>$H$6/(1+$H$5*$H$3*COUNT($E$9:$E65))^(1/$H$5)</f>
        <v>387.95784026185294</v>
      </c>
      <c r="I65" s="260">
        <f t="shared" si="19"/>
        <v>73.896731478448174</v>
      </c>
      <c r="J65" s="260">
        <f t="shared" si="20"/>
        <v>30.770598987625821</v>
      </c>
      <c r="K65" s="260">
        <f t="shared" si="20"/>
        <v>20.934944027844367</v>
      </c>
      <c r="L65" s="260">
        <f t="shared" si="20"/>
        <v>9.9834484227383484</v>
      </c>
      <c r="M65" s="260">
        <f t="shared" si="20"/>
        <v>12.215129713387483</v>
      </c>
      <c r="N65" s="19">
        <f t="shared" si="21"/>
        <v>1410.1209488962925</v>
      </c>
      <c r="O65" s="19">
        <f t="shared" si="22"/>
        <v>2300.0251689723982</v>
      </c>
      <c r="P65" s="19">
        <f t="shared" si="23"/>
        <v>11800.384307964694</v>
      </c>
      <c r="Q65" s="19">
        <f t="shared" si="24"/>
        <v>2247.692249136132</v>
      </c>
      <c r="R65" s="19">
        <f t="shared" si="25"/>
        <v>935.93905254028539</v>
      </c>
      <c r="S65" s="19">
        <f t="shared" si="26"/>
        <v>636.77121418026616</v>
      </c>
      <c r="T65" s="19">
        <f t="shared" si="27"/>
        <v>303.66322285829142</v>
      </c>
      <c r="U65" s="19">
        <f t="shared" si="28"/>
        <v>371.54352878220266</v>
      </c>
      <c r="V65" s="261">
        <f t="shared" si="45"/>
        <v>5724.067877098596</v>
      </c>
      <c r="W65" s="261">
        <f>SUM(O$9:O65)</f>
        <v>487492.85021219007</v>
      </c>
      <c r="X65" s="261">
        <f>SUM(P$9:P65)</f>
        <v>1705776.1382079651</v>
      </c>
      <c r="Y65" s="261">
        <f>SUM(Q$9:Q65)</f>
        <v>324909.74061104091</v>
      </c>
      <c r="Z65" s="261">
        <f>SUM($V$9:V65)</f>
        <v>982447.09876022104</v>
      </c>
      <c r="AB65" s="257">
        <f t="array" ref="AB65">(INDEX(PriceDeck!$C$18:$O$77,MATCH('Decline and Model'!$A65,PriceDeck!$B$18:$B$77,0),MATCH('Decline and Model'!AB$8,PriceDeck!$C$13:$O$13,0))*(1+$AE$6))</f>
        <v>75.8</v>
      </c>
      <c r="AC65" s="257">
        <f t="array" ref="AC65">INDEX(PriceDeck!$C$18:$O$77,MATCH('Decline and Model'!$A65,PriceDeck!$B$18:$B$77,0),MATCH('Decline and Model'!AC$8,PriceDeck!$C$13:$O$13,0))*(1+$AE$6)</f>
        <v>86.6</v>
      </c>
      <c r="AD65" s="257">
        <f t="array" ref="AD65">INDEX(PriceDeck!$C$18:$O$77,MATCH('Decline and Model'!$A65,PriceDeck!$B$18:$B$77,0),MATCH('Decline and Model'!AD$8,PriceDeck!$C$13:$O$13,0))*(1+$AE$6)</f>
        <v>14.8</v>
      </c>
      <c r="AE65" s="257">
        <f t="array" ref="AE65">INDEX(PriceDeck!$C$18:$O$77,MATCH('Decline and Model'!$A65,PriceDeck!$B$18:$B$77,0),MATCH('Decline and Model'!AE$8,PriceDeck!$C$13:$O$13,0))*(1+$AE$6)</f>
        <v>30.3</v>
      </c>
      <c r="AF65" s="257">
        <f t="array" ref="AF65">INDEX(PriceDeck!$C$18:$O$77,MATCH('Decline and Model'!$A65,PriceDeck!$B$18:$B$77,0),MATCH('Decline and Model'!AF$8,PriceDeck!$C$13:$O$13,0))*(1+$AE$6)</f>
        <v>89.8</v>
      </c>
      <c r="AG65" s="257">
        <f t="array" ref="AG65">INDEX(PriceDeck!$C$18:$O$77,MATCH('Decline and Model'!$A65,PriceDeck!$B$18:$B$77,0),MATCH('Decline and Model'!AG$8,PriceDeck!$C$13:$O$13,0))*(1+$AE$6)</f>
        <v>63.4</v>
      </c>
      <c r="AH65" s="258">
        <f t="array" ref="AH65">INDEX(PriceDeck!$C$18:$O$77,MATCH('Decline and Model'!$A65,PriceDeck!$B$18:$B$77,0),MATCH('Decline and Model'!AH$8,PriceDeck!$C$13:$O$13,0))</f>
        <v>0.85</v>
      </c>
      <c r="AI65" s="258">
        <f t="shared" si="29"/>
        <v>3.9</v>
      </c>
      <c r="AJ65" s="259">
        <f t="shared" si="30"/>
        <v>3.9</v>
      </c>
      <c r="AK65" s="120">
        <v>3.9</v>
      </c>
      <c r="AL65" s="120"/>
      <c r="AN65" s="7">
        <f t="shared" si="31"/>
        <v>199182.17963300968</v>
      </c>
      <c r="AO65" s="7">
        <f t="shared" si="52"/>
        <v>46021.498801062306</v>
      </c>
      <c r="AP65" s="7">
        <f t="shared" si="32"/>
        <v>13851.897977596225</v>
      </c>
      <c r="AQ65" s="7">
        <f t="shared" si="33"/>
        <v>19294.167789662064</v>
      </c>
      <c r="AR65" s="7">
        <f t="shared" si="34"/>
        <v>27268.957412674568</v>
      </c>
      <c r="AS65" s="7">
        <f t="shared" si="35"/>
        <v>23555.859724791648</v>
      </c>
      <c r="AT65" s="7">
        <f t="shared" si="36"/>
        <v>329174.56133879651</v>
      </c>
      <c r="AU65">
        <f>SUM($AT$9:AT65)</f>
        <v>51953404.169095144</v>
      </c>
      <c r="AV65" s="7">
        <f>AT65/(1+$AR$5)^(COUNT($E$9:E65))</f>
        <v>213899.21927071695</v>
      </c>
      <c r="AW65" s="7">
        <f t="shared" si="49"/>
        <v>0</v>
      </c>
      <c r="AX65" s="7">
        <f t="shared" si="37"/>
        <v>0</v>
      </c>
      <c r="AY65" s="117">
        <f t="shared" si="38"/>
        <v>0</v>
      </c>
      <c r="AZ65" s="117">
        <f t="shared" si="53"/>
        <v>329174.56133879651</v>
      </c>
      <c r="BA65" s="120">
        <f t="shared" si="46"/>
        <v>80077.791200952212</v>
      </c>
      <c r="BB65" s="119">
        <f t="shared" si="4"/>
        <v>0</v>
      </c>
      <c r="BC65" s="17"/>
      <c r="BD65" s="126">
        <f t="shared" si="5"/>
        <v>0.60509590663054091</v>
      </c>
      <c r="BE65" s="127">
        <f t="shared" si="6"/>
        <v>0.13980879510824523</v>
      </c>
      <c r="BF65" s="127">
        <f t="shared" si="7"/>
        <v>4.2080706119144572E-2</v>
      </c>
      <c r="BG65" s="127">
        <f t="shared" si="8"/>
        <v>5.8613787502868171E-2</v>
      </c>
      <c r="BH65" s="127">
        <f t="shared" si="9"/>
        <v>8.2840415437232182E-2</v>
      </c>
      <c r="BI65" s="128">
        <f t="shared" si="10"/>
        <v>7.1560389201968846E-2</v>
      </c>
      <c r="BJ65" s="126">
        <f t="array" ref="BJ65">BD65*INDEX(Royalty!$U$7:$Z$246,MATCH('Decline and Model'!$E65,Royalty!$AI$7:$AI$246,0),MATCH('Decline and Model'!BJ$8,Royalty!$U$1:$Z$1,0))</f>
        <v>0.16486680621816935</v>
      </c>
      <c r="BK65" s="127">
        <f t="array" ref="BK65">BE65*INDEX(Royalty!$U$7:$Z$246,MATCH('Decline and Model'!$E65,Royalty!$AI$7:$AI$246,0),MATCH('Decline and Model'!BK$8,Royalty!$U$1:$Z$1,0))</f>
        <v>3.6995398473921894E-2</v>
      </c>
      <c r="BL65" s="127">
        <f t="array" ref="BL65">BF65*INDEX(Royalty!$U$7:$Z$246,MATCH('Decline and Model'!$E65,Royalty!$AI$7:$AI$246,0),MATCH('Decline and Model'!BL$8,Royalty!$U$1:$Z$1,0))</f>
        <v>1.1510126425373846E-2</v>
      </c>
      <c r="BM65" s="127">
        <f t="array" ref="BM65">BG65*INDEX(Royalty!$U$7:$Z$246,MATCH('Decline and Model'!$E65,Royalty!$AI$7:$AI$246,0),MATCH('Decline and Model'!BM$8,Royalty!$U$1:$Z$1,0))</f>
        <v>1.5474030725296288E-2</v>
      </c>
      <c r="BN65" s="127">
        <f t="array" ref="BN65">BH65*INDEX(Royalty!$U$7:$Z$246,MATCH('Decline and Model'!$E65,Royalty!$AI$7:$AI$246,0),MATCH('Decline and Model'!BN$8,Royalty!$U$1:$Z$1,0))</f>
        <v>1.0844086574078256E-2</v>
      </c>
      <c r="BO65" s="127">
        <f t="array" ref="BO65">BI65*INDEX(Royalty!$U$7:$Z$246,MATCH('Decline and Model'!$E65,Royalty!$AI$7:$AI$246,0),MATCH('Decline and Model'!BO$8,Royalty!$U$1:$Z$1,0))</f>
        <v>3.5780194600984424E-3</v>
      </c>
      <c r="BP65" s="135">
        <f t="shared" si="11"/>
        <v>0.24326846787693809</v>
      </c>
      <c r="BQ65" s="7"/>
      <c r="BR65" s="7"/>
      <c r="BS65">
        <v>57</v>
      </c>
      <c r="BT65" s="120">
        <f t="shared" si="12"/>
        <v>80077.791200952212</v>
      </c>
      <c r="BU65" s="113">
        <f t="shared" si="13"/>
        <v>57240.678770985964</v>
      </c>
      <c r="BV65" s="113">
        <f t="shared" si="14"/>
        <v>17172.203631295786</v>
      </c>
      <c r="BW65" s="113">
        <f t="shared" si="47"/>
        <v>3432096.9094732408</v>
      </c>
      <c r="BX65" s="113">
        <f t="shared" si="39"/>
        <v>75864.616567952995</v>
      </c>
      <c r="BY65" s="120">
        <f t="shared" si="40"/>
        <v>98819.27116760955</v>
      </c>
      <c r="BZ65" s="153">
        <f t="shared" si="48"/>
        <v>0</v>
      </c>
      <c r="CA65" s="120">
        <f t="shared" si="50"/>
        <v>98819.27116760955</v>
      </c>
      <c r="CB65" s="120">
        <f t="shared" si="41"/>
        <v>24704.817791902387</v>
      </c>
      <c r="CC65" s="153">
        <f t="shared" si="42"/>
        <v>149979.06994366017</v>
      </c>
      <c r="CD65" s="7">
        <f t="shared" si="16"/>
        <v>97457.123774759209</v>
      </c>
      <c r="CE65" s="11">
        <f>SUM($CD$9:CD65)</f>
        <v>22074242.833425544</v>
      </c>
      <c r="CF65" s="11">
        <f t="shared" si="43"/>
        <v>12000000</v>
      </c>
      <c r="CG65">
        <f t="shared" si="44"/>
        <v>10074242.833425544</v>
      </c>
      <c r="CJ65" s="219">
        <v>0.13007299999999999</v>
      </c>
      <c r="CK65" s="7">
        <v>16963742.896721639</v>
      </c>
      <c r="CN65" s="7">
        <v>8</v>
      </c>
      <c r="CO65" s="7">
        <v>15166711.024499979</v>
      </c>
      <c r="CP65" s="11">
        <f t="shared" si="57"/>
        <v>1499854.2246580347</v>
      </c>
      <c r="CQ65" s="11">
        <f t="shared" si="58"/>
        <v>1185019.5140577862</v>
      </c>
    </row>
    <row r="66" spans="1:95" ht="22.5" customHeight="1">
      <c r="A66">
        <f t="shared" si="17"/>
        <v>2022</v>
      </c>
      <c r="B66">
        <f t="shared" si="18"/>
        <v>30.416666666666668</v>
      </c>
      <c r="C66">
        <f t="shared" si="51"/>
        <v>5</v>
      </c>
      <c r="E66" s="97">
        <v>44562</v>
      </c>
      <c r="F66" s="2">
        <f>$F$6*EXP(-$F$3*COUNT($E$9:$E66))</f>
        <v>44.099130039288355</v>
      </c>
      <c r="G66" s="260">
        <f>$F$6/(1+$F$5*$F$3*COUNT($E$9:$E66))^(1/$F$5)</f>
        <v>73.045810357735235</v>
      </c>
      <c r="H66" s="260">
        <f>$H$6/(1+$H$5*$H$3*COUNT($E$9:$E66))^(1/$H$5)</f>
        <v>380.74247485071788</v>
      </c>
      <c r="I66" s="260">
        <f t="shared" si="19"/>
        <v>72.522376162041496</v>
      </c>
      <c r="J66" s="260">
        <f t="shared" si="20"/>
        <v>30.198317433874077</v>
      </c>
      <c r="K66" s="260">
        <f t="shared" si="20"/>
        <v>20.545589166706357</v>
      </c>
      <c r="L66" s="260">
        <f t="shared" si="20"/>
        <v>9.7977730194918067</v>
      </c>
      <c r="M66" s="260">
        <f t="shared" si="20"/>
        <v>11.987948779585459</v>
      </c>
      <c r="N66" s="19">
        <f t="shared" si="21"/>
        <v>1341.3485386950208</v>
      </c>
      <c r="O66" s="19">
        <f t="shared" si="22"/>
        <v>2221.81006504778</v>
      </c>
      <c r="P66" s="19">
        <f t="shared" si="23"/>
        <v>11580.916943376003</v>
      </c>
      <c r="Q66" s="19">
        <f t="shared" si="24"/>
        <v>2205.8889415954291</v>
      </c>
      <c r="R66" s="19">
        <f t="shared" si="25"/>
        <v>918.53215528033661</v>
      </c>
      <c r="S66" s="19">
        <f t="shared" si="26"/>
        <v>624.92833715398501</v>
      </c>
      <c r="T66" s="19">
        <f t="shared" si="27"/>
        <v>298.01559600954249</v>
      </c>
      <c r="U66" s="19">
        <f t="shared" si="28"/>
        <v>364.63344204572439</v>
      </c>
      <c r="V66" s="261">
        <f t="shared" si="45"/>
        <v>5582.1713192670586</v>
      </c>
      <c r="W66" s="261">
        <f>SUM(O$9:O66)</f>
        <v>489714.66027723782</v>
      </c>
      <c r="X66" s="261">
        <f>SUM(P$9:P66)</f>
        <v>1717357.055151341</v>
      </c>
      <c r="Y66" s="261">
        <f>SUM(Q$9:Q66)</f>
        <v>327115.62955263635</v>
      </c>
      <c r="Z66" s="261">
        <f>SUM($V$9:V66)</f>
        <v>988029.27007948805</v>
      </c>
      <c r="AB66" s="257">
        <f t="array" ref="AB66">(INDEX(PriceDeck!$C$18:$O$77,MATCH('Decline and Model'!$A66,PriceDeck!$B$18:$B$77,0),MATCH('Decline and Model'!AB$8,PriceDeck!$C$13:$O$13,0))*(1+$AE$6))</f>
        <v>77.3</v>
      </c>
      <c r="AC66" s="257">
        <f t="array" ref="AC66">INDEX(PriceDeck!$C$18:$O$77,MATCH('Decline and Model'!$A66,PriceDeck!$B$18:$B$77,0),MATCH('Decline and Model'!AC$8,PriceDeck!$C$13:$O$13,0))*(1+$AE$6)</f>
        <v>88.3</v>
      </c>
      <c r="AD66" s="257">
        <f t="array" ref="AD66">INDEX(PriceDeck!$C$18:$O$77,MATCH('Decline and Model'!$A66,PriceDeck!$B$18:$B$77,0),MATCH('Decline and Model'!AD$8,PriceDeck!$C$13:$O$13,0))*(1+$AE$6)</f>
        <v>15</v>
      </c>
      <c r="AE66" s="257">
        <f t="array" ref="AE66">INDEX(PriceDeck!$C$18:$O$77,MATCH('Decline and Model'!$A66,PriceDeck!$B$18:$B$77,0),MATCH('Decline and Model'!AE$8,PriceDeck!$C$13:$O$13,0))*(1+$AE$6)</f>
        <v>30.9</v>
      </c>
      <c r="AF66" s="257">
        <f t="array" ref="AF66">INDEX(PriceDeck!$C$18:$O$77,MATCH('Decline and Model'!$A66,PriceDeck!$B$18:$B$77,0),MATCH('Decline and Model'!AF$8,PriceDeck!$C$13:$O$13,0))*(1+$AE$6)</f>
        <v>91.6</v>
      </c>
      <c r="AG66" s="257">
        <f t="array" ref="AG66">INDEX(PriceDeck!$C$18:$O$77,MATCH('Decline and Model'!$A66,PriceDeck!$B$18:$B$77,0),MATCH('Decline and Model'!AG$8,PriceDeck!$C$13:$O$13,0))*(1+$AE$6)</f>
        <v>64.7</v>
      </c>
      <c r="AH66" s="258">
        <f t="array" ref="AH66">INDEX(PriceDeck!$C$18:$O$77,MATCH('Decline and Model'!$A66,PriceDeck!$B$18:$B$77,0),MATCH('Decline and Model'!AH$8,PriceDeck!$C$13:$O$13,0))</f>
        <v>0.85</v>
      </c>
      <c r="AI66" s="258">
        <f t="shared" si="29"/>
        <v>3.95</v>
      </c>
      <c r="AJ66" s="259">
        <f t="shared" si="30"/>
        <v>3.95</v>
      </c>
      <c r="AK66" s="120">
        <v>3.95</v>
      </c>
      <c r="AL66" s="120"/>
      <c r="AN66" s="7">
        <f t="shared" si="31"/>
        <v>196185.82874371897</v>
      </c>
      <c r="AO66" s="7">
        <f t="shared" si="52"/>
        <v>45744.621926335218</v>
      </c>
      <c r="AP66" s="7">
        <f t="shared" si="32"/>
        <v>13777.98232920505</v>
      </c>
      <c r="AQ66" s="7">
        <f t="shared" si="33"/>
        <v>19310.285618058137</v>
      </c>
      <c r="AR66" s="7">
        <f t="shared" si="34"/>
        <v>27298.228594474091</v>
      </c>
      <c r="AS66" s="7">
        <f t="shared" si="35"/>
        <v>23591.78370035837</v>
      </c>
      <c r="AT66" s="7">
        <f t="shared" si="36"/>
        <v>325908.73091214983</v>
      </c>
      <c r="AU66">
        <f>SUM($AT$9:AT66)</f>
        <v>52279312.900007293</v>
      </c>
      <c r="AV66" s="7">
        <f>AT66/(1+$AR$5)^(COUNT($E$9:E66))</f>
        <v>210181.46707691799</v>
      </c>
      <c r="AW66" s="7">
        <f t="shared" si="49"/>
        <v>0</v>
      </c>
      <c r="AX66" s="7">
        <f t="shared" si="37"/>
        <v>0</v>
      </c>
      <c r="AY66" s="117">
        <f t="shared" si="38"/>
        <v>0</v>
      </c>
      <c r="AZ66" s="117">
        <f t="shared" si="53"/>
        <v>325908.73091214983</v>
      </c>
      <c r="BA66" s="120">
        <f t="shared" si="46"/>
        <v>80436.334624942363</v>
      </c>
      <c r="BB66" s="119">
        <f t="shared" si="4"/>
        <v>0</v>
      </c>
      <c r="BC66" s="17"/>
      <c r="BD66" s="126">
        <f t="shared" si="5"/>
        <v>0.60196555089100001</v>
      </c>
      <c r="BE66" s="127">
        <f t="shared" si="6"/>
        <v>0.14036022231839468</v>
      </c>
      <c r="BF66" s="127">
        <f t="shared" si="7"/>
        <v>4.2275585224867657E-2</v>
      </c>
      <c r="BG66" s="127">
        <f t="shared" si="8"/>
        <v>5.9250593146163093E-2</v>
      </c>
      <c r="BH66" s="127">
        <f t="shared" si="9"/>
        <v>8.3760347622698239E-2</v>
      </c>
      <c r="BI66" s="128">
        <f t="shared" si="10"/>
        <v>7.23877007968763E-2</v>
      </c>
      <c r="BJ66" s="126">
        <f t="array" ref="BJ66">BD66*INDEX(Royalty!$U$7:$Z$246,MATCH('Decline and Model'!$E66,Royalty!$AI$7:$AI$246,0),MATCH('Decline and Model'!BJ$8,Royalty!$U$1:$Z$1,0))</f>
        <v>0.16667184396119897</v>
      </c>
      <c r="BK66" s="127">
        <f t="array" ref="BK66">BE66*INDEX(Royalty!$U$7:$Z$246,MATCH('Decline and Model'!$E66,Royalty!$AI$7:$AI$246,0),MATCH('Decline and Model'!BK$8,Royalty!$U$1:$Z$1,0))</f>
        <v>3.7726636310822625E-2</v>
      </c>
      <c r="BL66" s="127">
        <f t="array" ref="BL66">BF66*INDEX(Royalty!$U$7:$Z$246,MATCH('Decline and Model'!$E66,Royalty!$AI$7:$AI$246,0),MATCH('Decline and Model'!BL$8,Royalty!$U$1:$Z$1,0))</f>
        <v>1.1754935806859747E-2</v>
      </c>
      <c r="BM66" s="127">
        <f t="array" ref="BM66">BG66*INDEX(Royalty!$U$7:$Z$246,MATCH('Decline and Model'!$E66,Royalty!$AI$7:$AI$246,0),MATCH('Decline and Model'!BM$8,Royalty!$U$1:$Z$1,0))</f>
        <v>1.5891019662594114E-2</v>
      </c>
      <c r="BN66" s="127">
        <f t="array" ref="BN66">BH66*INDEX(Royalty!$U$7:$Z$246,MATCH('Decline and Model'!$E66,Royalty!$AI$7:$AI$246,0),MATCH('Decline and Model'!BN$8,Royalty!$U$1:$Z$1,0))</f>
        <v>1.1142499502945656E-2</v>
      </c>
      <c r="BO66" s="127">
        <f t="array" ref="BO66">BI66*INDEX(Royalty!$U$7:$Z$246,MATCH('Decline and Model'!$E66,Royalty!$AI$7:$AI$246,0),MATCH('Decline and Model'!BO$8,Royalty!$U$1:$Z$1,0))</f>
        <v>3.619385039843815E-3</v>
      </c>
      <c r="BP66" s="135">
        <f t="shared" si="11"/>
        <v>0.24680632028426494</v>
      </c>
      <c r="BQ66" s="7"/>
      <c r="BR66" s="7"/>
      <c r="BS66">
        <v>58</v>
      </c>
      <c r="BT66" s="120">
        <f t="shared" si="12"/>
        <v>80436.334624942363</v>
      </c>
      <c r="BU66" s="113">
        <f t="shared" si="13"/>
        <v>55821.713192670584</v>
      </c>
      <c r="BV66" s="113">
        <f t="shared" si="14"/>
        <v>16746.513957801177</v>
      </c>
      <c r="BW66" s="113">
        <f t="shared" si="47"/>
        <v>3356232.2929052878</v>
      </c>
      <c r="BX66" s="113">
        <f t="shared" si="39"/>
        <v>74187.670899223056</v>
      </c>
      <c r="BY66" s="120">
        <f t="shared" si="40"/>
        <v>98716.498237512642</v>
      </c>
      <c r="BZ66" s="153">
        <f t="shared" si="48"/>
        <v>0</v>
      </c>
      <c r="CA66" s="120">
        <f t="shared" si="50"/>
        <v>98716.498237512642</v>
      </c>
      <c r="CB66" s="120">
        <f t="shared" si="41"/>
        <v>24679.12455937816</v>
      </c>
      <c r="CC66" s="153">
        <f t="shared" si="42"/>
        <v>148225.04457735753</v>
      </c>
      <c r="CD66" s="7">
        <f t="shared" si="16"/>
        <v>95591.662241194499</v>
      </c>
      <c r="CE66" s="11">
        <f>SUM($CD$9:CD66)</f>
        <v>22169834.495666739</v>
      </c>
      <c r="CF66" s="11">
        <f t="shared" si="43"/>
        <v>12000000</v>
      </c>
      <c r="CG66">
        <f t="shared" si="44"/>
        <v>10169834.495666739</v>
      </c>
      <c r="CJ66" s="219">
        <v>0.230073</v>
      </c>
      <c r="CK66" s="7">
        <v>19357413.75900472</v>
      </c>
    </row>
    <row r="67" spans="1:95" ht="22.5" customHeight="1">
      <c r="A67">
        <f t="shared" si="17"/>
        <v>2022</v>
      </c>
      <c r="B67">
        <f t="shared" si="18"/>
        <v>30.416666666666668</v>
      </c>
      <c r="C67">
        <f t="shared" si="51"/>
        <v>5</v>
      </c>
      <c r="E67" s="97">
        <v>44593</v>
      </c>
      <c r="F67" s="2">
        <f>$F$6*EXP(-$F$3*COUNT($E$9:$E67))</f>
        <v>41.948390088254413</v>
      </c>
      <c r="G67" s="260">
        <f>$F$6/(1+$F$5*$F$3*COUNT($E$9:$E67))^(1/$F$5)</f>
        <v>70.574810566817618</v>
      </c>
      <c r="H67" s="260">
        <f>$H$6/(1+$H$5*$H$3*COUNT($E$9:$E67))^(1/$H$5)</f>
        <v>373.75415158775394</v>
      </c>
      <c r="I67" s="260">
        <f t="shared" si="19"/>
        <v>71.191266969095977</v>
      </c>
      <c r="J67" s="260">
        <f t="shared" si="20"/>
        <v>29.644043565931565</v>
      </c>
      <c r="K67" s="260">
        <f t="shared" si="20"/>
        <v>20.16848593234489</v>
      </c>
      <c r="L67" s="260">
        <f t="shared" si="20"/>
        <v>9.6179401675248659</v>
      </c>
      <c r="M67" s="260">
        <f t="shared" si="20"/>
        <v>11.767916429991566</v>
      </c>
      <c r="N67" s="19">
        <f t="shared" si="21"/>
        <v>1275.9301985177385</v>
      </c>
      <c r="O67" s="19">
        <f t="shared" si="22"/>
        <v>2146.6504880740358</v>
      </c>
      <c r="P67" s="19">
        <f t="shared" si="23"/>
        <v>11368.355444127516</v>
      </c>
      <c r="Q67" s="19">
        <f t="shared" si="24"/>
        <v>2165.4010369766693</v>
      </c>
      <c r="R67" s="19">
        <f t="shared" si="25"/>
        <v>901.67299179708516</v>
      </c>
      <c r="S67" s="19">
        <f t="shared" si="26"/>
        <v>613.45811377549046</v>
      </c>
      <c r="T67" s="19">
        <f t="shared" si="27"/>
        <v>292.54568009554799</v>
      </c>
      <c r="U67" s="19">
        <f t="shared" si="28"/>
        <v>357.94079141224347</v>
      </c>
      <c r="V67" s="261">
        <f t="shared" si="45"/>
        <v>5445.3341195536113</v>
      </c>
      <c r="W67" s="261">
        <f>SUM(O$9:O67)</f>
        <v>491861.31076531188</v>
      </c>
      <c r="X67" s="261">
        <f>SUM(P$9:P67)</f>
        <v>1728725.4105954685</v>
      </c>
      <c r="Y67" s="261">
        <f>SUM(Q$9:Q67)</f>
        <v>329281.03058961302</v>
      </c>
      <c r="Z67" s="261">
        <f>SUM($V$9:V67)</f>
        <v>993474.60419904161</v>
      </c>
      <c r="AB67" s="257">
        <f t="array" ref="AB67">(INDEX(PriceDeck!$C$18:$O$77,MATCH('Decline and Model'!$A67,PriceDeck!$B$18:$B$77,0),MATCH('Decline and Model'!AB$8,PriceDeck!$C$13:$O$13,0))*(1+$AE$6))</f>
        <v>77.3</v>
      </c>
      <c r="AC67" s="257">
        <f t="array" ref="AC67">INDEX(PriceDeck!$C$18:$O$77,MATCH('Decline and Model'!$A67,PriceDeck!$B$18:$B$77,0),MATCH('Decline and Model'!AC$8,PriceDeck!$C$13:$O$13,0))*(1+$AE$6)</f>
        <v>88.3</v>
      </c>
      <c r="AD67" s="257">
        <f t="array" ref="AD67">INDEX(PriceDeck!$C$18:$O$77,MATCH('Decline and Model'!$A67,PriceDeck!$B$18:$B$77,0),MATCH('Decline and Model'!AD$8,PriceDeck!$C$13:$O$13,0))*(1+$AE$6)</f>
        <v>15</v>
      </c>
      <c r="AE67" s="257">
        <f t="array" ref="AE67">INDEX(PriceDeck!$C$18:$O$77,MATCH('Decline and Model'!$A67,PriceDeck!$B$18:$B$77,0),MATCH('Decline and Model'!AE$8,PriceDeck!$C$13:$O$13,0))*(1+$AE$6)</f>
        <v>30.9</v>
      </c>
      <c r="AF67" s="257">
        <f t="array" ref="AF67">INDEX(PriceDeck!$C$18:$O$77,MATCH('Decline and Model'!$A67,PriceDeck!$B$18:$B$77,0),MATCH('Decline and Model'!AF$8,PriceDeck!$C$13:$O$13,0))*(1+$AE$6)</f>
        <v>91.6</v>
      </c>
      <c r="AG67" s="257">
        <f t="array" ref="AG67">INDEX(PriceDeck!$C$18:$O$77,MATCH('Decline and Model'!$A67,PriceDeck!$B$18:$B$77,0),MATCH('Decline and Model'!AG$8,PriceDeck!$C$13:$O$13,0))*(1+$AE$6)</f>
        <v>64.7</v>
      </c>
      <c r="AH67" s="258">
        <f t="array" ref="AH67">INDEX(PriceDeck!$C$18:$O$77,MATCH('Decline and Model'!$A67,PriceDeck!$B$18:$B$77,0),MATCH('Decline and Model'!AH$8,PriceDeck!$C$13:$O$13,0))</f>
        <v>0.85</v>
      </c>
      <c r="AI67" s="258">
        <f t="shared" si="29"/>
        <v>3.95</v>
      </c>
      <c r="AJ67" s="259">
        <f t="shared" si="30"/>
        <v>3.95</v>
      </c>
      <c r="AK67" s="120">
        <v>3.95</v>
      </c>
      <c r="AL67" s="120"/>
      <c r="AN67" s="7">
        <f t="shared" si="31"/>
        <v>189549.23809693736</v>
      </c>
      <c r="AO67" s="7">
        <f t="shared" si="52"/>
        <v>44905.004004303686</v>
      </c>
      <c r="AP67" s="7">
        <f t="shared" si="32"/>
        <v>13525.094876956278</v>
      </c>
      <c r="AQ67" s="7">
        <f t="shared" si="33"/>
        <v>18955.855715662656</v>
      </c>
      <c r="AR67" s="7">
        <f t="shared" si="34"/>
        <v>26797.184296752195</v>
      </c>
      <c r="AS67" s="7">
        <f t="shared" si="35"/>
        <v>23158.769204372154</v>
      </c>
      <c r="AT67" s="7">
        <f t="shared" si="36"/>
        <v>316891.14619498432</v>
      </c>
      <c r="AU67">
        <f>SUM($AT$9:AT67)</f>
        <v>52596204.04620228</v>
      </c>
      <c r="AV67" s="7">
        <f>AT67/(1+$AR$5)^(COUNT($E$9:E67))</f>
        <v>202826.18378975449</v>
      </c>
      <c r="AW67" s="7">
        <f t="shared" si="49"/>
        <v>0</v>
      </c>
      <c r="AX67" s="7">
        <f t="shared" si="37"/>
        <v>0</v>
      </c>
      <c r="AY67" s="117">
        <f t="shared" si="38"/>
        <v>0</v>
      </c>
      <c r="AZ67" s="117">
        <f t="shared" si="53"/>
        <v>316891.14619498432</v>
      </c>
      <c r="BA67" s="120">
        <f t="shared" si="46"/>
        <v>78119.444798621524</v>
      </c>
      <c r="BB67" s="119">
        <f t="shared" si="4"/>
        <v>0</v>
      </c>
      <c r="BC67" s="17"/>
      <c r="BD67" s="126">
        <f t="shared" si="5"/>
        <v>0.59815252137182462</v>
      </c>
      <c r="BE67" s="127">
        <f t="shared" si="6"/>
        <v>0.14170482370205909</v>
      </c>
      <c r="BF67" s="127">
        <f t="shared" si="7"/>
        <v>4.2680570408345317E-2</v>
      </c>
      <c r="BG67" s="127">
        <f t="shared" si="8"/>
        <v>5.981819291347145E-2</v>
      </c>
      <c r="BH67" s="127">
        <f t="shared" si="9"/>
        <v>8.4562742186125278E-2</v>
      </c>
      <c r="BI67" s="128">
        <f t="shared" si="10"/>
        <v>7.3081149418174271E-2</v>
      </c>
      <c r="BJ67" s="126">
        <f t="array" ref="BJ67">BD67*INDEX(Royalty!$U$7:$Z$246,MATCH('Decline and Model'!$E67,Royalty!$AI$7:$AI$246,0),MATCH('Decline and Model'!BJ$8,Royalty!$U$1:$Z$1,0))</f>
        <v>0.1656160947408345</v>
      </c>
      <c r="BK67" s="127">
        <f t="array" ref="BK67">BE67*INDEX(Royalty!$U$7:$Z$246,MATCH('Decline and Model'!$E67,Royalty!$AI$7:$AI$246,0),MATCH('Decline and Model'!BK$8,Royalty!$U$1:$Z$1,0))</f>
        <v>3.8088044169449879E-2</v>
      </c>
      <c r="BL67" s="127">
        <f t="array" ref="BL67">BF67*INDEX(Royalty!$U$7:$Z$246,MATCH('Decline and Model'!$E67,Royalty!$AI$7:$AI$246,0),MATCH('Decline and Model'!BL$8,Royalty!$U$1:$Z$1,0))</f>
        <v>1.1867543942481934E-2</v>
      </c>
      <c r="BM67" s="127">
        <f t="array" ref="BM67">BG67*INDEX(Royalty!$U$7:$Z$246,MATCH('Decline and Model'!$E67,Royalty!$AI$7:$AI$246,0),MATCH('Decline and Model'!BM$8,Royalty!$U$1:$Z$1,0))</f>
        <v>1.6043250021546478E-2</v>
      </c>
      <c r="BN67" s="127">
        <f t="array" ref="BN67">BH67*INDEX(Royalty!$U$7:$Z$246,MATCH('Decline and Model'!$E67,Royalty!$AI$7:$AI$246,0),MATCH('Decline and Model'!BN$8,Royalty!$U$1:$Z$1,0))</f>
        <v>1.1249240714961939E-2</v>
      </c>
      <c r="BO67" s="127">
        <f t="array" ref="BO67">BI67*INDEX(Royalty!$U$7:$Z$246,MATCH('Decline and Model'!$E67,Royalty!$AI$7:$AI$246,0),MATCH('Decline and Model'!BO$8,Royalty!$U$1:$Z$1,0))</f>
        <v>3.6540574709087136E-3</v>
      </c>
      <c r="BP67" s="135">
        <f t="shared" si="11"/>
        <v>0.24651823106018345</v>
      </c>
      <c r="BQ67" s="7"/>
      <c r="BR67" s="7"/>
      <c r="BS67">
        <v>59</v>
      </c>
      <c r="BT67" s="120">
        <f t="shared" si="12"/>
        <v>78119.444798621524</v>
      </c>
      <c r="BU67" s="113">
        <f t="shared" si="13"/>
        <v>54453.341195536115</v>
      </c>
      <c r="BV67" s="113">
        <f t="shared" si="14"/>
        <v>16336.002358660833</v>
      </c>
      <c r="BW67" s="113">
        <f t="shared" si="47"/>
        <v>3282044.6220060647</v>
      </c>
      <c r="BX67" s="113">
        <f t="shared" si="39"/>
        <v>72547.793193175748</v>
      </c>
      <c r="BY67" s="120">
        <f t="shared" si="40"/>
        <v>95434.564648990112</v>
      </c>
      <c r="BZ67" s="153">
        <f t="shared" si="48"/>
        <v>0</v>
      </c>
      <c r="CA67" s="120">
        <f t="shared" si="50"/>
        <v>95434.564648990112</v>
      </c>
      <c r="CB67" s="120">
        <f t="shared" si="41"/>
        <v>23858.641162247528</v>
      </c>
      <c r="CC67" s="153">
        <f t="shared" si="42"/>
        <v>144123.71667991835</v>
      </c>
      <c r="CD67" s="7">
        <f t="shared" si="16"/>
        <v>92246.387438660167</v>
      </c>
      <c r="CE67" s="11">
        <f>SUM($CD$9:CD67)</f>
        <v>22262080.883105397</v>
      </c>
      <c r="CF67" s="11">
        <f t="shared" si="43"/>
        <v>12000000</v>
      </c>
      <c r="CG67">
        <f t="shared" si="44"/>
        <v>10262080.883105397</v>
      </c>
      <c r="CJ67" s="219">
        <v>0.33007300000000001</v>
      </c>
      <c r="CK67" s="7">
        <v>21657862.215784505</v>
      </c>
      <c r="CN67" s="274" t="s">
        <v>324</v>
      </c>
      <c r="CO67" s="275"/>
      <c r="CP67" s="275"/>
      <c r="CQ67" s="276"/>
    </row>
    <row r="68" spans="1:95" ht="22.5" customHeight="1">
      <c r="A68">
        <f t="shared" si="17"/>
        <v>2022</v>
      </c>
      <c r="B68">
        <f t="shared" si="18"/>
        <v>30.416666666666668</v>
      </c>
      <c r="C68">
        <f t="shared" si="51"/>
        <v>5</v>
      </c>
      <c r="E68" s="97">
        <v>44621</v>
      </c>
      <c r="F68" s="2">
        <f>$F$6*EXP(-$F$3*COUNT($E$9:$E68))</f>
        <v>39.902542962381709</v>
      </c>
      <c r="G68" s="260">
        <f>$F$6/(1+$F$5*$F$3*COUNT($E$9:$E68))^(1/$F$5)</f>
        <v>68.199839140141947</v>
      </c>
      <c r="H68" s="260">
        <f>$H$6/(1+$H$5*$H$3*COUNT($E$9:$E68))^(1/$H$5)</f>
        <v>366.98288029944638</v>
      </c>
      <c r="I68" s="260">
        <f t="shared" si="19"/>
        <v>69.901501009418354</v>
      </c>
      <c r="J68" s="260">
        <f t="shared" si="20"/>
        <v>29.106985020321801</v>
      </c>
      <c r="K68" s="260">
        <f t="shared" si="20"/>
        <v>19.803095235968218</v>
      </c>
      <c r="L68" s="260">
        <f t="shared" si="20"/>
        <v>9.44369278637242</v>
      </c>
      <c r="M68" s="260">
        <f t="shared" si="20"/>
        <v>11.554718116856854</v>
      </c>
      <c r="N68" s="19">
        <f t="shared" si="21"/>
        <v>1213.7023484391104</v>
      </c>
      <c r="O68" s="19">
        <f t="shared" si="22"/>
        <v>2074.4117738459845</v>
      </c>
      <c r="P68" s="19">
        <f t="shared" si="23"/>
        <v>11162.395942441495</v>
      </c>
      <c r="Q68" s="19">
        <f t="shared" si="24"/>
        <v>2126.1706557031416</v>
      </c>
      <c r="R68" s="19">
        <f t="shared" si="25"/>
        <v>885.33746103478813</v>
      </c>
      <c r="S68" s="19">
        <f t="shared" si="26"/>
        <v>602.34414676070003</v>
      </c>
      <c r="T68" s="19">
        <f t="shared" si="27"/>
        <v>287.24565558549443</v>
      </c>
      <c r="U68" s="19">
        <f t="shared" si="28"/>
        <v>351.45600938772935</v>
      </c>
      <c r="V68" s="261">
        <f t="shared" si="45"/>
        <v>5313.3334423663246</v>
      </c>
      <c r="W68" s="261">
        <f>SUM(O$9:O68)</f>
        <v>493935.72253915784</v>
      </c>
      <c r="X68" s="261">
        <f>SUM(P$9:P68)</f>
        <v>1739887.8065379099</v>
      </c>
      <c r="Y68" s="261">
        <f>SUM(Q$9:Q68)</f>
        <v>331407.20124531613</v>
      </c>
      <c r="Z68" s="261">
        <f>SUM($V$9:V68)</f>
        <v>998787.93764140795</v>
      </c>
      <c r="AB68" s="257">
        <f t="array" ref="AB68">(INDEX(PriceDeck!$C$18:$O$77,MATCH('Decline and Model'!$A68,PriceDeck!$B$18:$B$77,0),MATCH('Decline and Model'!AB$8,PriceDeck!$C$13:$O$13,0))*(1+$AE$6))</f>
        <v>77.3</v>
      </c>
      <c r="AC68" s="257">
        <f t="array" ref="AC68">INDEX(PriceDeck!$C$18:$O$77,MATCH('Decline and Model'!$A68,PriceDeck!$B$18:$B$77,0),MATCH('Decline and Model'!AC$8,PriceDeck!$C$13:$O$13,0))*(1+$AE$6)</f>
        <v>88.3</v>
      </c>
      <c r="AD68" s="257">
        <f t="array" ref="AD68">INDEX(PriceDeck!$C$18:$O$77,MATCH('Decline and Model'!$A68,PriceDeck!$B$18:$B$77,0),MATCH('Decline and Model'!AD$8,PriceDeck!$C$13:$O$13,0))*(1+$AE$6)</f>
        <v>15</v>
      </c>
      <c r="AE68" s="257">
        <f t="array" ref="AE68">INDEX(PriceDeck!$C$18:$O$77,MATCH('Decline and Model'!$A68,PriceDeck!$B$18:$B$77,0),MATCH('Decline and Model'!AE$8,PriceDeck!$C$13:$O$13,0))*(1+$AE$6)</f>
        <v>30.9</v>
      </c>
      <c r="AF68" s="257">
        <f t="array" ref="AF68">INDEX(PriceDeck!$C$18:$O$77,MATCH('Decline and Model'!$A68,PriceDeck!$B$18:$B$77,0),MATCH('Decline and Model'!AF$8,PriceDeck!$C$13:$O$13,0))*(1+$AE$6)</f>
        <v>91.6</v>
      </c>
      <c r="AG68" s="257">
        <f t="array" ref="AG68">INDEX(PriceDeck!$C$18:$O$77,MATCH('Decline and Model'!$A68,PriceDeck!$B$18:$B$77,0),MATCH('Decline and Model'!AG$8,PriceDeck!$C$13:$O$13,0))*(1+$AE$6)</f>
        <v>64.7</v>
      </c>
      <c r="AH68" s="258">
        <f t="array" ref="AH68">INDEX(PriceDeck!$C$18:$O$77,MATCH('Decline and Model'!$A68,PriceDeck!$B$18:$B$77,0),MATCH('Decline and Model'!AH$8,PriceDeck!$C$13:$O$13,0))</f>
        <v>0.85</v>
      </c>
      <c r="AI68" s="258">
        <f t="shared" si="29"/>
        <v>3.95</v>
      </c>
      <c r="AJ68" s="259">
        <f t="shared" si="30"/>
        <v>3.95</v>
      </c>
      <c r="AK68" s="120">
        <v>3.95</v>
      </c>
      <c r="AL68" s="120"/>
      <c r="AN68" s="7">
        <f t="shared" si="31"/>
        <v>183170.55963060042</v>
      </c>
      <c r="AO68" s="7">
        <f t="shared" si="52"/>
        <v>44091.463972643905</v>
      </c>
      <c r="AP68" s="7">
        <f t="shared" si="32"/>
        <v>13280.061915521823</v>
      </c>
      <c r="AQ68" s="7">
        <f t="shared" si="33"/>
        <v>18612.43413490563</v>
      </c>
      <c r="AR68" s="7">
        <f t="shared" si="34"/>
        <v>26311.702051631288</v>
      </c>
      <c r="AS68" s="7">
        <f t="shared" si="35"/>
        <v>22739.203807386089</v>
      </c>
      <c r="AT68" s="7">
        <f t="shared" si="36"/>
        <v>308205.42551268917</v>
      </c>
      <c r="AU68">
        <f>SUM($AT$9:AT68)</f>
        <v>52904409.471714966</v>
      </c>
      <c r="AV68" s="7">
        <f>AT68/(1+$AR$5)^(COUNT($E$9:E68))</f>
        <v>195780.61287562922</v>
      </c>
      <c r="AW68" s="7">
        <f t="shared" si="49"/>
        <v>0</v>
      </c>
      <c r="AX68" s="7">
        <f t="shared" si="37"/>
        <v>0</v>
      </c>
      <c r="AY68" s="117">
        <f t="shared" si="38"/>
        <v>0</v>
      </c>
      <c r="AZ68" s="117">
        <f t="shared" si="53"/>
        <v>308205.42551268917</v>
      </c>
      <c r="BA68" s="120">
        <f t="shared" si="46"/>
        <v>75888.853927518736</v>
      </c>
      <c r="BB68" s="119">
        <f t="shared" si="4"/>
        <v>0</v>
      </c>
      <c r="BC68" s="17"/>
      <c r="BD68" s="126">
        <f t="shared" si="5"/>
        <v>0.5943132225070421</v>
      </c>
      <c r="BE68" s="127">
        <f t="shared" si="6"/>
        <v>0.14305868853314074</v>
      </c>
      <c r="BF68" s="127">
        <f t="shared" si="7"/>
        <v>4.3088345681880504E-2</v>
      </c>
      <c r="BG68" s="127">
        <f t="shared" si="8"/>
        <v>6.0389703081782174E-2</v>
      </c>
      <c r="BH68" s="127">
        <f t="shared" si="9"/>
        <v>8.5370664737204657E-2</v>
      </c>
      <c r="BI68" s="128">
        <f t="shared" si="10"/>
        <v>7.3779375458949831E-2</v>
      </c>
      <c r="BJ68" s="126">
        <f t="array" ref="BJ68">BD68*INDEX(Royalty!$U$7:$Z$246,MATCH('Decline and Model'!$E68,Royalty!$AI$7:$AI$246,0),MATCH('Decline and Model'!BJ$8,Royalty!$U$1:$Z$1,0))</f>
        <v>0.1645530720805439</v>
      </c>
      <c r="BK68" s="127">
        <f t="array" ref="BK68">BE68*INDEX(Royalty!$U$7:$Z$246,MATCH('Decline and Model'!$E68,Royalty!$AI$7:$AI$246,0),MATCH('Decline and Model'!BK$8,Royalty!$U$1:$Z$1,0))</f>
        <v>3.8451941898112407E-2</v>
      </c>
      <c r="BL68" s="127">
        <f t="array" ref="BL68">BF68*INDEX(Royalty!$U$7:$Z$246,MATCH('Decline and Model'!$E68,Royalty!$AI$7:$AI$246,0),MATCH('Decline and Model'!BL$8,Royalty!$U$1:$Z$1,0))</f>
        <v>1.1980927876460244E-2</v>
      </c>
      <c r="BM68" s="127">
        <f t="array" ref="BM68">BG68*INDEX(Royalty!$U$7:$Z$246,MATCH('Decline and Model'!$E68,Royalty!$AI$7:$AI$246,0),MATCH('Decline and Model'!BM$8,Royalty!$U$1:$Z$1,0))</f>
        <v>1.6196529150745986E-2</v>
      </c>
      <c r="BN68" s="127">
        <f t="array" ref="BN68">BH68*INDEX(Royalty!$U$7:$Z$246,MATCH('Decline and Model'!$E68,Royalty!$AI$7:$AI$246,0),MATCH('Decline and Model'!BN$8,Royalty!$U$1:$Z$1,0))</f>
        <v>1.1356717305966213E-2</v>
      </c>
      <c r="BO68" s="127">
        <f t="array" ref="BO68">BI68*INDEX(Royalty!$U$7:$Z$246,MATCH('Decline and Model'!$E68,Royalty!$AI$7:$AI$246,0),MATCH('Decline and Model'!BO$8,Royalty!$U$1:$Z$1,0))</f>
        <v>3.6889687729474915E-3</v>
      </c>
      <c r="BP68" s="135">
        <f t="shared" si="11"/>
        <v>0.24622815708477624</v>
      </c>
      <c r="BQ68" s="7"/>
      <c r="BR68" s="7"/>
      <c r="BS68">
        <v>60</v>
      </c>
      <c r="BT68" s="120">
        <f t="shared" si="12"/>
        <v>75888.853927518736</v>
      </c>
      <c r="BU68" s="113">
        <f t="shared" si="13"/>
        <v>53133.334423663247</v>
      </c>
      <c r="BV68" s="113">
        <f t="shared" si="14"/>
        <v>15940.000327098973</v>
      </c>
      <c r="BW68" s="113">
        <f t="shared" si="47"/>
        <v>3209496.8288128888</v>
      </c>
      <c r="BX68" s="113">
        <f t="shared" si="39"/>
        <v>70944.164082861331</v>
      </c>
      <c r="BY68" s="120">
        <f t="shared" si="40"/>
        <v>92299.07275154689</v>
      </c>
      <c r="BZ68" s="153">
        <f t="shared" si="48"/>
        <v>0</v>
      </c>
      <c r="CA68" s="120">
        <f t="shared" si="50"/>
        <v>92299.07275154689</v>
      </c>
      <c r="CB68" s="120">
        <f t="shared" si="41"/>
        <v>23074.768187886722</v>
      </c>
      <c r="CC68" s="153">
        <f t="shared" si="42"/>
        <v>140168.46864652151</v>
      </c>
      <c r="CD68" s="7">
        <f t="shared" si="16"/>
        <v>89038.889084464114</v>
      </c>
      <c r="CE68" s="11">
        <f>SUM($CD$9:CD68)</f>
        <v>22351119.772189863</v>
      </c>
      <c r="CF68" s="11">
        <f t="shared" si="43"/>
        <v>12000000</v>
      </c>
      <c r="CG68">
        <f t="shared" si="44"/>
        <v>10351119.772189863</v>
      </c>
      <c r="CJ68" s="219">
        <v>0.43007299999999998</v>
      </c>
      <c r="CK68" s="7">
        <v>23863123.519222699</v>
      </c>
      <c r="CN68" s="182" t="s">
        <v>322</v>
      </c>
      <c r="CO68" s="183" t="s">
        <v>325</v>
      </c>
      <c r="CP68" s="183" t="s">
        <v>323</v>
      </c>
      <c r="CQ68" s="184" t="s">
        <v>326</v>
      </c>
    </row>
    <row r="69" spans="1:95" ht="22.5" customHeight="1">
      <c r="A69">
        <f t="shared" si="17"/>
        <v>2022</v>
      </c>
      <c r="B69">
        <f t="shared" si="18"/>
        <v>30.416666666666668</v>
      </c>
      <c r="C69">
        <f t="shared" si="51"/>
        <v>6</v>
      </c>
      <c r="E69" s="97">
        <v>44652</v>
      </c>
      <c r="F69" s="2">
        <f>$F$6*EXP(-$F$3*COUNT($E$9:$E69))</f>
        <v>37.956472978221356</v>
      </c>
      <c r="G69" s="260">
        <f>$F$6/(1+$F$5*$F$3*COUNT($E$9:$E69))^(1/$F$5)</f>
        <v>65.916685819209548</v>
      </c>
      <c r="H69" s="260">
        <f>$H$6/(1+$H$5*$H$3*COUNT($E$9:$E69))^(1/$H$5)</f>
        <v>360.41923241868483</v>
      </c>
      <c r="I69" s="260">
        <f t="shared" si="19"/>
        <v>68.651282365463771</v>
      </c>
      <c r="J69" s="260">
        <f t="shared" si="20"/>
        <v>28.586393976979114</v>
      </c>
      <c r="K69" s="260">
        <f t="shared" si="20"/>
        <v>19.448908294135887</v>
      </c>
      <c r="L69" s="260">
        <f t="shared" si="20"/>
        <v>9.2747882475741559</v>
      </c>
      <c r="M69" s="260">
        <f t="shared" si="20"/>
        <v>11.348056975011161</v>
      </c>
      <c r="N69" s="19">
        <f t="shared" si="21"/>
        <v>1154.5093864208995</v>
      </c>
      <c r="O69" s="19">
        <f t="shared" si="22"/>
        <v>2004.9658603342905</v>
      </c>
      <c r="P69" s="19">
        <f t="shared" si="23"/>
        <v>10962.751652734998</v>
      </c>
      <c r="Q69" s="19">
        <f t="shared" si="24"/>
        <v>2088.1431719495231</v>
      </c>
      <c r="R69" s="19">
        <f t="shared" si="25"/>
        <v>869.50281679978139</v>
      </c>
      <c r="S69" s="19">
        <f t="shared" si="26"/>
        <v>591.57096061329992</v>
      </c>
      <c r="T69" s="19">
        <f t="shared" si="27"/>
        <v>282.10814253038058</v>
      </c>
      <c r="U69" s="19">
        <f t="shared" si="28"/>
        <v>345.17006632325615</v>
      </c>
      <c r="V69" s="261">
        <f t="shared" si="45"/>
        <v>5185.9580109212893</v>
      </c>
      <c r="W69" s="261">
        <f>SUM(O$9:O69)</f>
        <v>495940.68839949212</v>
      </c>
      <c r="X69" s="261">
        <f>SUM(P$9:P69)</f>
        <v>1750850.558190645</v>
      </c>
      <c r="Y69" s="261">
        <f>SUM(Q$9:Q69)</f>
        <v>333495.34441726567</v>
      </c>
      <c r="Z69" s="261">
        <f>SUM($V$9:V69)</f>
        <v>1003973.8956523292</v>
      </c>
      <c r="AB69" s="257">
        <f t="array" ref="AB69">(INDEX(PriceDeck!$C$18:$O$77,MATCH('Decline and Model'!$A69,PriceDeck!$B$18:$B$77,0),MATCH('Decline and Model'!AB$8,PriceDeck!$C$13:$O$13,0))*(1+$AE$6))</f>
        <v>77.3</v>
      </c>
      <c r="AC69" s="257">
        <f t="array" ref="AC69">INDEX(PriceDeck!$C$18:$O$77,MATCH('Decline and Model'!$A69,PriceDeck!$B$18:$B$77,0),MATCH('Decline and Model'!AC$8,PriceDeck!$C$13:$O$13,0))*(1+$AE$6)</f>
        <v>88.3</v>
      </c>
      <c r="AD69" s="257">
        <f t="array" ref="AD69">INDEX(PriceDeck!$C$18:$O$77,MATCH('Decline and Model'!$A69,PriceDeck!$B$18:$B$77,0),MATCH('Decline and Model'!AD$8,PriceDeck!$C$13:$O$13,0))*(1+$AE$6)</f>
        <v>15</v>
      </c>
      <c r="AE69" s="257">
        <f t="array" ref="AE69">INDEX(PriceDeck!$C$18:$O$77,MATCH('Decline and Model'!$A69,PriceDeck!$B$18:$B$77,0),MATCH('Decline and Model'!AE$8,PriceDeck!$C$13:$O$13,0))*(1+$AE$6)</f>
        <v>30.9</v>
      </c>
      <c r="AF69" s="257">
        <f t="array" ref="AF69">INDEX(PriceDeck!$C$18:$O$77,MATCH('Decline and Model'!$A69,PriceDeck!$B$18:$B$77,0),MATCH('Decline and Model'!AF$8,PriceDeck!$C$13:$O$13,0))*(1+$AE$6)</f>
        <v>91.6</v>
      </c>
      <c r="AG69" s="257">
        <f t="array" ref="AG69">INDEX(PriceDeck!$C$18:$O$77,MATCH('Decline and Model'!$A69,PriceDeck!$B$18:$B$77,0),MATCH('Decline and Model'!AG$8,PriceDeck!$C$13:$O$13,0))*(1+$AE$6)</f>
        <v>64.7</v>
      </c>
      <c r="AH69" s="258">
        <f t="array" ref="AH69">INDEX(PriceDeck!$C$18:$O$77,MATCH('Decline and Model'!$A69,PriceDeck!$B$18:$B$77,0),MATCH('Decline and Model'!AH$8,PriceDeck!$C$13:$O$13,0))</f>
        <v>0.85</v>
      </c>
      <c r="AI69" s="258">
        <f t="shared" si="29"/>
        <v>3.95</v>
      </c>
      <c r="AJ69" s="259">
        <f t="shared" si="30"/>
        <v>3.95</v>
      </c>
      <c r="AK69" s="120">
        <v>3.95</v>
      </c>
      <c r="AL69" s="120"/>
      <c r="AN69" s="7">
        <f t="shared" si="31"/>
        <v>177038.48546751784</v>
      </c>
      <c r="AO69" s="7">
        <f t="shared" si="52"/>
        <v>43302.869028303241</v>
      </c>
      <c r="AP69" s="7">
        <f t="shared" si="32"/>
        <v>13042.542251996721</v>
      </c>
      <c r="AQ69" s="7">
        <f t="shared" si="33"/>
        <v>18279.542682950967</v>
      </c>
      <c r="AR69" s="7">
        <f t="shared" si="34"/>
        <v>25841.105855782858</v>
      </c>
      <c r="AS69" s="7">
        <f t="shared" si="35"/>
        <v>22332.503291114674</v>
      </c>
      <c r="AT69" s="7">
        <f t="shared" si="36"/>
        <v>299837.04857766634</v>
      </c>
      <c r="AU69">
        <f>SUM($AT$9:AT69)</f>
        <v>53204246.520292632</v>
      </c>
      <c r="AV69" s="7">
        <f>AT69/(1+$AR$5)^(COUNT($E$9:E69))</f>
        <v>189029.76240972197</v>
      </c>
      <c r="AW69" s="7">
        <f t="shared" si="49"/>
        <v>0</v>
      </c>
      <c r="AX69" s="7">
        <f t="shared" si="37"/>
        <v>0</v>
      </c>
      <c r="AY69" s="117">
        <f t="shared" si="38"/>
        <v>0</v>
      </c>
      <c r="AZ69" s="117">
        <f t="shared" si="53"/>
        <v>299837.04857766634</v>
      </c>
      <c r="BA69" s="120">
        <f t="shared" si="46"/>
        <v>73740.784353628245</v>
      </c>
      <c r="BB69" s="119">
        <f t="shared" si="4"/>
        <v>0</v>
      </c>
      <c r="BC69" s="17"/>
      <c r="BD69" s="126">
        <f t="shared" si="5"/>
        <v>0.59044899990622679</v>
      </c>
      <c r="BE69" s="127">
        <f t="shared" si="6"/>
        <v>0.14442134230482384</v>
      </c>
      <c r="BF69" s="127">
        <f t="shared" si="7"/>
        <v>4.3498768127109323E-2</v>
      </c>
      <c r="BG69" s="127">
        <f t="shared" si="8"/>
        <v>6.0964923346409086E-2</v>
      </c>
      <c r="BH69" s="127">
        <f t="shared" si="9"/>
        <v>8.6183832112692621E-2</v>
      </c>
      <c r="BI69" s="128">
        <f t="shared" si="10"/>
        <v>7.4482134202738193E-2</v>
      </c>
      <c r="BJ69" s="126">
        <f t="array" ref="BJ69">BD69*INDEX(Royalty!$U$7:$Z$246,MATCH('Decline and Model'!$E69,Royalty!$AI$7:$AI$246,0),MATCH('Decline and Model'!BJ$8,Royalty!$U$1:$Z$1,0))</f>
        <v>0.16348314855186169</v>
      </c>
      <c r="BK69" s="127">
        <f t="array" ref="BK69">BE69*INDEX(Royalty!$U$7:$Z$246,MATCH('Decline and Model'!$E69,Royalty!$AI$7:$AI$246,0),MATCH('Decline and Model'!BK$8,Royalty!$U$1:$Z$1,0))</f>
        <v>3.8818201956786605E-2</v>
      </c>
      <c r="BL69" s="127">
        <f t="array" ref="BL69">BF69*INDEX(Royalty!$U$7:$Z$246,MATCH('Decline and Model'!$E69,Royalty!$AI$7:$AI$246,0),MATCH('Decline and Model'!BL$8,Royalty!$U$1:$Z$1,0))</f>
        <v>1.209504786963591E-2</v>
      </c>
      <c r="BM69" s="127">
        <f t="array" ref="BM69">BG69*INDEX(Royalty!$U$7:$Z$246,MATCH('Decline and Model'!$E69,Royalty!$AI$7:$AI$246,0),MATCH('Decline and Model'!BM$8,Royalty!$U$1:$Z$1,0))</f>
        <v>1.6350803328440033E-2</v>
      </c>
      <c r="BN69" s="127">
        <f t="array" ref="BN69">BH69*INDEX(Royalty!$U$7:$Z$246,MATCH('Decline and Model'!$E69,Royalty!$AI$7:$AI$246,0),MATCH('Decline and Model'!BN$8,Royalty!$U$1:$Z$1,0))</f>
        <v>1.1464891607223899E-2</v>
      </c>
      <c r="BO69" s="127">
        <f t="array" ref="BO69">BI69*INDEX(Royalty!$U$7:$Z$246,MATCH('Decline and Model'!$E69,Royalty!$AI$7:$AI$246,0),MATCH('Decline and Model'!BO$8,Royalty!$U$1:$Z$1,0))</f>
        <v>3.7241067101369098E-3</v>
      </c>
      <c r="BP69" s="135">
        <f t="shared" si="11"/>
        <v>0.24593620002408501</v>
      </c>
      <c r="BQ69" s="7"/>
      <c r="BR69" s="7"/>
      <c r="BS69">
        <v>61</v>
      </c>
      <c r="BT69" s="120">
        <f t="shared" si="12"/>
        <v>73740.784353628245</v>
      </c>
      <c r="BU69" s="113">
        <f t="shared" si="13"/>
        <v>51859.580109212897</v>
      </c>
      <c r="BV69" s="113">
        <f t="shared" si="14"/>
        <v>15557.874032763868</v>
      </c>
      <c r="BW69" s="113">
        <f t="shared" si="47"/>
        <v>3138552.6647300273</v>
      </c>
      <c r="BX69" s="113">
        <f t="shared" si="39"/>
        <v>69375.982312986336</v>
      </c>
      <c r="BY69" s="120">
        <f t="shared" si="40"/>
        <v>89302.827769074996</v>
      </c>
      <c r="BZ69" s="153">
        <f t="shared" si="48"/>
        <v>0</v>
      </c>
      <c r="CA69" s="120">
        <f t="shared" si="50"/>
        <v>89302.827769074996</v>
      </c>
      <c r="CB69" s="120">
        <f t="shared" si="41"/>
        <v>22325.706942268749</v>
      </c>
      <c r="CC69" s="153">
        <f t="shared" si="42"/>
        <v>136353.10313979257</v>
      </c>
      <c r="CD69" s="7">
        <f t="shared" si="16"/>
        <v>85962.674768214623</v>
      </c>
      <c r="CE69" s="11">
        <f>SUM($CD$9:CD69)</f>
        <v>22437082.446958076</v>
      </c>
      <c r="CF69" s="11">
        <f t="shared" si="43"/>
        <v>12000000</v>
      </c>
      <c r="CG69">
        <f t="shared" si="44"/>
        <v>10437082.446958076</v>
      </c>
      <c r="CJ69" s="219">
        <v>0.53007300000000002</v>
      </c>
      <c r="CK69" s="7">
        <v>25993691.443799302</v>
      </c>
      <c r="CN69" s="185">
        <f t="shared" ref="CN69:CN75" si="59">CN46*$CM$55</f>
        <v>0</v>
      </c>
      <c r="CO69" s="186">
        <f t="shared" ref="CO69:CO75" si="60">CP46</f>
        <v>0</v>
      </c>
      <c r="CP69" s="187">
        <f t="shared" ref="CP69:CQ75" si="61">CP57</f>
        <v>0</v>
      </c>
      <c r="CQ69" s="188">
        <f t="shared" si="61"/>
        <v>0</v>
      </c>
    </row>
    <row r="70" spans="1:95" ht="22.5" customHeight="1">
      <c r="A70">
        <f t="shared" si="17"/>
        <v>2022</v>
      </c>
      <c r="B70">
        <f t="shared" si="18"/>
        <v>30.416666666666668</v>
      </c>
      <c r="C70">
        <f t="shared" si="51"/>
        <v>6</v>
      </c>
      <c r="E70" s="97">
        <v>44682</v>
      </c>
      <c r="F70" s="2">
        <f>$F$6*EXP(-$F$3*COUNT($E$9:$E70))</f>
        <v>36.105313947150414</v>
      </c>
      <c r="G70" s="260">
        <f>$F$6/(1+$F$5*$F$3*COUNT($E$9:$E70))^(1/$F$5)</f>
        <v>63.721345697351104</v>
      </c>
      <c r="H70" s="260">
        <f>$H$6/(1+$H$5*$H$3*COUNT($E$9:$E70))^(1/$H$5)</f>
        <v>354.05430272698902</v>
      </c>
      <c r="I70" s="260">
        <f t="shared" si="19"/>
        <v>67.438914805140769</v>
      </c>
      <c r="J70" s="260">
        <f t="shared" si="20"/>
        <v>28.081564124860616</v>
      </c>
      <c r="K70" s="260">
        <f t="shared" si="20"/>
        <v>19.105444564296381</v>
      </c>
      <c r="L70" s="260">
        <f t="shared" si="20"/>
        <v>9.1109973901745178</v>
      </c>
      <c r="M70" s="260">
        <f t="shared" si="20"/>
        <v>11.147652617289769</v>
      </c>
      <c r="N70" s="19">
        <f t="shared" si="21"/>
        <v>1098.203299225825</v>
      </c>
      <c r="O70" s="19">
        <f t="shared" si="22"/>
        <v>1938.1909316277629</v>
      </c>
      <c r="P70" s="19">
        <f t="shared" si="23"/>
        <v>10769.151707945917</v>
      </c>
      <c r="Q70" s="19">
        <f t="shared" si="24"/>
        <v>2051.2669919896985</v>
      </c>
      <c r="R70" s="19">
        <f t="shared" si="25"/>
        <v>854.1475754645104</v>
      </c>
      <c r="S70" s="19">
        <f t="shared" si="26"/>
        <v>581.1239388306816</v>
      </c>
      <c r="T70" s="19">
        <f t="shared" si="27"/>
        <v>277.12617061780827</v>
      </c>
      <c r="U70" s="19">
        <f t="shared" si="28"/>
        <v>339.07443377589715</v>
      </c>
      <c r="V70" s="261">
        <f t="shared" si="45"/>
        <v>5063.007413529017</v>
      </c>
      <c r="W70" s="261">
        <f>SUM(O$9:O70)</f>
        <v>497878.87933111988</v>
      </c>
      <c r="X70" s="261">
        <f>SUM(P$9:P70)</f>
        <v>1761619.7098985908</v>
      </c>
      <c r="Y70" s="261">
        <f>SUM(Q$9:Q70)</f>
        <v>335546.61140925536</v>
      </c>
      <c r="Z70" s="261">
        <f>SUM($V$9:V70)</f>
        <v>1009036.9030658582</v>
      </c>
      <c r="AB70" s="257">
        <f t="array" ref="AB70">(INDEX(PriceDeck!$C$18:$O$77,MATCH('Decline and Model'!$A70,PriceDeck!$B$18:$B$77,0),MATCH('Decline and Model'!AB$8,PriceDeck!$C$13:$O$13,0))*(1+$AE$6))</f>
        <v>77.3</v>
      </c>
      <c r="AC70" s="257">
        <f t="array" ref="AC70">INDEX(PriceDeck!$C$18:$O$77,MATCH('Decline and Model'!$A70,PriceDeck!$B$18:$B$77,0),MATCH('Decline and Model'!AC$8,PriceDeck!$C$13:$O$13,0))*(1+$AE$6)</f>
        <v>88.3</v>
      </c>
      <c r="AD70" s="257">
        <f t="array" ref="AD70">INDEX(PriceDeck!$C$18:$O$77,MATCH('Decline and Model'!$A70,PriceDeck!$B$18:$B$77,0),MATCH('Decline and Model'!AD$8,PriceDeck!$C$13:$O$13,0))*(1+$AE$6)</f>
        <v>15</v>
      </c>
      <c r="AE70" s="257">
        <f t="array" ref="AE70">INDEX(PriceDeck!$C$18:$O$77,MATCH('Decline and Model'!$A70,PriceDeck!$B$18:$B$77,0),MATCH('Decline and Model'!AE$8,PriceDeck!$C$13:$O$13,0))*(1+$AE$6)</f>
        <v>30.9</v>
      </c>
      <c r="AF70" s="257">
        <f t="array" ref="AF70">INDEX(PriceDeck!$C$18:$O$77,MATCH('Decline and Model'!$A70,PriceDeck!$B$18:$B$77,0),MATCH('Decline and Model'!AF$8,PriceDeck!$C$13:$O$13,0))*(1+$AE$6)</f>
        <v>91.6</v>
      </c>
      <c r="AG70" s="257">
        <f t="array" ref="AG70">INDEX(PriceDeck!$C$18:$O$77,MATCH('Decline and Model'!$A70,PriceDeck!$B$18:$B$77,0),MATCH('Decline and Model'!AG$8,PriceDeck!$C$13:$O$13,0))*(1+$AE$6)</f>
        <v>64.7</v>
      </c>
      <c r="AH70" s="258">
        <f t="array" ref="AH70">INDEX(PriceDeck!$C$18:$O$77,MATCH('Decline and Model'!$A70,PriceDeck!$B$18:$B$77,0),MATCH('Decline and Model'!AH$8,PriceDeck!$C$13:$O$13,0))</f>
        <v>0.85</v>
      </c>
      <c r="AI70" s="258">
        <f t="shared" si="29"/>
        <v>3.95</v>
      </c>
      <c r="AJ70" s="259">
        <f t="shared" si="30"/>
        <v>3.95</v>
      </c>
      <c r="AK70" s="120">
        <v>3.95</v>
      </c>
      <c r="AL70" s="120"/>
      <c r="AN70" s="7">
        <f t="shared" si="31"/>
        <v>171142.25926273144</v>
      </c>
      <c r="AO70" s="7">
        <f t="shared" si="52"/>
        <v>42538.149246386376</v>
      </c>
      <c r="AP70" s="7">
        <f t="shared" si="32"/>
        <v>12812.213631967656</v>
      </c>
      <c r="AQ70" s="7">
        <f t="shared" si="33"/>
        <v>17956.729709868061</v>
      </c>
      <c r="AR70" s="7">
        <f t="shared" si="34"/>
        <v>25384.757228591236</v>
      </c>
      <c r="AS70" s="7">
        <f t="shared" si="35"/>
        <v>21938.115865300548</v>
      </c>
      <c r="AT70" s="7">
        <f t="shared" si="36"/>
        <v>291772.22494484531</v>
      </c>
      <c r="AU70">
        <f>SUM($AT$9:AT70)</f>
        <v>53496018.745237477</v>
      </c>
      <c r="AV70" s="7">
        <f>AT70/(1+$AR$5)^(COUNT($E$9:E70))</f>
        <v>182559.45535925278</v>
      </c>
      <c r="AW70" s="7">
        <f t="shared" si="49"/>
        <v>0</v>
      </c>
      <c r="AX70" s="7">
        <f t="shared" si="37"/>
        <v>0</v>
      </c>
      <c r="AY70" s="117">
        <f t="shared" si="38"/>
        <v>0</v>
      </c>
      <c r="AZ70" s="117">
        <f t="shared" si="53"/>
        <v>291772.22494484531</v>
      </c>
      <c r="BA70" s="120">
        <f t="shared" si="46"/>
        <v>71671.647025248385</v>
      </c>
      <c r="BB70" s="119">
        <f t="shared" si="4"/>
        <v>0</v>
      </c>
      <c r="BC70" s="17"/>
      <c r="BD70" s="126">
        <f t="shared" si="5"/>
        <v>0.58656117557140008</v>
      </c>
      <c r="BE70" s="127">
        <f t="shared" si="6"/>
        <v>0.14579231883510332</v>
      </c>
      <c r="BF70" s="127">
        <f t="shared" si="7"/>
        <v>4.3911697333046666E-2</v>
      </c>
      <c r="BG70" s="127">
        <f t="shared" si="8"/>
        <v>6.1543656916838066E-2</v>
      </c>
      <c r="BH70" s="127">
        <f t="shared" si="9"/>
        <v>8.7001966117199139E-2</v>
      </c>
      <c r="BI70" s="128">
        <f t="shared" si="10"/>
        <v>7.5189185226412769E-2</v>
      </c>
      <c r="BJ70" s="126">
        <f t="array" ref="BJ70">BD70*INDEX(Royalty!$U$7:$Z$246,MATCH('Decline and Model'!$E70,Royalty!$AI$7:$AI$246,0),MATCH('Decline and Model'!BJ$8,Royalty!$U$1:$Z$1,0))</f>
        <v>0.16240669018987791</v>
      </c>
      <c r="BK70" s="127">
        <f t="array" ref="BK70">BE70*INDEX(Royalty!$U$7:$Z$246,MATCH('Decline and Model'!$E70,Royalty!$AI$7:$AI$246,0),MATCH('Decline and Model'!BK$8,Royalty!$U$1:$Z$1,0))</f>
        <v>3.9186699043028031E-2</v>
      </c>
      <c r="BL70" s="127">
        <f t="array" ref="BL70">BF70*INDEX(Royalty!$U$7:$Z$246,MATCH('Decline and Model'!$E70,Royalty!$AI$7:$AI$246,0),MATCH('Decline and Model'!BL$8,Royalty!$U$1:$Z$1,0))</f>
        <v>1.2209864880039252E-2</v>
      </c>
      <c r="BM70" s="127">
        <f t="array" ref="BM70">BG70*INDEX(Royalty!$U$7:$Z$246,MATCH('Decline and Model'!$E70,Royalty!$AI$7:$AI$246,0),MATCH('Decline and Model'!BM$8,Royalty!$U$1:$Z$1,0))</f>
        <v>1.6506019775377592E-2</v>
      </c>
      <c r="BN70" s="127">
        <f t="array" ref="BN70">BH70*INDEX(Royalty!$U$7:$Z$246,MATCH('Decline and Model'!$E70,Royalty!$AI$7:$AI$246,0),MATCH('Decline and Model'!BN$8,Royalty!$U$1:$Z$1,0))</f>
        <v>1.1573726610865724E-2</v>
      </c>
      <c r="BO70" s="127">
        <f t="array" ref="BO70">BI70*INDEX(Royalty!$U$7:$Z$246,MATCH('Decline and Model'!$E70,Royalty!$AI$7:$AI$246,0),MATCH('Decline and Model'!BO$8,Royalty!$U$1:$Z$1,0))</f>
        <v>3.7594592613206385E-3</v>
      </c>
      <c r="BP70" s="135">
        <f t="shared" si="11"/>
        <v>0.24564245976050914</v>
      </c>
      <c r="BQ70" s="7"/>
      <c r="BR70" s="7"/>
      <c r="BS70">
        <v>62</v>
      </c>
      <c r="BT70" s="120">
        <f t="shared" si="12"/>
        <v>71671.647025248385</v>
      </c>
      <c r="BU70" s="113">
        <f t="shared" si="13"/>
        <v>50630.074135290168</v>
      </c>
      <c r="BV70" s="113">
        <f t="shared" si="14"/>
        <v>15189.022240587052</v>
      </c>
      <c r="BW70" s="113">
        <f t="shared" si="47"/>
        <v>3069176.6824170412</v>
      </c>
      <c r="BX70" s="113">
        <f t="shared" si="39"/>
        <v>67842.464339565369</v>
      </c>
      <c r="BY70" s="120">
        <f t="shared" si="40"/>
        <v>86439.017204154341</v>
      </c>
      <c r="BZ70" s="153">
        <f t="shared" si="48"/>
        <v>0</v>
      </c>
      <c r="CA70" s="120">
        <f t="shared" si="50"/>
        <v>86439.017204154341</v>
      </c>
      <c r="CB70" s="120">
        <f t="shared" si="41"/>
        <v>21609.754301038585</v>
      </c>
      <c r="CC70" s="153">
        <f t="shared" si="42"/>
        <v>132671.72724268114</v>
      </c>
      <c r="CD70" s="7">
        <f t="shared" si="16"/>
        <v>83011.596705524949</v>
      </c>
      <c r="CE70" s="11">
        <f>SUM($CD$9:CD70)</f>
        <v>22520094.043663602</v>
      </c>
      <c r="CF70" s="11">
        <f t="shared" si="43"/>
        <v>12000000</v>
      </c>
      <c r="CG70">
        <f t="shared" si="44"/>
        <v>10520094.043663602</v>
      </c>
      <c r="CJ70" s="219">
        <v>0.63007299999999999</v>
      </c>
      <c r="CK70" s="7">
        <v>28154367.657363743</v>
      </c>
      <c r="CN70" s="189">
        <f t="shared" si="59"/>
        <v>250</v>
      </c>
      <c r="CO70" s="190">
        <f t="shared" si="60"/>
        <v>39354.338825031009</v>
      </c>
      <c r="CP70" s="191">
        <f t="shared" si="61"/>
        <v>193818.68921416998</v>
      </c>
      <c r="CQ70" s="192">
        <f t="shared" si="61"/>
        <v>154464.35038913897</v>
      </c>
    </row>
    <row r="71" spans="1:95" ht="22.5" customHeight="1">
      <c r="A71">
        <f t="shared" si="17"/>
        <v>2022</v>
      </c>
      <c r="B71">
        <f t="shared" si="18"/>
        <v>30.416666666666668</v>
      </c>
      <c r="C71">
        <f t="shared" si="51"/>
        <v>6</v>
      </c>
      <c r="E71" s="97">
        <v>44713</v>
      </c>
      <c r="F71" s="2">
        <f>$F$6*EXP(-$F$3*COUNT($E$9:$E71))</f>
        <v>34.344437007365485</v>
      </c>
      <c r="G71" s="260">
        <f>$F$6/(1+$F$5*$F$3*COUNT($E$9:$E71))^(1/$F$5)</f>
        <v>61.610008201838085</v>
      </c>
      <c r="H71" s="260">
        <f>$H$6/(1+$H$5*$H$3*COUNT($E$9:$E71))^(1/$H$5)</f>
        <v>347.87967414707862</v>
      </c>
      <c r="I71" s="260">
        <f t="shared" si="19"/>
        <v>66.262795075634017</v>
      </c>
      <c r="J71" s="260">
        <f t="shared" si="20"/>
        <v>27.591827869494004</v>
      </c>
      <c r="K71" s="260">
        <f t="shared" si="20"/>
        <v>18.772249844927117</v>
      </c>
      <c r="L71" s="260">
        <f t="shared" si="20"/>
        <v>8.9521036147181547</v>
      </c>
      <c r="M71" s="260">
        <f t="shared" si="20"/>
        <v>10.953240026002304</v>
      </c>
      <c r="N71" s="19">
        <f t="shared" si="21"/>
        <v>1044.6432923073669</v>
      </c>
      <c r="O71" s="19">
        <f t="shared" si="22"/>
        <v>1873.9710828059085</v>
      </c>
      <c r="P71" s="19">
        <f t="shared" si="23"/>
        <v>10581.340088640309</v>
      </c>
      <c r="Q71" s="19">
        <f t="shared" si="24"/>
        <v>2015.4933502172014</v>
      </c>
      <c r="R71" s="19">
        <f t="shared" si="25"/>
        <v>839.25143103044263</v>
      </c>
      <c r="S71" s="19">
        <f t="shared" si="26"/>
        <v>570.98926611653314</v>
      </c>
      <c r="T71" s="19">
        <f t="shared" si="27"/>
        <v>272.29315161434386</v>
      </c>
      <c r="U71" s="19">
        <f t="shared" si="28"/>
        <v>333.1610507909034</v>
      </c>
      <c r="V71" s="261">
        <f t="shared" si="45"/>
        <v>4944.2914577328584</v>
      </c>
      <c r="W71" s="261">
        <f>SUM(O$9:O71)</f>
        <v>499752.85041392577</v>
      </c>
      <c r="X71" s="261">
        <f>SUM(P$9:P71)</f>
        <v>1772201.0499872311</v>
      </c>
      <c r="Y71" s="261">
        <f>SUM(Q$9:Q71)</f>
        <v>337562.10475947254</v>
      </c>
      <c r="Z71" s="261">
        <f>SUM($V$9:V71)</f>
        <v>1013981.1945235911</v>
      </c>
      <c r="AB71" s="257">
        <f t="array" ref="AB71">(INDEX(PriceDeck!$C$18:$O$77,MATCH('Decline and Model'!$A71,PriceDeck!$B$18:$B$77,0),MATCH('Decline and Model'!AB$8,PriceDeck!$C$13:$O$13,0))*(1+$AE$6))</f>
        <v>77.3</v>
      </c>
      <c r="AC71" s="257">
        <f t="array" ref="AC71">INDEX(PriceDeck!$C$18:$O$77,MATCH('Decline and Model'!$A71,PriceDeck!$B$18:$B$77,0),MATCH('Decline and Model'!AC$8,PriceDeck!$C$13:$O$13,0))*(1+$AE$6)</f>
        <v>88.3</v>
      </c>
      <c r="AD71" s="257">
        <f t="array" ref="AD71">INDEX(PriceDeck!$C$18:$O$77,MATCH('Decline and Model'!$A71,PriceDeck!$B$18:$B$77,0),MATCH('Decline and Model'!AD$8,PriceDeck!$C$13:$O$13,0))*(1+$AE$6)</f>
        <v>15</v>
      </c>
      <c r="AE71" s="257">
        <f t="array" ref="AE71">INDEX(PriceDeck!$C$18:$O$77,MATCH('Decline and Model'!$A71,PriceDeck!$B$18:$B$77,0),MATCH('Decline and Model'!AE$8,PriceDeck!$C$13:$O$13,0))*(1+$AE$6)</f>
        <v>30.9</v>
      </c>
      <c r="AF71" s="257">
        <f t="array" ref="AF71">INDEX(PriceDeck!$C$18:$O$77,MATCH('Decline and Model'!$A71,PriceDeck!$B$18:$B$77,0),MATCH('Decline and Model'!AF$8,PriceDeck!$C$13:$O$13,0))*(1+$AE$6)</f>
        <v>91.6</v>
      </c>
      <c r="AG71" s="257">
        <f t="array" ref="AG71">INDEX(PriceDeck!$C$18:$O$77,MATCH('Decline and Model'!$A71,PriceDeck!$B$18:$B$77,0),MATCH('Decline and Model'!AG$8,PriceDeck!$C$13:$O$13,0))*(1+$AE$6)</f>
        <v>64.7</v>
      </c>
      <c r="AH71" s="258">
        <f t="array" ref="AH71">INDEX(PriceDeck!$C$18:$O$77,MATCH('Decline and Model'!$A71,PriceDeck!$B$18:$B$77,0),MATCH('Decline and Model'!AH$8,PriceDeck!$C$13:$O$13,0))</f>
        <v>0.85</v>
      </c>
      <c r="AI71" s="258">
        <f t="shared" si="29"/>
        <v>3.95</v>
      </c>
      <c r="AJ71" s="259">
        <f t="shared" si="30"/>
        <v>3.95</v>
      </c>
      <c r="AK71" s="120">
        <v>3.95</v>
      </c>
      <c r="AL71" s="120"/>
      <c r="AN71" s="7">
        <f t="shared" si="31"/>
        <v>165471.64661176171</v>
      </c>
      <c r="AO71" s="7">
        <f t="shared" si="52"/>
        <v>41796.293350129221</v>
      </c>
      <c r="AP71" s="7">
        <f t="shared" si="32"/>
        <v>12588.771465456639</v>
      </c>
      <c r="AQ71" s="7">
        <f t="shared" si="33"/>
        <v>17643.568323000873</v>
      </c>
      <c r="AR71" s="7">
        <f t="shared" si="34"/>
        <v>24942.052687873897</v>
      </c>
      <c r="AS71" s="7">
        <f t="shared" si="35"/>
        <v>21555.51998617145</v>
      </c>
      <c r="AT71" s="7">
        <f t="shared" si="36"/>
        <v>283997.85242439376</v>
      </c>
      <c r="AU71">
        <f>SUM($AT$9:AT71)</f>
        <v>53780016.597661868</v>
      </c>
      <c r="AV71" s="7">
        <f>AT71/(1+$AR$5)^(COUNT($E$9:E71))</f>
        <v>176356.28035948315</v>
      </c>
      <c r="AW71" s="7">
        <f t="shared" si="49"/>
        <v>0</v>
      </c>
      <c r="AX71" s="7">
        <f t="shared" si="37"/>
        <v>0</v>
      </c>
      <c r="AY71" s="117">
        <f t="shared" si="38"/>
        <v>0</v>
      </c>
      <c r="AZ71" s="117">
        <f t="shared" si="53"/>
        <v>283997.85242439376</v>
      </c>
      <c r="BA71" s="120">
        <f t="shared" si="46"/>
        <v>69678.030888628273</v>
      </c>
      <c r="BB71" s="119">
        <f t="shared" si="4"/>
        <v>0</v>
      </c>
      <c r="BC71" s="17"/>
      <c r="BD71" s="126">
        <f t="shared" si="5"/>
        <v>0.58265104893993436</v>
      </c>
      <c r="BE71" s="127">
        <f t="shared" si="6"/>
        <v>0.14717115989902169</v>
      </c>
      <c r="BF71" s="127">
        <f t="shared" si="7"/>
        <v>4.4326995285318353E-2</v>
      </c>
      <c r="BG71" s="127">
        <f t="shared" si="8"/>
        <v>6.2125710361482275E-2</v>
      </c>
      <c r="BH71" s="127">
        <f t="shared" si="9"/>
        <v>8.7824793303724016E-2</v>
      </c>
      <c r="BI71" s="128">
        <f t="shared" si="10"/>
        <v>7.5900292210519388E-2</v>
      </c>
      <c r="BJ71" s="126">
        <f t="array" ref="BJ71">BD71*INDEX(Royalty!$U$7:$Z$246,MATCH('Decline and Model'!$E71,Royalty!$AI$7:$AI$246,0),MATCH('Decline and Model'!BJ$8,Royalty!$U$1:$Z$1,0))</f>
        <v>0.16132405678199674</v>
      </c>
      <c r="BK71" s="127">
        <f t="array" ref="BK71">BE71*INDEX(Royalty!$U$7:$Z$246,MATCH('Decline and Model'!$E71,Royalty!$AI$7:$AI$246,0),MATCH('Decline and Model'!BK$8,Royalty!$U$1:$Z$1,0))</f>
        <v>3.9557309993122396E-2</v>
      </c>
      <c r="BL71" s="127">
        <f t="array" ref="BL71">BF71*INDEX(Royalty!$U$7:$Z$246,MATCH('Decline and Model'!$E71,Royalty!$AI$7:$AI$246,0),MATCH('Decline and Model'!BL$8,Royalty!$U$1:$Z$1,0))</f>
        <v>1.2325340532090128E-2</v>
      </c>
      <c r="BM71" s="127">
        <f t="array" ref="BM71">BG71*INDEX(Royalty!$U$7:$Z$246,MATCH('Decline and Model'!$E71,Royalty!$AI$7:$AI$246,0),MATCH('Decline and Model'!BM$8,Royalty!$U$1:$Z$1,0))</f>
        <v>1.6662126613172526E-2</v>
      </c>
      <c r="BN71" s="127">
        <f t="array" ref="BN71">BH71*INDEX(Royalty!$U$7:$Z$246,MATCH('Decline and Model'!$E71,Royalty!$AI$7:$AI$246,0),MATCH('Decline and Model'!BN$8,Royalty!$U$1:$Z$1,0))</f>
        <v>1.1683185940692802E-2</v>
      </c>
      <c r="BO71" s="127">
        <f t="array" ref="BO71">BI71*INDEX(Royalty!$U$7:$Z$246,MATCH('Decline and Model'!$E71,Royalty!$AI$7:$AI$246,0),MATCH('Decline and Model'!BO$8,Royalty!$U$1:$Z$1,0))</f>
        <v>3.7950146105259694E-3</v>
      </c>
      <c r="BP71" s="135">
        <f t="shared" si="11"/>
        <v>0.24534703447160061</v>
      </c>
      <c r="BQ71" s="7"/>
      <c r="BR71" s="7"/>
      <c r="BS71">
        <v>63</v>
      </c>
      <c r="BT71" s="120">
        <f t="shared" si="12"/>
        <v>69678.030888628273</v>
      </c>
      <c r="BU71" s="113">
        <f t="shared" si="13"/>
        <v>49442.914577328585</v>
      </c>
      <c r="BV71" s="113">
        <f t="shared" si="14"/>
        <v>14832.874373198574</v>
      </c>
      <c r="BW71" s="113">
        <f t="shared" si="47"/>
        <v>3001334.2180774757</v>
      </c>
      <c r="BX71" s="113">
        <f t="shared" si="39"/>
        <v>66342.843938422302</v>
      </c>
      <c r="BY71" s="120">
        <f t="shared" si="40"/>
        <v>83701.188646816008</v>
      </c>
      <c r="BZ71" s="153">
        <f t="shared" si="48"/>
        <v>0</v>
      </c>
      <c r="CA71" s="120">
        <f t="shared" si="50"/>
        <v>83701.188646816008</v>
      </c>
      <c r="CB71" s="120">
        <f t="shared" si="41"/>
        <v>20925.297161704002</v>
      </c>
      <c r="CC71" s="153">
        <f t="shared" si="42"/>
        <v>129118.73542353431</v>
      </c>
      <c r="CD71" s="7">
        <f t="shared" si="16"/>
        <v>80179.831324875384</v>
      </c>
      <c r="CE71" s="11">
        <f>SUM($CD$9:CD71)</f>
        <v>22600273.874988478</v>
      </c>
      <c r="CF71" s="11">
        <f t="shared" si="43"/>
        <v>12000000</v>
      </c>
      <c r="CG71">
        <f t="shared" si="44"/>
        <v>10600273.874988478</v>
      </c>
      <c r="CJ71" s="219">
        <v>0.73007299999999997</v>
      </c>
      <c r="CK71" s="7">
        <v>30293714.123581357</v>
      </c>
      <c r="CN71" s="189">
        <f t="shared" si="59"/>
        <v>500</v>
      </c>
      <c r="CO71" s="190">
        <f t="shared" si="60"/>
        <v>78708.677650062134</v>
      </c>
      <c r="CP71" s="191">
        <f t="shared" si="61"/>
        <v>385970.58449424803</v>
      </c>
      <c r="CQ71" s="192">
        <f t="shared" si="61"/>
        <v>307261.9068441859</v>
      </c>
    </row>
    <row r="72" spans="1:95" ht="22.5" customHeight="1">
      <c r="A72">
        <f t="shared" si="17"/>
        <v>2022</v>
      </c>
      <c r="B72">
        <f t="shared" si="18"/>
        <v>30.416666666666668</v>
      </c>
      <c r="C72">
        <f t="shared" si="51"/>
        <v>6</v>
      </c>
      <c r="E72" s="97">
        <v>44743</v>
      </c>
      <c r="F72" s="2">
        <f>$F$6*EXP(-$F$3*COUNT($E$9:$E72))</f>
        <v>32.669439049317297</v>
      </c>
      <c r="G72" s="260">
        <f>$F$6/(1+$F$5*$F$3*COUNT($E$9:$E72))^(1/$F$5)</f>
        <v>59.579046720357113</v>
      </c>
      <c r="H72" s="260">
        <f>$H$6/(1+$H$5*$H$3*COUNT($E$9:$E72))^(1/$H$5)</f>
        <v>341.88738530804272</v>
      </c>
      <c r="I72" s="260">
        <f t="shared" si="19"/>
        <v>65.121406725341473</v>
      </c>
      <c r="J72" s="260">
        <f t="shared" si="20"/>
        <v>27.11655376043219</v>
      </c>
      <c r="K72" s="260">
        <f t="shared" si="20"/>
        <v>18.448894525289241</v>
      </c>
      <c r="L72" s="260">
        <f t="shared" si="20"/>
        <v>8.7979020485936328</v>
      </c>
      <c r="M72" s="260">
        <f t="shared" si="20"/>
        <v>10.764568531698945</v>
      </c>
      <c r="N72" s="19">
        <f t="shared" si="21"/>
        <v>993.69543775006787</v>
      </c>
      <c r="O72" s="19">
        <f t="shared" si="22"/>
        <v>1812.1960044108623</v>
      </c>
      <c r="P72" s="19">
        <f t="shared" si="23"/>
        <v>10399.074636452966</v>
      </c>
      <c r="Q72" s="19">
        <f t="shared" si="24"/>
        <v>1980.7761212291366</v>
      </c>
      <c r="R72" s="19">
        <f t="shared" si="25"/>
        <v>824.79517687981252</v>
      </c>
      <c r="S72" s="19">
        <f t="shared" si="26"/>
        <v>561.15387514421445</v>
      </c>
      <c r="T72" s="19">
        <f t="shared" si="27"/>
        <v>267.60285397805632</v>
      </c>
      <c r="U72" s="19">
        <f t="shared" si="28"/>
        <v>327.42229283917624</v>
      </c>
      <c r="V72" s="261">
        <f t="shared" si="45"/>
        <v>4829.629568517239</v>
      </c>
      <c r="W72" s="261">
        <f>SUM(O$9:O72)</f>
        <v>501565.04641833663</v>
      </c>
      <c r="X72" s="261">
        <f>SUM(P$9:P72)</f>
        <v>1782600.1246236842</v>
      </c>
      <c r="Y72" s="261">
        <f>SUM(Q$9:Q72)</f>
        <v>339542.88088070165</v>
      </c>
      <c r="Z72" s="261">
        <f>SUM($V$9:V72)</f>
        <v>1018810.8240921083</v>
      </c>
      <c r="AB72" s="257">
        <f t="array" ref="AB72">(INDEX(PriceDeck!$C$18:$O$77,MATCH('Decline and Model'!$A72,PriceDeck!$B$18:$B$77,0),MATCH('Decline and Model'!AB$8,PriceDeck!$C$13:$O$13,0))*(1+$AE$6))</f>
        <v>77.3</v>
      </c>
      <c r="AC72" s="257">
        <f t="array" ref="AC72">INDEX(PriceDeck!$C$18:$O$77,MATCH('Decline and Model'!$A72,PriceDeck!$B$18:$B$77,0),MATCH('Decline and Model'!AC$8,PriceDeck!$C$13:$O$13,0))*(1+$AE$6)</f>
        <v>88.3</v>
      </c>
      <c r="AD72" s="257">
        <f t="array" ref="AD72">INDEX(PriceDeck!$C$18:$O$77,MATCH('Decline and Model'!$A72,PriceDeck!$B$18:$B$77,0),MATCH('Decline and Model'!AD$8,PriceDeck!$C$13:$O$13,0))*(1+$AE$6)</f>
        <v>15</v>
      </c>
      <c r="AE72" s="257">
        <f t="array" ref="AE72">INDEX(PriceDeck!$C$18:$O$77,MATCH('Decline and Model'!$A72,PriceDeck!$B$18:$B$77,0),MATCH('Decline and Model'!AE$8,PriceDeck!$C$13:$O$13,0))*(1+$AE$6)</f>
        <v>30.9</v>
      </c>
      <c r="AF72" s="257">
        <f t="array" ref="AF72">INDEX(PriceDeck!$C$18:$O$77,MATCH('Decline and Model'!$A72,PriceDeck!$B$18:$B$77,0),MATCH('Decline and Model'!AF$8,PriceDeck!$C$13:$O$13,0))*(1+$AE$6)</f>
        <v>91.6</v>
      </c>
      <c r="AG72" s="257">
        <f t="array" ref="AG72">INDEX(PriceDeck!$C$18:$O$77,MATCH('Decline and Model'!$A72,PriceDeck!$B$18:$B$77,0),MATCH('Decline and Model'!AG$8,PriceDeck!$C$13:$O$13,0))*(1+$AE$6)</f>
        <v>64.7</v>
      </c>
      <c r="AH72" s="258">
        <f t="array" ref="AH72">INDEX(PriceDeck!$C$18:$O$77,MATCH('Decline and Model'!$A72,PriceDeck!$B$18:$B$77,0),MATCH('Decline and Model'!AH$8,PriceDeck!$C$13:$O$13,0))</f>
        <v>0.85</v>
      </c>
      <c r="AI72" s="258">
        <f t="shared" si="29"/>
        <v>3.95</v>
      </c>
      <c r="AJ72" s="259">
        <f t="shared" si="30"/>
        <v>3.95</v>
      </c>
      <c r="AK72" s="120">
        <v>3.95</v>
      </c>
      <c r="AL72" s="120"/>
      <c r="AN72" s="7">
        <f t="shared" si="31"/>
        <v>160016.90718947913</v>
      </c>
      <c r="AO72" s="7">
        <f t="shared" si="52"/>
        <v>41076.344813989221</v>
      </c>
      <c r="AP72" s="7">
        <f t="shared" si="32"/>
        <v>12371.927653197188</v>
      </c>
      <c r="AQ72" s="7">
        <f t="shared" si="33"/>
        <v>17339.654741956227</v>
      </c>
      <c r="AR72" s="7">
        <f t="shared" si="34"/>
        <v>24512.421424389959</v>
      </c>
      <c r="AS72" s="7">
        <f t="shared" si="35"/>
        <v>21184.222346694703</v>
      </c>
      <c r="AT72" s="7">
        <f t="shared" si="36"/>
        <v>276501.47816970642</v>
      </c>
      <c r="AU72">
        <f>SUM($AT$9:AT72)</f>
        <v>54056518.075831577</v>
      </c>
      <c r="AV72" s="7">
        <f>AT72/(1+$AR$5)^(COUNT($E$9:E72))</f>
        <v>170407.5457841368</v>
      </c>
      <c r="AW72" s="7">
        <f t="shared" si="49"/>
        <v>0</v>
      </c>
      <c r="AX72" s="7">
        <f t="shared" si="37"/>
        <v>0</v>
      </c>
      <c r="AY72" s="117">
        <f t="shared" si="38"/>
        <v>0</v>
      </c>
      <c r="AZ72" s="117">
        <f t="shared" si="53"/>
        <v>276501.47816970642</v>
      </c>
      <c r="BA72" s="120">
        <f t="shared" si="46"/>
        <v>67756.692948971933</v>
      </c>
      <c r="BB72" s="119">
        <f t="shared" si="4"/>
        <v>0</v>
      </c>
      <c r="BC72" s="17"/>
      <c r="BD72" s="126">
        <f t="shared" si="5"/>
        <v>0.5787198978056336</v>
      </c>
      <c r="BE72" s="127">
        <f t="shared" si="6"/>
        <v>0.14855741490386562</v>
      </c>
      <c r="BF72" s="127">
        <f t="shared" si="7"/>
        <v>4.4744526268332481E-2</v>
      </c>
      <c r="BG72" s="127">
        <f t="shared" si="8"/>
        <v>6.2710893470572279E-2</v>
      </c>
      <c r="BH72" s="127">
        <f t="shared" si="9"/>
        <v>8.8652044779829853E-2</v>
      </c>
      <c r="BI72" s="128">
        <f t="shared" si="10"/>
        <v>7.6615222771766189E-2</v>
      </c>
      <c r="BJ72" s="126">
        <f t="array" ref="BJ72">BD72*INDEX(Royalty!$U$7:$Z$246,MATCH('Decline and Model'!$E72,Royalty!$AI$7:$AI$246,0),MATCH('Decline and Model'!BJ$8,Royalty!$U$1:$Z$1,0))</f>
        <v>0.16023560212296475</v>
      </c>
      <c r="BK72" s="127">
        <f t="array" ref="BK72">BE72*INDEX(Royalty!$U$7:$Z$246,MATCH('Decline and Model'!$E72,Royalty!$AI$7:$AI$246,0),MATCH('Decline and Model'!BK$8,Royalty!$U$1:$Z$1,0))</f>
        <v>3.9929913694783464E-2</v>
      </c>
      <c r="BL72" s="127">
        <f t="array" ref="BL72">BF72*INDEX(Royalty!$U$7:$Z$246,MATCH('Decline and Model'!$E72,Royalty!$AI$7:$AI$246,0),MATCH('Decline and Model'!BL$8,Royalty!$U$1:$Z$1,0))</f>
        <v>1.244143708939619E-2</v>
      </c>
      <c r="BM72" s="127">
        <f t="array" ref="BM72">BG72*INDEX(Royalty!$U$7:$Z$246,MATCH('Decline and Model'!$E72,Royalty!$AI$7:$AI$246,0),MATCH('Decline and Model'!BM$8,Royalty!$U$1:$Z$1,0))</f>
        <v>1.6819072827530708E-2</v>
      </c>
      <c r="BN72" s="127">
        <f t="array" ref="BN72">BH72*INDEX(Royalty!$U$7:$Z$246,MATCH('Decline and Model'!$E72,Royalty!$AI$7:$AI$246,0),MATCH('Decline and Model'!BN$8,Royalty!$U$1:$Z$1,0))</f>
        <v>1.1793233826392149E-2</v>
      </c>
      <c r="BO72" s="127">
        <f t="array" ref="BO72">BI72*INDEX(Royalty!$U$7:$Z$246,MATCH('Decline and Model'!$E72,Royalty!$AI$7:$AI$246,0),MATCH('Decline and Model'!BO$8,Royalty!$U$1:$Z$1,0))</f>
        <v>3.8307611385883095E-3</v>
      </c>
      <c r="BP72" s="135">
        <f t="shared" si="11"/>
        <v>0.24505002069965559</v>
      </c>
      <c r="BQ72" s="7"/>
      <c r="BR72" s="7"/>
      <c r="BS72">
        <v>64</v>
      </c>
      <c r="BT72" s="120">
        <f t="shared" si="12"/>
        <v>67756.692948971933</v>
      </c>
      <c r="BU72" s="113">
        <f t="shared" si="13"/>
        <v>48296.295685172387</v>
      </c>
      <c r="BV72" s="113">
        <f t="shared" si="14"/>
        <v>14488.888705551717</v>
      </c>
      <c r="BW72" s="113">
        <f t="shared" si="47"/>
        <v>2934991.3741390533</v>
      </c>
      <c r="BX72" s="113">
        <f t="shared" si="39"/>
        <v>64876.371822345471</v>
      </c>
      <c r="BY72" s="120">
        <f t="shared" si="40"/>
        <v>81083.229007664922</v>
      </c>
      <c r="BZ72" s="153">
        <f t="shared" si="48"/>
        <v>0</v>
      </c>
      <c r="CA72" s="120">
        <f t="shared" si="50"/>
        <v>81083.229007664922</v>
      </c>
      <c r="CB72" s="120">
        <f t="shared" si="41"/>
        <v>20270.807251916231</v>
      </c>
      <c r="CC72" s="153">
        <f t="shared" si="42"/>
        <v>125688.79357809416</v>
      </c>
      <c r="CD72" s="7">
        <f t="shared" si="16"/>
        <v>77461.860196878319</v>
      </c>
      <c r="CE72" s="11">
        <f>SUM($CD$9:CD72)</f>
        <v>22677735.735185355</v>
      </c>
      <c r="CF72" s="11">
        <f t="shared" si="43"/>
        <v>12000000</v>
      </c>
      <c r="CG72">
        <f t="shared" si="44"/>
        <v>10677735.735185355</v>
      </c>
      <c r="CN72" s="189">
        <f t="shared" si="59"/>
        <v>750</v>
      </c>
      <c r="CO72" s="190">
        <f t="shared" si="60"/>
        <v>118063.01647509309</v>
      </c>
      <c r="CP72" s="191">
        <f t="shared" si="61"/>
        <v>576237.56674562395</v>
      </c>
      <c r="CQ72" s="192">
        <f t="shared" si="61"/>
        <v>458174.55027053086</v>
      </c>
    </row>
    <row r="73" spans="1:95" ht="21" customHeight="1">
      <c r="A73">
        <f t="shared" si="17"/>
        <v>2022</v>
      </c>
      <c r="B73">
        <f t="shared" si="18"/>
        <v>30.416666666666668</v>
      </c>
      <c r="C73">
        <f t="shared" si="51"/>
        <v>6</v>
      </c>
      <c r="E73" s="97">
        <v>44774</v>
      </c>
      <c r="F73" s="2">
        <f>$F$6*EXP(-$F$3*COUNT($E$9:$E73))</f>
        <v>31.076131705643249</v>
      </c>
      <c r="G73" s="260">
        <f>$F$6/(1+$F$5*$F$3*COUNT($E$9:$E73))^(1/$F$5)</f>
        <v>57.625008831082624</v>
      </c>
      <c r="H73" s="260">
        <f>$H$6/(1+$H$5*$H$3*COUNT($E$9:$E73))^(1/$H$5)</f>
        <v>336.06990063371614</v>
      </c>
      <c r="I73" s="260">
        <f t="shared" si="19"/>
        <v>64.013314406422126</v>
      </c>
      <c r="J73" s="260">
        <f t="shared" si="20"/>
        <v>26.655144118834173</v>
      </c>
      <c r="K73" s="260">
        <f t="shared" si="20"/>
        <v>18.13497197133939</v>
      </c>
      <c r="L73" s="260">
        <f t="shared" si="20"/>
        <v>8.6481987763076287</v>
      </c>
      <c r="M73" s="260">
        <f t="shared" si="20"/>
        <v>10.581400871381577</v>
      </c>
      <c r="N73" s="19">
        <f t="shared" si="21"/>
        <v>945.23233937998214</v>
      </c>
      <c r="O73" s="19">
        <f t="shared" si="22"/>
        <v>1752.7606852787633</v>
      </c>
      <c r="P73" s="19">
        <f t="shared" si="23"/>
        <v>10222.126144275533</v>
      </c>
      <c r="Q73" s="19">
        <f t="shared" si="24"/>
        <v>1947.071646528673</v>
      </c>
      <c r="R73" s="19">
        <f t="shared" si="25"/>
        <v>810.76063361453942</v>
      </c>
      <c r="S73" s="19">
        <f t="shared" si="26"/>
        <v>551.60539746157315</v>
      </c>
      <c r="T73" s="19">
        <f t="shared" si="27"/>
        <v>263.04937944602369</v>
      </c>
      <c r="U73" s="19">
        <f t="shared" si="28"/>
        <v>321.85094317118967</v>
      </c>
      <c r="V73" s="261">
        <f t="shared" si="45"/>
        <v>4718.8502271446832</v>
      </c>
      <c r="W73" s="261">
        <f>SUM(O$9:O73)</f>
        <v>503317.80710361537</v>
      </c>
      <c r="X73" s="261">
        <f>SUM(P$9:P73)</f>
        <v>1792822.2507679597</v>
      </c>
      <c r="Y73" s="261">
        <f>SUM(Q$9:Q73)</f>
        <v>341489.95252723031</v>
      </c>
      <c r="Z73" s="261">
        <f>SUM($V$9:V73)</f>
        <v>1023529.674319253</v>
      </c>
      <c r="AB73" s="257">
        <f t="array" ref="AB73">(INDEX(PriceDeck!$C$18:$O$77,MATCH('Decline and Model'!$A73,PriceDeck!$B$18:$B$77,0),MATCH('Decline and Model'!AB$8,PriceDeck!$C$13:$O$13,0))*(1+$AE$6))</f>
        <v>77.3</v>
      </c>
      <c r="AC73" s="257">
        <f t="array" ref="AC73">INDEX(PriceDeck!$C$18:$O$77,MATCH('Decline and Model'!$A73,PriceDeck!$B$18:$B$77,0),MATCH('Decline and Model'!AC$8,PriceDeck!$C$13:$O$13,0))*(1+$AE$6)</f>
        <v>88.3</v>
      </c>
      <c r="AD73" s="257">
        <f t="array" ref="AD73">INDEX(PriceDeck!$C$18:$O$77,MATCH('Decline and Model'!$A73,PriceDeck!$B$18:$B$77,0),MATCH('Decline and Model'!AD$8,PriceDeck!$C$13:$O$13,0))*(1+$AE$6)</f>
        <v>15</v>
      </c>
      <c r="AE73" s="257">
        <f t="array" ref="AE73">INDEX(PriceDeck!$C$18:$O$77,MATCH('Decline and Model'!$A73,PriceDeck!$B$18:$B$77,0),MATCH('Decline and Model'!AE$8,PriceDeck!$C$13:$O$13,0))*(1+$AE$6)</f>
        <v>30.9</v>
      </c>
      <c r="AF73" s="257">
        <f t="array" ref="AF73">INDEX(PriceDeck!$C$18:$O$77,MATCH('Decline and Model'!$A73,PriceDeck!$B$18:$B$77,0),MATCH('Decline and Model'!AF$8,PriceDeck!$C$13:$O$13,0))*(1+$AE$6)</f>
        <v>91.6</v>
      </c>
      <c r="AG73" s="257">
        <f t="array" ref="AG73">INDEX(PriceDeck!$C$18:$O$77,MATCH('Decline and Model'!$A73,PriceDeck!$B$18:$B$77,0),MATCH('Decline and Model'!AG$8,PriceDeck!$C$13:$O$13,0))*(1+$AE$6)</f>
        <v>64.7</v>
      </c>
      <c r="AH73" s="258">
        <f t="array" ref="AH73">INDEX(PriceDeck!$C$18:$O$77,MATCH('Decline and Model'!$A73,PriceDeck!$B$18:$B$77,0),MATCH('Decline and Model'!AH$8,PriceDeck!$C$13:$O$13,0))</f>
        <v>0.85</v>
      </c>
      <c r="AI73" s="258">
        <f t="shared" si="29"/>
        <v>3.95</v>
      </c>
      <c r="AJ73" s="259">
        <f t="shared" ref="AJ73:AJ136" si="62">AI73/$AJ$6</f>
        <v>3.95</v>
      </c>
      <c r="AK73" s="120">
        <v>3.95</v>
      </c>
      <c r="AL73" s="120"/>
      <c r="AN73" s="7">
        <f t="shared" si="31"/>
        <v>154768.76851011478</v>
      </c>
      <c r="AO73" s="7">
        <f t="shared" si="52"/>
        <v>40377.398269888356</v>
      </c>
      <c r="AP73" s="7">
        <f t="shared" si="32"/>
        <v>12161.409504218091</v>
      </c>
      <c r="AQ73" s="7">
        <f t="shared" si="33"/>
        <v>17044.606781562608</v>
      </c>
      <c r="AR73" s="7">
        <f t="shared" si="34"/>
        <v>24095.323157255767</v>
      </c>
      <c r="AS73" s="7">
        <f t="shared" si="35"/>
        <v>20823.756023175971</v>
      </c>
      <c r="AT73" s="7">
        <f t="shared" si="36"/>
        <v>269271.2622462156</v>
      </c>
      <c r="AU73">
        <f>SUM($AT$9:AT73)</f>
        <v>54325789.338077791</v>
      </c>
      <c r="AV73" s="7">
        <f>AT73/(1+$AR$5)^(COUNT($E$9:E73))</f>
        <v>164701.23686557359</v>
      </c>
      <c r="AW73" s="7">
        <f t="shared" si="49"/>
        <v>0</v>
      </c>
      <c r="AX73" s="7">
        <f t="shared" si="37"/>
        <v>0</v>
      </c>
      <c r="AY73" s="117">
        <f t="shared" si="38"/>
        <v>0</v>
      </c>
      <c r="AZ73" s="117">
        <f t="shared" si="53"/>
        <v>269271.2622462156</v>
      </c>
      <c r="BA73" s="120">
        <f t="shared" si="46"/>
        <v>65904.548953378195</v>
      </c>
      <c r="BB73" s="119">
        <f t="shared" ref="BB73:BB136" si="63">MAX($BA$7-V73,0)</f>
        <v>0</v>
      </c>
      <c r="BC73" s="17"/>
      <c r="BD73" s="126">
        <f t="shared" ref="BD73:BD136" si="64">AN73/$AT73</f>
        <v>0.57476897912929781</v>
      </c>
      <c r="BE73" s="127">
        <f t="shared" ref="BE73:BE136" si="65">AO73/$AT73</f>
        <v>0.14995064060333393</v>
      </c>
      <c r="BF73" s="127">
        <f t="shared" ref="BF73:BF136" si="66">AP73/$AT73</f>
        <v>4.5164156779188606E-2</v>
      </c>
      <c r="BG73" s="127">
        <f t="shared" ref="BG73:BG136" si="67">AQ73/$AT73</f>
        <v>6.3299019135496917E-2</v>
      </c>
      <c r="BH73" s="127">
        <f t="shared" ref="BH73:BH136" si="68">AR73/$AT73</f>
        <v>8.9483456037070697E-2</v>
      </c>
      <c r="BI73" s="128">
        <f t="shared" ref="BI73:BI136" si="69">AS73/$AT73</f>
        <v>7.7333748315611919E-2</v>
      </c>
      <c r="BJ73" s="126">
        <f t="array" ref="BJ73">BD73*INDEX(Royalty!$U$7:$Z$246,MATCH('Decline and Model'!$E73,Royalty!$AI$7:$AI$246,0),MATCH('Decline and Model'!BJ$8,Royalty!$U$1:$Z$1,0))</f>
        <v>0.15914167423929942</v>
      </c>
      <c r="BK73" s="127">
        <f t="array" ref="BK73">BE73*INDEX(Royalty!$U$7:$Z$246,MATCH('Decline and Model'!$E73,Royalty!$AI$7:$AI$246,0),MATCH('Decline and Model'!BK$8,Royalty!$U$1:$Z$1,0))</f>
        <v>4.0304391010325902E-2</v>
      </c>
      <c r="BL73" s="127">
        <f t="array" ref="BL73">BF73*INDEX(Royalty!$U$7:$Z$246,MATCH('Decline and Model'!$E73,Royalty!$AI$7:$AI$246,0),MATCH('Decline and Model'!BL$8,Royalty!$U$1:$Z$1,0))</f>
        <v>1.2558117430814903E-2</v>
      </c>
      <c r="BM73" s="127">
        <f t="array" ref="BM73">BG73*INDEX(Royalty!$U$7:$Z$246,MATCH('Decline and Model'!$E73,Royalty!$AI$7:$AI$246,0),MATCH('Decline and Model'!BM$8,Royalty!$U$1:$Z$1,0))</f>
        <v>1.6976808235889214E-2</v>
      </c>
      <c r="BN73" s="127">
        <f t="array" ref="BN73">BH73*INDEX(Royalty!$U$7:$Z$246,MATCH('Decline and Model'!$E73,Royalty!$AI$7:$AI$246,0),MATCH('Decline and Model'!BN$8,Royalty!$U$1:$Z$1,0))</f>
        <v>1.1903835080845863E-2</v>
      </c>
      <c r="BO73" s="127">
        <f t="array" ref="BO73">BI73*INDEX(Royalty!$U$7:$Z$246,MATCH('Decline and Model'!$E73,Royalty!$AI$7:$AI$246,0),MATCH('Decline and Model'!BO$8,Royalty!$U$1:$Z$1,0))</f>
        <v>3.8666874157805963E-3</v>
      </c>
      <c r="BP73" s="135">
        <f t="shared" ref="BP73:BP136" si="70">MAX(SUM(BJ73:BO73)-BB73*$BA$5,$BA$4)</f>
        <v>0.24475151341295587</v>
      </c>
      <c r="BQ73" s="7"/>
      <c r="BR73" s="7"/>
      <c r="BS73">
        <v>65</v>
      </c>
      <c r="BT73" s="120">
        <f t="shared" ref="BT73:BT136" si="71">AY73+BA73</f>
        <v>65904.548953378195</v>
      </c>
      <c r="BU73" s="113">
        <f t="shared" ref="BU73:BU136" si="72">V73*$AP$3</f>
        <v>47188.502271446836</v>
      </c>
      <c r="BV73" s="113">
        <f t="shared" ref="BV73:BV136" si="73">V73*$AP$2</f>
        <v>14156.55068143405</v>
      </c>
      <c r="BW73" s="113">
        <f t="shared" si="47"/>
        <v>2870115.0023167077</v>
      </c>
      <c r="BX73" s="113">
        <f t="shared" si="39"/>
        <v>63442.31526670538</v>
      </c>
      <c r="BY73" s="120">
        <f t="shared" si="40"/>
        <v>78579.345073251141</v>
      </c>
      <c r="BZ73" s="153">
        <f t="shared" si="48"/>
        <v>0</v>
      </c>
      <c r="CA73" s="120">
        <f t="shared" si="50"/>
        <v>78579.345073251141</v>
      </c>
      <c r="CB73" s="120">
        <f t="shared" si="41"/>
        <v>19644.836268312785</v>
      </c>
      <c r="CC73" s="153">
        <f t="shared" si="42"/>
        <v>122376.82407164373</v>
      </c>
      <c r="CD73" s="7">
        <f t="shared" ref="CD73:CD136" si="74">CC73/(1+$AR$5)^$BS73</f>
        <v>74852.452208028713</v>
      </c>
      <c r="CE73" s="11">
        <f>SUM($CD$9:CD73)</f>
        <v>22752588.187393382</v>
      </c>
      <c r="CF73" s="11">
        <f t="shared" si="43"/>
        <v>12000000</v>
      </c>
      <c r="CG73">
        <f t="shared" si="44"/>
        <v>10752588.187393382</v>
      </c>
      <c r="CJ73" s="271" t="s">
        <v>356</v>
      </c>
      <c r="CK73" s="273"/>
      <c r="CN73" s="189">
        <f t="shared" si="59"/>
        <v>1000</v>
      </c>
      <c r="CO73" s="190">
        <f t="shared" si="60"/>
        <v>157417.35530012415</v>
      </c>
      <c r="CP73" s="191">
        <f t="shared" si="61"/>
        <v>764457.00874019414</v>
      </c>
      <c r="CQ73" s="192">
        <f t="shared" si="61"/>
        <v>607039.65344006999</v>
      </c>
    </row>
    <row r="74" spans="1:95" ht="21" customHeight="1">
      <c r="A74">
        <f t="shared" ref="A74:A137" si="75">YEAR(E74)</f>
        <v>2022</v>
      </c>
      <c r="B74">
        <f t="shared" ref="B74:B137" si="76">$B$4</f>
        <v>30.416666666666668</v>
      </c>
      <c r="C74">
        <f t="shared" si="51"/>
        <v>6</v>
      </c>
      <c r="E74" s="97">
        <v>44805</v>
      </c>
      <c r="F74" s="2">
        <f>$F$6*EXP(-$F$3*COUNT($E$9:$E74))</f>
        <v>29.560530878067414</v>
      </c>
      <c r="G74" s="260">
        <f>$F$6/(1+$F$5*$F$3*COUNT($E$9:$E74))^(1/$F$5)</f>
        <v>55.744607098354308</v>
      </c>
      <c r="H74" s="260">
        <f>$H$6/(1+$H$5*$H$3*COUNT($E$9:$E74))^(1/$H$5)</f>
        <v>330.42008273003006</v>
      </c>
      <c r="I74" s="260">
        <f t="shared" ref="I74:I137" si="77">H74*$F$7</f>
        <v>62.937158615243817</v>
      </c>
      <c r="J74" s="260">
        <f t="shared" ref="J74:M137" si="78">$I74*J$7</f>
        <v>26.207032847387524</v>
      </c>
      <c r="K74" s="260">
        <f t="shared" si="78"/>
        <v>17.830097035698572</v>
      </c>
      <c r="L74" s="260">
        <f t="shared" si="78"/>
        <v>8.5028101289194389</v>
      </c>
      <c r="M74" s="260">
        <f t="shared" si="78"/>
        <v>10.403512319099804</v>
      </c>
      <c r="N74" s="19">
        <f t="shared" ref="N74:N137" si="79">(F74*$B74)*(1+$Q$6)</f>
        <v>899.13281420788394</v>
      </c>
      <c r="O74" s="19">
        <f t="shared" ref="O74:O137" si="80">(G74*$B74)*(1+$Q$6)</f>
        <v>1695.5651325749436</v>
      </c>
      <c r="P74" s="19">
        <f t="shared" ref="P74:P137" si="81">(H74*$B74)*(1+$Q$6)</f>
        <v>10050.277516371749</v>
      </c>
      <c r="Q74" s="19">
        <f t="shared" ref="Q74:Q137" si="82">(I74*$B74)*(1+$Q$6)</f>
        <v>1914.3385745469996</v>
      </c>
      <c r="R74" s="19">
        <f t="shared" ref="R74:R137" si="83">(J74*$B74)*(1+$Q$6)</f>
        <v>797.13058244137051</v>
      </c>
      <c r="S74" s="19">
        <f t="shared" ref="S74:S137" si="84">(K74*$B74)*(1+$Q$6)</f>
        <v>542.33211816916491</v>
      </c>
      <c r="T74" s="19">
        <f t="shared" ref="T74:T137" si="85">(L74*$B74)*(1+$Q$6)</f>
        <v>258.6271414212996</v>
      </c>
      <c r="U74" s="19">
        <f t="shared" ref="U74:U137" si="86">(M74*$B74)*(1+$Q$6)</f>
        <v>316.44016637261905</v>
      </c>
      <c r="V74" s="261">
        <f t="shared" si="45"/>
        <v>4611.7904474869765</v>
      </c>
      <c r="W74" s="261">
        <f>SUM(O$9:O74)</f>
        <v>505013.37223619031</v>
      </c>
      <c r="X74" s="261">
        <f>SUM(P$9:P74)</f>
        <v>1802872.5282843316</v>
      </c>
      <c r="Y74" s="261">
        <f>SUM(Q$9:Q74)</f>
        <v>343404.29110177729</v>
      </c>
      <c r="Z74" s="261">
        <f>SUM($V$9:V74)</f>
        <v>1028141.46476674</v>
      </c>
      <c r="AB74" s="257">
        <f t="array" ref="AB74">(INDEX(PriceDeck!$C$18:$O$77,MATCH('Decline and Model'!$A74,PriceDeck!$B$18:$B$77,0),MATCH('Decline and Model'!AB$8,PriceDeck!$C$13:$O$13,0))*(1+$AE$6))</f>
        <v>77.3</v>
      </c>
      <c r="AC74" s="257">
        <f t="array" ref="AC74">INDEX(PriceDeck!$C$18:$O$77,MATCH('Decline and Model'!$A74,PriceDeck!$B$18:$B$77,0),MATCH('Decline and Model'!AC$8,PriceDeck!$C$13:$O$13,0))*(1+$AE$6)</f>
        <v>88.3</v>
      </c>
      <c r="AD74" s="257">
        <f t="array" ref="AD74">INDEX(PriceDeck!$C$18:$O$77,MATCH('Decline and Model'!$A74,PriceDeck!$B$18:$B$77,0),MATCH('Decline and Model'!AD$8,PriceDeck!$C$13:$O$13,0))*(1+$AE$6)</f>
        <v>15</v>
      </c>
      <c r="AE74" s="257">
        <f t="array" ref="AE74">INDEX(PriceDeck!$C$18:$O$77,MATCH('Decline and Model'!$A74,PriceDeck!$B$18:$B$77,0),MATCH('Decline and Model'!AE$8,PriceDeck!$C$13:$O$13,0))*(1+$AE$6)</f>
        <v>30.9</v>
      </c>
      <c r="AF74" s="257">
        <f t="array" ref="AF74">INDEX(PriceDeck!$C$18:$O$77,MATCH('Decline and Model'!$A74,PriceDeck!$B$18:$B$77,0),MATCH('Decline and Model'!AF$8,PriceDeck!$C$13:$O$13,0))*(1+$AE$6)</f>
        <v>91.6</v>
      </c>
      <c r="AG74" s="257">
        <f t="array" ref="AG74">INDEX(PriceDeck!$C$18:$O$77,MATCH('Decline and Model'!$A74,PriceDeck!$B$18:$B$77,0),MATCH('Decline and Model'!AG$8,PriceDeck!$C$13:$O$13,0))*(1+$AE$6)</f>
        <v>64.7</v>
      </c>
      <c r="AH74" s="258">
        <f t="array" ref="AH74">INDEX(PriceDeck!$C$18:$O$77,MATCH('Decline and Model'!$A74,PriceDeck!$B$18:$B$77,0),MATCH('Decline and Model'!AH$8,PriceDeck!$C$13:$O$13,0))</f>
        <v>0.85</v>
      </c>
      <c r="AI74" s="258">
        <f t="shared" ref="AI74:AI137" si="87">AK74*(1+$AE$6)</f>
        <v>3.95</v>
      </c>
      <c r="AJ74" s="259">
        <f t="shared" si="62"/>
        <v>3.95</v>
      </c>
      <c r="AK74" s="120">
        <v>3.95</v>
      </c>
      <c r="AL74" s="120"/>
      <c r="AN74" s="7">
        <f t="shared" ref="AN74:AN137" si="88">O74*AC74</f>
        <v>149718.4012063675</v>
      </c>
      <c r="AO74" s="7">
        <f t="shared" ref="AO74:AO137" si="89">P74*AJ74</f>
        <v>39698.596189668409</v>
      </c>
      <c r="AP74" s="7">
        <f t="shared" ref="AP74:AP137" si="90">R74*AD74</f>
        <v>11956.958736620558</v>
      </c>
      <c r="AQ74" s="7">
        <f t="shared" ref="AQ74:AQ137" si="91">S74*AE74</f>
        <v>16758.062451427195</v>
      </c>
      <c r="AR74" s="7">
        <f t="shared" ref="AR74:AR137" si="92">T74*AF74</f>
        <v>23690.246154191042</v>
      </c>
      <c r="AS74" s="7">
        <f t="shared" ref="AS74:AS137" si="93">U74*AG74</f>
        <v>20473.678764308454</v>
      </c>
      <c r="AT74" s="7">
        <f t="shared" ref="AT74:AT137" si="94">SUM(AN74:AS74)</f>
        <v>262295.94350258313</v>
      </c>
      <c r="AU74">
        <f>SUM($AT$9:AT74)</f>
        <v>54588085.281580374</v>
      </c>
      <c r="AV74" s="7">
        <f>AT74/(1+$AR$5)^(COUNT($E$9:E74))</f>
        <v>159225.97564029769</v>
      </c>
      <c r="AW74" s="7">
        <f t="shared" si="49"/>
        <v>0</v>
      </c>
      <c r="AX74" s="7">
        <f t="shared" ref="AX74:AX137" si="95">MIN(AT74,AW74)</f>
        <v>0</v>
      </c>
      <c r="AY74" s="117">
        <f t="shared" ref="AY74:AY137" si="96">AX74*$AX$7</f>
        <v>0</v>
      </c>
      <c r="AZ74" s="117">
        <f t="shared" ref="AZ74:AZ137" si="97">AT74-AX74</f>
        <v>262295.94350258313</v>
      </c>
      <c r="BA74" s="120">
        <f t="shared" ref="BA74:BA137" si="98">AZ74*BP74</f>
        <v>64118.664652082472</v>
      </c>
      <c r="BB74" s="119">
        <f t="shared" si="63"/>
        <v>0</v>
      </c>
      <c r="BC74" s="17"/>
      <c r="BD74" s="126">
        <f t="shared" si="64"/>
        <v>0.57079952974908688</v>
      </c>
      <c r="BE74" s="127">
        <f t="shared" si="65"/>
        <v>0.1513504008470396</v>
      </c>
      <c r="BF74" s="127">
        <f t="shared" si="66"/>
        <v>4.5585755452229489E-2</v>
      </c>
      <c r="BG74" s="127">
        <f t="shared" si="67"/>
        <v>6.3889903243060098E-2</v>
      </c>
      <c r="BH74" s="127">
        <f t="shared" si="68"/>
        <v>9.0318766801506925E-2</v>
      </c>
      <c r="BI74" s="128">
        <f t="shared" si="69"/>
        <v>7.8055643907077144E-2</v>
      </c>
      <c r="BJ74" s="126">
        <f t="array" ref="BJ74">BD74*INDEX(Royalty!$U$7:$Z$246,MATCH('Decline and Model'!$E74,Royalty!$AI$7:$AI$246,0),MATCH('Decline and Model'!BJ$8,Royalty!$U$1:$Z$1,0))</f>
        <v>0.15804261558597429</v>
      </c>
      <c r="BK74" s="127">
        <f t="array" ref="BK74">BE74*INDEX(Royalty!$U$7:$Z$246,MATCH('Decline and Model'!$E74,Royalty!$AI$7:$AI$246,0),MATCH('Decline and Model'!BK$8,Royalty!$U$1:$Z$1,0))</f>
        <v>4.0680624709335311E-2</v>
      </c>
      <c r="BL74" s="127">
        <f t="array" ref="BL74">BF74*INDEX(Royalty!$U$7:$Z$246,MATCH('Decline and Model'!$E74,Royalty!$AI$7:$AI$246,0),MATCH('Decline and Model'!BL$8,Royalty!$U$1:$Z$1,0))</f>
        <v>1.2675345029474795E-2</v>
      </c>
      <c r="BM74" s="127">
        <f t="array" ref="BM74">BG74*INDEX(Royalty!$U$7:$Z$246,MATCH('Decline and Model'!$E74,Royalty!$AI$7:$AI$246,0),MATCH('Decline and Model'!BM$8,Royalty!$U$1:$Z$1,0))</f>
        <v>1.7135283459055971E-2</v>
      </c>
      <c r="BN74" s="127">
        <f t="array" ref="BN74">BH74*INDEX(Royalty!$U$7:$Z$246,MATCH('Decline and Model'!$E74,Royalty!$AI$7:$AI$246,0),MATCH('Decline and Model'!BN$8,Royalty!$U$1:$Z$1,0))</f>
        <v>1.201495508024536E-2</v>
      </c>
      <c r="BO74" s="127">
        <f t="array" ref="BO74">BI74*INDEX(Royalty!$U$7:$Z$246,MATCH('Decline and Model'!$E74,Royalty!$AI$7:$AI$246,0),MATCH('Decline and Model'!BO$8,Royalty!$U$1:$Z$1,0))</f>
        <v>3.9027821953538573E-3</v>
      </c>
      <c r="BP74" s="135">
        <f t="shared" si="70"/>
        <v>0.24445160605943958</v>
      </c>
      <c r="BQ74" s="7"/>
      <c r="BR74" s="7"/>
      <c r="BS74">
        <v>66</v>
      </c>
      <c r="BT74" s="120">
        <f t="shared" si="71"/>
        <v>64118.664652082472</v>
      </c>
      <c r="BU74" s="113">
        <f t="shared" si="72"/>
        <v>46117.904474869763</v>
      </c>
      <c r="BV74" s="113">
        <f t="shared" si="73"/>
        <v>13835.37134246093</v>
      </c>
      <c r="BW74" s="113">
        <f t="shared" si="47"/>
        <v>2806672.6870500022</v>
      </c>
      <c r="BX74" s="113">
        <f t="shared" ref="BX74:BX137" si="99">BW74*$BW$5</f>
        <v>62039.957743347884</v>
      </c>
      <c r="BY74" s="120">
        <f t="shared" ref="BY74:BY137" si="100">AT74-BT74-BU74-BV74-BX74</f>
        <v>76184.045289822068</v>
      </c>
      <c r="BZ74" s="153">
        <f t="shared" si="48"/>
        <v>0</v>
      </c>
      <c r="CA74" s="120">
        <f t="shared" si="50"/>
        <v>76184.045289822068</v>
      </c>
      <c r="CB74" s="120">
        <f t="shared" ref="CB74:CB137" si="101">CA74*$AP$4</f>
        <v>19046.011322455517</v>
      </c>
      <c r="CC74" s="153">
        <f t="shared" ref="CC74:CC137" si="102">CA74-CB74+BX74</f>
        <v>119177.99171071444</v>
      </c>
      <c r="CD74" s="7">
        <f t="shared" si="74"/>
        <v>72346.646888966992</v>
      </c>
      <c r="CE74" s="11">
        <f>SUM($CD$9:CD74)</f>
        <v>22824934.83428235</v>
      </c>
      <c r="CF74" s="11">
        <f t="shared" ref="CF74:CF137" si="103">$CD$6</f>
        <v>12000000</v>
      </c>
      <c r="CG74">
        <f t="shared" ref="CG74:CG137" si="104">IF(CE74&gt;CF74,CE74-CF74,0)</f>
        <v>10824934.83428235</v>
      </c>
      <c r="CJ74" s="220" t="s">
        <v>355</v>
      </c>
      <c r="CK74" s="181" t="s">
        <v>142</v>
      </c>
      <c r="CN74" s="189">
        <f t="shared" si="59"/>
        <v>1250</v>
      </c>
      <c r="CO74" s="190">
        <f t="shared" si="60"/>
        <v>196771.69412515528</v>
      </c>
      <c r="CP74" s="191">
        <f t="shared" si="61"/>
        <v>950731.79571244121</v>
      </c>
      <c r="CQ74" s="192">
        <f t="shared" si="61"/>
        <v>753960.10158728599</v>
      </c>
    </row>
    <row r="75" spans="1:95" ht="22.5" customHeight="1">
      <c r="A75">
        <f t="shared" si="75"/>
        <v>2022</v>
      </c>
      <c r="B75">
        <f t="shared" si="76"/>
        <v>30.416666666666668</v>
      </c>
      <c r="C75">
        <f t="shared" si="51"/>
        <v>6</v>
      </c>
      <c r="E75" s="97">
        <v>44835</v>
      </c>
      <c r="F75" s="2">
        <f>$F$6*EXP(-$F$3*COUNT($E$9:$E75))</f>
        <v>28.11884677507966</v>
      </c>
      <c r="G75" s="260">
        <f>$F$6/(1+$F$5*$F$3*COUNT($E$9:$E75))^(1/$F$5)</f>
        <v>53.93471039853744</v>
      </c>
      <c r="H75" s="260">
        <f>$H$6/(1+$H$5*$H$3*COUNT($E$9:$E75))^(1/$H$5)</f>
        <v>324.93116686945638</v>
      </c>
      <c r="I75" s="260">
        <f t="shared" si="77"/>
        <v>61.891650832277399</v>
      </c>
      <c r="J75" s="260">
        <f t="shared" si="78"/>
        <v>25.77168340656031</v>
      </c>
      <c r="K75" s="260">
        <f t="shared" si="78"/>
        <v>17.533904680784186</v>
      </c>
      <c r="L75" s="260">
        <f t="shared" si="78"/>
        <v>8.3615620274406766</v>
      </c>
      <c r="M75" s="260">
        <f t="shared" si="78"/>
        <v>10.230689882575454</v>
      </c>
      <c r="N75" s="19">
        <f t="shared" si="79"/>
        <v>855.28158940867309</v>
      </c>
      <c r="O75" s="19">
        <f t="shared" si="80"/>
        <v>1640.514107955514</v>
      </c>
      <c r="P75" s="19">
        <f t="shared" si="81"/>
        <v>9883.322992279298</v>
      </c>
      <c r="Q75" s="19">
        <f t="shared" si="82"/>
        <v>1882.5377128151042</v>
      </c>
      <c r="R75" s="19">
        <f t="shared" si="83"/>
        <v>783.88870361620945</v>
      </c>
      <c r="S75" s="19">
        <f t="shared" si="84"/>
        <v>533.32293404051904</v>
      </c>
      <c r="T75" s="19">
        <f t="shared" si="85"/>
        <v>254.3308450013206</v>
      </c>
      <c r="U75" s="19">
        <f t="shared" si="86"/>
        <v>311.18348392833673</v>
      </c>
      <c r="V75" s="261">
        <f t="shared" ref="V75:V138" si="105">SUM(O75,R75:U75)+P75/$AX$3</f>
        <v>4508.2952869912615</v>
      </c>
      <c r="W75" s="261">
        <f>SUM(O$9:O75)</f>
        <v>506653.88634414581</v>
      </c>
      <c r="X75" s="261">
        <f>SUM(P$9:P75)</f>
        <v>1812755.8512766107</v>
      </c>
      <c r="Y75" s="261">
        <f>SUM(Q$9:Q75)</f>
        <v>345286.82881459239</v>
      </c>
      <c r="Z75" s="261">
        <f>SUM($V$9:V75)</f>
        <v>1032649.7600537313</v>
      </c>
      <c r="AB75" s="257">
        <f t="array" ref="AB75">(INDEX(PriceDeck!$C$18:$O$77,MATCH('Decline and Model'!$A75,PriceDeck!$B$18:$B$77,0),MATCH('Decline and Model'!AB$8,PriceDeck!$C$13:$O$13,0))*(1+$AE$6))</f>
        <v>77.3</v>
      </c>
      <c r="AC75" s="257">
        <f t="array" ref="AC75">INDEX(PriceDeck!$C$18:$O$77,MATCH('Decline and Model'!$A75,PriceDeck!$B$18:$B$77,0),MATCH('Decline and Model'!AC$8,PriceDeck!$C$13:$O$13,0))*(1+$AE$6)</f>
        <v>88.3</v>
      </c>
      <c r="AD75" s="257">
        <f t="array" ref="AD75">INDEX(PriceDeck!$C$18:$O$77,MATCH('Decline and Model'!$A75,PriceDeck!$B$18:$B$77,0),MATCH('Decline and Model'!AD$8,PriceDeck!$C$13:$O$13,0))*(1+$AE$6)</f>
        <v>15</v>
      </c>
      <c r="AE75" s="257">
        <f t="array" ref="AE75">INDEX(PriceDeck!$C$18:$O$77,MATCH('Decline and Model'!$A75,PriceDeck!$B$18:$B$77,0),MATCH('Decline and Model'!AE$8,PriceDeck!$C$13:$O$13,0))*(1+$AE$6)</f>
        <v>30.9</v>
      </c>
      <c r="AF75" s="257">
        <f t="array" ref="AF75">INDEX(PriceDeck!$C$18:$O$77,MATCH('Decline and Model'!$A75,PriceDeck!$B$18:$B$77,0),MATCH('Decline and Model'!AF$8,PriceDeck!$C$13:$O$13,0))*(1+$AE$6)</f>
        <v>91.6</v>
      </c>
      <c r="AG75" s="257">
        <f t="array" ref="AG75">INDEX(PriceDeck!$C$18:$O$77,MATCH('Decline and Model'!$A75,PriceDeck!$B$18:$B$77,0),MATCH('Decline and Model'!AG$8,PriceDeck!$C$13:$O$13,0))*(1+$AE$6)</f>
        <v>64.7</v>
      </c>
      <c r="AH75" s="258">
        <f t="array" ref="AH75">INDEX(PriceDeck!$C$18:$O$77,MATCH('Decline and Model'!$A75,PriceDeck!$B$18:$B$77,0),MATCH('Decline and Model'!AH$8,PriceDeck!$C$13:$O$13,0))</f>
        <v>0.85</v>
      </c>
      <c r="AI75" s="258">
        <f t="shared" si="87"/>
        <v>3.95</v>
      </c>
      <c r="AJ75" s="259">
        <f t="shared" si="62"/>
        <v>3.95</v>
      </c>
      <c r="AK75" s="120">
        <v>3.95</v>
      </c>
      <c r="AL75" s="120"/>
      <c r="AN75" s="7">
        <f t="shared" si="88"/>
        <v>144857.39573247186</v>
      </c>
      <c r="AO75" s="7">
        <f t="shared" si="89"/>
        <v>39039.125819503228</v>
      </c>
      <c r="AP75" s="7">
        <f t="shared" si="90"/>
        <v>11758.330554243143</v>
      </c>
      <c r="AQ75" s="7">
        <f t="shared" si="91"/>
        <v>16479.678661852038</v>
      </c>
      <c r="AR75" s="7">
        <f t="shared" si="92"/>
        <v>23296.705402120966</v>
      </c>
      <c r="AS75" s="7">
        <f t="shared" si="93"/>
        <v>20133.571410163386</v>
      </c>
      <c r="AT75" s="7">
        <f t="shared" si="94"/>
        <v>255564.80758035465</v>
      </c>
      <c r="AU75">
        <f>SUM($AT$9:AT75)</f>
        <v>54843650.089160725</v>
      </c>
      <c r="AV75" s="7">
        <f>AT75/(1+$AR$5)^(COUNT($E$9:E75))</f>
        <v>153970.98351375491</v>
      </c>
      <c r="AW75" s="7">
        <f t="shared" si="49"/>
        <v>0</v>
      </c>
      <c r="AX75" s="7">
        <f t="shared" si="95"/>
        <v>0</v>
      </c>
      <c r="AY75" s="117">
        <f t="shared" si="96"/>
        <v>0</v>
      </c>
      <c r="AZ75" s="117">
        <f t="shared" si="97"/>
        <v>255564.80758035465</v>
      </c>
      <c r="BA75" s="120">
        <f t="shared" si="98"/>
        <v>62396.247597810878</v>
      </c>
      <c r="BB75" s="119">
        <f t="shared" si="63"/>
        <v>0</v>
      </c>
      <c r="BC75" s="17"/>
      <c r="BD75" s="126">
        <f t="shared" si="64"/>
        <v>0.56681276700011141</v>
      </c>
      <c r="BE75" s="127">
        <f t="shared" si="65"/>
        <v>0.15275626636202072</v>
      </c>
      <c r="BF75" s="127">
        <f t="shared" si="66"/>
        <v>4.6009192993233583E-2</v>
      </c>
      <c r="BG75" s="127">
        <f t="shared" si="67"/>
        <v>6.4483364583249589E-2</v>
      </c>
      <c r="BH75" s="127">
        <f t="shared" si="68"/>
        <v>9.1157720903321235E-2</v>
      </c>
      <c r="BI75" s="128">
        <f t="shared" si="69"/>
        <v>7.8780688158063356E-2</v>
      </c>
      <c r="BJ75" s="126">
        <f t="array" ref="BJ75">BD75*INDEX(Royalty!$U$7:$Z$246,MATCH('Decline and Model'!$E75,Royalty!$AI$7:$AI$246,0),MATCH('Decline and Model'!BJ$8,Royalty!$U$1:$Z$1,0))</f>
        <v>0.15693876321797079</v>
      </c>
      <c r="BK75" s="127">
        <f t="array" ref="BK75">BE75*INDEX(Royalty!$U$7:$Z$246,MATCH('Decline and Model'!$E75,Royalty!$AI$7:$AI$246,0),MATCH('Decline and Model'!BK$8,Royalty!$U$1:$Z$1,0))</f>
        <v>4.1058499409941773E-2</v>
      </c>
      <c r="BL75" s="127">
        <f t="array" ref="BL75">BF75*INDEX(Royalty!$U$7:$Z$246,MATCH('Decline and Model'!$E75,Royalty!$AI$7:$AI$246,0),MATCH('Decline and Model'!BL$8,Royalty!$U$1:$Z$1,0))</f>
        <v>1.2793083934477339E-2</v>
      </c>
      <c r="BM75" s="127">
        <f t="array" ref="BM75">BG75*INDEX(Royalty!$U$7:$Z$246,MATCH('Decline and Model'!$E75,Royalty!$AI$7:$AI$246,0),MATCH('Decline and Model'!BM$8,Royalty!$U$1:$Z$1,0))</f>
        <v>1.7294449896473336E-2</v>
      </c>
      <c r="BN75" s="127">
        <f t="array" ref="BN75">BH75*INDEX(Royalty!$U$7:$Z$246,MATCH('Decline and Model'!$E75,Royalty!$AI$7:$AI$246,0),MATCH('Decline and Model'!BN$8,Royalty!$U$1:$Z$1,0))</f>
        <v>1.2126559746746611E-2</v>
      </c>
      <c r="BO75" s="127">
        <f t="array" ref="BO75">BI75*INDEX(Royalty!$U$7:$Z$246,MATCH('Decline and Model'!$E75,Royalty!$AI$7:$AI$246,0),MATCH('Decline and Model'!BO$8,Royalty!$U$1:$Z$1,0))</f>
        <v>3.939034407903168E-3</v>
      </c>
      <c r="BP75" s="135">
        <f t="shared" si="70"/>
        <v>0.24415039061351301</v>
      </c>
      <c r="BQ75" s="7"/>
      <c r="BR75" s="7"/>
      <c r="BS75">
        <v>67</v>
      </c>
      <c r="BT75" s="120">
        <f t="shared" si="71"/>
        <v>62396.247597810878</v>
      </c>
      <c r="BU75" s="113">
        <f t="shared" si="72"/>
        <v>45082.952869912617</v>
      </c>
      <c r="BV75" s="113">
        <f t="shared" si="73"/>
        <v>13524.885860973784</v>
      </c>
      <c r="BW75" s="113">
        <f t="shared" ref="BW75:BW138" si="106">BW74-BX74</f>
        <v>2744632.7293066541</v>
      </c>
      <c r="BX75" s="113">
        <f t="shared" si="99"/>
        <v>60668.598562580031</v>
      </c>
      <c r="BY75" s="120">
        <f t="shared" si="100"/>
        <v>73892.12268907734</v>
      </c>
      <c r="BZ75" s="153">
        <f t="shared" ref="BZ75:BZ138" si="107">MIN(BZ74+BY75,0)</f>
        <v>0</v>
      </c>
      <c r="CA75" s="120">
        <f t="shared" si="50"/>
        <v>73892.12268907734</v>
      </c>
      <c r="CB75" s="120">
        <f t="shared" si="101"/>
        <v>18473.030672269335</v>
      </c>
      <c r="CC75" s="153">
        <f t="shared" si="102"/>
        <v>116087.69057938803</v>
      </c>
      <c r="CD75" s="7">
        <f t="shared" si="74"/>
        <v>69939.738814503449</v>
      </c>
      <c r="CE75" s="11">
        <f>SUM($CD$9:CD75)</f>
        <v>22894874.573096853</v>
      </c>
      <c r="CF75" s="11">
        <f t="shared" si="103"/>
        <v>12000000</v>
      </c>
      <c r="CG75">
        <f t="shared" si="104"/>
        <v>10894874.573096853</v>
      </c>
      <c r="CJ75" s="223">
        <f t="shared" ref="CJ75:CK83" si="108">CJ59</f>
        <v>-0.46992699999999998</v>
      </c>
      <c r="CK75" s="221">
        <f t="shared" si="108"/>
        <v>7.5892373919487E-2</v>
      </c>
      <c r="CN75" s="193">
        <f t="shared" si="59"/>
        <v>1500</v>
      </c>
      <c r="CO75" s="194">
        <f t="shared" si="60"/>
        <v>236126.03295018623</v>
      </c>
      <c r="CP75" s="195">
        <f t="shared" si="61"/>
        <v>1134569.9649803638</v>
      </c>
      <c r="CQ75" s="196">
        <f t="shared" si="61"/>
        <v>898443.93203017768</v>
      </c>
    </row>
    <row r="76" spans="1:95" ht="18.45">
      <c r="A76">
        <f t="shared" si="75"/>
        <v>2022</v>
      </c>
      <c r="B76">
        <f t="shared" si="76"/>
        <v>30.416666666666668</v>
      </c>
      <c r="C76">
        <f t="shared" si="51"/>
        <v>6</v>
      </c>
      <c r="E76" s="97">
        <v>44866</v>
      </c>
      <c r="F76" s="2">
        <f>$F$6*EXP(-$F$3*COUNT($E$9:$E76))</f>
        <v>26.747474435482772</v>
      </c>
      <c r="G76" s="260">
        <f>$F$6/(1+$F$5*$F$3*COUNT($E$9:$E76))^(1/$F$5)</f>
        <v>52.192335743026959</v>
      </c>
      <c r="H76" s="260">
        <f>$H$6/(1+$H$5*$H$3*COUNT($E$9:$E76))^(1/$H$5)</f>
        <v>319.59673739055404</v>
      </c>
      <c r="I76" s="260">
        <f t="shared" si="77"/>
        <v>60.875569026772197</v>
      </c>
      <c r="J76" s="260">
        <f t="shared" si="78"/>
        <v>25.348586942747943</v>
      </c>
      <c r="K76" s="260">
        <f t="shared" si="78"/>
        <v>17.246048705284565</v>
      </c>
      <c r="L76" s="260">
        <f t="shared" si="78"/>
        <v>8.2242893755169231</v>
      </c>
      <c r="M76" s="260">
        <f t="shared" si="78"/>
        <v>10.062731560125444</v>
      </c>
      <c r="N76" s="19">
        <f t="shared" si="79"/>
        <v>813.56901407926773</v>
      </c>
      <c r="O76" s="19">
        <f t="shared" si="80"/>
        <v>1587.5168788504034</v>
      </c>
      <c r="P76" s="19">
        <f t="shared" si="81"/>
        <v>9721.0674289626859</v>
      </c>
      <c r="Q76" s="19">
        <f t="shared" si="82"/>
        <v>1851.6318912309878</v>
      </c>
      <c r="R76" s="19">
        <f t="shared" si="83"/>
        <v>771.01951950858324</v>
      </c>
      <c r="S76" s="19">
        <f t="shared" si="84"/>
        <v>524.56731478573886</v>
      </c>
      <c r="T76" s="19">
        <f t="shared" si="85"/>
        <v>250.15546850530643</v>
      </c>
      <c r="U76" s="19">
        <f t="shared" si="86"/>
        <v>306.07475162048229</v>
      </c>
      <c r="V76" s="261">
        <f t="shared" si="105"/>
        <v>4408.2173896699323</v>
      </c>
      <c r="W76" s="261">
        <f>SUM(O$9:O76)</f>
        <v>508241.40322299622</v>
      </c>
      <c r="X76" s="261">
        <f>SUM(P$9:P76)</f>
        <v>1822476.9187055735</v>
      </c>
      <c r="Y76" s="261">
        <f>SUM(Q$9:Q76)</f>
        <v>347138.46070582338</v>
      </c>
      <c r="Z76" s="261">
        <f>SUM($V$9:V76)</f>
        <v>1037057.9774434012</v>
      </c>
      <c r="AB76" s="257">
        <f t="array" ref="AB76">(INDEX(PriceDeck!$C$18:$O$77,MATCH('Decline and Model'!$A76,PriceDeck!$B$18:$B$77,0),MATCH('Decline and Model'!AB$8,PriceDeck!$C$13:$O$13,0))*(1+$AE$6))</f>
        <v>77.3</v>
      </c>
      <c r="AC76" s="257">
        <f t="array" ref="AC76">INDEX(PriceDeck!$C$18:$O$77,MATCH('Decline and Model'!$A76,PriceDeck!$B$18:$B$77,0),MATCH('Decline and Model'!AC$8,PriceDeck!$C$13:$O$13,0))*(1+$AE$6)</f>
        <v>88.3</v>
      </c>
      <c r="AD76" s="257">
        <f t="array" ref="AD76">INDEX(PriceDeck!$C$18:$O$77,MATCH('Decline and Model'!$A76,PriceDeck!$B$18:$B$77,0),MATCH('Decline and Model'!AD$8,PriceDeck!$C$13:$O$13,0))*(1+$AE$6)</f>
        <v>15</v>
      </c>
      <c r="AE76" s="257">
        <f t="array" ref="AE76">INDEX(PriceDeck!$C$18:$O$77,MATCH('Decline and Model'!$A76,PriceDeck!$B$18:$B$77,0),MATCH('Decline and Model'!AE$8,PriceDeck!$C$13:$O$13,0))*(1+$AE$6)</f>
        <v>30.9</v>
      </c>
      <c r="AF76" s="257">
        <f t="array" ref="AF76">INDEX(PriceDeck!$C$18:$O$77,MATCH('Decline and Model'!$A76,PriceDeck!$B$18:$B$77,0),MATCH('Decline and Model'!AF$8,PriceDeck!$C$13:$O$13,0))*(1+$AE$6)</f>
        <v>91.6</v>
      </c>
      <c r="AG76" s="257">
        <f t="array" ref="AG76">INDEX(PriceDeck!$C$18:$O$77,MATCH('Decline and Model'!$A76,PriceDeck!$B$18:$B$77,0),MATCH('Decline and Model'!AG$8,PriceDeck!$C$13:$O$13,0))*(1+$AE$6)</f>
        <v>64.7</v>
      </c>
      <c r="AH76" s="258">
        <f t="array" ref="AH76">INDEX(PriceDeck!$C$18:$O$77,MATCH('Decline and Model'!$A76,PriceDeck!$B$18:$B$77,0),MATCH('Decline and Model'!AH$8,PriceDeck!$C$13:$O$13,0))</f>
        <v>0.85</v>
      </c>
      <c r="AI76" s="258">
        <f t="shared" si="87"/>
        <v>3.95</v>
      </c>
      <c r="AJ76" s="259">
        <f t="shared" si="62"/>
        <v>3.95</v>
      </c>
      <c r="AK76" s="120">
        <v>3.95</v>
      </c>
      <c r="AL76" s="120"/>
      <c r="AN76" s="7">
        <f t="shared" si="88"/>
        <v>140177.7404024906</v>
      </c>
      <c r="AO76" s="7">
        <f t="shared" si="89"/>
        <v>38398.216344402608</v>
      </c>
      <c r="AP76" s="7">
        <f t="shared" si="90"/>
        <v>11565.292792628748</v>
      </c>
      <c r="AQ76" s="7">
        <f t="shared" si="91"/>
        <v>16209.130026879329</v>
      </c>
      <c r="AR76" s="7">
        <f t="shared" si="92"/>
        <v>22914.240915086066</v>
      </c>
      <c r="AS76" s="7">
        <f t="shared" si="93"/>
        <v>19803.036429845204</v>
      </c>
      <c r="AT76" s="7">
        <f t="shared" si="94"/>
        <v>249067.65691133257</v>
      </c>
      <c r="AU76">
        <f>SUM($AT$9:AT76)</f>
        <v>55092717.746072061</v>
      </c>
      <c r="AV76" s="7">
        <f>AT76/(1+$AR$5)^(COUNT($E$9:E76))</f>
        <v>148926.0462550621</v>
      </c>
      <c r="AW76" s="7">
        <f t="shared" si="49"/>
        <v>0</v>
      </c>
      <c r="AX76" s="7">
        <f t="shared" si="95"/>
        <v>0</v>
      </c>
      <c r="AY76" s="117">
        <f t="shared" si="96"/>
        <v>0</v>
      </c>
      <c r="AZ76" s="117">
        <f t="shared" si="97"/>
        <v>249067.65691133257</v>
      </c>
      <c r="BA76" s="120">
        <f t="shared" si="98"/>
        <v>60734.6394461948</v>
      </c>
      <c r="BB76" s="119">
        <f t="shared" si="63"/>
        <v>0</v>
      </c>
      <c r="BC76" s="17"/>
      <c r="BD76" s="126">
        <f t="shared" si="64"/>
        <v>0.56280988925187303</v>
      </c>
      <c r="BE76" s="127">
        <f t="shared" si="65"/>
        <v>0.15416781456322237</v>
      </c>
      <c r="BF76" s="127">
        <f t="shared" si="66"/>
        <v>4.64343421223333E-2</v>
      </c>
      <c r="BG76" s="127">
        <f t="shared" si="67"/>
        <v>6.5079224769235042E-2</v>
      </c>
      <c r="BH76" s="127">
        <f t="shared" si="68"/>
        <v>9.200006616372304E-2</v>
      </c>
      <c r="BI76" s="128">
        <f t="shared" si="69"/>
        <v>7.9508663129613147E-2</v>
      </c>
      <c r="BJ76" s="126">
        <f t="array" ref="BJ76">BD76*INDEX(Royalty!$U$7:$Z$246,MATCH('Decline and Model'!$E76,Royalty!$AI$7:$AI$246,0),MATCH('Decline and Model'!BJ$8,Royalty!$U$1:$Z$1,0))</f>
        <v>0.15583044893908451</v>
      </c>
      <c r="BK76" s="127">
        <f t="array" ref="BK76">BE76*INDEX(Royalty!$U$7:$Z$246,MATCH('Decline and Model'!$E76,Royalty!$AI$7:$AI$246,0),MATCH('Decline and Model'!BK$8,Royalty!$U$1:$Z$1,0))</f>
        <v>4.1437901527880364E-2</v>
      </c>
      <c r="BL76" s="127">
        <f t="array" ref="BL76">BF76*INDEX(Royalty!$U$7:$Z$246,MATCH('Decline and Model'!$E76,Royalty!$AI$7:$AI$246,0),MATCH('Decline and Model'!BL$8,Royalty!$U$1:$Z$1,0))</f>
        <v>1.2911298755025105E-2</v>
      </c>
      <c r="BM76" s="127">
        <f t="array" ref="BM76">BG76*INDEX(Royalty!$U$7:$Z$246,MATCH('Decline and Model'!$E76,Royalty!$AI$7:$AI$246,0),MATCH('Decline and Model'!BM$8,Royalty!$U$1:$Z$1,0))</f>
        <v>1.7454259704761561E-2</v>
      </c>
      <c r="BN76" s="127">
        <f t="array" ref="BN76">BH76*INDEX(Royalty!$U$7:$Z$246,MATCH('Decline and Model'!$E76,Royalty!$AI$7:$AI$246,0),MATCH('Decline and Model'!BN$8,Royalty!$U$1:$Z$1,0))</f>
        <v>1.2238615533425227E-2</v>
      </c>
      <c r="BO76" s="127">
        <f t="array" ref="BO76">BI76*INDEX(Royalty!$U$7:$Z$246,MATCH('Decline and Model'!$E76,Royalty!$AI$7:$AI$246,0),MATCH('Decline and Model'!BO$8,Royalty!$U$1:$Z$1,0))</f>
        <v>3.9754331564806579E-3</v>
      </c>
      <c r="BP76" s="135">
        <f t="shared" si="70"/>
        <v>0.24384795761665745</v>
      </c>
      <c r="BQ76" s="7"/>
      <c r="BR76" s="7"/>
      <c r="BS76">
        <v>68</v>
      </c>
      <c r="BT76" s="120">
        <f t="shared" si="71"/>
        <v>60734.6394461948</v>
      </c>
      <c r="BU76" s="113">
        <f t="shared" si="72"/>
        <v>44082.173896699322</v>
      </c>
      <c r="BV76" s="113">
        <f t="shared" si="73"/>
        <v>13224.652169009798</v>
      </c>
      <c r="BW76" s="113">
        <f t="shared" si="106"/>
        <v>2683964.130744074</v>
      </c>
      <c r="BX76" s="113">
        <f t="shared" si="99"/>
        <v>59327.552523069564</v>
      </c>
      <c r="BY76" s="120">
        <f t="shared" si="100"/>
        <v>71698.638876359066</v>
      </c>
      <c r="BZ76" s="153">
        <f t="shared" si="107"/>
        <v>0</v>
      </c>
      <c r="CA76" s="120">
        <f t="shared" si="50"/>
        <v>71698.638876359066</v>
      </c>
      <c r="CB76" s="120">
        <f t="shared" si="101"/>
        <v>17924.659719089766</v>
      </c>
      <c r="CC76" s="153">
        <f t="shared" si="102"/>
        <v>113101.53168033887</v>
      </c>
      <c r="CD76" s="7">
        <f t="shared" si="74"/>
        <v>67627.262999229366</v>
      </c>
      <c r="CE76" s="11">
        <f>SUM($CD$9:CD76)</f>
        <v>22962501.836096082</v>
      </c>
      <c r="CF76" s="11">
        <f t="shared" si="103"/>
        <v>12000000</v>
      </c>
      <c r="CG76">
        <f t="shared" si="104"/>
        <v>10962501.836096082</v>
      </c>
      <c r="CJ76" s="224">
        <f t="shared" si="108"/>
        <v>-0.36992700000000001</v>
      </c>
      <c r="CK76" s="221">
        <f t="shared" si="108"/>
        <v>3203349.9530324489</v>
      </c>
    </row>
    <row r="77" spans="1:95" ht="18.45">
      <c r="A77">
        <f t="shared" si="75"/>
        <v>2022</v>
      </c>
      <c r="B77">
        <f t="shared" si="76"/>
        <v>30.416666666666668</v>
      </c>
      <c r="C77">
        <f t="shared" si="51"/>
        <v>6</v>
      </c>
      <c r="E77" s="97">
        <v>44896</v>
      </c>
      <c r="F77" s="2">
        <f>$F$6*EXP(-$F$3*COUNT($E$9:$E77))</f>
        <v>25.442984714111844</v>
      </c>
      <c r="G77" s="260">
        <f>$F$6/(1+$F$5*$F$3*COUNT($E$9:$E77))^(1/$F$5)</f>
        <v>50.514640567571384</v>
      </c>
      <c r="H77" s="260">
        <f>$H$6/(1+$H$5*$H$3*COUNT($E$9:$E77))^(1/$H$5)</f>
        <v>314.41070584834222</v>
      </c>
      <c r="I77" s="260">
        <f t="shared" si="77"/>
        <v>59.887753494922322</v>
      </c>
      <c r="J77" s="260">
        <f t="shared" si="78"/>
        <v>24.937260555285654</v>
      </c>
      <c r="K77" s="260">
        <f t="shared" si="78"/>
        <v>16.966200565111492</v>
      </c>
      <c r="L77" s="260">
        <f t="shared" si="78"/>
        <v>8.0908354971640062</v>
      </c>
      <c r="M77" s="260">
        <f t="shared" si="78"/>
        <v>9.8994456527106607</v>
      </c>
      <c r="N77" s="19">
        <f t="shared" si="79"/>
        <v>773.89078505423527</v>
      </c>
      <c r="O77" s="19">
        <f t="shared" si="80"/>
        <v>1536.4869839302962</v>
      </c>
      <c r="P77" s="19">
        <f t="shared" si="81"/>
        <v>9563.3256362204102</v>
      </c>
      <c r="Q77" s="19">
        <f t="shared" si="82"/>
        <v>1821.585835470554</v>
      </c>
      <c r="R77" s="19">
        <f t="shared" si="83"/>
        <v>758.50834188993872</v>
      </c>
      <c r="S77" s="19">
        <f t="shared" si="84"/>
        <v>516.05526718880787</v>
      </c>
      <c r="T77" s="19">
        <f t="shared" si="85"/>
        <v>246.09624637207187</v>
      </c>
      <c r="U77" s="19">
        <f t="shared" si="86"/>
        <v>301.10813860328261</v>
      </c>
      <c r="V77" s="261">
        <f t="shared" si="105"/>
        <v>4311.4165587268863</v>
      </c>
      <c r="W77" s="261">
        <f>SUM(O$9:O77)</f>
        <v>509777.8902069265</v>
      </c>
      <c r="X77" s="261">
        <f>SUM(P$9:P77)</f>
        <v>1832040.2443417939</v>
      </c>
      <c r="Y77" s="261">
        <f>SUM(Q$9:Q77)</f>
        <v>348960.04654129391</v>
      </c>
      <c r="Z77" s="261">
        <f>SUM($V$9:V77)</f>
        <v>1041369.3940021282</v>
      </c>
      <c r="AB77" s="257">
        <f t="array" ref="AB77">(INDEX(PriceDeck!$C$18:$O$77,MATCH('Decline and Model'!$A77,PriceDeck!$B$18:$B$77,0),MATCH('Decline and Model'!AB$8,PriceDeck!$C$13:$O$13,0))*(1+$AE$6))</f>
        <v>77.3</v>
      </c>
      <c r="AC77" s="257">
        <f t="array" ref="AC77">INDEX(PriceDeck!$C$18:$O$77,MATCH('Decline and Model'!$A77,PriceDeck!$B$18:$B$77,0),MATCH('Decline and Model'!AC$8,PriceDeck!$C$13:$O$13,0))*(1+$AE$6)</f>
        <v>88.3</v>
      </c>
      <c r="AD77" s="257">
        <f t="array" ref="AD77">INDEX(PriceDeck!$C$18:$O$77,MATCH('Decline and Model'!$A77,PriceDeck!$B$18:$B$77,0),MATCH('Decline and Model'!AD$8,PriceDeck!$C$13:$O$13,0))*(1+$AE$6)</f>
        <v>15</v>
      </c>
      <c r="AE77" s="257">
        <f t="array" ref="AE77">INDEX(PriceDeck!$C$18:$O$77,MATCH('Decline and Model'!$A77,PriceDeck!$B$18:$B$77,0),MATCH('Decline and Model'!AE$8,PriceDeck!$C$13:$O$13,0))*(1+$AE$6)</f>
        <v>30.9</v>
      </c>
      <c r="AF77" s="257">
        <f t="array" ref="AF77">INDEX(PriceDeck!$C$18:$O$77,MATCH('Decline and Model'!$A77,PriceDeck!$B$18:$B$77,0),MATCH('Decline and Model'!AF$8,PriceDeck!$C$13:$O$13,0))*(1+$AE$6)</f>
        <v>91.6</v>
      </c>
      <c r="AG77" s="257">
        <f t="array" ref="AG77">INDEX(PriceDeck!$C$18:$O$77,MATCH('Decline and Model'!$A77,PriceDeck!$B$18:$B$77,0),MATCH('Decline and Model'!AG$8,PriceDeck!$C$13:$O$13,0))*(1+$AE$6)</f>
        <v>64.7</v>
      </c>
      <c r="AH77" s="258">
        <f t="array" ref="AH77">INDEX(PriceDeck!$C$18:$O$77,MATCH('Decline and Model'!$A77,PriceDeck!$B$18:$B$77,0),MATCH('Decline and Model'!AH$8,PriceDeck!$C$13:$O$13,0))</f>
        <v>0.85</v>
      </c>
      <c r="AI77" s="258">
        <f t="shared" si="87"/>
        <v>3.95</v>
      </c>
      <c r="AJ77" s="259">
        <f t="shared" si="62"/>
        <v>3.95</v>
      </c>
      <c r="AK77" s="120">
        <v>3.95</v>
      </c>
      <c r="AL77" s="120"/>
      <c r="AN77" s="7">
        <f t="shared" si="88"/>
        <v>135671.80068104516</v>
      </c>
      <c r="AO77" s="7">
        <f t="shared" si="89"/>
        <v>37775.136263070621</v>
      </c>
      <c r="AP77" s="7">
        <f t="shared" si="90"/>
        <v>11377.62512834908</v>
      </c>
      <c r="AQ77" s="7">
        <f t="shared" si="91"/>
        <v>15946.107756134163</v>
      </c>
      <c r="AR77" s="7">
        <f t="shared" si="92"/>
        <v>22542.416167681782</v>
      </c>
      <c r="AS77" s="7">
        <f t="shared" si="93"/>
        <v>19481.696567632385</v>
      </c>
      <c r="AT77" s="7">
        <f t="shared" si="94"/>
        <v>242794.78256391318</v>
      </c>
      <c r="AU77">
        <f>SUM($AT$9:AT77)</f>
        <v>55335512.528635971</v>
      </c>
      <c r="AV77" s="7">
        <f>AT77/(1+$AR$5)^(COUNT($E$9:E77))</f>
        <v>144081.48124749772</v>
      </c>
      <c r="AW77" s="7">
        <f t="shared" ref="AW77:AW140" si="109">AW76-AX76</f>
        <v>0</v>
      </c>
      <c r="AX77" s="7">
        <f t="shared" si="95"/>
        <v>0</v>
      </c>
      <c r="AY77" s="117">
        <f t="shared" si="96"/>
        <v>0</v>
      </c>
      <c r="AZ77" s="117">
        <f t="shared" si="97"/>
        <v>242794.78256391318</v>
      </c>
      <c r="BA77" s="120">
        <f t="shared" si="98"/>
        <v>59131.30872305503</v>
      </c>
      <c r="BB77" s="119">
        <f t="shared" si="63"/>
        <v>0</v>
      </c>
      <c r="BC77" s="17"/>
      <c r="BD77" s="126">
        <f t="shared" si="64"/>
        <v>0.55879207637145578</v>
      </c>
      <c r="BE77" s="127">
        <f t="shared" si="65"/>
        <v>0.1555846293901588</v>
      </c>
      <c r="BF77" s="127">
        <f t="shared" si="66"/>
        <v>4.6861077524818884E-2</v>
      </c>
      <c r="BG77" s="127">
        <f t="shared" si="67"/>
        <v>6.5677308168417978E-2</v>
      </c>
      <c r="BH77" s="127">
        <f t="shared" si="68"/>
        <v>9.2845554297476415E-2</v>
      </c>
      <c r="BI77" s="128">
        <f t="shared" si="69"/>
        <v>8.0239354247672243E-2</v>
      </c>
      <c r="BJ77" s="126">
        <f t="array" ref="BJ77">BD77*INDEX(Royalty!$U$7:$Z$246,MATCH('Decline and Model'!$E77,Royalty!$AI$7:$AI$246,0),MATCH('Decline and Model'!BJ$8,Royalty!$U$1:$Z$1,0))</f>
        <v>0.15471799943017323</v>
      </c>
      <c r="BK77" s="127">
        <f t="array" ref="BK77">BE77*INDEX(Royalty!$U$7:$Z$246,MATCH('Decline and Model'!$E77,Royalty!$AI$7:$AI$246,0),MATCH('Decline and Model'!BK$8,Royalty!$U$1:$Z$1,0))</f>
        <v>4.181871923258848E-2</v>
      </c>
      <c r="BL77" s="127">
        <f t="array" ref="BL77">BF77*INDEX(Royalty!$U$7:$Z$246,MATCH('Decline and Model'!$E77,Royalty!$AI$7:$AI$246,0),MATCH('Decline and Model'!BL$8,Royalty!$U$1:$Z$1,0))</f>
        <v>1.3029954646742526E-2</v>
      </c>
      <c r="BM77" s="127">
        <f t="array" ref="BM77">BG77*INDEX(Royalty!$U$7:$Z$246,MATCH('Decline and Model'!$E77,Royalty!$AI$7:$AI$246,0),MATCH('Decline and Model'!BM$8,Royalty!$U$1:$Z$1,0))</f>
        <v>1.7614665779226362E-2</v>
      </c>
      <c r="BN77" s="127">
        <f t="array" ref="BN77">BH77*INDEX(Royalty!$U$7:$Z$246,MATCH('Decline and Model'!$E77,Royalty!$AI$7:$AI$246,0),MATCH('Decline and Model'!BN$8,Royalty!$U$1:$Z$1,0))</f>
        <v>1.2351089411309904E-2</v>
      </c>
      <c r="BO77" s="127">
        <f t="array" ref="BO77">BI77*INDEX(Royalty!$U$7:$Z$246,MATCH('Decline and Model'!$E77,Royalty!$AI$7:$AI$246,0),MATCH('Decline and Model'!BO$8,Royalty!$U$1:$Z$1,0))</f>
        <v>4.0119677123836121E-3</v>
      </c>
      <c r="BP77" s="135">
        <f t="shared" si="70"/>
        <v>0.2435443962124241</v>
      </c>
      <c r="BQ77" s="7"/>
      <c r="BR77" s="7"/>
      <c r="BS77">
        <v>69</v>
      </c>
      <c r="BT77" s="120">
        <f t="shared" si="71"/>
        <v>59131.30872305503</v>
      </c>
      <c r="BU77" s="113">
        <f t="shared" si="72"/>
        <v>43114.165587268864</v>
      </c>
      <c r="BV77" s="113">
        <f t="shared" si="73"/>
        <v>12934.249676180658</v>
      </c>
      <c r="BW77" s="113">
        <f t="shared" si="106"/>
        <v>2624636.5782210045</v>
      </c>
      <c r="BX77" s="113">
        <f t="shared" si="99"/>
        <v>58016.149569483227</v>
      </c>
      <c r="BY77" s="120">
        <f t="shared" si="100"/>
        <v>69598.909007925409</v>
      </c>
      <c r="BZ77" s="153">
        <f t="shared" si="107"/>
        <v>0</v>
      </c>
      <c r="CA77" s="120">
        <f t="shared" si="50"/>
        <v>69598.909007925409</v>
      </c>
      <c r="CB77" s="120">
        <f t="shared" si="101"/>
        <v>17399.727251981352</v>
      </c>
      <c r="CC77" s="153">
        <f t="shared" si="102"/>
        <v>110215.33132542728</v>
      </c>
      <c r="CD77" s="7">
        <f t="shared" si="74"/>
        <v>65404.981218536108</v>
      </c>
      <c r="CE77" s="11">
        <f>SUM($CD$9:CD77)</f>
        <v>23027906.817314617</v>
      </c>
      <c r="CF77" s="11">
        <f t="shared" si="103"/>
        <v>12000000</v>
      </c>
      <c r="CG77">
        <f t="shared" si="104"/>
        <v>11027906.817314617</v>
      </c>
      <c r="CJ77" s="224">
        <f t="shared" si="108"/>
        <v>-0.26992699999999997</v>
      </c>
      <c r="CK77" s="221">
        <f t="shared" si="108"/>
        <v>6194324.5004062764</v>
      </c>
    </row>
    <row r="78" spans="1:95" ht="18.45">
      <c r="A78">
        <f t="shared" si="75"/>
        <v>2023</v>
      </c>
      <c r="B78">
        <f t="shared" si="76"/>
        <v>30.416666666666668</v>
      </c>
      <c r="C78">
        <f t="shared" si="51"/>
        <v>6</v>
      </c>
      <c r="E78" s="97">
        <v>44927</v>
      </c>
      <c r="F78" s="2">
        <f>$F$6*EXP(-$F$3*COUNT($E$9:$E78))</f>
        <v>24.202115707185076</v>
      </c>
      <c r="G78" s="260">
        <f>$F$6/(1+$F$5*$F$3*COUNT($E$9:$E78))^(1/$F$5)</f>
        <v>48.898915459144369</v>
      </c>
      <c r="H78" s="260">
        <f>$H$6/(1+$H$5*$H$3*COUNT($E$9:$E78))^(1/$H$5)</f>
        <v>309.36729076703887</v>
      </c>
      <c r="I78" s="260">
        <f t="shared" si="77"/>
        <v>58.927103003245492</v>
      </c>
      <c r="J78" s="260">
        <f t="shared" si="78"/>
        <v>24.537245690551423</v>
      </c>
      <c r="K78" s="260">
        <f t="shared" si="78"/>
        <v>16.694048280819448</v>
      </c>
      <c r="L78" s="260">
        <f t="shared" si="78"/>
        <v>7.9610516157384659</v>
      </c>
      <c r="M78" s="260">
        <f t="shared" si="78"/>
        <v>9.7406501264364795</v>
      </c>
      <c r="N78" s="19">
        <f t="shared" si="79"/>
        <v>736.1476860935461</v>
      </c>
      <c r="O78" s="19">
        <f t="shared" si="80"/>
        <v>1487.342011882308</v>
      </c>
      <c r="P78" s="19">
        <f t="shared" si="81"/>
        <v>9409.9217608307663</v>
      </c>
      <c r="Q78" s="19">
        <f t="shared" si="82"/>
        <v>1792.3660496820505</v>
      </c>
      <c r="R78" s="19">
        <f t="shared" si="83"/>
        <v>746.34122308760584</v>
      </c>
      <c r="S78" s="19">
        <f t="shared" si="84"/>
        <v>507.77730187492489</v>
      </c>
      <c r="T78" s="19">
        <f t="shared" si="85"/>
        <v>242.14865331204501</v>
      </c>
      <c r="U78" s="19">
        <f t="shared" si="86"/>
        <v>296.27810801244294</v>
      </c>
      <c r="V78" s="261">
        <f t="shared" si="105"/>
        <v>4217.7593566346877</v>
      </c>
      <c r="W78" s="261">
        <f>SUM(O$9:O78)</f>
        <v>511265.23221880879</v>
      </c>
      <c r="X78" s="261">
        <f>SUM(P$9:P78)</f>
        <v>1841450.1661026247</v>
      </c>
      <c r="Y78" s="261">
        <f>SUM(Q$9:Q78)</f>
        <v>350752.41259097593</v>
      </c>
      <c r="Z78" s="261">
        <f>SUM($V$9:V78)</f>
        <v>1045587.1533587629</v>
      </c>
      <c r="AB78" s="257">
        <f t="array" ref="AB78">(INDEX(PriceDeck!$C$18:$O$77,MATCH('Decline and Model'!$A78,PriceDeck!$B$18:$B$77,0),MATCH('Decline and Model'!AB$8,PriceDeck!$C$13:$O$13,0))*(1+$AE$6))</f>
        <v>78.8</v>
      </c>
      <c r="AC78" s="257">
        <f t="array" ref="AC78">INDEX(PriceDeck!$C$18:$O$77,MATCH('Decline and Model'!$A78,PriceDeck!$B$18:$B$77,0),MATCH('Decline and Model'!AC$8,PriceDeck!$C$13:$O$13,0))*(1+$AE$6)</f>
        <v>90</v>
      </c>
      <c r="AD78" s="257">
        <f t="array" ref="AD78">INDEX(PriceDeck!$C$18:$O$77,MATCH('Decline and Model'!$A78,PriceDeck!$B$18:$B$77,0),MATCH('Decline and Model'!AD$8,PriceDeck!$C$13:$O$13,0))*(1+$AE$6)</f>
        <v>15.4</v>
      </c>
      <c r="AE78" s="257">
        <f t="array" ref="AE78">INDEX(PriceDeck!$C$18:$O$77,MATCH('Decline and Model'!$A78,PriceDeck!$B$18:$B$77,0),MATCH('Decline and Model'!AE$8,PriceDeck!$C$13:$O$13,0))*(1+$AE$6)</f>
        <v>31.5</v>
      </c>
      <c r="AF78" s="257">
        <f t="array" ref="AF78">INDEX(PriceDeck!$C$18:$O$77,MATCH('Decline and Model'!$A78,PriceDeck!$B$18:$B$77,0),MATCH('Decline and Model'!AF$8,PriceDeck!$C$13:$O$13,0))*(1+$AE$6)</f>
        <v>93.4</v>
      </c>
      <c r="AG78" s="257">
        <f t="array" ref="AG78">INDEX(PriceDeck!$C$18:$O$77,MATCH('Decline and Model'!$A78,PriceDeck!$B$18:$B$77,0),MATCH('Decline and Model'!AG$8,PriceDeck!$C$13:$O$13,0))*(1+$AE$6)</f>
        <v>65.900000000000006</v>
      </c>
      <c r="AH78" s="258">
        <f t="array" ref="AH78">INDEX(PriceDeck!$C$18:$O$77,MATCH('Decline and Model'!$A78,PriceDeck!$B$18:$B$77,0),MATCH('Decline and Model'!AH$8,PriceDeck!$C$13:$O$13,0))</f>
        <v>0.85</v>
      </c>
      <c r="AI78" s="258">
        <f t="shared" si="87"/>
        <v>4.0999999999999996</v>
      </c>
      <c r="AJ78" s="259">
        <f t="shared" si="62"/>
        <v>4.0999999999999996</v>
      </c>
      <c r="AK78" s="120">
        <v>4.0999999999999996</v>
      </c>
      <c r="AL78" s="120"/>
      <c r="AN78" s="7">
        <f t="shared" si="88"/>
        <v>133860.78106940773</v>
      </c>
      <c r="AO78" s="7">
        <f t="shared" si="89"/>
        <v>38580.679219406142</v>
      </c>
      <c r="AP78" s="7">
        <f t="shared" si="90"/>
        <v>11493.65483554913</v>
      </c>
      <c r="AQ78" s="7">
        <f t="shared" si="91"/>
        <v>15994.985009060134</v>
      </c>
      <c r="AR78" s="7">
        <f t="shared" si="92"/>
        <v>22616.684219345007</v>
      </c>
      <c r="AS78" s="7">
        <f t="shared" si="93"/>
        <v>19524.727318019992</v>
      </c>
      <c r="AT78" s="7">
        <f t="shared" si="94"/>
        <v>242071.51167078811</v>
      </c>
      <c r="AU78">
        <f>SUM($AT$9:AT78)</f>
        <v>55577584.040306762</v>
      </c>
      <c r="AV78" s="7">
        <f>AT78/(1+$AR$5)^(COUNT($E$9:E78))</f>
        <v>142569.94663762097</v>
      </c>
      <c r="AW78" s="7">
        <f t="shared" si="109"/>
        <v>0</v>
      </c>
      <c r="AX78" s="7">
        <f t="shared" si="95"/>
        <v>0</v>
      </c>
      <c r="AY78" s="117">
        <f t="shared" si="96"/>
        <v>0</v>
      </c>
      <c r="AZ78" s="117">
        <f t="shared" si="97"/>
        <v>242071.51167078811</v>
      </c>
      <c r="BA78" s="120">
        <f t="shared" si="98"/>
        <v>59915.163039413354</v>
      </c>
      <c r="BB78" s="119">
        <f t="shared" si="63"/>
        <v>0</v>
      </c>
      <c r="BC78" s="17"/>
      <c r="BD78" s="126">
        <f t="shared" si="64"/>
        <v>0.5529803162110849</v>
      </c>
      <c r="BE78" s="127">
        <f t="shared" si="65"/>
        <v>0.15937719789131985</v>
      </c>
      <c r="BF78" s="127">
        <f t="shared" si="66"/>
        <v>4.7480410876188713E-2</v>
      </c>
      <c r="BG78" s="127">
        <f t="shared" si="67"/>
        <v>6.6075453896503766E-2</v>
      </c>
      <c r="BH78" s="127">
        <f t="shared" si="68"/>
        <v>9.3429764052959677E-2</v>
      </c>
      <c r="BI78" s="128">
        <f t="shared" si="69"/>
        <v>8.0656857071943214E-2</v>
      </c>
      <c r="BJ78" s="126">
        <f t="array" ref="BJ78">BD78*INDEX(Royalty!$U$7:$Z$246,MATCH('Decline and Model'!$E78,Royalty!$AI$7:$AI$246,0),MATCH('Decline and Model'!BJ$8,Royalty!$U$1:$Z$1,0))</f>
        <v>0.15555049799233869</v>
      </c>
      <c r="BK78" s="127">
        <f t="array" ref="BK78">BE78*INDEX(Royalty!$U$7:$Z$246,MATCH('Decline and Model'!$E78,Royalty!$AI$7:$AI$246,0),MATCH('Decline and Model'!BK$8,Royalty!$U$1:$Z$1,0))</f>
        <v>4.3502728302519396E-2</v>
      </c>
      <c r="BL78" s="127">
        <f t="array" ref="BL78">BF78*INDEX(Royalty!$U$7:$Z$246,MATCH('Decline and Model'!$E78,Royalty!$AI$7:$AI$246,0),MATCH('Decline and Model'!BL$8,Royalty!$U$1:$Z$1,0))</f>
        <v>1.3400701060761164E-2</v>
      </c>
      <c r="BM78" s="127">
        <f t="array" ref="BM78">BG78*INDEX(Royalty!$U$7:$Z$246,MATCH('Decline and Model'!$E78,Royalty!$AI$7:$AI$246,0),MATCH('Decline and Model'!BM$8,Royalty!$U$1:$Z$1,0))</f>
        <v>1.7998987584037916E-2</v>
      </c>
      <c r="BN78" s="127">
        <f t="array" ref="BN78">BH78*INDEX(Royalty!$U$7:$Z$246,MATCH('Decline and Model'!$E78,Royalty!$AI$7:$AI$246,0),MATCH('Decline and Model'!BN$8,Royalty!$U$1:$Z$1,0))</f>
        <v>1.3024420607649977E-2</v>
      </c>
      <c r="BO78" s="127">
        <f t="array" ref="BO78">BI78*INDEX(Royalty!$U$7:$Z$246,MATCH('Decline and Model'!$E78,Royalty!$AI$7:$AI$246,0),MATCH('Decline and Model'!BO$8,Royalty!$U$1:$Z$1,0))</f>
        <v>4.0328428535971609E-3</v>
      </c>
      <c r="BP78" s="135">
        <f t="shared" si="70"/>
        <v>0.24751017840090431</v>
      </c>
      <c r="BQ78" s="7"/>
      <c r="BR78" s="7"/>
      <c r="BS78">
        <v>70</v>
      </c>
      <c r="BT78" s="120">
        <f t="shared" si="71"/>
        <v>59915.163039413354</v>
      </c>
      <c r="BU78" s="113">
        <f t="shared" si="72"/>
        <v>42177.593566346877</v>
      </c>
      <c r="BV78" s="113">
        <f t="shared" si="73"/>
        <v>12653.278069904063</v>
      </c>
      <c r="BW78" s="113">
        <f t="shared" si="106"/>
        <v>2566620.4286515214</v>
      </c>
      <c r="BX78" s="113">
        <f t="shared" si="99"/>
        <v>56733.734457692757</v>
      </c>
      <c r="BY78" s="120">
        <f t="shared" si="100"/>
        <v>70591.74253743107</v>
      </c>
      <c r="BZ78" s="153">
        <f t="shared" si="107"/>
        <v>0</v>
      </c>
      <c r="CA78" s="120">
        <f t="shared" si="50"/>
        <v>70591.74253743107</v>
      </c>
      <c r="CB78" s="120">
        <f t="shared" si="101"/>
        <v>17647.935634357767</v>
      </c>
      <c r="CC78" s="153">
        <f t="shared" si="102"/>
        <v>109677.54136076606</v>
      </c>
      <c r="CD78" s="7">
        <f t="shared" si="74"/>
        <v>64595.462354180199</v>
      </c>
      <c r="CE78" s="11">
        <f>SUM($CD$9:CD78)</f>
        <v>23092502.279668797</v>
      </c>
      <c r="CF78" s="11">
        <f t="shared" si="103"/>
        <v>12000000</v>
      </c>
      <c r="CG78">
        <f t="shared" si="104"/>
        <v>11092502.279668797</v>
      </c>
      <c r="CJ78" s="224">
        <f t="shared" si="108"/>
        <v>-0.16992699999999999</v>
      </c>
      <c r="CK78" s="221">
        <f t="shared" si="108"/>
        <v>9032950.1067451946</v>
      </c>
    </row>
    <row r="79" spans="1:95" ht="18.45">
      <c r="A79">
        <f t="shared" si="75"/>
        <v>2023</v>
      </c>
      <c r="B79">
        <f t="shared" si="76"/>
        <v>30.416666666666668</v>
      </c>
      <c r="C79">
        <f t="shared" si="51"/>
        <v>6</v>
      </c>
      <c r="E79" s="97">
        <v>44958</v>
      </c>
      <c r="F79" s="2">
        <f>$F$6*EXP(-$F$3*COUNT($E$9:$E79))</f>
        <v>23.021764595845347</v>
      </c>
      <c r="G79" s="260">
        <f>$F$6/(1+$F$5*$F$3*COUNT($E$9:$E79))^(1/$F$5)</f>
        <v>47.342577293502686</v>
      </c>
      <c r="H79" s="260">
        <f>$H$6/(1+$H$5*$H$3*COUNT($E$9:$E79))^(1/$H$5)</f>
        <v>304.4609988608338</v>
      </c>
      <c r="I79" s="260">
        <f t="shared" si="77"/>
        <v>57.992571211587389</v>
      </c>
      <c r="J79" s="260">
        <f t="shared" si="78"/>
        <v>24.148106652504989</v>
      </c>
      <c r="K79" s="260">
        <f t="shared" si="78"/>
        <v>16.429295424242707</v>
      </c>
      <c r="L79" s="260">
        <f t="shared" si="78"/>
        <v>7.8347963706854564</v>
      </c>
      <c r="M79" s="260">
        <f t="shared" si="78"/>
        <v>9.5861720212753951</v>
      </c>
      <c r="N79" s="19">
        <f t="shared" si="79"/>
        <v>700.24533979029604</v>
      </c>
      <c r="O79" s="19">
        <f t="shared" si="80"/>
        <v>1440.0033926773733</v>
      </c>
      <c r="P79" s="19">
        <f t="shared" si="81"/>
        <v>9260.6887153503612</v>
      </c>
      <c r="Q79" s="19">
        <f t="shared" si="82"/>
        <v>1763.9407076857831</v>
      </c>
      <c r="R79" s="19">
        <f t="shared" si="83"/>
        <v>734.50491068036013</v>
      </c>
      <c r="S79" s="19">
        <f t="shared" si="84"/>
        <v>499.72440248738235</v>
      </c>
      <c r="T79" s="19">
        <f t="shared" si="85"/>
        <v>238.3083896083493</v>
      </c>
      <c r="U79" s="19">
        <f t="shared" si="86"/>
        <v>291.57939898045993</v>
      </c>
      <c r="V79" s="261">
        <f t="shared" si="105"/>
        <v>4127.118730660045</v>
      </c>
      <c r="W79" s="261">
        <f>SUM(O$9:O79)</f>
        <v>512705.23561148613</v>
      </c>
      <c r="X79" s="261">
        <f>SUM(P$9:P79)</f>
        <v>1850710.8548179751</v>
      </c>
      <c r="Y79" s="261">
        <f>SUM(Q$9:Q79)</f>
        <v>352516.35329866171</v>
      </c>
      <c r="Z79" s="261">
        <f>SUM($V$9:V79)</f>
        <v>1049714.2720894229</v>
      </c>
      <c r="AB79" s="257">
        <f t="array" ref="AB79">(INDEX(PriceDeck!$C$18:$O$77,MATCH('Decline and Model'!$A79,PriceDeck!$B$18:$B$77,0),MATCH('Decline and Model'!AB$8,PriceDeck!$C$13:$O$13,0))*(1+$AE$6))</f>
        <v>78.8</v>
      </c>
      <c r="AC79" s="257">
        <f t="array" ref="AC79">INDEX(PriceDeck!$C$18:$O$77,MATCH('Decline and Model'!$A79,PriceDeck!$B$18:$B$77,0),MATCH('Decline and Model'!AC$8,PriceDeck!$C$13:$O$13,0))*(1+$AE$6)</f>
        <v>90</v>
      </c>
      <c r="AD79" s="257">
        <f t="array" ref="AD79">INDEX(PriceDeck!$C$18:$O$77,MATCH('Decline and Model'!$A79,PriceDeck!$B$18:$B$77,0),MATCH('Decline and Model'!AD$8,PriceDeck!$C$13:$O$13,0))*(1+$AE$6)</f>
        <v>15.4</v>
      </c>
      <c r="AE79" s="257">
        <f t="array" ref="AE79">INDEX(PriceDeck!$C$18:$O$77,MATCH('Decline and Model'!$A79,PriceDeck!$B$18:$B$77,0),MATCH('Decline and Model'!AE$8,PriceDeck!$C$13:$O$13,0))*(1+$AE$6)</f>
        <v>31.5</v>
      </c>
      <c r="AF79" s="257">
        <f t="array" ref="AF79">INDEX(PriceDeck!$C$18:$O$77,MATCH('Decline and Model'!$A79,PriceDeck!$B$18:$B$77,0),MATCH('Decline and Model'!AF$8,PriceDeck!$C$13:$O$13,0))*(1+$AE$6)</f>
        <v>93.4</v>
      </c>
      <c r="AG79" s="257">
        <f t="array" ref="AG79">INDEX(PriceDeck!$C$18:$O$77,MATCH('Decline and Model'!$A79,PriceDeck!$B$18:$B$77,0),MATCH('Decline and Model'!AG$8,PriceDeck!$C$13:$O$13,0))*(1+$AE$6)</f>
        <v>65.900000000000006</v>
      </c>
      <c r="AH79" s="258">
        <f t="array" ref="AH79">INDEX(PriceDeck!$C$18:$O$77,MATCH('Decline and Model'!$A79,PriceDeck!$B$18:$B$77,0),MATCH('Decline and Model'!AH$8,PriceDeck!$C$13:$O$13,0))</f>
        <v>0.85</v>
      </c>
      <c r="AI79" s="258">
        <f t="shared" si="87"/>
        <v>4.0999999999999996</v>
      </c>
      <c r="AJ79" s="259">
        <f t="shared" si="62"/>
        <v>4.0999999999999996</v>
      </c>
      <c r="AK79" s="120">
        <v>4.0999999999999996</v>
      </c>
      <c r="AL79" s="120"/>
      <c r="AN79" s="7">
        <f t="shared" si="88"/>
        <v>129600.3053409636</v>
      </c>
      <c r="AO79" s="7">
        <f t="shared" si="89"/>
        <v>37968.823732936478</v>
      </c>
      <c r="AP79" s="7">
        <f t="shared" si="90"/>
        <v>11311.375624477547</v>
      </c>
      <c r="AQ79" s="7">
        <f t="shared" si="91"/>
        <v>15741.318678352543</v>
      </c>
      <c r="AR79" s="7">
        <f t="shared" si="92"/>
        <v>22258.003589419826</v>
      </c>
      <c r="AS79" s="7">
        <f t="shared" si="93"/>
        <v>19215.08239281231</v>
      </c>
      <c r="AT79" s="7">
        <f t="shared" si="94"/>
        <v>236094.90935896229</v>
      </c>
      <c r="AU79">
        <f>SUM($AT$9:AT79)</f>
        <v>55813678.949665725</v>
      </c>
      <c r="AV79" s="7">
        <f>AT79/(1+$AR$5)^(COUNT($E$9:E79))</f>
        <v>138002.32964182983</v>
      </c>
      <c r="AW79" s="7">
        <f t="shared" si="109"/>
        <v>0</v>
      </c>
      <c r="AX79" s="7">
        <f t="shared" si="95"/>
        <v>0</v>
      </c>
      <c r="AY79" s="117">
        <f t="shared" si="96"/>
        <v>0</v>
      </c>
      <c r="AZ79" s="117">
        <f t="shared" si="97"/>
        <v>236094.90935896229</v>
      </c>
      <c r="BA79" s="120">
        <f t="shared" si="98"/>
        <v>58363.67637070913</v>
      </c>
      <c r="BB79" s="119">
        <f t="shared" si="63"/>
        <v>0</v>
      </c>
      <c r="BC79" s="17"/>
      <c r="BD79" s="126">
        <f t="shared" si="64"/>
        <v>0.54893307819660497</v>
      </c>
      <c r="BE79" s="127">
        <f t="shared" si="65"/>
        <v>0.16082017115925232</v>
      </c>
      <c r="BF79" s="127">
        <f t="shared" si="66"/>
        <v>4.7910290209940781E-2</v>
      </c>
      <c r="BG79" s="127">
        <f t="shared" si="67"/>
        <v>6.6673689496706615E-2</v>
      </c>
      <c r="BH79" s="127">
        <f t="shared" si="68"/>
        <v>9.4275660791899668E-2</v>
      </c>
      <c r="BI79" s="128">
        <f t="shared" si="69"/>
        <v>8.1387110145595756E-2</v>
      </c>
      <c r="BJ79" s="126">
        <f t="array" ref="BJ79">BD79*INDEX(Royalty!$U$7:$Z$246,MATCH('Decline and Model'!$E79,Royalty!$AI$7:$AI$246,0),MATCH('Decline and Model'!BJ$8,Royalty!$U$1:$Z$1,0))</f>
        <v>0.1544120309073628</v>
      </c>
      <c r="BK79" s="127">
        <f t="array" ref="BK79">BE79*INDEX(Royalty!$U$7:$Z$246,MATCH('Decline and Model'!$E79,Royalty!$AI$7:$AI$246,0),MATCH('Decline and Model'!BK$8,Royalty!$U$1:$Z$1,0))</f>
        <v>4.389659439411344E-2</v>
      </c>
      <c r="BL79" s="127">
        <f t="array" ref="BL79">BF79*INDEX(Royalty!$U$7:$Z$246,MATCH('Decline and Model'!$E79,Royalty!$AI$7:$AI$246,0),MATCH('Decline and Model'!BL$8,Royalty!$U$1:$Z$1,0))</f>
        <v>1.3522028663819031E-2</v>
      </c>
      <c r="BM79" s="127">
        <f t="array" ref="BM79">BG79*INDEX(Royalty!$U$7:$Z$246,MATCH('Decline and Model'!$E79,Royalty!$AI$7:$AI$246,0),MATCH('Decline and Model'!BM$8,Royalty!$U$1:$Z$1,0))</f>
        <v>1.816194726884381E-2</v>
      </c>
      <c r="BN79" s="127">
        <f t="array" ref="BN79">BH79*INDEX(Royalty!$U$7:$Z$246,MATCH('Decline and Model'!$E79,Royalty!$AI$7:$AI$246,0),MATCH('Decline and Model'!BN$8,Royalty!$U$1:$Z$1,0))</f>
        <v>1.3142341433312653E-2</v>
      </c>
      <c r="BO79" s="127">
        <f t="array" ref="BO79">BI79*INDEX(Royalty!$U$7:$Z$246,MATCH('Decline and Model'!$E79,Royalty!$AI$7:$AI$246,0),MATCH('Decline and Model'!BO$8,Royalty!$U$1:$Z$1,0))</f>
        <v>4.0693555072797878E-3</v>
      </c>
      <c r="BP79" s="135">
        <f t="shared" si="70"/>
        <v>0.24720429817473155</v>
      </c>
      <c r="BQ79" s="7"/>
      <c r="BR79" s="7"/>
      <c r="BS79">
        <v>71</v>
      </c>
      <c r="BT79" s="120">
        <f t="shared" si="71"/>
        <v>58363.67637070913</v>
      </c>
      <c r="BU79" s="113">
        <f t="shared" si="72"/>
        <v>41271.187306600448</v>
      </c>
      <c r="BV79" s="113">
        <f t="shared" si="73"/>
        <v>12381.356191980136</v>
      </c>
      <c r="BW79" s="113">
        <f t="shared" si="106"/>
        <v>2509886.6941938289</v>
      </c>
      <c r="BX79" s="113">
        <f t="shared" si="99"/>
        <v>55479.666427381373</v>
      </c>
      <c r="BY79" s="120">
        <f t="shared" si="100"/>
        <v>68599.023062291235</v>
      </c>
      <c r="BZ79" s="153">
        <f t="shared" si="107"/>
        <v>0</v>
      </c>
      <c r="CA79" s="120">
        <f t="shared" si="50"/>
        <v>68599.023062291235</v>
      </c>
      <c r="CB79" s="120">
        <f t="shared" si="101"/>
        <v>17149.755765572809</v>
      </c>
      <c r="CC79" s="153">
        <f t="shared" si="102"/>
        <v>106928.9337240998</v>
      </c>
      <c r="CD79" s="7">
        <f t="shared" si="74"/>
        <v>62502.160678130822</v>
      </c>
      <c r="CE79" s="11">
        <f>SUM($CD$9:CD79)</f>
        <v>23155004.440346926</v>
      </c>
      <c r="CF79" s="11">
        <f t="shared" si="103"/>
        <v>12000000</v>
      </c>
      <c r="CG79">
        <f t="shared" si="104"/>
        <v>11155004.440346926</v>
      </c>
      <c r="CJ79" s="224">
        <f t="shared" si="108"/>
        <v>-6.9927000000000003E-2</v>
      </c>
      <c r="CK79" s="221">
        <f t="shared" si="108"/>
        <v>11798120.961409636</v>
      </c>
    </row>
    <row r="80" spans="1:95" ht="18.45">
      <c r="A80">
        <f t="shared" si="75"/>
        <v>2023</v>
      </c>
      <c r="B80">
        <f t="shared" si="76"/>
        <v>30.416666666666668</v>
      </c>
      <c r="C80">
        <f t="shared" si="51"/>
        <v>6</v>
      </c>
      <c r="E80" s="97">
        <v>44986</v>
      </c>
      <c r="F80" s="2">
        <f>$F$6*EXP(-$F$3*COUNT($E$9:$E80))</f>
        <v>21.898979887496886</v>
      </c>
      <c r="G80" s="260">
        <f>$F$6/(1+$F$5*$F$3*COUNT($E$9:$E80))^(1/$F$5)</f>
        <v>45.843162758339581</v>
      </c>
      <c r="H80" s="260">
        <f>$H$6/(1+$H$5*$H$3*COUNT($E$9:$E80))^(1/$H$5)</f>
        <v>299.68660760100192</v>
      </c>
      <c r="I80" s="260">
        <f t="shared" si="77"/>
        <v>57.083163352571795</v>
      </c>
      <c r="J80" s="260">
        <f t="shared" si="78"/>
        <v>23.769429220010895</v>
      </c>
      <c r="K80" s="260">
        <f t="shared" si="78"/>
        <v>16.17166017778359</v>
      </c>
      <c r="L80" s="260">
        <f t="shared" si="78"/>
        <v>7.7119353689324495</v>
      </c>
      <c r="M80" s="260">
        <f t="shared" si="78"/>
        <v>9.435846902180117</v>
      </c>
      <c r="N80" s="19">
        <f t="shared" si="79"/>
        <v>666.09397157803028</v>
      </c>
      <c r="O80" s="19">
        <f t="shared" si="80"/>
        <v>1394.3962005661624</v>
      </c>
      <c r="P80" s="19">
        <f t="shared" si="81"/>
        <v>9115.4676478638085</v>
      </c>
      <c r="Q80" s="19">
        <f t="shared" si="82"/>
        <v>1736.2795519740589</v>
      </c>
      <c r="R80" s="19">
        <f t="shared" si="83"/>
        <v>722.98680544199806</v>
      </c>
      <c r="S80" s="19">
        <f t="shared" si="84"/>
        <v>491.88799707425085</v>
      </c>
      <c r="T80" s="19">
        <f t="shared" si="85"/>
        <v>234.57136747169534</v>
      </c>
      <c r="U80" s="19">
        <f t="shared" si="86"/>
        <v>287.00700994131188</v>
      </c>
      <c r="V80" s="261">
        <f t="shared" si="105"/>
        <v>4039.3736620003547</v>
      </c>
      <c r="W80" s="261">
        <f>SUM(O$9:O80)</f>
        <v>514099.63181205228</v>
      </c>
      <c r="X80" s="261">
        <f>SUM(P$9:P80)</f>
        <v>1859826.3224658389</v>
      </c>
      <c r="Y80" s="261">
        <f>SUM(Q$9:Q80)</f>
        <v>354252.63285063574</v>
      </c>
      <c r="Z80" s="261">
        <f>SUM($V$9:V80)</f>
        <v>1053753.6457514232</v>
      </c>
      <c r="AB80" s="257">
        <f t="array" ref="AB80">(INDEX(PriceDeck!$C$18:$O$77,MATCH('Decline and Model'!$A80,PriceDeck!$B$18:$B$77,0),MATCH('Decline and Model'!AB$8,PriceDeck!$C$13:$O$13,0))*(1+$AE$6))</f>
        <v>78.8</v>
      </c>
      <c r="AC80" s="257">
        <f t="array" ref="AC80">INDEX(PriceDeck!$C$18:$O$77,MATCH('Decline and Model'!$A80,PriceDeck!$B$18:$B$77,0),MATCH('Decline and Model'!AC$8,PriceDeck!$C$13:$O$13,0))*(1+$AE$6)</f>
        <v>90</v>
      </c>
      <c r="AD80" s="257">
        <f t="array" ref="AD80">INDEX(PriceDeck!$C$18:$O$77,MATCH('Decline and Model'!$A80,PriceDeck!$B$18:$B$77,0),MATCH('Decline and Model'!AD$8,PriceDeck!$C$13:$O$13,0))*(1+$AE$6)</f>
        <v>15.4</v>
      </c>
      <c r="AE80" s="257">
        <f t="array" ref="AE80">INDEX(PriceDeck!$C$18:$O$77,MATCH('Decline and Model'!$A80,PriceDeck!$B$18:$B$77,0),MATCH('Decline and Model'!AE$8,PriceDeck!$C$13:$O$13,0))*(1+$AE$6)</f>
        <v>31.5</v>
      </c>
      <c r="AF80" s="257">
        <f t="array" ref="AF80">INDEX(PriceDeck!$C$18:$O$77,MATCH('Decline and Model'!$A80,PriceDeck!$B$18:$B$77,0),MATCH('Decline and Model'!AF$8,PriceDeck!$C$13:$O$13,0))*(1+$AE$6)</f>
        <v>93.4</v>
      </c>
      <c r="AG80" s="257">
        <f t="array" ref="AG80">INDEX(PriceDeck!$C$18:$O$77,MATCH('Decline and Model'!$A80,PriceDeck!$B$18:$B$77,0),MATCH('Decline and Model'!AG$8,PriceDeck!$C$13:$O$13,0))*(1+$AE$6)</f>
        <v>65.900000000000006</v>
      </c>
      <c r="AH80" s="258">
        <f t="array" ref="AH80">INDEX(PriceDeck!$C$18:$O$77,MATCH('Decline and Model'!$A80,PriceDeck!$B$18:$B$77,0),MATCH('Decline and Model'!AH$8,PriceDeck!$C$13:$O$13,0))</f>
        <v>0.85</v>
      </c>
      <c r="AI80" s="258">
        <f t="shared" si="87"/>
        <v>4.0999999999999996</v>
      </c>
      <c r="AJ80" s="259">
        <f t="shared" si="62"/>
        <v>4.0999999999999996</v>
      </c>
      <c r="AK80" s="120">
        <v>4.0999999999999996</v>
      </c>
      <c r="AL80" s="120"/>
      <c r="AN80" s="7">
        <f t="shared" si="88"/>
        <v>125495.65805095462</v>
      </c>
      <c r="AO80" s="7">
        <f t="shared" si="89"/>
        <v>37373.417356241611</v>
      </c>
      <c r="AP80" s="7">
        <f t="shared" si="90"/>
        <v>11133.996803806771</v>
      </c>
      <c r="AQ80" s="7">
        <f t="shared" si="91"/>
        <v>15494.471907838903</v>
      </c>
      <c r="AR80" s="7">
        <f t="shared" si="92"/>
        <v>21908.965721856344</v>
      </c>
      <c r="AS80" s="7">
        <f t="shared" si="93"/>
        <v>18913.761955132453</v>
      </c>
      <c r="AT80" s="7">
        <f t="shared" si="94"/>
        <v>230320.27179583072</v>
      </c>
      <c r="AU80">
        <f>SUM($AT$9:AT80)</f>
        <v>56043999.221461557</v>
      </c>
      <c r="AV80" s="7">
        <f>AT80/(1+$AR$5)^(COUNT($E$9:E80))</f>
        <v>133612.61052050249</v>
      </c>
      <c r="AW80" s="7">
        <f t="shared" si="109"/>
        <v>0</v>
      </c>
      <c r="AX80" s="7">
        <f t="shared" si="95"/>
        <v>0</v>
      </c>
      <c r="AY80" s="117">
        <f t="shared" si="96"/>
        <v>0</v>
      </c>
      <c r="AZ80" s="117">
        <f t="shared" si="97"/>
        <v>230320.27179583072</v>
      </c>
      <c r="BA80" s="120">
        <f t="shared" si="98"/>
        <v>56865.514471372262</v>
      </c>
      <c r="BB80" s="119">
        <f t="shared" si="63"/>
        <v>0</v>
      </c>
      <c r="BC80" s="17"/>
      <c r="BD80" s="126">
        <f t="shared" si="64"/>
        <v>0.54487456563181402</v>
      </c>
      <c r="BE80" s="127">
        <f t="shared" si="65"/>
        <v>0.16226716417463932</v>
      </c>
      <c r="BF80" s="127">
        <f t="shared" si="66"/>
        <v>4.8341367075480847E-2</v>
      </c>
      <c r="BG80" s="127">
        <f t="shared" si="67"/>
        <v>6.727359162537852E-2</v>
      </c>
      <c r="BH80" s="127">
        <f t="shared" si="68"/>
        <v>9.5123913978695393E-2</v>
      </c>
      <c r="BI80" s="128">
        <f t="shared" si="69"/>
        <v>8.211939751399179E-2</v>
      </c>
      <c r="BJ80" s="126">
        <f t="array" ref="BJ80">BD80*INDEX(Royalty!$U$7:$Z$246,MATCH('Decline and Model'!$E80,Royalty!$AI$7:$AI$246,0),MATCH('Decline and Model'!BJ$8,Royalty!$U$1:$Z$1,0))</f>
        <v>0.1532703923497972</v>
      </c>
      <c r="BK80" s="127">
        <f t="array" ref="BK80">BE80*INDEX(Royalty!$U$7:$Z$246,MATCH('Decline and Model'!$E80,Royalty!$AI$7:$AI$246,0),MATCH('Decline and Model'!BK$8,Royalty!$U$1:$Z$1,0))</f>
        <v>4.4291557693988681E-2</v>
      </c>
      <c r="BL80" s="127">
        <f t="array" ref="BL80">BF80*INDEX(Royalty!$U$7:$Z$246,MATCH('Decline and Model'!$E80,Royalty!$AI$7:$AI$246,0),MATCH('Decline and Model'!BL$8,Royalty!$U$1:$Z$1,0))</f>
        <v>1.3643694253958425E-2</v>
      </c>
      <c r="BM80" s="127">
        <f t="array" ref="BM80">BG80*INDEX(Royalty!$U$7:$Z$246,MATCH('Decline and Model'!$E80,Royalty!$AI$7:$AI$246,0),MATCH('Decline and Model'!BM$8,Royalty!$U$1:$Z$1,0))</f>
        <v>1.832536091686076E-2</v>
      </c>
      <c r="BN80" s="127">
        <f t="array" ref="BN80">BH80*INDEX(Royalty!$U$7:$Z$246,MATCH('Decline and Model'!$E80,Royalty!$AI$7:$AI$246,0),MATCH('Decline and Model'!BN$8,Royalty!$U$1:$Z$1,0))</f>
        <v>1.3260590755662912E-2</v>
      </c>
      <c r="BO80" s="127">
        <f t="array" ref="BO80">BI80*INDEX(Royalty!$U$7:$Z$246,MATCH('Decline and Model'!$E80,Royalty!$AI$7:$AI$246,0),MATCH('Decline and Model'!BO$8,Royalty!$U$1:$Z$1,0))</f>
        <v>4.1059698756995893E-3</v>
      </c>
      <c r="BP80" s="135">
        <f t="shared" si="70"/>
        <v>0.24689756584596756</v>
      </c>
      <c r="BQ80" s="7"/>
      <c r="BR80" s="7"/>
      <c r="BS80">
        <v>72</v>
      </c>
      <c r="BT80" s="120">
        <f t="shared" si="71"/>
        <v>56865.514471372262</v>
      </c>
      <c r="BU80" s="113">
        <f t="shared" si="72"/>
        <v>40393.736620003547</v>
      </c>
      <c r="BV80" s="113">
        <f t="shared" si="73"/>
        <v>12118.120986001064</v>
      </c>
      <c r="BW80" s="113">
        <f t="shared" si="106"/>
        <v>2454407.0277664475</v>
      </c>
      <c r="BX80" s="113">
        <f t="shared" si="99"/>
        <v>54253.318881887033</v>
      </c>
      <c r="BY80" s="120">
        <f t="shared" si="100"/>
        <v>66689.580836566805</v>
      </c>
      <c r="BZ80" s="153">
        <f t="shared" si="107"/>
        <v>0</v>
      </c>
      <c r="CA80" s="120">
        <f t="shared" si="50"/>
        <v>66689.580836566805</v>
      </c>
      <c r="CB80" s="120">
        <f t="shared" si="101"/>
        <v>16672.395209141701</v>
      </c>
      <c r="CC80" s="153">
        <f t="shared" si="102"/>
        <v>104270.50450931213</v>
      </c>
      <c r="CD80" s="7">
        <f t="shared" si="74"/>
        <v>60489.049440376781</v>
      </c>
      <c r="CE80" s="11">
        <f>SUM($CD$9:CD80)</f>
        <v>23215493.489787303</v>
      </c>
      <c r="CF80" s="11">
        <f t="shared" si="103"/>
        <v>12000000</v>
      </c>
      <c r="CG80">
        <f t="shared" si="104"/>
        <v>11215493.489787303</v>
      </c>
      <c r="CJ80" s="224">
        <f t="shared" si="108"/>
        <v>3.0072999999999999E-2</v>
      </c>
      <c r="CK80" s="221">
        <f t="shared" si="108"/>
        <v>14450028.764334962</v>
      </c>
    </row>
    <row r="81" spans="1:89" ht="18.45">
      <c r="A81">
        <f t="shared" si="75"/>
        <v>2023</v>
      </c>
      <c r="B81">
        <f t="shared" si="76"/>
        <v>30.416666666666668</v>
      </c>
      <c r="C81">
        <f t="shared" si="51"/>
        <v>7</v>
      </c>
      <c r="E81" s="97">
        <v>45017</v>
      </c>
      <c r="F81" s="2">
        <f>$F$6*EXP(-$F$3*COUNT($E$9:$E81))</f>
        <v>20.830954035536365</v>
      </c>
      <c r="G81" s="260">
        <f>$F$6/(1+$F$5*$F$3*COUNT($E$9:$E81))^(1/$F$5)</f>
        <v>44.398322238592343</v>
      </c>
      <c r="H81" s="260">
        <f>$H$6/(1+$H$5*$H$3*COUNT($E$9:$E81))^(1/$H$5)</f>
        <v>295.03914901898895</v>
      </c>
      <c r="I81" s="260">
        <f t="shared" si="77"/>
        <v>56.197933146474085</v>
      </c>
      <c r="J81" s="260">
        <f t="shared" si="78"/>
        <v>23.400819362191807</v>
      </c>
      <c r="K81" s="260">
        <f t="shared" si="78"/>
        <v>15.920874460396108</v>
      </c>
      <c r="L81" s="260">
        <f t="shared" si="78"/>
        <v>7.5923407680886488</v>
      </c>
      <c r="M81" s="260">
        <f t="shared" si="78"/>
        <v>9.289518349112166</v>
      </c>
      <c r="N81" s="19">
        <f t="shared" si="79"/>
        <v>633.60818524756451</v>
      </c>
      <c r="O81" s="19">
        <f t="shared" si="80"/>
        <v>1350.4489680905172</v>
      </c>
      <c r="P81" s="19">
        <f t="shared" si="81"/>
        <v>8974.107449327581</v>
      </c>
      <c r="Q81" s="19">
        <f t="shared" si="82"/>
        <v>1709.35379987192</v>
      </c>
      <c r="R81" s="19">
        <f t="shared" si="83"/>
        <v>711.77492226666755</v>
      </c>
      <c r="S81" s="19">
        <f t="shared" si="84"/>
        <v>484.25993150371499</v>
      </c>
      <c r="T81" s="19">
        <f t="shared" si="85"/>
        <v>230.93369836269642</v>
      </c>
      <c r="U81" s="19">
        <f t="shared" si="86"/>
        <v>282.55618311882841</v>
      </c>
      <c r="V81" s="261">
        <f t="shared" si="105"/>
        <v>3954.4088368442276</v>
      </c>
      <c r="W81" s="261">
        <f>SUM(O$9:O81)</f>
        <v>515450.0807801428</v>
      </c>
      <c r="X81" s="261">
        <f>SUM(P$9:P81)</f>
        <v>1868800.4299151665</v>
      </c>
      <c r="Y81" s="261">
        <f>SUM(Q$9:Q81)</f>
        <v>355961.98665050766</v>
      </c>
      <c r="Z81" s="261">
        <f>SUM($V$9:V81)</f>
        <v>1057708.0545882673</v>
      </c>
      <c r="AB81" s="257">
        <f t="array" ref="AB81">(INDEX(PriceDeck!$C$18:$O$77,MATCH('Decline and Model'!$A81,PriceDeck!$B$18:$B$77,0),MATCH('Decline and Model'!AB$8,PriceDeck!$C$13:$O$13,0))*(1+$AE$6))</f>
        <v>78.8</v>
      </c>
      <c r="AC81" s="257">
        <f t="array" ref="AC81">INDEX(PriceDeck!$C$18:$O$77,MATCH('Decline and Model'!$A81,PriceDeck!$B$18:$B$77,0),MATCH('Decline and Model'!AC$8,PriceDeck!$C$13:$O$13,0))*(1+$AE$6)</f>
        <v>90</v>
      </c>
      <c r="AD81" s="257">
        <f t="array" ref="AD81">INDEX(PriceDeck!$C$18:$O$77,MATCH('Decline and Model'!$A81,PriceDeck!$B$18:$B$77,0),MATCH('Decline and Model'!AD$8,PriceDeck!$C$13:$O$13,0))*(1+$AE$6)</f>
        <v>15.4</v>
      </c>
      <c r="AE81" s="257">
        <f t="array" ref="AE81">INDEX(PriceDeck!$C$18:$O$77,MATCH('Decline and Model'!$A81,PriceDeck!$B$18:$B$77,0),MATCH('Decline and Model'!AE$8,PriceDeck!$C$13:$O$13,0))*(1+$AE$6)</f>
        <v>31.5</v>
      </c>
      <c r="AF81" s="257">
        <f t="array" ref="AF81">INDEX(PriceDeck!$C$18:$O$77,MATCH('Decline and Model'!$A81,PriceDeck!$B$18:$B$77,0),MATCH('Decline and Model'!AF$8,PriceDeck!$C$13:$O$13,0))*(1+$AE$6)</f>
        <v>93.4</v>
      </c>
      <c r="AG81" s="257">
        <f t="array" ref="AG81">INDEX(PriceDeck!$C$18:$O$77,MATCH('Decline and Model'!$A81,PriceDeck!$B$18:$B$77,0),MATCH('Decline and Model'!AG$8,PriceDeck!$C$13:$O$13,0))*(1+$AE$6)</f>
        <v>65.900000000000006</v>
      </c>
      <c r="AH81" s="258">
        <f t="array" ref="AH81">INDEX(PriceDeck!$C$18:$O$77,MATCH('Decline and Model'!$A81,PriceDeck!$B$18:$B$77,0),MATCH('Decline and Model'!AH$8,PriceDeck!$C$13:$O$13,0))</f>
        <v>0.85</v>
      </c>
      <c r="AI81" s="258">
        <f t="shared" si="87"/>
        <v>4.0999999999999996</v>
      </c>
      <c r="AJ81" s="259">
        <f t="shared" si="62"/>
        <v>4.0999999999999996</v>
      </c>
      <c r="AK81" s="120">
        <v>4.0999999999999996</v>
      </c>
      <c r="AL81" s="120"/>
      <c r="AN81" s="7">
        <f t="shared" si="88"/>
        <v>121540.40712814654</v>
      </c>
      <c r="AO81" s="7">
        <f t="shared" si="89"/>
        <v>36793.840542243081</v>
      </c>
      <c r="AP81" s="7">
        <f t="shared" si="90"/>
        <v>10961.33380290668</v>
      </c>
      <c r="AQ81" s="7">
        <f t="shared" si="91"/>
        <v>15254.187842367022</v>
      </c>
      <c r="AR81" s="7">
        <f t="shared" si="92"/>
        <v>21569.207427075846</v>
      </c>
      <c r="AS81" s="7">
        <f t="shared" si="93"/>
        <v>18620.452467530795</v>
      </c>
      <c r="AT81" s="7">
        <f t="shared" si="94"/>
        <v>224739.42921026994</v>
      </c>
      <c r="AU81">
        <f>SUM($AT$9:AT81)</f>
        <v>56268738.650671825</v>
      </c>
      <c r="AV81" s="7">
        <f>AT81/(1+$AR$5)^(COUNT($E$9:E81))</f>
        <v>129392.78141727204</v>
      </c>
      <c r="AW81" s="7">
        <f t="shared" si="109"/>
        <v>0</v>
      </c>
      <c r="AX81" s="7">
        <f t="shared" si="95"/>
        <v>0</v>
      </c>
      <c r="AY81" s="117">
        <f t="shared" si="96"/>
        <v>0</v>
      </c>
      <c r="AZ81" s="117">
        <f t="shared" si="97"/>
        <v>224739.42921026994</v>
      </c>
      <c r="BA81" s="120">
        <f t="shared" si="98"/>
        <v>55418.510558167065</v>
      </c>
      <c r="BB81" s="119">
        <f t="shared" si="63"/>
        <v>0</v>
      </c>
      <c r="BC81" s="17"/>
      <c r="BD81" s="126">
        <f t="shared" si="64"/>
        <v>0.54080589042713689</v>
      </c>
      <c r="BE81" s="127">
        <f t="shared" si="65"/>
        <v>0.16371778050489819</v>
      </c>
      <c r="BF81" s="127">
        <f t="shared" si="66"/>
        <v>4.8773523370708012E-2</v>
      </c>
      <c r="BG81" s="127">
        <f t="shared" si="67"/>
        <v>6.7874995927372186E-2</v>
      </c>
      <c r="BH81" s="127">
        <f t="shared" si="68"/>
        <v>9.597429121747629E-2</v>
      </c>
      <c r="BI81" s="128">
        <f t="shared" si="69"/>
        <v>8.2853518552408495E-2</v>
      </c>
      <c r="BJ81" s="126">
        <f t="array" ref="BJ81">BD81*INDEX(Royalty!$U$7:$Z$246,MATCH('Decline and Model'!$E81,Royalty!$AI$7:$AI$246,0),MATCH('Decline and Model'!BJ$8,Royalty!$U$1:$Z$1,0))</f>
        <v>0.15212589509428365</v>
      </c>
      <c r="BK81" s="127">
        <f t="array" ref="BK81">BE81*INDEX(Royalty!$U$7:$Z$246,MATCH('Decline and Model'!$E81,Royalty!$AI$7:$AI$246,0),MATCH('Decline and Model'!BK$8,Royalty!$U$1:$Z$1,0))</f>
        <v>4.4687509994075426E-2</v>
      </c>
      <c r="BL81" s="127">
        <f t="array" ref="BL81">BF81*INDEX(Royalty!$U$7:$Z$246,MATCH('Decline and Model'!$E81,Royalty!$AI$7:$AI$246,0),MATCH('Decline and Model'!BL$8,Royalty!$U$1:$Z$1,0))</f>
        <v>1.3765664498465504E-2</v>
      </c>
      <c r="BM81" s="127">
        <f t="array" ref="BM81">BG81*INDEX(Royalty!$U$7:$Z$246,MATCH('Decline and Model'!$E81,Royalty!$AI$7:$AI$246,0),MATCH('Decline and Model'!BM$8,Royalty!$U$1:$Z$1,0))</f>
        <v>1.8489183757662217E-2</v>
      </c>
      <c r="BN81" s="127">
        <f t="array" ref="BN81">BH81*INDEX(Royalty!$U$7:$Z$246,MATCH('Decline and Model'!$E81,Royalty!$AI$7:$AI$246,0),MATCH('Decline and Model'!BN$8,Royalty!$U$1:$Z$1,0))</f>
        <v>1.3379136177941578E-2</v>
      </c>
      <c r="BO81" s="127">
        <f t="array" ref="BO81">BI81*INDEX(Royalty!$U$7:$Z$246,MATCH('Decline and Model'!$E81,Royalty!$AI$7:$AI$246,0),MATCH('Decline and Model'!BO$8,Royalty!$U$1:$Z$1,0))</f>
        <v>4.1426759276204251E-3</v>
      </c>
      <c r="BP81" s="135">
        <f t="shared" si="70"/>
        <v>0.24659006545004877</v>
      </c>
      <c r="BQ81" s="7"/>
      <c r="BR81" s="7"/>
      <c r="BS81">
        <v>73</v>
      </c>
      <c r="BT81" s="120">
        <f t="shared" si="71"/>
        <v>55418.510558167065</v>
      </c>
      <c r="BU81" s="113">
        <f t="shared" si="72"/>
        <v>39544.088368442273</v>
      </c>
      <c r="BV81" s="113">
        <f t="shared" si="73"/>
        <v>11863.226510532682</v>
      </c>
      <c r="BW81" s="113">
        <f t="shared" si="106"/>
        <v>2400153.7088845605</v>
      </c>
      <c r="BX81" s="113">
        <f t="shared" si="99"/>
        <v>53054.079075122674</v>
      </c>
      <c r="BY81" s="120">
        <f t="shared" si="100"/>
        <v>64859.524698005247</v>
      </c>
      <c r="BZ81" s="153">
        <f t="shared" si="107"/>
        <v>0</v>
      </c>
      <c r="CA81" s="120">
        <f t="shared" si="50"/>
        <v>64859.524698005247</v>
      </c>
      <c r="CB81" s="120">
        <f t="shared" si="101"/>
        <v>16214.881174501312</v>
      </c>
      <c r="CC81" s="153">
        <f t="shared" si="102"/>
        <v>101698.72259862661</v>
      </c>
      <c r="CD81" s="7">
        <f t="shared" si="74"/>
        <v>58552.611928670616</v>
      </c>
      <c r="CE81" s="11">
        <f>SUM($CD$9:CD81)</f>
        <v>23274046.101715975</v>
      </c>
      <c r="CF81" s="11">
        <f t="shared" si="103"/>
        <v>12000000</v>
      </c>
      <c r="CG81">
        <f t="shared" si="104"/>
        <v>11274046.101715975</v>
      </c>
      <c r="CJ81" s="224">
        <f t="shared" si="108"/>
        <v>0.13007299999999999</v>
      </c>
      <c r="CK81" s="221">
        <f t="shared" si="108"/>
        <v>16963742.896721639</v>
      </c>
    </row>
    <row r="82" spans="1:89" ht="18.45">
      <c r="A82">
        <f t="shared" si="75"/>
        <v>2023</v>
      </c>
      <c r="B82">
        <f t="shared" si="76"/>
        <v>30.416666666666668</v>
      </c>
      <c r="C82">
        <f t="shared" si="51"/>
        <v>7</v>
      </c>
      <c r="E82" s="97">
        <v>45047</v>
      </c>
      <c r="F82" s="2">
        <f>$F$6*EXP(-$F$3*COUNT($E$9:$E82))</f>
        <v>19.81501641902409</v>
      </c>
      <c r="G82" s="260">
        <f>$F$6/(1+$F$5*$F$3*COUNT($E$9:$E82))^(1/$F$5)</f>
        <v>43.005814041993602</v>
      </c>
      <c r="H82" s="260">
        <f>$H$6/(1+$H$5*$H$3*COUNT($E$9:$E82))^(1/$H$5)</f>
        <v>290.51389464525687</v>
      </c>
      <c r="I82" s="260">
        <f t="shared" si="77"/>
        <v>55.335979932429879</v>
      </c>
      <c r="J82" s="260">
        <f t="shared" si="78"/>
        <v>23.0419020438638</v>
      </c>
      <c r="K82" s="260">
        <f t="shared" si="78"/>
        <v>15.676683114857385</v>
      </c>
      <c r="L82" s="260">
        <f t="shared" si="78"/>
        <v>7.4758908888712767</v>
      </c>
      <c r="M82" s="260">
        <f t="shared" si="78"/>
        <v>9.14703748283066</v>
      </c>
      <c r="N82" s="19">
        <f t="shared" si="79"/>
        <v>602.70674941198274</v>
      </c>
      <c r="O82" s="19">
        <f t="shared" si="80"/>
        <v>1308.093510443972</v>
      </c>
      <c r="P82" s="19">
        <f t="shared" si="81"/>
        <v>8836.4642954598967</v>
      </c>
      <c r="Q82" s="19">
        <f t="shared" si="82"/>
        <v>1683.1360562780756</v>
      </c>
      <c r="R82" s="19">
        <f t="shared" si="83"/>
        <v>700.85785383419056</v>
      </c>
      <c r="S82" s="19">
        <f t="shared" si="84"/>
        <v>476.83244474357878</v>
      </c>
      <c r="T82" s="19">
        <f t="shared" si="85"/>
        <v>227.39168120316802</v>
      </c>
      <c r="U82" s="19">
        <f t="shared" si="86"/>
        <v>278.22239010276593</v>
      </c>
      <c r="V82" s="261">
        <f t="shared" si="105"/>
        <v>3872.1143378051042</v>
      </c>
      <c r="W82" s="261">
        <f>SUM(O$9:O82)</f>
        <v>516758.17429058679</v>
      </c>
      <c r="X82" s="261">
        <f>SUM(P$9:P82)</f>
        <v>1877636.8942106264</v>
      </c>
      <c r="Y82" s="261">
        <f>SUM(Q$9:Q82)</f>
        <v>357645.12270678574</v>
      </c>
      <c r="Z82" s="261">
        <f>SUM($V$9:V82)</f>
        <v>1061580.1689260725</v>
      </c>
      <c r="AB82" s="257">
        <f t="array" ref="AB82">(INDEX(PriceDeck!$C$18:$O$77,MATCH('Decline and Model'!$A82,PriceDeck!$B$18:$B$77,0),MATCH('Decline and Model'!AB$8,PriceDeck!$C$13:$O$13,0))*(1+$AE$6))</f>
        <v>78.8</v>
      </c>
      <c r="AC82" s="257">
        <f t="array" ref="AC82">INDEX(PriceDeck!$C$18:$O$77,MATCH('Decline and Model'!$A82,PriceDeck!$B$18:$B$77,0),MATCH('Decline and Model'!AC$8,PriceDeck!$C$13:$O$13,0))*(1+$AE$6)</f>
        <v>90</v>
      </c>
      <c r="AD82" s="257">
        <f t="array" ref="AD82">INDEX(PriceDeck!$C$18:$O$77,MATCH('Decline and Model'!$A82,PriceDeck!$B$18:$B$77,0),MATCH('Decline and Model'!AD$8,PriceDeck!$C$13:$O$13,0))*(1+$AE$6)</f>
        <v>15.4</v>
      </c>
      <c r="AE82" s="257">
        <f t="array" ref="AE82">INDEX(PriceDeck!$C$18:$O$77,MATCH('Decline and Model'!$A82,PriceDeck!$B$18:$B$77,0),MATCH('Decline and Model'!AE$8,PriceDeck!$C$13:$O$13,0))*(1+$AE$6)</f>
        <v>31.5</v>
      </c>
      <c r="AF82" s="257">
        <f t="array" ref="AF82">INDEX(PriceDeck!$C$18:$O$77,MATCH('Decline and Model'!$A82,PriceDeck!$B$18:$B$77,0),MATCH('Decline and Model'!AF$8,PriceDeck!$C$13:$O$13,0))*(1+$AE$6)</f>
        <v>93.4</v>
      </c>
      <c r="AG82" s="257">
        <f t="array" ref="AG82">INDEX(PriceDeck!$C$18:$O$77,MATCH('Decline and Model'!$A82,PriceDeck!$B$18:$B$77,0),MATCH('Decline and Model'!AG$8,PriceDeck!$C$13:$O$13,0))*(1+$AE$6)</f>
        <v>65.900000000000006</v>
      </c>
      <c r="AH82" s="258">
        <f t="array" ref="AH82">INDEX(PriceDeck!$C$18:$O$77,MATCH('Decline and Model'!$A82,PriceDeck!$B$18:$B$77,0),MATCH('Decline and Model'!AH$8,PriceDeck!$C$13:$O$13,0))</f>
        <v>0.85</v>
      </c>
      <c r="AI82" s="258">
        <f t="shared" si="87"/>
        <v>4.0999999999999996</v>
      </c>
      <c r="AJ82" s="259">
        <f t="shared" si="62"/>
        <v>4.0999999999999996</v>
      </c>
      <c r="AK82" s="120">
        <v>4.0999999999999996</v>
      </c>
      <c r="AL82" s="120"/>
      <c r="AN82" s="7">
        <f t="shared" si="88"/>
        <v>117728.41593995749</v>
      </c>
      <c r="AO82" s="7">
        <f t="shared" si="89"/>
        <v>36229.503611385575</v>
      </c>
      <c r="AP82" s="7">
        <f t="shared" si="90"/>
        <v>10793.210949046535</v>
      </c>
      <c r="AQ82" s="7">
        <f t="shared" si="91"/>
        <v>15020.222009422732</v>
      </c>
      <c r="AR82" s="7">
        <f t="shared" si="92"/>
        <v>21238.383024375893</v>
      </c>
      <c r="AS82" s="7">
        <f t="shared" si="93"/>
        <v>18334.855507772278</v>
      </c>
      <c r="AT82" s="7">
        <f t="shared" si="94"/>
        <v>219344.59104196049</v>
      </c>
      <c r="AU82">
        <f>SUM($AT$9:AT82)</f>
        <v>56488083.241713785</v>
      </c>
      <c r="AV82" s="7">
        <f>AT82/(1+$AR$5)^(COUNT($E$9:E82))</f>
        <v>125335.23925862159</v>
      </c>
      <c r="AW82" s="7">
        <f t="shared" si="109"/>
        <v>0</v>
      </c>
      <c r="AX82" s="7">
        <f t="shared" si="95"/>
        <v>0</v>
      </c>
      <c r="AY82" s="117">
        <f t="shared" si="96"/>
        <v>0</v>
      </c>
      <c r="AZ82" s="117">
        <f t="shared" si="97"/>
        <v>219344.59104196049</v>
      </c>
      <c r="BA82" s="120">
        <f t="shared" si="98"/>
        <v>54020.598186600568</v>
      </c>
      <c r="BB82" s="119">
        <f t="shared" si="63"/>
        <v>0</v>
      </c>
      <c r="BC82" s="17"/>
      <c r="BD82" s="126">
        <f t="shared" si="64"/>
        <v>0.53672814716199735</v>
      </c>
      <c r="BE82" s="127">
        <f t="shared" si="65"/>
        <v>0.16517162989651699</v>
      </c>
      <c r="BF82" s="127">
        <f t="shared" si="66"/>
        <v>4.9206642834341882E-2</v>
      </c>
      <c r="BG82" s="127">
        <f t="shared" si="67"/>
        <v>6.8477740609292584E-2</v>
      </c>
      <c r="BH82" s="127">
        <f t="shared" si="68"/>
        <v>9.6826563734653495E-2</v>
      </c>
      <c r="BI82" s="128">
        <f t="shared" si="69"/>
        <v>8.3589275763197787E-2</v>
      </c>
      <c r="BJ82" s="126">
        <f t="array" ref="BJ82">BD82*INDEX(Royalty!$U$7:$Z$246,MATCH('Decline and Model'!$E82,Royalty!$AI$7:$AI$246,0),MATCH('Decline and Model'!BJ$8,Royalty!$U$1:$Z$1,0))</f>
        <v>0.15097884704034309</v>
      </c>
      <c r="BK82" s="127">
        <f t="array" ref="BK82">BE82*INDEX(Royalty!$U$7:$Z$246,MATCH('Decline and Model'!$E82,Royalty!$AI$7:$AI$246,0),MATCH('Decline and Model'!BK$8,Royalty!$U$1:$Z$1,0))</f>
        <v>4.5084344772909374E-2</v>
      </c>
      <c r="BL82" s="127">
        <f t="array" ref="BL82">BF82*INDEX(Royalty!$U$7:$Z$246,MATCH('Decline and Model'!$E82,Royalty!$AI$7:$AI$246,0),MATCH('Decline and Model'!BL$8,Royalty!$U$1:$Z$1,0))</f>
        <v>1.3887906584173011E-2</v>
      </c>
      <c r="BM82" s="127">
        <f t="array" ref="BM82">BG82*INDEX(Royalty!$U$7:$Z$246,MATCH('Decline and Model'!$E82,Royalty!$AI$7:$AI$246,0),MATCH('Decline and Model'!BM$8,Royalty!$U$1:$Z$1,0))</f>
        <v>1.8653371718644264E-2</v>
      </c>
      <c r="BN82" s="127">
        <f t="array" ref="BN82">BH82*INDEX(Royalty!$U$7:$Z$246,MATCH('Decline and Model'!$E82,Royalty!$AI$7:$AI$246,0),MATCH('Decline and Model'!BN$8,Royalty!$U$1:$Z$1,0))</f>
        <v>1.3497945808347627E-2</v>
      </c>
      <c r="BO82" s="127">
        <f t="array" ref="BO82">BI82*INDEX(Royalty!$U$7:$Z$246,MATCH('Decline and Model'!$E82,Royalty!$AI$7:$AI$246,0),MATCH('Decline and Model'!BO$8,Royalty!$U$1:$Z$1,0))</f>
        <v>4.1794637881598894E-3</v>
      </c>
      <c r="BP82" s="135">
        <f t="shared" si="70"/>
        <v>0.24628187971257726</v>
      </c>
      <c r="BQ82" s="7"/>
      <c r="BR82" s="7"/>
      <c r="BS82">
        <v>74</v>
      </c>
      <c r="BT82" s="120">
        <f t="shared" si="71"/>
        <v>54020.598186600568</v>
      </c>
      <c r="BU82" s="113">
        <f t="shared" si="72"/>
        <v>38721.143378051042</v>
      </c>
      <c r="BV82" s="113">
        <f t="shared" si="73"/>
        <v>11616.343013415313</v>
      </c>
      <c r="BW82" s="113">
        <f t="shared" si="106"/>
        <v>2347099.6298094378</v>
      </c>
      <c r="BX82" s="113">
        <f t="shared" si="99"/>
        <v>51881.34780541683</v>
      </c>
      <c r="BY82" s="120">
        <f t="shared" si="100"/>
        <v>63105.158658476728</v>
      </c>
      <c r="BZ82" s="153">
        <f t="shared" si="107"/>
        <v>0</v>
      </c>
      <c r="CA82" s="120">
        <f t="shared" ref="CA82:CA145" si="110">IF(BY82&gt;0,MAX(BY82+BZ81,0),0)</f>
        <v>63105.158658476728</v>
      </c>
      <c r="CB82" s="120">
        <f t="shared" si="101"/>
        <v>15776.289664619182</v>
      </c>
      <c r="CC82" s="153">
        <f t="shared" si="102"/>
        <v>99210.216799274378</v>
      </c>
      <c r="CD82" s="7">
        <f t="shared" si="74"/>
        <v>56689.504857943153</v>
      </c>
      <c r="CE82" s="11">
        <f>SUM($CD$9:CD82)</f>
        <v>23330735.606573917</v>
      </c>
      <c r="CF82" s="11">
        <f t="shared" si="103"/>
        <v>12000000</v>
      </c>
      <c r="CG82">
        <f t="shared" si="104"/>
        <v>11330735.606573917</v>
      </c>
      <c r="CJ82" s="224">
        <f t="shared" si="108"/>
        <v>0.230073</v>
      </c>
      <c r="CK82" s="221">
        <f t="shared" si="108"/>
        <v>19357413.75900472</v>
      </c>
    </row>
    <row r="83" spans="1:89" ht="18.45">
      <c r="A83">
        <f t="shared" si="75"/>
        <v>2023</v>
      </c>
      <c r="B83">
        <f t="shared" si="76"/>
        <v>30.416666666666668</v>
      </c>
      <c r="C83">
        <f t="shared" si="51"/>
        <v>7</v>
      </c>
      <c r="E83" s="97">
        <v>45078</v>
      </c>
      <c r="F83" s="2">
        <f>$F$6*EXP(-$F$3*COUNT($E$9:$E83))</f>
        <v>18.848626664740483</v>
      </c>
      <c r="G83" s="260">
        <f>$F$6/(1+$F$5*$F$3*COUNT($E$9:$E83))^(1/$F$5)</f>
        <v>41.663498944381068</v>
      </c>
      <c r="H83" s="260">
        <f>$H$6/(1+$H$5*$H$3*COUNT($E$9:$E83))^(1/$H$5)</f>
        <v>286.10634149280349</v>
      </c>
      <c r="I83" s="260">
        <f t="shared" si="77"/>
        <v>54.496445998629234</v>
      </c>
      <c r="J83" s="260">
        <f t="shared" si="78"/>
        <v>22.692320113829211</v>
      </c>
      <c r="K83" s="260">
        <f t="shared" si="78"/>
        <v>15.438843151411662</v>
      </c>
      <c r="L83" s="260">
        <f t="shared" si="78"/>
        <v>7.3624698544148091</v>
      </c>
      <c r="M83" s="260">
        <f t="shared" si="78"/>
        <v>9.0082625235734124</v>
      </c>
      <c r="N83" s="19">
        <f t="shared" si="79"/>
        <v>573.31239438585635</v>
      </c>
      <c r="O83" s="19">
        <f t="shared" si="80"/>
        <v>1267.2647595582575</v>
      </c>
      <c r="P83" s="19">
        <f t="shared" si="81"/>
        <v>8702.4012204061073</v>
      </c>
      <c r="Q83" s="19">
        <f t="shared" si="82"/>
        <v>1657.600232458306</v>
      </c>
      <c r="R83" s="19">
        <f t="shared" si="83"/>
        <v>690.22473679563859</v>
      </c>
      <c r="S83" s="19">
        <f t="shared" si="84"/>
        <v>469.59814585543808</v>
      </c>
      <c r="T83" s="19">
        <f t="shared" si="85"/>
        <v>223.94179140511713</v>
      </c>
      <c r="U83" s="19">
        <f t="shared" si="86"/>
        <v>274.00131842535797</v>
      </c>
      <c r="V83" s="261">
        <f t="shared" si="105"/>
        <v>3792.3853543009423</v>
      </c>
      <c r="W83" s="261">
        <f>SUM(O$9:O83)</f>
        <v>518025.43905014504</v>
      </c>
      <c r="X83" s="261">
        <f>SUM(P$9:P83)</f>
        <v>1886339.2954310325</v>
      </c>
      <c r="Y83" s="261">
        <f>SUM(Q$9:Q83)</f>
        <v>359302.72293924406</v>
      </c>
      <c r="Z83" s="261">
        <f>SUM($V$9:V83)</f>
        <v>1065372.5542803735</v>
      </c>
      <c r="AB83" s="257">
        <f t="array" ref="AB83">(INDEX(PriceDeck!$C$18:$O$77,MATCH('Decline and Model'!$A83,PriceDeck!$B$18:$B$77,0),MATCH('Decline and Model'!AB$8,PriceDeck!$C$13:$O$13,0))*(1+$AE$6))</f>
        <v>78.8</v>
      </c>
      <c r="AC83" s="257">
        <f t="array" ref="AC83">INDEX(PriceDeck!$C$18:$O$77,MATCH('Decline and Model'!$A83,PriceDeck!$B$18:$B$77,0),MATCH('Decline and Model'!AC$8,PriceDeck!$C$13:$O$13,0))*(1+$AE$6)</f>
        <v>90</v>
      </c>
      <c r="AD83" s="257">
        <f t="array" ref="AD83">INDEX(PriceDeck!$C$18:$O$77,MATCH('Decline and Model'!$A83,PriceDeck!$B$18:$B$77,0),MATCH('Decline and Model'!AD$8,PriceDeck!$C$13:$O$13,0))*(1+$AE$6)</f>
        <v>15.4</v>
      </c>
      <c r="AE83" s="257">
        <f t="array" ref="AE83">INDEX(PriceDeck!$C$18:$O$77,MATCH('Decline and Model'!$A83,PriceDeck!$B$18:$B$77,0),MATCH('Decline and Model'!AE$8,PriceDeck!$C$13:$O$13,0))*(1+$AE$6)</f>
        <v>31.5</v>
      </c>
      <c r="AF83" s="257">
        <f t="array" ref="AF83">INDEX(PriceDeck!$C$18:$O$77,MATCH('Decline and Model'!$A83,PriceDeck!$B$18:$B$77,0),MATCH('Decline and Model'!AF$8,PriceDeck!$C$13:$O$13,0))*(1+$AE$6)</f>
        <v>93.4</v>
      </c>
      <c r="AG83" s="257">
        <f t="array" ref="AG83">INDEX(PriceDeck!$C$18:$O$77,MATCH('Decline and Model'!$A83,PriceDeck!$B$18:$B$77,0),MATCH('Decline and Model'!AG$8,PriceDeck!$C$13:$O$13,0))*(1+$AE$6)</f>
        <v>65.900000000000006</v>
      </c>
      <c r="AH83" s="258">
        <f t="array" ref="AH83">INDEX(PriceDeck!$C$18:$O$77,MATCH('Decline and Model'!$A83,PriceDeck!$B$18:$B$77,0),MATCH('Decline and Model'!AH$8,PriceDeck!$C$13:$O$13,0))</f>
        <v>0.85</v>
      </c>
      <c r="AI83" s="258">
        <f t="shared" si="87"/>
        <v>4.0999999999999996</v>
      </c>
      <c r="AJ83" s="259">
        <f t="shared" si="62"/>
        <v>4.0999999999999996</v>
      </c>
      <c r="AK83" s="120">
        <v>4.0999999999999996</v>
      </c>
      <c r="AL83" s="120"/>
      <c r="AN83" s="7">
        <f t="shared" si="88"/>
        <v>114053.82836024318</v>
      </c>
      <c r="AO83" s="7">
        <f t="shared" si="89"/>
        <v>35679.845003665039</v>
      </c>
      <c r="AP83" s="7">
        <f t="shared" si="90"/>
        <v>10629.460946652835</v>
      </c>
      <c r="AQ83" s="7">
        <f t="shared" si="91"/>
        <v>14792.341594446299</v>
      </c>
      <c r="AR83" s="7">
        <f t="shared" si="92"/>
        <v>20916.163317237941</v>
      </c>
      <c r="AS83" s="7">
        <f t="shared" si="93"/>
        <v>18056.686884231091</v>
      </c>
      <c r="AT83" s="7">
        <f t="shared" si="94"/>
        <v>214128.32610647639</v>
      </c>
      <c r="AU83">
        <f>SUM($AT$9:AT83)</f>
        <v>56702211.567820258</v>
      </c>
      <c r="AV83" s="7">
        <f>AT83/(1+$AR$5)^(COUNT($E$9:E83))</f>
        <v>121432.76311162858</v>
      </c>
      <c r="AW83" s="7">
        <f t="shared" si="109"/>
        <v>0</v>
      </c>
      <c r="AX83" s="7">
        <f t="shared" si="95"/>
        <v>0</v>
      </c>
      <c r="AY83" s="117">
        <f t="shared" si="96"/>
        <v>0</v>
      </c>
      <c r="AZ83" s="117">
        <f t="shared" si="97"/>
        <v>214128.32610647639</v>
      </c>
      <c r="BA83" s="120">
        <f t="shared" si="98"/>
        <v>52669.806041998534</v>
      </c>
      <c r="BB83" s="119">
        <f t="shared" si="63"/>
        <v>0</v>
      </c>
      <c r="BC83" s="17"/>
      <c r="BD83" s="126">
        <f t="shared" si="64"/>
        <v>0.53264241323928962</v>
      </c>
      <c r="BE83" s="127">
        <f t="shared" si="65"/>
        <v>0.16662832821998083</v>
      </c>
      <c r="BF83" s="127">
        <f t="shared" si="66"/>
        <v>4.9640611029515454E-2</v>
      </c>
      <c r="BG83" s="127">
        <f t="shared" si="67"/>
        <v>6.9081666416664245E-2</v>
      </c>
      <c r="BH83" s="127">
        <f t="shared" si="68"/>
        <v>9.7680506346634735E-2</v>
      </c>
      <c r="BI83" s="128">
        <f t="shared" si="69"/>
        <v>8.4326474747915006E-2</v>
      </c>
      <c r="BJ83" s="126">
        <f t="array" ref="BJ83">BD83*INDEX(Royalty!$U$7:$Z$246,MATCH('Decline and Model'!$E83,Royalty!$AI$7:$AI$246,0),MATCH('Decline and Model'!BJ$8,Royalty!$U$1:$Z$1,0))</f>
        <v>0.14982955125582773</v>
      </c>
      <c r="BK83" s="127">
        <f t="array" ref="BK83">BE83*INDEX(Royalty!$U$7:$Z$246,MATCH('Decline and Model'!$E83,Royalty!$AI$7:$AI$246,0),MATCH('Decline and Model'!BK$8,Royalty!$U$1:$Z$1,0))</f>
        <v>4.5481957180598935E-2</v>
      </c>
      <c r="BL83" s="127">
        <f t="array" ref="BL83">BF83*INDEX(Royalty!$U$7:$Z$246,MATCH('Decline and Model'!$E83,Royalty!$AI$7:$AI$246,0),MATCH('Decline and Model'!BL$8,Royalty!$U$1:$Z$1,0))</f>
        <v>1.4010388212829588E-2</v>
      </c>
      <c r="BM83" s="127">
        <f t="array" ref="BM83">BG83*INDEX(Royalty!$U$7:$Z$246,MATCH('Decline and Model'!$E83,Royalty!$AI$7:$AI$246,0),MATCH('Decline and Model'!BM$8,Royalty!$U$1:$Z$1,0))</f>
        <v>1.8817881418805971E-2</v>
      </c>
      <c r="BN83" s="127">
        <f t="array" ref="BN83">BH83*INDEX(Royalty!$U$7:$Z$246,MATCH('Decline and Model'!$E83,Royalty!$AI$7:$AI$246,0),MATCH('Decline and Model'!BN$8,Royalty!$U$1:$Z$1,0))</f>
        <v>1.3616988255537523E-2</v>
      </c>
      <c r="BO83" s="127">
        <f t="array" ref="BO83">BI83*INDEX(Royalty!$U$7:$Z$246,MATCH('Decline and Model'!$E83,Royalty!$AI$7:$AI$246,0),MATCH('Decline and Model'!BO$8,Royalty!$U$1:$Z$1,0))</f>
        <v>4.2163237373957505E-3</v>
      </c>
      <c r="BP83" s="135">
        <f t="shared" si="70"/>
        <v>0.24597309006099552</v>
      </c>
      <c r="BQ83" s="7"/>
      <c r="BR83" s="7"/>
      <c r="BS83">
        <v>75</v>
      </c>
      <c r="BT83" s="120">
        <f t="shared" si="71"/>
        <v>52669.806041998534</v>
      </c>
      <c r="BU83" s="113">
        <f t="shared" si="72"/>
        <v>37923.85354300942</v>
      </c>
      <c r="BV83" s="113">
        <f t="shared" si="73"/>
        <v>11377.156062902826</v>
      </c>
      <c r="BW83" s="113">
        <f t="shared" si="106"/>
        <v>2295218.2820040211</v>
      </c>
      <c r="BX83" s="113">
        <f t="shared" si="99"/>
        <v>50734.539116121799</v>
      </c>
      <c r="BY83" s="120">
        <f t="shared" si="100"/>
        <v>61422.971342443823</v>
      </c>
      <c r="BZ83" s="153">
        <f t="shared" si="107"/>
        <v>0</v>
      </c>
      <c r="CA83" s="120">
        <f t="shared" si="110"/>
        <v>61422.971342443823</v>
      </c>
      <c r="CB83" s="120">
        <f t="shared" si="101"/>
        <v>15355.742835610956</v>
      </c>
      <c r="CC83" s="153">
        <f t="shared" si="102"/>
        <v>96801.767622954663</v>
      </c>
      <c r="CD83" s="7">
        <f t="shared" si="74"/>
        <v>54896.548860611671</v>
      </c>
      <c r="CE83" s="11">
        <f>SUM($CD$9:CD83)</f>
        <v>23385632.15543453</v>
      </c>
      <c r="CF83" s="11">
        <f t="shared" si="103"/>
        <v>12000000</v>
      </c>
      <c r="CG83">
        <f t="shared" si="104"/>
        <v>11385632.15543453</v>
      </c>
      <c r="CJ83" s="225">
        <f t="shared" si="108"/>
        <v>0.33007300000000001</v>
      </c>
      <c r="CK83" s="222">
        <f t="shared" si="108"/>
        <v>21657862.215784505</v>
      </c>
    </row>
    <row r="84" spans="1:89">
      <c r="A84">
        <f t="shared" si="75"/>
        <v>2023</v>
      </c>
      <c r="B84">
        <f t="shared" si="76"/>
        <v>30.416666666666668</v>
      </c>
      <c r="C84">
        <f t="shared" si="51"/>
        <v>7</v>
      </c>
      <c r="E84" s="97">
        <v>45108</v>
      </c>
      <c r="F84" s="2">
        <f>$F$6*EXP(-$F$3*COUNT($E$9:$E84))</f>
        <v>17.929368294929901</v>
      </c>
      <c r="G84" s="260">
        <f>$F$6/(1+$F$5*$F$3*COUNT($E$9:$E84))^(1/$F$5)</f>
        <v>40.369335035607541</v>
      </c>
      <c r="H84" s="260">
        <f>$H$6/(1+$H$5*$H$3*COUNT($E$9:$E84))^(1/$H$5)</f>
        <v>281.81219900247066</v>
      </c>
      <c r="I84" s="260">
        <f t="shared" si="77"/>
        <v>53.678514095708692</v>
      </c>
      <c r="J84" s="260">
        <f t="shared" si="78"/>
        <v>22.351733269453099</v>
      </c>
      <c r="K84" s="260">
        <f t="shared" si="78"/>
        <v>15.207123043314272</v>
      </c>
      <c r="L84" s="260">
        <f t="shared" si="78"/>
        <v>7.2519672543302445</v>
      </c>
      <c r="M84" s="260">
        <f t="shared" si="78"/>
        <v>8.8730583800206464</v>
      </c>
      <c r="N84" s="19">
        <f t="shared" si="79"/>
        <v>545.35161897078456</v>
      </c>
      <c r="O84" s="19">
        <f t="shared" si="80"/>
        <v>1227.9006073330627</v>
      </c>
      <c r="P84" s="19">
        <f t="shared" si="81"/>
        <v>8571.7877196584832</v>
      </c>
      <c r="Q84" s="19">
        <f t="shared" si="82"/>
        <v>1632.7214704111395</v>
      </c>
      <c r="R84" s="19">
        <f t="shared" si="83"/>
        <v>679.86522027919841</v>
      </c>
      <c r="S84" s="19">
        <f t="shared" si="84"/>
        <v>462.54999256747578</v>
      </c>
      <c r="T84" s="19">
        <f t="shared" si="85"/>
        <v>220.58067065254494</v>
      </c>
      <c r="U84" s="19">
        <f t="shared" si="86"/>
        <v>269.88885905896132</v>
      </c>
      <c r="V84" s="261">
        <f t="shared" si="105"/>
        <v>3715.1219105657337</v>
      </c>
      <c r="W84" s="261">
        <f>SUM(O$9:O84)</f>
        <v>519253.33965747809</v>
      </c>
      <c r="X84" s="261">
        <f>SUM(P$9:P84)</f>
        <v>1894911.0831506911</v>
      </c>
      <c r="Y84" s="261">
        <f>SUM(Q$9:Q84)</f>
        <v>360935.44440965523</v>
      </c>
      <c r="Z84" s="261">
        <f>SUM($V$9:V84)</f>
        <v>1069087.6761909393</v>
      </c>
      <c r="AB84" s="257">
        <f t="array" ref="AB84">(INDEX(PriceDeck!$C$18:$O$77,MATCH('Decline and Model'!$A84,PriceDeck!$B$18:$B$77,0),MATCH('Decline and Model'!AB$8,PriceDeck!$C$13:$O$13,0))*(1+$AE$6))</f>
        <v>78.8</v>
      </c>
      <c r="AC84" s="257">
        <f t="array" ref="AC84">INDEX(PriceDeck!$C$18:$O$77,MATCH('Decline and Model'!$A84,PriceDeck!$B$18:$B$77,0),MATCH('Decline and Model'!AC$8,PriceDeck!$C$13:$O$13,0))*(1+$AE$6)</f>
        <v>90</v>
      </c>
      <c r="AD84" s="257">
        <f t="array" ref="AD84">INDEX(PriceDeck!$C$18:$O$77,MATCH('Decline and Model'!$A84,PriceDeck!$B$18:$B$77,0),MATCH('Decline and Model'!AD$8,PriceDeck!$C$13:$O$13,0))*(1+$AE$6)</f>
        <v>15.4</v>
      </c>
      <c r="AE84" s="257">
        <f t="array" ref="AE84">INDEX(PriceDeck!$C$18:$O$77,MATCH('Decline and Model'!$A84,PriceDeck!$B$18:$B$77,0),MATCH('Decline and Model'!AE$8,PriceDeck!$C$13:$O$13,0))*(1+$AE$6)</f>
        <v>31.5</v>
      </c>
      <c r="AF84" s="257">
        <f t="array" ref="AF84">INDEX(PriceDeck!$C$18:$O$77,MATCH('Decline and Model'!$A84,PriceDeck!$B$18:$B$77,0),MATCH('Decline and Model'!AF$8,PriceDeck!$C$13:$O$13,0))*(1+$AE$6)</f>
        <v>93.4</v>
      </c>
      <c r="AG84" s="257">
        <f t="array" ref="AG84">INDEX(PriceDeck!$C$18:$O$77,MATCH('Decline and Model'!$A84,PriceDeck!$B$18:$B$77,0),MATCH('Decline and Model'!AG$8,PriceDeck!$C$13:$O$13,0))*(1+$AE$6)</f>
        <v>65.900000000000006</v>
      </c>
      <c r="AH84" s="258">
        <f t="array" ref="AH84">INDEX(PriceDeck!$C$18:$O$77,MATCH('Decline and Model'!$A84,PriceDeck!$B$18:$B$77,0),MATCH('Decline and Model'!AH$8,PriceDeck!$C$13:$O$13,0))</f>
        <v>0.85</v>
      </c>
      <c r="AI84" s="258">
        <f t="shared" si="87"/>
        <v>4.0999999999999996</v>
      </c>
      <c r="AJ84" s="259">
        <f t="shared" si="62"/>
        <v>4.0999999999999996</v>
      </c>
      <c r="AK84" s="120">
        <v>4.0999999999999996</v>
      </c>
      <c r="AL84" s="120"/>
      <c r="AN84" s="7">
        <f t="shared" si="88"/>
        <v>110511.05465997563</v>
      </c>
      <c r="AO84" s="7">
        <f t="shared" si="89"/>
        <v>35144.329650599779</v>
      </c>
      <c r="AP84" s="7">
        <f t="shared" si="90"/>
        <v>10469.924392299656</v>
      </c>
      <c r="AQ84" s="7">
        <f t="shared" si="91"/>
        <v>14570.324765875488</v>
      </c>
      <c r="AR84" s="7">
        <f t="shared" si="92"/>
        <v>20602.234638947699</v>
      </c>
      <c r="AS84" s="7">
        <f t="shared" si="93"/>
        <v>17785.675811985551</v>
      </c>
      <c r="AT84" s="7">
        <f t="shared" si="94"/>
        <v>209083.54391968384</v>
      </c>
      <c r="AU84">
        <f>SUM($AT$9:AT84)</f>
        <v>56911295.111739941</v>
      </c>
      <c r="AV84" s="7">
        <f>AT84/(1+$AR$5)^(COUNT($E$9:E84))</f>
        <v>117678.49293363841</v>
      </c>
      <c r="AW84" s="7">
        <f t="shared" si="109"/>
        <v>0</v>
      </c>
      <c r="AX84" s="7">
        <f t="shared" si="95"/>
        <v>0</v>
      </c>
      <c r="AY84" s="117">
        <f t="shared" si="96"/>
        <v>0</v>
      </c>
      <c r="AZ84" s="117">
        <f t="shared" si="97"/>
        <v>209083.54391968384</v>
      </c>
      <c r="BA84" s="120">
        <f t="shared" si="98"/>
        <v>51364.253031263819</v>
      </c>
      <c r="BB84" s="119">
        <f t="shared" si="63"/>
        <v>0</v>
      </c>
      <c r="BC84" s="17"/>
      <c r="BD84" s="126">
        <f t="shared" si="64"/>
        <v>0.52854974900572149</v>
      </c>
      <c r="BE84" s="127">
        <f t="shared" si="65"/>
        <v>0.16808749742686552</v>
      </c>
      <c r="BF84" s="127">
        <f t="shared" si="66"/>
        <v>5.0075315330992826E-2</v>
      </c>
      <c r="BG84" s="127">
        <f t="shared" si="67"/>
        <v>6.9686616616142921E-2</v>
      </c>
      <c r="BH84" s="127">
        <f t="shared" si="68"/>
        <v>9.8535897434671962E-2</v>
      </c>
      <c r="BI84" s="128">
        <f t="shared" si="69"/>
        <v>8.5064924185605156E-2</v>
      </c>
      <c r="BJ84" s="126">
        <f t="array" ref="BJ84">BD84*INDEX(Royalty!$U$7:$Z$246,MATCH('Decline and Model'!$E84,Royalty!$AI$7:$AI$246,0),MATCH('Decline and Model'!BJ$8,Royalty!$U$1:$Z$1,0))</f>
        <v>0.14867830601077284</v>
      </c>
      <c r="BK84" s="127">
        <f t="array" ref="BK84">BE84*INDEX(Royalty!$U$7:$Z$246,MATCH('Decline and Model'!$E84,Royalty!$AI$7:$AI$246,0),MATCH('Decline and Model'!BK$8,Royalty!$U$1:$Z$1,0))</f>
        <v>4.5880244027113784E-2</v>
      </c>
      <c r="BL84" s="127">
        <f t="array" ref="BL84">BF84*INDEX(Royalty!$U$7:$Z$246,MATCH('Decline and Model'!$E84,Royalty!$AI$7:$AI$246,0),MATCH('Decline and Model'!BL$8,Royalty!$U$1:$Z$1,0))</f>
        <v>1.413307759749215E-2</v>
      </c>
      <c r="BM84" s="127">
        <f t="array" ref="BM84">BG84*INDEX(Royalty!$U$7:$Z$246,MATCH('Decline and Model'!$E84,Royalty!$AI$7:$AI$246,0),MATCH('Decline and Model'!BM$8,Royalty!$U$1:$Z$1,0))</f>
        <v>1.8982670163903856E-2</v>
      </c>
      <c r="BN84" s="127">
        <f t="array" ref="BN84">BH84*INDEX(Royalty!$U$7:$Z$246,MATCH('Decline and Model'!$E84,Royalty!$AI$7:$AI$246,0),MATCH('Decline and Model'!BN$8,Royalty!$U$1:$Z$1,0))</f>
        <v>1.3736232625118904E-2</v>
      </c>
      <c r="BO84" s="127">
        <f t="array" ref="BO84">BI84*INDEX(Royalty!$U$7:$Z$246,MATCH('Decline and Model'!$E84,Royalty!$AI$7:$AI$246,0),MATCH('Decline and Model'!BO$8,Royalty!$U$1:$Z$1,0))</f>
        <v>4.2532462092802576E-3</v>
      </c>
      <c r="BP84" s="135">
        <f t="shared" si="70"/>
        <v>0.24566377663368183</v>
      </c>
      <c r="BQ84" s="7"/>
      <c r="BR84" s="7"/>
      <c r="BS84">
        <v>76</v>
      </c>
      <c r="BT84" s="120">
        <f t="shared" si="71"/>
        <v>51364.253031263819</v>
      </c>
      <c r="BU84" s="113">
        <f t="shared" si="72"/>
        <v>37151.219105657336</v>
      </c>
      <c r="BV84" s="113">
        <f t="shared" si="73"/>
        <v>11145.365731697202</v>
      </c>
      <c r="BW84" s="113">
        <f t="shared" si="106"/>
        <v>2244483.7428878993</v>
      </c>
      <c r="BX84" s="113">
        <f t="shared" si="99"/>
        <v>49613.080002839612</v>
      </c>
      <c r="BY84" s="120">
        <f t="shared" si="100"/>
        <v>59809.626048225859</v>
      </c>
      <c r="BZ84" s="153">
        <f t="shared" si="107"/>
        <v>0</v>
      </c>
      <c r="CA84" s="120">
        <f t="shared" si="110"/>
        <v>59809.626048225859</v>
      </c>
      <c r="CB84" s="120">
        <f t="shared" si="101"/>
        <v>14952.406512056465</v>
      </c>
      <c r="CC84" s="153">
        <f t="shared" si="102"/>
        <v>94470.299539009007</v>
      </c>
      <c r="CD84" s="7">
        <f t="shared" si="74"/>
        <v>53170.71955223049</v>
      </c>
      <c r="CE84" s="11">
        <f>SUM($CD$9:CD84)</f>
        <v>23438802.87498676</v>
      </c>
      <c r="CF84" s="11">
        <f t="shared" si="103"/>
        <v>12000000</v>
      </c>
      <c r="CG84">
        <f t="shared" si="104"/>
        <v>11438802.87498676</v>
      </c>
    </row>
    <row r="85" spans="1:89" ht="18.45">
      <c r="A85">
        <f t="shared" si="75"/>
        <v>2023</v>
      </c>
      <c r="B85">
        <f t="shared" si="76"/>
        <v>30.416666666666668</v>
      </c>
      <c r="C85">
        <f t="shared" si="51"/>
        <v>7</v>
      </c>
      <c r="E85" s="97">
        <v>45139</v>
      </c>
      <c r="F85" s="2">
        <f>$F$6*EXP(-$F$3*COUNT($E$9:$E85))</f>
        <v>17.054942684847521</v>
      </c>
      <c r="G85" s="260">
        <f>$F$6/(1+$F$5*$F$3*COUNT($E$9:$E85))^(1/$F$5)</f>
        <v>39.121372848125048</v>
      </c>
      <c r="H85" s="260">
        <f>$H$6/(1+$H$5*$H$3*COUNT($E$9:$E85))^(1/$H$5)</f>
        <v>277.6273768745412</v>
      </c>
      <c r="I85" s="260">
        <f t="shared" si="77"/>
        <v>52.881405118960224</v>
      </c>
      <c r="J85" s="260">
        <f t="shared" si="78"/>
        <v>22.019817091535035</v>
      </c>
      <c r="K85" s="260">
        <f t="shared" si="78"/>
        <v>14.981302070201432</v>
      </c>
      <c r="L85" s="260">
        <f t="shared" si="78"/>
        <v>7.1442778315715261</v>
      </c>
      <c r="M85" s="260">
        <f t="shared" si="78"/>
        <v>8.7412962661641256</v>
      </c>
      <c r="N85" s="19">
        <f t="shared" si="79"/>
        <v>518.75450666411211</v>
      </c>
      <c r="O85" s="19">
        <f t="shared" si="80"/>
        <v>1189.9417574638037</v>
      </c>
      <c r="P85" s="19">
        <f t="shared" si="81"/>
        <v>8444.4993799339609</v>
      </c>
      <c r="Q85" s="19">
        <f t="shared" si="82"/>
        <v>1608.4760723683735</v>
      </c>
      <c r="R85" s="19">
        <f t="shared" si="83"/>
        <v>669.76943653419073</v>
      </c>
      <c r="S85" s="19">
        <f t="shared" si="84"/>
        <v>455.68127130196024</v>
      </c>
      <c r="T85" s="19">
        <f t="shared" si="85"/>
        <v>217.30511737696725</v>
      </c>
      <c r="U85" s="19">
        <f t="shared" si="86"/>
        <v>265.88109476249218</v>
      </c>
      <c r="V85" s="261">
        <f t="shared" si="105"/>
        <v>3640.2286100812466</v>
      </c>
      <c r="W85" s="261">
        <f>SUM(O$9:O85)</f>
        <v>520443.28141494188</v>
      </c>
      <c r="X85" s="261">
        <f>SUM(P$9:P85)</f>
        <v>1903355.5825306252</v>
      </c>
      <c r="Y85" s="261">
        <f>SUM(Q$9:Q85)</f>
        <v>362543.92048202362</v>
      </c>
      <c r="Z85" s="261">
        <f>SUM($V$9:V85)</f>
        <v>1072727.9048010204</v>
      </c>
      <c r="AB85" s="257">
        <f t="array" ref="AB85">(INDEX(PriceDeck!$C$18:$O$77,MATCH('Decline and Model'!$A85,PriceDeck!$B$18:$B$77,0),MATCH('Decline and Model'!AB$8,PriceDeck!$C$13:$O$13,0))*(1+$AE$6))</f>
        <v>78.8</v>
      </c>
      <c r="AC85" s="257">
        <f t="array" ref="AC85">INDEX(PriceDeck!$C$18:$O$77,MATCH('Decline and Model'!$A85,PriceDeck!$B$18:$B$77,0),MATCH('Decline and Model'!AC$8,PriceDeck!$C$13:$O$13,0))*(1+$AE$6)</f>
        <v>90</v>
      </c>
      <c r="AD85" s="257">
        <f t="array" ref="AD85">INDEX(PriceDeck!$C$18:$O$77,MATCH('Decline and Model'!$A85,PriceDeck!$B$18:$B$77,0),MATCH('Decline and Model'!AD$8,PriceDeck!$C$13:$O$13,0))*(1+$AE$6)</f>
        <v>15.4</v>
      </c>
      <c r="AE85" s="257">
        <f t="array" ref="AE85">INDEX(PriceDeck!$C$18:$O$77,MATCH('Decline and Model'!$A85,PriceDeck!$B$18:$B$77,0),MATCH('Decline and Model'!AE$8,PriceDeck!$C$13:$O$13,0))*(1+$AE$6)</f>
        <v>31.5</v>
      </c>
      <c r="AF85" s="257">
        <f t="array" ref="AF85">INDEX(PriceDeck!$C$18:$O$77,MATCH('Decline and Model'!$A85,PriceDeck!$B$18:$B$77,0),MATCH('Decline and Model'!AF$8,PriceDeck!$C$13:$O$13,0))*(1+$AE$6)</f>
        <v>93.4</v>
      </c>
      <c r="AG85" s="257">
        <f t="array" ref="AG85">INDEX(PriceDeck!$C$18:$O$77,MATCH('Decline and Model'!$A85,PriceDeck!$B$18:$B$77,0),MATCH('Decline and Model'!AG$8,PriceDeck!$C$13:$O$13,0))*(1+$AE$6)</f>
        <v>65.900000000000006</v>
      </c>
      <c r="AH85" s="258">
        <f t="array" ref="AH85">INDEX(PriceDeck!$C$18:$O$77,MATCH('Decline and Model'!$A85,PriceDeck!$B$18:$B$77,0),MATCH('Decline and Model'!AH$8,PriceDeck!$C$13:$O$13,0))</f>
        <v>0.85</v>
      </c>
      <c r="AI85" s="258">
        <f t="shared" si="87"/>
        <v>4.0999999999999996</v>
      </c>
      <c r="AJ85" s="259">
        <f t="shared" si="62"/>
        <v>4.0999999999999996</v>
      </c>
      <c r="AK85" s="120">
        <v>4.0999999999999996</v>
      </c>
      <c r="AL85" s="120"/>
      <c r="AN85" s="7">
        <f t="shared" si="88"/>
        <v>107094.75817174233</v>
      </c>
      <c r="AO85" s="7">
        <f t="shared" si="89"/>
        <v>34622.447457729235</v>
      </c>
      <c r="AP85" s="7">
        <f t="shared" si="90"/>
        <v>10314.449322626537</v>
      </c>
      <c r="AQ85" s="7">
        <f t="shared" si="91"/>
        <v>14353.960046011747</v>
      </c>
      <c r="AR85" s="7">
        <f t="shared" si="92"/>
        <v>20296.297963008743</v>
      </c>
      <c r="AS85" s="7">
        <f t="shared" si="93"/>
        <v>17521.564144848235</v>
      </c>
      <c r="AT85" s="7">
        <f t="shared" si="94"/>
        <v>204203.47710596686</v>
      </c>
      <c r="AU85">
        <f>SUM($AT$9:AT85)</f>
        <v>57115498.588845909</v>
      </c>
      <c r="AV85" s="7">
        <f>AT85/(1+$AR$5)^(COUNT($E$9:E85))</f>
        <v>114065.90962004292</v>
      </c>
      <c r="AW85" s="7">
        <f t="shared" si="109"/>
        <v>0</v>
      </c>
      <c r="AX85" s="7">
        <f t="shared" si="95"/>
        <v>0</v>
      </c>
      <c r="AY85" s="117">
        <f t="shared" si="96"/>
        <v>0</v>
      </c>
      <c r="AZ85" s="117">
        <f t="shared" si="97"/>
        <v>204203.47710596686</v>
      </c>
      <c r="BA85" s="120">
        <f t="shared" si="98"/>
        <v>50102.143656079861</v>
      </c>
      <c r="BB85" s="119">
        <f t="shared" si="63"/>
        <v>0</v>
      </c>
      <c r="BC85" s="17"/>
      <c r="BD85" s="126">
        <f t="shared" si="64"/>
        <v>0.52445119784208127</v>
      </c>
      <c r="BE85" s="127">
        <f t="shared" si="65"/>
        <v>0.16954876551765416</v>
      </c>
      <c r="BF85" s="127">
        <f t="shared" si="66"/>
        <v>5.0510644915581347E-2</v>
      </c>
      <c r="BG85" s="127">
        <f t="shared" si="67"/>
        <v>7.0292436982172829E-2</v>
      </c>
      <c r="BH85" s="127">
        <f t="shared" si="68"/>
        <v>9.9392518925994738E-2</v>
      </c>
      <c r="BI85" s="128">
        <f t="shared" si="69"/>
        <v>8.5804435816515548E-2</v>
      </c>
      <c r="BJ85" s="126">
        <f t="array" ref="BJ85">BD85*INDEX(Royalty!$U$7:$Z$246,MATCH('Decline and Model'!$E85,Royalty!$AI$7:$AI$246,0),MATCH('Decline and Model'!BJ$8,Royalty!$U$1:$Z$1,0))</f>
        <v>0.1475254048027885</v>
      </c>
      <c r="BK85" s="127">
        <f t="array" ref="BK85">BE85*INDEX(Royalty!$U$7:$Z$246,MATCH('Decline and Model'!$E85,Royalty!$AI$7:$AI$246,0),MATCH('Decline and Model'!BK$8,Royalty!$U$1:$Z$1,0))</f>
        <v>4.6279103773500266E-2</v>
      </c>
      <c r="BL85" s="127">
        <f t="array" ref="BL85">BF85*INDEX(Royalty!$U$7:$Z$246,MATCH('Decline and Model'!$E85,Royalty!$AI$7:$AI$246,0),MATCH('Decline and Model'!BL$8,Royalty!$U$1:$Z$1,0))</f>
        <v>1.4255943459819844E-2</v>
      </c>
      <c r="BM85" s="127">
        <f t="array" ref="BM85">BG85*INDEX(Royalty!$U$7:$Z$246,MATCH('Decline and Model'!$E85,Royalty!$AI$7:$AI$246,0),MATCH('Decline and Model'!BM$8,Royalty!$U$1:$Z$1,0))</f>
        <v>1.9147695942817296E-2</v>
      </c>
      <c r="BN85" s="127">
        <f t="array" ref="BN85">BH85*INDEX(Royalty!$U$7:$Z$246,MATCH('Decline and Model'!$E85,Royalty!$AI$7:$AI$246,0),MATCH('Decline and Model'!BN$8,Royalty!$U$1:$Z$1,0))</f>
        <v>1.3855648517020503E-2</v>
      </c>
      <c r="BO85" s="127">
        <f t="array" ref="BO85">BI85*INDEX(Royalty!$U$7:$Z$246,MATCH('Decline and Model'!$E85,Royalty!$AI$7:$AI$246,0),MATCH('Decline and Model'!BO$8,Royalty!$U$1:$Z$1,0))</f>
        <v>4.2902217908257776E-3</v>
      </c>
      <c r="BP85" s="135">
        <f t="shared" si="70"/>
        <v>0.2453540182867722</v>
      </c>
      <c r="BQ85" s="7"/>
      <c r="BR85" s="7"/>
      <c r="BS85">
        <v>77</v>
      </c>
      <c r="BT85" s="120">
        <f t="shared" si="71"/>
        <v>50102.143656079861</v>
      </c>
      <c r="BU85" s="113">
        <f t="shared" si="72"/>
        <v>36402.286100812467</v>
      </c>
      <c r="BV85" s="113">
        <f t="shared" si="73"/>
        <v>10920.685830243739</v>
      </c>
      <c r="BW85" s="113">
        <f t="shared" si="106"/>
        <v>2194870.6628850596</v>
      </c>
      <c r="BX85" s="113">
        <f t="shared" si="99"/>
        <v>48516.410127119729</v>
      </c>
      <c r="BY85" s="120">
        <f t="shared" si="100"/>
        <v>58261.95139171106</v>
      </c>
      <c r="BZ85" s="153">
        <f t="shared" si="107"/>
        <v>0</v>
      </c>
      <c r="CA85" s="120">
        <f t="shared" si="110"/>
        <v>58261.95139171106</v>
      </c>
      <c r="CB85" s="120">
        <f t="shared" si="101"/>
        <v>14565.487847927765</v>
      </c>
      <c r="CC85" s="153">
        <f t="shared" si="102"/>
        <v>92212.87367090302</v>
      </c>
      <c r="CD85" s="7">
        <f t="shared" si="74"/>
        <v>51509.139134253812</v>
      </c>
      <c r="CE85" s="11">
        <f>SUM($CD$9:CD85)</f>
        <v>23490312.014121015</v>
      </c>
      <c r="CF85" s="11">
        <f t="shared" si="103"/>
        <v>12000000</v>
      </c>
      <c r="CG85">
        <f t="shared" si="104"/>
        <v>11490312.014121015</v>
      </c>
      <c r="CJ85" s="226">
        <f>(1+CJ75)*AB9</f>
        <v>29.154015000000001</v>
      </c>
    </row>
    <row r="86" spans="1:89">
      <c r="A86">
        <f t="shared" si="75"/>
        <v>2023</v>
      </c>
      <c r="B86">
        <f t="shared" si="76"/>
        <v>30.416666666666668</v>
      </c>
      <c r="C86">
        <f t="shared" ref="C86:C149" si="111">C74+1</f>
        <v>7</v>
      </c>
      <c r="E86" s="97">
        <v>45170</v>
      </c>
      <c r="F86" s="2">
        <f>$F$6*EXP(-$F$3*COUNT($E$9:$E86))</f>
        <v>16.223163315000164</v>
      </c>
      <c r="G86" s="260">
        <f>$F$6/(1+$F$5*$F$3*COUNT($E$9:$E86))^(1/$F$5)</f>
        <v>37.917750751468404</v>
      </c>
      <c r="H86" s="260">
        <f>$H$6/(1+$H$5*$H$3*COUNT($E$9:$E86))^(1/$H$5)</f>
        <v>273.54797371778511</v>
      </c>
      <c r="I86" s="260">
        <f t="shared" si="77"/>
        <v>52.10437594624478</v>
      </c>
      <c r="J86" s="260">
        <f t="shared" si="78"/>
        <v>21.696262144016327</v>
      </c>
      <c r="K86" s="260">
        <f t="shared" si="78"/>
        <v>14.761169705571145</v>
      </c>
      <c r="L86" s="260">
        <f t="shared" si="78"/>
        <v>7.0393011903376692</v>
      </c>
      <c r="M86" s="260">
        <f t="shared" si="78"/>
        <v>8.6128533439142618</v>
      </c>
      <c r="N86" s="19">
        <f t="shared" si="79"/>
        <v>493.45455083125501</v>
      </c>
      <c r="O86" s="19">
        <f t="shared" si="80"/>
        <v>1153.3315853571639</v>
      </c>
      <c r="P86" s="19">
        <f t="shared" si="81"/>
        <v>8320.4175339159647</v>
      </c>
      <c r="Q86" s="19">
        <f t="shared" si="82"/>
        <v>1584.841435031612</v>
      </c>
      <c r="R86" s="19">
        <f t="shared" si="83"/>
        <v>659.92797354716333</v>
      </c>
      <c r="S86" s="19">
        <f t="shared" si="84"/>
        <v>448.98557854445568</v>
      </c>
      <c r="T86" s="19">
        <f t="shared" si="85"/>
        <v>214.11207787277078</v>
      </c>
      <c r="U86" s="19">
        <f t="shared" si="86"/>
        <v>261.97428921072549</v>
      </c>
      <c r="V86" s="261">
        <f t="shared" si="105"/>
        <v>3567.6143953111832</v>
      </c>
      <c r="W86" s="261">
        <f>SUM(O$9:O86)</f>
        <v>521596.61300029902</v>
      </c>
      <c r="X86" s="261">
        <f>SUM(P$9:P86)</f>
        <v>1911676.0000645411</v>
      </c>
      <c r="Y86" s="261">
        <f>SUM(Q$9:Q86)</f>
        <v>364128.76191705524</v>
      </c>
      <c r="Z86" s="261">
        <f>SUM($V$9:V86)</f>
        <v>1076295.5191963315</v>
      </c>
      <c r="AB86" s="257">
        <f t="array" ref="AB86">(INDEX(PriceDeck!$C$18:$O$77,MATCH('Decline and Model'!$A86,PriceDeck!$B$18:$B$77,0),MATCH('Decline and Model'!AB$8,PriceDeck!$C$13:$O$13,0))*(1+$AE$6))</f>
        <v>78.8</v>
      </c>
      <c r="AC86" s="257">
        <f t="array" ref="AC86">INDEX(PriceDeck!$C$18:$O$77,MATCH('Decline and Model'!$A86,PriceDeck!$B$18:$B$77,0),MATCH('Decline and Model'!AC$8,PriceDeck!$C$13:$O$13,0))*(1+$AE$6)</f>
        <v>90</v>
      </c>
      <c r="AD86" s="257">
        <f t="array" ref="AD86">INDEX(PriceDeck!$C$18:$O$77,MATCH('Decline and Model'!$A86,PriceDeck!$B$18:$B$77,0),MATCH('Decline and Model'!AD$8,PriceDeck!$C$13:$O$13,0))*(1+$AE$6)</f>
        <v>15.4</v>
      </c>
      <c r="AE86" s="257">
        <f t="array" ref="AE86">INDEX(PriceDeck!$C$18:$O$77,MATCH('Decline and Model'!$A86,PriceDeck!$B$18:$B$77,0),MATCH('Decline and Model'!AE$8,PriceDeck!$C$13:$O$13,0))*(1+$AE$6)</f>
        <v>31.5</v>
      </c>
      <c r="AF86" s="257">
        <f t="array" ref="AF86">INDEX(PriceDeck!$C$18:$O$77,MATCH('Decline and Model'!$A86,PriceDeck!$B$18:$B$77,0),MATCH('Decline and Model'!AF$8,PriceDeck!$C$13:$O$13,0))*(1+$AE$6)</f>
        <v>93.4</v>
      </c>
      <c r="AG86" s="257">
        <f t="array" ref="AG86">INDEX(PriceDeck!$C$18:$O$77,MATCH('Decline and Model'!$A86,PriceDeck!$B$18:$B$77,0),MATCH('Decline and Model'!AG$8,PriceDeck!$C$13:$O$13,0))*(1+$AE$6)</f>
        <v>65.900000000000006</v>
      </c>
      <c r="AH86" s="258">
        <f t="array" ref="AH86">INDEX(PriceDeck!$C$18:$O$77,MATCH('Decline and Model'!$A86,PriceDeck!$B$18:$B$77,0),MATCH('Decline and Model'!AH$8,PriceDeck!$C$13:$O$13,0))</f>
        <v>0.85</v>
      </c>
      <c r="AI86" s="258">
        <f t="shared" si="87"/>
        <v>4.0999999999999996</v>
      </c>
      <c r="AJ86" s="259">
        <f t="shared" si="62"/>
        <v>4.0999999999999996</v>
      </c>
      <c r="AK86" s="120">
        <v>4.0999999999999996</v>
      </c>
      <c r="AL86" s="120"/>
      <c r="AN86" s="7">
        <f t="shared" si="88"/>
        <v>103799.84268214475</v>
      </c>
      <c r="AO86" s="7">
        <f t="shared" si="89"/>
        <v>34113.711889055456</v>
      </c>
      <c r="AP86" s="7">
        <f t="shared" si="90"/>
        <v>10162.890792626316</v>
      </c>
      <c r="AQ86" s="7">
        <f t="shared" si="91"/>
        <v>14143.045724150354</v>
      </c>
      <c r="AR86" s="7">
        <f t="shared" si="92"/>
        <v>19998.068073316794</v>
      </c>
      <c r="AS86" s="7">
        <f t="shared" si="93"/>
        <v>17264.105658986809</v>
      </c>
      <c r="AT86" s="7">
        <f t="shared" si="94"/>
        <v>199481.66482028048</v>
      </c>
      <c r="AU86">
        <f>SUM($AT$9:AT86)</f>
        <v>57314980.253666192</v>
      </c>
      <c r="AV86" s="7">
        <f>AT86/(1+$AR$5)^(COUNT($E$9:E86))</f>
        <v>110588.81626328408</v>
      </c>
      <c r="AW86" s="7">
        <f t="shared" si="109"/>
        <v>0</v>
      </c>
      <c r="AX86" s="7">
        <f t="shared" si="95"/>
        <v>0</v>
      </c>
      <c r="AY86" s="117">
        <f t="shared" si="96"/>
        <v>0</v>
      </c>
      <c r="AZ86" s="117">
        <f t="shared" si="97"/>
        <v>199481.66482028048</v>
      </c>
      <c r="BA86" s="120">
        <f t="shared" si="98"/>
        <v>48881.763649689128</v>
      </c>
      <c r="BB86" s="119">
        <f t="shared" si="63"/>
        <v>0</v>
      </c>
      <c r="BC86" s="17"/>
      <c r="BD86" s="126">
        <f t="shared" si="64"/>
        <v>0.52034778622717737</v>
      </c>
      <c r="BE86" s="127">
        <f t="shared" si="65"/>
        <v>0.17101176651894101</v>
      </c>
      <c r="BF86" s="127">
        <f t="shared" si="66"/>
        <v>5.0946490755340322E-2</v>
      </c>
      <c r="BG86" s="127">
        <f t="shared" si="67"/>
        <v>7.0898975787535581E-2</v>
      </c>
      <c r="BH86" s="127">
        <f t="shared" si="68"/>
        <v>0.10025015628044665</v>
      </c>
      <c r="BI86" s="128">
        <f t="shared" si="69"/>
        <v>8.6544824430559095E-2</v>
      </c>
      <c r="BJ86" s="126">
        <f t="array" ref="BJ86">BD86*INDEX(Royalty!$U$7:$Z$246,MATCH('Decline and Model'!$E86,Royalty!$AI$7:$AI$246,0),MATCH('Decline and Model'!BJ$8,Royalty!$U$1:$Z$1,0))</f>
        <v>0.1463711363750454</v>
      </c>
      <c r="BK86" s="127">
        <f t="array" ref="BK86">BE86*INDEX(Royalty!$U$7:$Z$246,MATCH('Decline and Model'!$E86,Royalty!$AI$7:$AI$246,0),MATCH('Decline and Model'!BK$8,Royalty!$U$1:$Z$1,0))</f>
        <v>4.6678436525659048E-2</v>
      </c>
      <c r="BL86" s="127">
        <f t="array" ref="BL86">BF86*INDEX(Royalty!$U$7:$Z$246,MATCH('Decline and Model'!$E86,Royalty!$AI$7:$AI$246,0),MATCH('Decline and Model'!BL$8,Royalty!$U$1:$Z$1,0))</f>
        <v>1.4378955028157293E-2</v>
      </c>
      <c r="BM86" s="127">
        <f t="array" ref="BM86">BG86*INDEX(Royalty!$U$7:$Z$246,MATCH('Decline and Model'!$E86,Royalty!$AI$7:$AI$246,0),MATCH('Decline and Model'!BM$8,Royalty!$U$1:$Z$1,0))</f>
        <v>1.9312917424974062E-2</v>
      </c>
      <c r="BN86" s="127">
        <f t="array" ref="BN86">BH86*INDEX(Royalty!$U$7:$Z$246,MATCH('Decline and Model'!$E86,Royalty!$AI$7:$AI$246,0),MATCH('Decline and Model'!BN$8,Royalty!$U$1:$Z$1,0))</f>
        <v>1.3975206023629233E-2</v>
      </c>
      <c r="BO86" s="127">
        <f t="array" ref="BO86">BI86*INDEX(Royalty!$U$7:$Z$246,MATCH('Decline and Model'!$E86,Royalty!$AI$7:$AI$246,0),MATCH('Decline and Model'!BO$8,Royalty!$U$1:$Z$1,0))</f>
        <v>4.3272412215279547E-3</v>
      </c>
      <c r="BP86" s="135">
        <f t="shared" si="70"/>
        <v>0.24504389259899298</v>
      </c>
      <c r="BQ86" s="7"/>
      <c r="BR86" s="7"/>
      <c r="BS86">
        <v>78</v>
      </c>
      <c r="BT86" s="120">
        <f t="shared" si="71"/>
        <v>48881.763649689128</v>
      </c>
      <c r="BU86" s="113">
        <f t="shared" si="72"/>
        <v>35676.14395311183</v>
      </c>
      <c r="BV86" s="113">
        <f t="shared" si="73"/>
        <v>10702.843185933551</v>
      </c>
      <c r="BW86" s="113">
        <f t="shared" si="106"/>
        <v>2146354.25275794</v>
      </c>
      <c r="BX86" s="113">
        <f t="shared" si="99"/>
        <v>47443.981536485204</v>
      </c>
      <c r="BY86" s="120">
        <f t="shared" si="100"/>
        <v>56776.932495060762</v>
      </c>
      <c r="BZ86" s="153">
        <f t="shared" si="107"/>
        <v>0</v>
      </c>
      <c r="CA86" s="120">
        <f t="shared" si="110"/>
        <v>56776.932495060762</v>
      </c>
      <c r="CB86" s="120">
        <f t="shared" si="101"/>
        <v>14194.233123765191</v>
      </c>
      <c r="CC86" s="153">
        <f t="shared" si="102"/>
        <v>90026.68090778077</v>
      </c>
      <c r="CD86" s="7">
        <f t="shared" si="74"/>
        <v>49909.068498468296</v>
      </c>
      <c r="CE86" s="11">
        <f>SUM($CD$9:CD86)</f>
        <v>23540221.082619485</v>
      </c>
      <c r="CF86" s="11">
        <f t="shared" si="103"/>
        <v>12000000</v>
      </c>
      <c r="CG86">
        <f t="shared" si="104"/>
        <v>11540221.082619485</v>
      </c>
    </row>
    <row r="87" spans="1:89">
      <c r="A87">
        <f t="shared" si="75"/>
        <v>2023</v>
      </c>
      <c r="B87">
        <f t="shared" si="76"/>
        <v>30.416666666666668</v>
      </c>
      <c r="C87">
        <f t="shared" si="111"/>
        <v>7</v>
      </c>
      <c r="E87" s="97">
        <v>45200</v>
      </c>
      <c r="F87" s="2">
        <f>$F$6*EXP(-$F$3*COUNT($E$9:$E87))</f>
        <v>15.431950303708703</v>
      </c>
      <c r="G87" s="260">
        <f>$F$6/(1+$F$5*$F$3*COUNT($E$9:$E87))^(1/$F$5)</f>
        <v>36.756690596931811</v>
      </c>
      <c r="H87" s="260">
        <f>$H$6/(1+$H$5*$H$3*COUNT($E$9:$E87))^(1/$H$5)</f>
        <v>269.5702664531168</v>
      </c>
      <c r="I87" s="260">
        <f t="shared" si="77"/>
        <v>51.346717419641294</v>
      </c>
      <c r="J87" s="260">
        <f t="shared" si="78"/>
        <v>21.380773133538636</v>
      </c>
      <c r="K87" s="260">
        <f t="shared" si="78"/>
        <v>14.546525044984378</v>
      </c>
      <c r="L87" s="260">
        <f t="shared" si="78"/>
        <v>6.9369415233935383</v>
      </c>
      <c r="M87" s="260">
        <f t="shared" si="78"/>
        <v>8.4876123894667064</v>
      </c>
      <c r="N87" s="19">
        <f t="shared" si="79"/>
        <v>469.38848840447309</v>
      </c>
      <c r="O87" s="19">
        <f t="shared" si="80"/>
        <v>1118.016005656676</v>
      </c>
      <c r="P87" s="19">
        <f t="shared" si="81"/>
        <v>8199.4289379489692</v>
      </c>
      <c r="Q87" s="19">
        <f t="shared" si="82"/>
        <v>1561.795988180756</v>
      </c>
      <c r="R87" s="19">
        <f t="shared" si="83"/>
        <v>650.33184947846689</v>
      </c>
      <c r="S87" s="19">
        <f t="shared" si="84"/>
        <v>442.45680345160815</v>
      </c>
      <c r="T87" s="19">
        <f t="shared" si="85"/>
        <v>210.99863800322012</v>
      </c>
      <c r="U87" s="19">
        <f t="shared" si="86"/>
        <v>258.16487684627901</v>
      </c>
      <c r="V87" s="261">
        <f t="shared" si="105"/>
        <v>3497.1923217054414</v>
      </c>
      <c r="W87" s="261">
        <f>SUM(O$9:O87)</f>
        <v>522714.62900595571</v>
      </c>
      <c r="X87" s="261">
        <f>SUM(P$9:P87)</f>
        <v>1919875.4290024901</v>
      </c>
      <c r="Y87" s="261">
        <f>SUM(Q$9:Q87)</f>
        <v>365690.55790523597</v>
      </c>
      <c r="Z87" s="261">
        <f>SUM($V$9:V87)</f>
        <v>1079792.7115180369</v>
      </c>
      <c r="AB87" s="257">
        <f t="array" ref="AB87">(INDEX(PriceDeck!$C$18:$O$77,MATCH('Decline and Model'!$A87,PriceDeck!$B$18:$B$77,0),MATCH('Decline and Model'!AB$8,PriceDeck!$C$13:$O$13,0))*(1+$AE$6))</f>
        <v>78.8</v>
      </c>
      <c r="AC87" s="257">
        <f t="array" ref="AC87">INDEX(PriceDeck!$C$18:$O$77,MATCH('Decline and Model'!$A87,PriceDeck!$B$18:$B$77,0),MATCH('Decline and Model'!AC$8,PriceDeck!$C$13:$O$13,0))*(1+$AE$6)</f>
        <v>90</v>
      </c>
      <c r="AD87" s="257">
        <f t="array" ref="AD87">INDEX(PriceDeck!$C$18:$O$77,MATCH('Decline and Model'!$A87,PriceDeck!$B$18:$B$77,0),MATCH('Decline and Model'!AD$8,PriceDeck!$C$13:$O$13,0))*(1+$AE$6)</f>
        <v>15.4</v>
      </c>
      <c r="AE87" s="257">
        <f t="array" ref="AE87">INDEX(PriceDeck!$C$18:$O$77,MATCH('Decline and Model'!$A87,PriceDeck!$B$18:$B$77,0),MATCH('Decline and Model'!AE$8,PriceDeck!$C$13:$O$13,0))*(1+$AE$6)</f>
        <v>31.5</v>
      </c>
      <c r="AF87" s="257">
        <f t="array" ref="AF87">INDEX(PriceDeck!$C$18:$O$77,MATCH('Decline and Model'!$A87,PriceDeck!$B$18:$B$77,0),MATCH('Decline and Model'!AF$8,PriceDeck!$C$13:$O$13,0))*(1+$AE$6)</f>
        <v>93.4</v>
      </c>
      <c r="AG87" s="257">
        <f t="array" ref="AG87">INDEX(PriceDeck!$C$18:$O$77,MATCH('Decline and Model'!$A87,PriceDeck!$B$18:$B$77,0),MATCH('Decline and Model'!AG$8,PriceDeck!$C$13:$O$13,0))*(1+$AE$6)</f>
        <v>65.900000000000006</v>
      </c>
      <c r="AH87" s="258">
        <f t="array" ref="AH87">INDEX(PriceDeck!$C$18:$O$77,MATCH('Decline and Model'!$A87,PriceDeck!$B$18:$B$77,0),MATCH('Decline and Model'!AH$8,PriceDeck!$C$13:$O$13,0))</f>
        <v>0.85</v>
      </c>
      <c r="AI87" s="258">
        <f t="shared" si="87"/>
        <v>4.0999999999999996</v>
      </c>
      <c r="AJ87" s="259">
        <f t="shared" si="62"/>
        <v>4.0999999999999996</v>
      </c>
      <c r="AK87" s="120">
        <v>4.0999999999999996</v>
      </c>
      <c r="AL87" s="120"/>
      <c r="AN87" s="7">
        <f t="shared" si="88"/>
        <v>100621.44050910084</v>
      </c>
      <c r="AO87" s="7">
        <f t="shared" si="89"/>
        <v>33617.658645590767</v>
      </c>
      <c r="AP87" s="7">
        <f t="shared" si="90"/>
        <v>10015.11048196839</v>
      </c>
      <c r="AQ87" s="7">
        <f t="shared" si="91"/>
        <v>13937.389308725657</v>
      </c>
      <c r="AR87" s="7">
        <f t="shared" si="92"/>
        <v>19707.272789500759</v>
      </c>
      <c r="AS87" s="7">
        <f t="shared" si="93"/>
        <v>17013.065384169789</v>
      </c>
      <c r="AT87" s="7">
        <f t="shared" si="94"/>
        <v>194911.93711905621</v>
      </c>
      <c r="AU87">
        <f>SUM($AT$9:AT87)</f>
        <v>57509892.190785252</v>
      </c>
      <c r="AV87" s="7">
        <f>AT87/(1+$AR$5)^(COUNT($E$9:E87))</f>
        <v>107241.32054257128</v>
      </c>
      <c r="AW87" s="7">
        <f t="shared" si="109"/>
        <v>0</v>
      </c>
      <c r="AX87" s="7">
        <f t="shared" si="95"/>
        <v>0</v>
      </c>
      <c r="AY87" s="117">
        <f t="shared" si="96"/>
        <v>0</v>
      </c>
      <c r="AZ87" s="117">
        <f t="shared" si="97"/>
        <v>194911.93711905621</v>
      </c>
      <c r="BA87" s="120">
        <f t="shared" si="98"/>
        <v>47701.475860630002</v>
      </c>
      <c r="BB87" s="119">
        <f t="shared" si="63"/>
        <v>0</v>
      </c>
      <c r="BC87" s="17"/>
      <c r="BD87" s="126">
        <f t="shared" si="64"/>
        <v>0.51624052377889607</v>
      </c>
      <c r="BE87" s="127">
        <f t="shared" si="65"/>
        <v>0.17247614046879239</v>
      </c>
      <c r="BF87" s="127">
        <f t="shared" si="66"/>
        <v>5.1382745613219954E-2</v>
      </c>
      <c r="BG87" s="127">
        <f t="shared" si="67"/>
        <v>7.1506083797281295E-2</v>
      </c>
      <c r="BH87" s="127">
        <f t="shared" si="68"/>
        <v>0.10110859848190393</v>
      </c>
      <c r="BI87" s="128">
        <f t="shared" si="69"/>
        <v>8.7285907859906295E-2</v>
      </c>
      <c r="BJ87" s="126">
        <f t="array" ref="BJ87">BD87*INDEX(Royalty!$U$7:$Z$246,MATCH('Decline and Model'!$E87,Royalty!$AI$7:$AI$246,0),MATCH('Decline and Model'!BJ$8,Royalty!$U$1:$Z$1,0))</f>
        <v>0.14521578472782418</v>
      </c>
      <c r="BK87" s="127">
        <f t="array" ref="BK87">BE87*INDEX(Royalty!$U$7:$Z$246,MATCH('Decline and Model'!$E87,Royalty!$AI$7:$AI$246,0),MATCH('Decline and Model'!BK$8,Royalty!$U$1:$Z$1,0))</f>
        <v>4.707814403034935E-2</v>
      </c>
      <c r="BL87" s="127">
        <f t="array" ref="BL87">BF87*INDEX(Royalty!$U$7:$Z$246,MATCH('Decline and Model'!$E87,Royalty!$AI$7:$AI$246,0),MATCH('Decline and Model'!BL$8,Royalty!$U$1:$Z$1,0))</f>
        <v>1.4502082036303755E-2</v>
      </c>
      <c r="BM87" s="127">
        <f t="array" ref="BM87">BG87*INDEX(Royalty!$U$7:$Z$246,MATCH('Decline and Model'!$E87,Royalty!$AI$7:$AI$246,0),MATCH('Decline and Model'!BM$8,Royalty!$U$1:$Z$1,0))</f>
        <v>1.9478293958697143E-2</v>
      </c>
      <c r="BN87" s="127">
        <f t="array" ref="BN87">BH87*INDEX(Royalty!$U$7:$Z$246,MATCH('Decline and Model'!$E87,Royalty!$AI$7:$AI$246,0),MATCH('Decline and Model'!BN$8,Royalty!$U$1:$Z$1,0))</f>
        <v>1.4094875728593905E-2</v>
      </c>
      <c r="BO87" s="127">
        <f t="array" ref="BO87">BI87*INDEX(Royalty!$U$7:$Z$246,MATCH('Decline and Model'!$E87,Royalty!$AI$7:$AI$246,0),MATCH('Decline and Model'!BO$8,Royalty!$U$1:$Z$1,0))</f>
        <v>4.3642953929953149E-3</v>
      </c>
      <c r="BP87" s="135">
        <f t="shared" si="70"/>
        <v>0.24473347587476368</v>
      </c>
      <c r="BQ87" s="7"/>
      <c r="BR87" s="7"/>
      <c r="BS87">
        <v>79</v>
      </c>
      <c r="BT87" s="120">
        <f t="shared" si="71"/>
        <v>47701.475860630002</v>
      </c>
      <c r="BU87" s="113">
        <f t="shared" si="72"/>
        <v>34971.923217054413</v>
      </c>
      <c r="BV87" s="113">
        <f t="shared" si="73"/>
        <v>10491.576965116325</v>
      </c>
      <c r="BW87" s="113">
        <f t="shared" si="106"/>
        <v>2098910.2712214547</v>
      </c>
      <c r="BX87" s="113">
        <f t="shared" si="99"/>
        <v>46395.258390647548</v>
      </c>
      <c r="BY87" s="120">
        <f t="shared" si="100"/>
        <v>55351.702685607903</v>
      </c>
      <c r="BZ87" s="153">
        <f t="shared" si="107"/>
        <v>0</v>
      </c>
      <c r="CA87" s="120">
        <f t="shared" si="110"/>
        <v>55351.702685607903</v>
      </c>
      <c r="CB87" s="120">
        <f t="shared" si="101"/>
        <v>13837.925671401976</v>
      </c>
      <c r="CC87" s="153">
        <f t="shared" si="102"/>
        <v>87909.035404853479</v>
      </c>
      <c r="CD87" s="7">
        <f t="shared" si="74"/>
        <v>48367.899800214087</v>
      </c>
      <c r="CE87" s="11">
        <f>SUM($CD$9:CD87)</f>
        <v>23588588.982419699</v>
      </c>
      <c r="CF87" s="11">
        <f t="shared" si="103"/>
        <v>12000000</v>
      </c>
      <c r="CG87">
        <f t="shared" si="104"/>
        <v>11588588.982419699</v>
      </c>
    </row>
    <row r="88" spans="1:89">
      <c r="A88">
        <f t="shared" si="75"/>
        <v>2023</v>
      </c>
      <c r="B88">
        <f t="shared" si="76"/>
        <v>30.416666666666668</v>
      </c>
      <c r="C88">
        <f t="shared" si="111"/>
        <v>7</v>
      </c>
      <c r="E88" s="97">
        <v>45231</v>
      </c>
      <c r="F88" s="2">
        <f>$F$6*EXP(-$F$3*COUNT($E$9:$E88))</f>
        <v>14.679325206320451</v>
      </c>
      <c r="G88" s="260">
        <f>$F$6/(1+$F$5*$F$3*COUNT($E$9:$E88))^(1/$F$5)</f>
        <v>35.636493597731572</v>
      </c>
      <c r="H88" s="260">
        <f>$H$6/(1+$H$5*$H$3*COUNT($E$9:$E88))^(1/$H$5)</f>
        <v>265.69070041445644</v>
      </c>
      <c r="I88" s="260">
        <f t="shared" si="77"/>
        <v>50.60775245989646</v>
      </c>
      <c r="J88" s="260">
        <f t="shared" si="78"/>
        <v>21.073068124300885</v>
      </c>
      <c r="K88" s="260">
        <f t="shared" si="78"/>
        <v>14.337176271888668</v>
      </c>
      <c r="L88" s="260">
        <f t="shared" si="78"/>
        <v>6.8371073573320116</v>
      </c>
      <c r="M88" s="260">
        <f t="shared" si="78"/>
        <v>8.3654614816208852</v>
      </c>
      <c r="N88" s="19">
        <f t="shared" si="79"/>
        <v>446.49614169224708</v>
      </c>
      <c r="O88" s="19">
        <f t="shared" si="80"/>
        <v>1083.943346931002</v>
      </c>
      <c r="P88" s="19">
        <f t="shared" si="81"/>
        <v>8081.4254709397173</v>
      </c>
      <c r="Q88" s="19">
        <f t="shared" si="82"/>
        <v>1539.3191373218508</v>
      </c>
      <c r="R88" s="19">
        <f t="shared" si="83"/>
        <v>640.97248878081859</v>
      </c>
      <c r="S88" s="19">
        <f t="shared" si="84"/>
        <v>436.08911160328034</v>
      </c>
      <c r="T88" s="19">
        <f t="shared" si="85"/>
        <v>207.96201545218202</v>
      </c>
      <c r="U88" s="19">
        <f t="shared" si="86"/>
        <v>254.44945339930194</v>
      </c>
      <c r="V88" s="261">
        <f t="shared" si="105"/>
        <v>3428.879345020468</v>
      </c>
      <c r="W88" s="261">
        <f>SUM(O$9:O88)</f>
        <v>523798.57235288672</v>
      </c>
      <c r="X88" s="261">
        <f>SUM(P$9:P88)</f>
        <v>1927956.8544734297</v>
      </c>
      <c r="Y88" s="261">
        <f>SUM(Q$9:Q88)</f>
        <v>367229.87704255781</v>
      </c>
      <c r="Z88" s="261">
        <f>SUM($V$9:V88)</f>
        <v>1083221.5908630574</v>
      </c>
      <c r="AB88" s="257">
        <f t="array" ref="AB88">(INDEX(PriceDeck!$C$18:$O$77,MATCH('Decline and Model'!$A88,PriceDeck!$B$18:$B$77,0),MATCH('Decline and Model'!AB$8,PriceDeck!$C$13:$O$13,0))*(1+$AE$6))</f>
        <v>78.8</v>
      </c>
      <c r="AC88" s="257">
        <f t="array" ref="AC88">INDEX(PriceDeck!$C$18:$O$77,MATCH('Decline and Model'!$A88,PriceDeck!$B$18:$B$77,0),MATCH('Decline and Model'!AC$8,PriceDeck!$C$13:$O$13,0))*(1+$AE$6)</f>
        <v>90</v>
      </c>
      <c r="AD88" s="257">
        <f t="array" ref="AD88">INDEX(PriceDeck!$C$18:$O$77,MATCH('Decline and Model'!$A88,PriceDeck!$B$18:$B$77,0),MATCH('Decline and Model'!AD$8,PriceDeck!$C$13:$O$13,0))*(1+$AE$6)</f>
        <v>15.4</v>
      </c>
      <c r="AE88" s="257">
        <f t="array" ref="AE88">INDEX(PriceDeck!$C$18:$O$77,MATCH('Decline and Model'!$A88,PriceDeck!$B$18:$B$77,0),MATCH('Decline and Model'!AE$8,PriceDeck!$C$13:$O$13,0))*(1+$AE$6)</f>
        <v>31.5</v>
      </c>
      <c r="AF88" s="257">
        <f t="array" ref="AF88">INDEX(PriceDeck!$C$18:$O$77,MATCH('Decline and Model'!$A88,PriceDeck!$B$18:$B$77,0),MATCH('Decline and Model'!AF$8,PriceDeck!$C$13:$O$13,0))*(1+$AE$6)</f>
        <v>93.4</v>
      </c>
      <c r="AG88" s="257">
        <f t="array" ref="AG88">INDEX(PriceDeck!$C$18:$O$77,MATCH('Decline and Model'!$A88,PriceDeck!$B$18:$B$77,0),MATCH('Decline and Model'!AG$8,PriceDeck!$C$13:$O$13,0))*(1+$AE$6)</f>
        <v>65.900000000000006</v>
      </c>
      <c r="AH88" s="258">
        <f t="array" ref="AH88">INDEX(PriceDeck!$C$18:$O$77,MATCH('Decline and Model'!$A88,PriceDeck!$B$18:$B$77,0),MATCH('Decline and Model'!AH$8,PriceDeck!$C$13:$O$13,0))</f>
        <v>0.85</v>
      </c>
      <c r="AI88" s="258">
        <f t="shared" si="87"/>
        <v>4.0999999999999996</v>
      </c>
      <c r="AJ88" s="259">
        <f t="shared" si="62"/>
        <v>4.0999999999999996</v>
      </c>
      <c r="AK88" s="120">
        <v>4.0999999999999996</v>
      </c>
      <c r="AL88" s="120"/>
      <c r="AN88" s="7">
        <f t="shared" si="88"/>
        <v>97554.901223790177</v>
      </c>
      <c r="AO88" s="7">
        <f t="shared" si="89"/>
        <v>33133.844430852841</v>
      </c>
      <c r="AP88" s="7">
        <f t="shared" si="90"/>
        <v>9870.9763272246073</v>
      </c>
      <c r="AQ88" s="7">
        <f t="shared" si="91"/>
        <v>13736.807015503331</v>
      </c>
      <c r="AR88" s="7">
        <f t="shared" si="92"/>
        <v>19423.652243233802</v>
      </c>
      <c r="AS88" s="7">
        <f t="shared" si="93"/>
        <v>16768.218979014</v>
      </c>
      <c r="AT88" s="7">
        <f t="shared" si="94"/>
        <v>190488.40021961875</v>
      </c>
      <c r="AU88">
        <f>SUM($AT$9:AT88)</f>
        <v>57700380.591004871</v>
      </c>
      <c r="AV88" s="7">
        <f>AT88/(1+$AR$5)^(COUNT($E$9:E88))</f>
        <v>104017.81816966587</v>
      </c>
      <c r="AW88" s="7">
        <f t="shared" si="109"/>
        <v>0</v>
      </c>
      <c r="AX88" s="7">
        <f t="shared" si="95"/>
        <v>0</v>
      </c>
      <c r="AY88" s="117">
        <f t="shared" si="96"/>
        <v>0</v>
      </c>
      <c r="AZ88" s="117">
        <f t="shared" si="97"/>
        <v>190488.40021961875</v>
      </c>
      <c r="BA88" s="120">
        <f t="shared" si="98"/>
        <v>46559.716367976434</v>
      </c>
      <c r="BB88" s="119">
        <f t="shared" si="63"/>
        <v>0</v>
      </c>
      <c r="BC88" s="17"/>
      <c r="BD88" s="126">
        <f t="shared" si="64"/>
        <v>0.51213040327556292</v>
      </c>
      <c r="BE88" s="127">
        <f t="shared" si="65"/>
        <v>0.17394153340913157</v>
      </c>
      <c r="BF88" s="127">
        <f t="shared" si="66"/>
        <v>5.1819304040792595E-2</v>
      </c>
      <c r="BG88" s="127">
        <f t="shared" si="67"/>
        <v>7.2113614265571183E-2</v>
      </c>
      <c r="BH88" s="127">
        <f t="shared" si="68"/>
        <v>0.10196763803381097</v>
      </c>
      <c r="BI88" s="128">
        <f t="shared" si="69"/>
        <v>8.8027506975130815E-2</v>
      </c>
      <c r="BJ88" s="126">
        <f t="array" ref="BJ88">BD88*INDEX(Royalty!$U$7:$Z$246,MATCH('Decline and Model'!$E88,Royalty!$AI$7:$AI$246,0),MATCH('Decline and Model'!BJ$8,Royalty!$U$1:$Z$1,0))</f>
        <v>0.1440596291245243</v>
      </c>
      <c r="BK88" s="127">
        <f t="array" ref="BK88">BE88*INDEX(Royalty!$U$7:$Z$246,MATCH('Decline and Model'!$E88,Royalty!$AI$7:$AI$246,0),MATCH('Decline and Model'!BK$8,Royalty!$U$1:$Z$1,0))</f>
        <v>4.7478129673110339E-2</v>
      </c>
      <c r="BL88" s="127">
        <f t="array" ref="BL88">BF88*INDEX(Royalty!$U$7:$Z$246,MATCH('Decline and Model'!$E88,Royalty!$AI$7:$AI$246,0),MATCH('Decline and Model'!BL$8,Royalty!$U$1:$Z$1,0))</f>
        <v>1.462529472287279E-2</v>
      </c>
      <c r="BM88" s="127">
        <f t="array" ref="BM88">BG88*INDEX(Royalty!$U$7:$Z$246,MATCH('Decline and Model'!$E88,Royalty!$AI$7:$AI$246,0),MATCH('Decline and Model'!BM$8,Royalty!$U$1:$Z$1,0))</f>
        <v>1.9643785570344671E-2</v>
      </c>
      <c r="BN88" s="127">
        <f t="array" ref="BN88">BH88*INDEX(Royalty!$U$7:$Z$246,MATCH('Decline and Model'!$E88,Royalty!$AI$7:$AI$246,0),MATCH('Decline and Model'!BN$8,Royalty!$U$1:$Z$1,0))</f>
        <v>1.4214628706202865E-2</v>
      </c>
      <c r="BO88" s="127">
        <f t="array" ref="BO88">BI88*INDEX(Royalty!$U$7:$Z$246,MATCH('Decline and Model'!$E88,Royalty!$AI$7:$AI$246,0),MATCH('Decline and Model'!BO$8,Royalty!$U$1:$Z$1,0))</f>
        <v>4.4013753487565409E-3</v>
      </c>
      <c r="BP88" s="135">
        <f t="shared" si="70"/>
        <v>0.24442284314581147</v>
      </c>
      <c r="BQ88" s="7"/>
      <c r="BR88" s="7"/>
      <c r="BS88">
        <v>80</v>
      </c>
      <c r="BT88" s="120">
        <f t="shared" si="71"/>
        <v>46559.716367976434</v>
      </c>
      <c r="BU88" s="113">
        <f t="shared" si="72"/>
        <v>34288.793450204677</v>
      </c>
      <c r="BV88" s="113">
        <f t="shared" si="73"/>
        <v>10286.638035061404</v>
      </c>
      <c r="BW88" s="113">
        <f t="shared" si="106"/>
        <v>2052515.0128308071</v>
      </c>
      <c r="BX88" s="113">
        <f t="shared" si="99"/>
        <v>45369.716693773429</v>
      </c>
      <c r="BY88" s="120">
        <f t="shared" si="100"/>
        <v>53983.535672602782</v>
      </c>
      <c r="BZ88" s="153">
        <f t="shared" si="107"/>
        <v>0</v>
      </c>
      <c r="CA88" s="120">
        <f t="shared" si="110"/>
        <v>53983.535672602782</v>
      </c>
      <c r="CB88" s="120">
        <f t="shared" si="101"/>
        <v>13495.883918150696</v>
      </c>
      <c r="CC88" s="153">
        <f t="shared" si="102"/>
        <v>85857.368448225519</v>
      </c>
      <c r="CD88" s="7">
        <f t="shared" si="74"/>
        <v>46883.149469873817</v>
      </c>
      <c r="CE88" s="11">
        <f>SUM($CD$9:CD88)</f>
        <v>23635472.131889574</v>
      </c>
      <c r="CF88" s="11">
        <f t="shared" si="103"/>
        <v>12000000</v>
      </c>
      <c r="CG88">
        <f t="shared" si="104"/>
        <v>11635472.131889574</v>
      </c>
    </row>
    <row r="89" spans="1:89">
      <c r="A89">
        <f t="shared" si="75"/>
        <v>2023</v>
      </c>
      <c r="B89">
        <f t="shared" si="76"/>
        <v>30.416666666666668</v>
      </c>
      <c r="C89">
        <f t="shared" si="111"/>
        <v>7</v>
      </c>
      <c r="E89" s="97">
        <v>45261</v>
      </c>
      <c r="F89" s="2">
        <f>$F$6*EXP(-$F$3*COUNT($E$9:$E89))</f>
        <v>13.963406068067032</v>
      </c>
      <c r="G89" s="260">
        <f>$F$6/(1+$F$5*$F$3*COUNT($E$9:$E89))^(1/$F$5)</f>
        <v>34.555536430875129</v>
      </c>
      <c r="H89" s="260">
        <f>$H$6/(1+$H$5*$H$3*COUNT($E$9:$E89))^(1/$H$5)</f>
        <v>261.90588009429314</v>
      </c>
      <c r="I89" s="260">
        <f t="shared" si="77"/>
        <v>49.886834303674881</v>
      </c>
      <c r="J89" s="260">
        <f t="shared" si="78"/>
        <v>20.772877804050221</v>
      </c>
      <c r="K89" s="260">
        <f t="shared" si="78"/>
        <v>14.132940158231094</v>
      </c>
      <c r="L89" s="260">
        <f t="shared" si="78"/>
        <v>6.7397113144264766</v>
      </c>
      <c r="M89" s="260">
        <f t="shared" si="78"/>
        <v>8.2462937103974578</v>
      </c>
      <c r="N89" s="19">
        <f t="shared" si="79"/>
        <v>424.72026790370558</v>
      </c>
      <c r="O89" s="19">
        <f t="shared" si="80"/>
        <v>1051.0642331057852</v>
      </c>
      <c r="P89" s="19">
        <f t="shared" si="81"/>
        <v>7966.3038528680836</v>
      </c>
      <c r="Q89" s="19">
        <f t="shared" si="82"/>
        <v>1517.3912100701111</v>
      </c>
      <c r="R89" s="19">
        <f t="shared" si="83"/>
        <v>631.84169987319422</v>
      </c>
      <c r="S89" s="19">
        <f t="shared" si="84"/>
        <v>429.87692981286244</v>
      </c>
      <c r="T89" s="19">
        <f t="shared" si="85"/>
        <v>204.999552480472</v>
      </c>
      <c r="U89" s="19">
        <f t="shared" si="86"/>
        <v>250.82476702458936</v>
      </c>
      <c r="V89" s="261">
        <f t="shared" si="105"/>
        <v>3362.5961210731916</v>
      </c>
      <c r="W89" s="261">
        <f>SUM(O$9:O89)</f>
        <v>524849.63658599253</v>
      </c>
      <c r="X89" s="261">
        <f>SUM(P$9:P89)</f>
        <v>1935923.1583262978</v>
      </c>
      <c r="Y89" s="261">
        <f>SUM(Q$9:Q89)</f>
        <v>368747.26825262792</v>
      </c>
      <c r="Z89" s="261">
        <f>SUM($V$9:V89)</f>
        <v>1086584.1869841306</v>
      </c>
      <c r="AB89" s="257">
        <f t="array" ref="AB89">(INDEX(PriceDeck!$C$18:$O$77,MATCH('Decline and Model'!$A89,PriceDeck!$B$18:$B$77,0),MATCH('Decline and Model'!AB$8,PriceDeck!$C$13:$O$13,0))*(1+$AE$6))</f>
        <v>78.8</v>
      </c>
      <c r="AC89" s="257">
        <f t="array" ref="AC89">INDEX(PriceDeck!$C$18:$O$77,MATCH('Decline and Model'!$A89,PriceDeck!$B$18:$B$77,0),MATCH('Decline and Model'!AC$8,PriceDeck!$C$13:$O$13,0))*(1+$AE$6)</f>
        <v>90</v>
      </c>
      <c r="AD89" s="257">
        <f t="array" ref="AD89">INDEX(PriceDeck!$C$18:$O$77,MATCH('Decline and Model'!$A89,PriceDeck!$B$18:$B$77,0),MATCH('Decline and Model'!AD$8,PriceDeck!$C$13:$O$13,0))*(1+$AE$6)</f>
        <v>15.4</v>
      </c>
      <c r="AE89" s="257">
        <f t="array" ref="AE89">INDEX(PriceDeck!$C$18:$O$77,MATCH('Decline and Model'!$A89,PriceDeck!$B$18:$B$77,0),MATCH('Decline and Model'!AE$8,PriceDeck!$C$13:$O$13,0))*(1+$AE$6)</f>
        <v>31.5</v>
      </c>
      <c r="AF89" s="257">
        <f t="array" ref="AF89">INDEX(PriceDeck!$C$18:$O$77,MATCH('Decline and Model'!$A89,PriceDeck!$B$18:$B$77,0),MATCH('Decline and Model'!AF$8,PriceDeck!$C$13:$O$13,0))*(1+$AE$6)</f>
        <v>93.4</v>
      </c>
      <c r="AG89" s="257">
        <f t="array" ref="AG89">INDEX(PriceDeck!$C$18:$O$77,MATCH('Decline and Model'!$A89,PriceDeck!$B$18:$B$77,0),MATCH('Decline and Model'!AG$8,PriceDeck!$C$13:$O$13,0))*(1+$AE$6)</f>
        <v>65.900000000000006</v>
      </c>
      <c r="AH89" s="258">
        <f t="array" ref="AH89">INDEX(PriceDeck!$C$18:$O$77,MATCH('Decline and Model'!$A89,PriceDeck!$B$18:$B$77,0),MATCH('Decline and Model'!AH$8,PriceDeck!$C$13:$O$13,0))</f>
        <v>0.85</v>
      </c>
      <c r="AI89" s="258">
        <f t="shared" si="87"/>
        <v>4.0999999999999996</v>
      </c>
      <c r="AJ89" s="259">
        <f t="shared" si="62"/>
        <v>4.0999999999999996</v>
      </c>
      <c r="AK89" s="120">
        <v>4.0999999999999996</v>
      </c>
      <c r="AL89" s="120"/>
      <c r="AN89" s="7">
        <f t="shared" si="88"/>
        <v>94595.78097952067</v>
      </c>
      <c r="AO89" s="7">
        <f t="shared" si="89"/>
        <v>32661.845796759138</v>
      </c>
      <c r="AP89" s="7">
        <f t="shared" si="90"/>
        <v>9730.3621780471913</v>
      </c>
      <c r="AQ89" s="7">
        <f t="shared" si="91"/>
        <v>13541.123289105168</v>
      </c>
      <c r="AR89" s="7">
        <f t="shared" si="92"/>
        <v>19146.958201676087</v>
      </c>
      <c r="AS89" s="7">
        <f t="shared" si="93"/>
        <v>16529.352146920439</v>
      </c>
      <c r="AT89" s="7">
        <f t="shared" si="94"/>
        <v>186205.42259202868</v>
      </c>
      <c r="AU89">
        <f>SUM($AT$9:AT89)</f>
        <v>57886586.0135969</v>
      </c>
      <c r="AV89" s="7">
        <f>AT89/(1+$AR$5)^(COUNT($E$9:E89))</f>
        <v>100912.97732147475</v>
      </c>
      <c r="AW89" s="7">
        <f t="shared" si="109"/>
        <v>0</v>
      </c>
      <c r="AX89" s="7">
        <f t="shared" si="95"/>
        <v>0</v>
      </c>
      <c r="AY89" s="117">
        <f t="shared" si="96"/>
        <v>0</v>
      </c>
      <c r="AZ89" s="117">
        <f t="shared" si="97"/>
        <v>186205.42259202868</v>
      </c>
      <c r="BA89" s="120">
        <f t="shared" si="98"/>
        <v>45454.990813691649</v>
      </c>
      <c r="BB89" s="119">
        <f t="shared" si="63"/>
        <v>0</v>
      </c>
      <c r="BC89" s="17"/>
      <c r="BD89" s="126">
        <f t="shared" si="64"/>
        <v>0.50801840066053072</v>
      </c>
      <c r="BE89" s="127">
        <f t="shared" si="65"/>
        <v>0.175407597384102</v>
      </c>
      <c r="BF89" s="127">
        <f t="shared" si="66"/>
        <v>5.2256062377765256E-2</v>
      </c>
      <c r="BG89" s="127">
        <f t="shared" si="67"/>
        <v>7.2721422934999169E-2</v>
      </c>
      <c r="BH89" s="127">
        <f t="shared" si="68"/>
        <v>0.10282707095822113</v>
      </c>
      <c r="BI89" s="128">
        <f t="shared" si="69"/>
        <v>8.8769445684381734E-2</v>
      </c>
      <c r="BJ89" s="126">
        <f t="array" ref="BJ89">BD89*INDEX(Royalty!$U$7:$Z$246,MATCH('Decline and Model'!$E89,Royalty!$AI$7:$AI$246,0),MATCH('Decline and Model'!BJ$8,Royalty!$U$1:$Z$1,0))</f>
        <v>0.14290294409295456</v>
      </c>
      <c r="BK89" s="127">
        <f t="array" ref="BK89">BE89*INDEX(Royalty!$U$7:$Z$246,MATCH('Decline and Model'!$E89,Royalty!$AI$7:$AI$246,0),MATCH('Decline and Model'!BK$8,Royalty!$U$1:$Z$1,0))</f>
        <v>4.7878298477814385E-2</v>
      </c>
      <c r="BL89" s="127">
        <f t="array" ref="BL89">BF89*INDEX(Royalty!$U$7:$Z$246,MATCH('Decline and Model'!$E89,Royalty!$AI$7:$AI$246,0),MATCH('Decline and Model'!BL$8,Royalty!$U$1:$Z$1,0))</f>
        <v>1.4748563831154686E-2</v>
      </c>
      <c r="BM89" s="127">
        <f t="array" ref="BM89">BG89*INDEX(Royalty!$U$7:$Z$246,MATCH('Decline and Model'!$E89,Royalty!$AI$7:$AI$246,0),MATCH('Decline and Model'!BM$8,Royalty!$U$1:$Z$1,0))</f>
        <v>1.9809352964125129E-2</v>
      </c>
      <c r="BN89" s="127">
        <f t="array" ref="BN89">BH89*INDEX(Royalty!$U$7:$Z$246,MATCH('Decline and Model'!$E89,Royalty!$AI$7:$AI$246,0),MATCH('Decline and Model'!BN$8,Royalty!$U$1:$Z$1,0))</f>
        <v>1.4334436521250282E-2</v>
      </c>
      <c r="BO89" s="127">
        <f t="array" ref="BO89">BI89*INDEX(Royalty!$U$7:$Z$246,MATCH('Decline and Model'!$E89,Royalty!$AI$7:$AI$246,0),MATCH('Decline and Model'!BO$8,Royalty!$U$1:$Z$1,0))</f>
        <v>4.4384722842190872E-3</v>
      </c>
      <c r="BP89" s="135">
        <f t="shared" si="70"/>
        <v>0.24411206817151812</v>
      </c>
      <c r="BQ89" s="7"/>
      <c r="BR89" s="7"/>
      <c r="BS89">
        <v>81</v>
      </c>
      <c r="BT89" s="120">
        <f t="shared" si="71"/>
        <v>45454.990813691649</v>
      </c>
      <c r="BU89" s="113">
        <f t="shared" si="72"/>
        <v>33625.961210731919</v>
      </c>
      <c r="BV89" s="113">
        <f t="shared" si="73"/>
        <v>10087.788363219575</v>
      </c>
      <c r="BW89" s="113">
        <f t="shared" si="106"/>
        <v>2007145.2961370337</v>
      </c>
      <c r="BX89" s="113">
        <f t="shared" si="99"/>
        <v>44366.844032669571</v>
      </c>
      <c r="BY89" s="120">
        <f t="shared" si="100"/>
        <v>52669.838171715994</v>
      </c>
      <c r="BZ89" s="153">
        <f t="shared" si="107"/>
        <v>0</v>
      </c>
      <c r="CA89" s="120">
        <f t="shared" si="110"/>
        <v>52669.838171715994</v>
      </c>
      <c r="CB89" s="120">
        <f t="shared" si="101"/>
        <v>13167.459542928998</v>
      </c>
      <c r="CC89" s="153">
        <f t="shared" si="102"/>
        <v>83869.222661456559</v>
      </c>
      <c r="CD89" s="7">
        <f t="shared" si="74"/>
        <v>45452.451634282312</v>
      </c>
      <c r="CE89" s="11">
        <f>SUM($CD$9:CD89)</f>
        <v>23680924.583523858</v>
      </c>
      <c r="CF89" s="11">
        <f t="shared" si="103"/>
        <v>12000000</v>
      </c>
      <c r="CG89">
        <f t="shared" si="104"/>
        <v>11680924.583523858</v>
      </c>
    </row>
    <row r="90" spans="1:89">
      <c r="A90">
        <f t="shared" si="75"/>
        <v>2024</v>
      </c>
      <c r="B90">
        <f t="shared" si="76"/>
        <v>30.416666666666668</v>
      </c>
      <c r="C90">
        <f t="shared" si="111"/>
        <v>7</v>
      </c>
      <c r="E90" s="97">
        <v>45292</v>
      </c>
      <c r="F90" s="2">
        <f>$F$6*EXP(-$F$3*COUNT($E$9:$E90))</f>
        <v>13.282402718197169</v>
      </c>
      <c r="G90" s="260">
        <f>$F$6/(1+$F$5*$F$3*COUNT($E$9:$E90))^(1/$F$5)</f>
        <v>33.512267547826603</v>
      </c>
      <c r="H90" s="260">
        <f>$H$6/(1+$H$5*$H$3*COUNT($E$9:$E90))^(1/$H$5)</f>
        <v>258.21256048589117</v>
      </c>
      <c r="I90" s="260">
        <f t="shared" si="77"/>
        <v>49.183344854455456</v>
      </c>
      <c r="J90" s="260">
        <f t="shared" si="78"/>
        <v>20.479944797395252</v>
      </c>
      <c r="K90" s="260">
        <f t="shared" si="78"/>
        <v>13.933641597267231</v>
      </c>
      <c r="L90" s="260">
        <f t="shared" si="78"/>
        <v>6.6446698898369316</v>
      </c>
      <c r="M90" s="260">
        <f t="shared" si="78"/>
        <v>8.1300069044414869</v>
      </c>
      <c r="N90" s="19">
        <f t="shared" si="79"/>
        <v>404.00641601183054</v>
      </c>
      <c r="O90" s="19">
        <f t="shared" si="80"/>
        <v>1019.3314712463925</v>
      </c>
      <c r="P90" s="19">
        <f t="shared" si="81"/>
        <v>7853.965381445857</v>
      </c>
      <c r="Q90" s="19">
        <f t="shared" si="82"/>
        <v>1495.9934059896868</v>
      </c>
      <c r="R90" s="19">
        <f t="shared" si="83"/>
        <v>622.93165425410564</v>
      </c>
      <c r="S90" s="19">
        <f t="shared" si="84"/>
        <v>423.81493191687827</v>
      </c>
      <c r="T90" s="19">
        <f t="shared" si="85"/>
        <v>202.10870914920667</v>
      </c>
      <c r="U90" s="19">
        <f t="shared" si="86"/>
        <v>247.28771001009522</v>
      </c>
      <c r="V90" s="261">
        <f t="shared" si="105"/>
        <v>3298.266817111717</v>
      </c>
      <c r="W90" s="261">
        <f>SUM(O$9:O90)</f>
        <v>525868.96805723896</v>
      </c>
      <c r="X90" s="261">
        <f>SUM(P$9:P90)</f>
        <v>1943777.1237077436</v>
      </c>
      <c r="Y90" s="261">
        <f>SUM(Q$9:Q90)</f>
        <v>370243.26165861759</v>
      </c>
      <c r="Z90" s="261">
        <f>SUM($V$9:V90)</f>
        <v>1089882.4538012424</v>
      </c>
      <c r="AB90" s="257">
        <f t="array" ref="AB90">(INDEX(PriceDeck!$C$18:$O$77,MATCH('Decline and Model'!$A90,PriceDeck!$B$18:$B$77,0),MATCH('Decline and Model'!AB$8,PriceDeck!$C$13:$O$13,0))*(1+$AE$6))</f>
        <v>80.400000000000006</v>
      </c>
      <c r="AC90" s="257">
        <f t="array" ref="AC90">INDEX(PriceDeck!$C$18:$O$77,MATCH('Decline and Model'!$A90,PriceDeck!$B$18:$B$77,0),MATCH('Decline and Model'!AC$8,PriceDeck!$C$13:$O$13,0))*(1+$AE$6)</f>
        <v>91.8</v>
      </c>
      <c r="AD90" s="257">
        <f t="array" ref="AD90">INDEX(PriceDeck!$C$18:$O$77,MATCH('Decline and Model'!$A90,PriceDeck!$B$18:$B$77,0),MATCH('Decline and Model'!AD$8,PriceDeck!$C$13:$O$13,0))*(1+$AE$6)</f>
        <v>16</v>
      </c>
      <c r="AE90" s="257">
        <f t="array" ref="AE90">INDEX(PriceDeck!$C$18:$O$77,MATCH('Decline and Model'!$A90,PriceDeck!$B$18:$B$77,0),MATCH('Decline and Model'!AE$8,PriceDeck!$C$13:$O$13,0))*(1+$AE$6)</f>
        <v>32.200000000000003</v>
      </c>
      <c r="AF90" s="257">
        <f t="array" ref="AF90">INDEX(PriceDeck!$C$18:$O$77,MATCH('Decline and Model'!$A90,PriceDeck!$B$18:$B$77,0),MATCH('Decline and Model'!AF$8,PriceDeck!$C$13:$O$13,0))*(1+$AE$6)</f>
        <v>95.2</v>
      </c>
      <c r="AG90" s="257">
        <f t="array" ref="AG90">INDEX(PriceDeck!$C$18:$O$77,MATCH('Decline and Model'!$A90,PriceDeck!$B$18:$B$77,0),MATCH('Decline and Model'!AG$8,PriceDeck!$C$13:$O$13,0))*(1+$AE$6)</f>
        <v>67.3</v>
      </c>
      <c r="AH90" s="258">
        <f t="array" ref="AH90">INDEX(PriceDeck!$C$18:$O$77,MATCH('Decline and Model'!$A90,PriceDeck!$B$18:$B$77,0),MATCH('Decline and Model'!AH$8,PriceDeck!$C$13:$O$13,0))</f>
        <v>0.85</v>
      </c>
      <c r="AI90" s="258">
        <f t="shared" si="87"/>
        <v>4.25</v>
      </c>
      <c r="AJ90" s="259">
        <f t="shared" si="62"/>
        <v>4.25</v>
      </c>
      <c r="AK90" s="120">
        <v>4.25</v>
      </c>
      <c r="AL90" s="120"/>
      <c r="AN90" s="7">
        <f t="shared" si="88"/>
        <v>93574.629060418825</v>
      </c>
      <c r="AO90" s="7">
        <f t="shared" si="89"/>
        <v>33379.352871144889</v>
      </c>
      <c r="AP90" s="7">
        <f t="shared" si="90"/>
        <v>9966.9064680656902</v>
      </c>
      <c r="AQ90" s="7">
        <f t="shared" si="91"/>
        <v>13646.840807723482</v>
      </c>
      <c r="AR90" s="7">
        <f t="shared" si="92"/>
        <v>19240.749111004476</v>
      </c>
      <c r="AS90" s="7">
        <f t="shared" si="93"/>
        <v>16642.462883679407</v>
      </c>
      <c r="AT90" s="7">
        <f t="shared" si="94"/>
        <v>186450.94120203677</v>
      </c>
      <c r="AU90">
        <f>SUM($AT$9:AT90)</f>
        <v>58073036.954798937</v>
      </c>
      <c r="AV90" s="7">
        <f>AT90/(1+$AR$5)^(COUNT($E$9:E90))</f>
        <v>100284.71985618099</v>
      </c>
      <c r="AW90" s="7">
        <f t="shared" si="109"/>
        <v>0</v>
      </c>
      <c r="AX90" s="7">
        <f t="shared" si="95"/>
        <v>0</v>
      </c>
      <c r="AY90" s="117">
        <f t="shared" si="96"/>
        <v>0</v>
      </c>
      <c r="AZ90" s="117">
        <f t="shared" si="97"/>
        <v>186450.94120203677</v>
      </c>
      <c r="BA90" s="120">
        <f t="shared" si="98"/>
        <v>46276.597583117495</v>
      </c>
      <c r="BB90" s="119">
        <f t="shared" si="63"/>
        <v>0</v>
      </c>
      <c r="BC90" s="17"/>
      <c r="BD90" s="126">
        <f t="shared" si="64"/>
        <v>0.50187265592305108</v>
      </c>
      <c r="BE90" s="127">
        <f t="shared" si="65"/>
        <v>0.17902485584653222</v>
      </c>
      <c r="BF90" s="127">
        <f t="shared" si="66"/>
        <v>5.3455919309442525E-2</v>
      </c>
      <c r="BG90" s="127">
        <f t="shared" si="67"/>
        <v>7.3192662475947884E-2</v>
      </c>
      <c r="BH90" s="127">
        <f t="shared" si="68"/>
        <v>0.10319470090609707</v>
      </c>
      <c r="BI90" s="128">
        <f t="shared" si="69"/>
        <v>8.9259205538929215E-2</v>
      </c>
      <c r="BJ90" s="126">
        <f t="array" ref="BJ90">BD90*INDEX(Royalty!$U$7:$Z$246,MATCH('Decline and Model'!$E90,Royalty!$AI$7:$AI$246,0),MATCH('Decline and Model'!BJ$8,Royalty!$U$1:$Z$1,0))</f>
        <v>0.14339016986130215</v>
      </c>
      <c r="BK90" s="127">
        <f t="array" ref="BK90">BE90*INDEX(Royalty!$U$7:$Z$246,MATCH('Decline and Model'!$E90,Royalty!$AI$7:$AI$246,0),MATCH('Decline and Model'!BK$8,Royalty!$U$1:$Z$1,0))</f>
        <v>4.9656120259576365E-2</v>
      </c>
      <c r="BL90" s="127">
        <f t="array" ref="BL90">BF90*INDEX(Royalty!$U$7:$Z$246,MATCH('Decline and Model'!$E90,Royalty!$AI$7:$AI$246,0),MATCH('Decline and Model'!BL$8,Royalty!$U$1:$Z$1,0))</f>
        <v>1.5347985260718126E-2</v>
      </c>
      <c r="BM90" s="127">
        <f t="array" ref="BM90">BG90*INDEX(Royalty!$U$7:$Z$246,MATCH('Decline and Model'!$E90,Royalty!$AI$7:$AI$246,0),MATCH('Decline and Model'!BM$8,Royalty!$U$1:$Z$1,0))</f>
        <v>2.0296391519493539E-2</v>
      </c>
      <c r="BN90" s="127">
        <f t="array" ref="BN90">BH90*INDEX(Royalty!$U$7:$Z$246,MATCH('Decline and Model'!$E90,Royalty!$AI$7:$AI$246,0),MATCH('Decline and Model'!BN$8,Royalty!$U$1:$Z$1,0))</f>
        <v>1.5043551579953889E-2</v>
      </c>
      <c r="BO90" s="127">
        <f t="array" ref="BO90">BI90*INDEX(Royalty!$U$7:$Z$246,MATCH('Decline and Model'!$E90,Royalty!$AI$7:$AI$246,0),MATCH('Decline and Model'!BO$8,Royalty!$U$1:$Z$1,0))</f>
        <v>4.4629602769464607E-3</v>
      </c>
      <c r="BP90" s="135">
        <f t="shared" si="70"/>
        <v>0.24819717875799049</v>
      </c>
      <c r="BQ90" s="7"/>
      <c r="BR90" s="7"/>
      <c r="BS90">
        <v>82</v>
      </c>
      <c r="BT90" s="120">
        <f t="shared" si="71"/>
        <v>46276.597583117495</v>
      </c>
      <c r="BU90" s="113">
        <f t="shared" si="72"/>
        <v>32982.66817111717</v>
      </c>
      <c r="BV90" s="113">
        <f t="shared" si="73"/>
        <v>9894.8004513351516</v>
      </c>
      <c r="BW90" s="113">
        <f t="shared" si="106"/>
        <v>1962778.4521043641</v>
      </c>
      <c r="BX90" s="113">
        <f t="shared" si="99"/>
        <v>43386.139320754759</v>
      </c>
      <c r="BY90" s="120">
        <f t="shared" si="100"/>
        <v>53910.735675712211</v>
      </c>
      <c r="BZ90" s="153">
        <f t="shared" si="107"/>
        <v>0</v>
      </c>
      <c r="CA90" s="120">
        <f t="shared" si="110"/>
        <v>53910.735675712211</v>
      </c>
      <c r="CB90" s="120">
        <f t="shared" si="101"/>
        <v>13477.683918928053</v>
      </c>
      <c r="CC90" s="153">
        <f t="shared" si="102"/>
        <v>83819.191077538911</v>
      </c>
      <c r="CD90" s="7">
        <f t="shared" si="74"/>
        <v>45083.08749524763</v>
      </c>
      <c r="CE90" s="11">
        <f>SUM($CD$9:CD90)</f>
        <v>23726007.671019107</v>
      </c>
      <c r="CF90" s="11">
        <f t="shared" si="103"/>
        <v>12000000</v>
      </c>
      <c r="CG90">
        <f t="shared" si="104"/>
        <v>11726007.671019107</v>
      </c>
    </row>
    <row r="91" spans="1:89">
      <c r="A91">
        <f t="shared" si="75"/>
        <v>2024</v>
      </c>
      <c r="B91">
        <f t="shared" si="76"/>
        <v>30.416666666666668</v>
      </c>
      <c r="C91">
        <f t="shared" si="111"/>
        <v>7</v>
      </c>
      <c r="E91" s="97">
        <v>45323</v>
      </c>
      <c r="F91" s="2">
        <f>$F$6*EXP(-$F$3*COUNT($E$9:$E91))</f>
        <v>12.634612293617417</v>
      </c>
      <c r="G91" s="260">
        <f>$F$6/(1+$F$5*$F$3*COUNT($E$9:$E91))^(1/$F$5)</f>
        <v>32.505203681863769</v>
      </c>
      <c r="H91" s="260">
        <f>$H$6/(1+$H$5*$H$3*COUNT($E$9:$E91))^(1/$H$5)</f>
        <v>254.60763897810497</v>
      </c>
      <c r="I91" s="260">
        <f t="shared" si="77"/>
        <v>48.496693138686659</v>
      </c>
      <c r="J91" s="260">
        <f t="shared" si="78"/>
        <v>20.194023022949125</v>
      </c>
      <c r="K91" s="260">
        <f t="shared" si="78"/>
        <v>13.739113166189931</v>
      </c>
      <c r="L91" s="260">
        <f t="shared" si="78"/>
        <v>6.5519032430365671</v>
      </c>
      <c r="M91" s="260">
        <f t="shared" si="78"/>
        <v>8.0165033758249056</v>
      </c>
      <c r="N91" s="19">
        <f t="shared" si="79"/>
        <v>384.30279059752979</v>
      </c>
      <c r="O91" s="19">
        <f t="shared" si="80"/>
        <v>988.69994532335636</v>
      </c>
      <c r="P91" s="19">
        <f t="shared" si="81"/>
        <v>7744.3156855840261</v>
      </c>
      <c r="Q91" s="19">
        <f t="shared" si="82"/>
        <v>1475.1077496350526</v>
      </c>
      <c r="R91" s="19">
        <f t="shared" si="83"/>
        <v>614.23486694803591</v>
      </c>
      <c r="S91" s="19">
        <f t="shared" si="84"/>
        <v>417.89802547161042</v>
      </c>
      <c r="T91" s="19">
        <f t="shared" si="85"/>
        <v>199.28705697569558</v>
      </c>
      <c r="U91" s="19">
        <f t="shared" si="86"/>
        <v>243.83531101467423</v>
      </c>
      <c r="V91" s="261">
        <f t="shared" si="105"/>
        <v>3235.8189340459276</v>
      </c>
      <c r="W91" s="261">
        <f>SUM(O$9:O91)</f>
        <v>526857.66800256236</v>
      </c>
      <c r="X91" s="261">
        <f>SUM(P$9:P91)</f>
        <v>1951521.4393933276</v>
      </c>
      <c r="Y91" s="261">
        <f>SUM(Q$9:Q91)</f>
        <v>371718.36940825265</v>
      </c>
      <c r="Z91" s="261">
        <f>SUM($V$9:V91)</f>
        <v>1093118.2727352884</v>
      </c>
      <c r="AB91" s="257">
        <f t="array" ref="AB91">(INDEX(PriceDeck!$C$18:$O$77,MATCH('Decline and Model'!$A91,PriceDeck!$B$18:$B$77,0),MATCH('Decline and Model'!AB$8,PriceDeck!$C$13:$O$13,0))*(1+$AE$6))</f>
        <v>80.400000000000006</v>
      </c>
      <c r="AC91" s="257">
        <f t="array" ref="AC91">INDEX(PriceDeck!$C$18:$O$77,MATCH('Decline and Model'!$A91,PriceDeck!$B$18:$B$77,0),MATCH('Decline and Model'!AC$8,PriceDeck!$C$13:$O$13,0))*(1+$AE$6)</f>
        <v>91.8</v>
      </c>
      <c r="AD91" s="257">
        <f t="array" ref="AD91">INDEX(PriceDeck!$C$18:$O$77,MATCH('Decline and Model'!$A91,PriceDeck!$B$18:$B$77,0),MATCH('Decline and Model'!AD$8,PriceDeck!$C$13:$O$13,0))*(1+$AE$6)</f>
        <v>16</v>
      </c>
      <c r="AE91" s="257">
        <f t="array" ref="AE91">INDEX(PriceDeck!$C$18:$O$77,MATCH('Decline and Model'!$A91,PriceDeck!$B$18:$B$77,0),MATCH('Decline and Model'!AE$8,PriceDeck!$C$13:$O$13,0))*(1+$AE$6)</f>
        <v>32.200000000000003</v>
      </c>
      <c r="AF91" s="257">
        <f t="array" ref="AF91">INDEX(PriceDeck!$C$18:$O$77,MATCH('Decline and Model'!$A91,PriceDeck!$B$18:$B$77,0),MATCH('Decline and Model'!AF$8,PriceDeck!$C$13:$O$13,0))*(1+$AE$6)</f>
        <v>95.2</v>
      </c>
      <c r="AG91" s="257">
        <f t="array" ref="AG91">INDEX(PriceDeck!$C$18:$O$77,MATCH('Decline and Model'!$A91,PriceDeck!$B$18:$B$77,0),MATCH('Decline and Model'!AG$8,PriceDeck!$C$13:$O$13,0))*(1+$AE$6)</f>
        <v>67.3</v>
      </c>
      <c r="AH91" s="258">
        <f t="array" ref="AH91">INDEX(PriceDeck!$C$18:$O$77,MATCH('Decline and Model'!$A91,PriceDeck!$B$18:$B$77,0),MATCH('Decline and Model'!AH$8,PriceDeck!$C$13:$O$13,0))</f>
        <v>0.85</v>
      </c>
      <c r="AI91" s="258">
        <f t="shared" si="87"/>
        <v>4.25</v>
      </c>
      <c r="AJ91" s="259">
        <f t="shared" si="62"/>
        <v>4.25</v>
      </c>
      <c r="AK91" s="120">
        <v>4.25</v>
      </c>
      <c r="AL91" s="120"/>
      <c r="AN91" s="7">
        <f t="shared" si="88"/>
        <v>90762.654980684107</v>
      </c>
      <c r="AO91" s="7">
        <f t="shared" si="89"/>
        <v>32913.341663732113</v>
      </c>
      <c r="AP91" s="7">
        <f t="shared" si="90"/>
        <v>9827.7578711685746</v>
      </c>
      <c r="AQ91" s="7">
        <f t="shared" si="91"/>
        <v>13456.316420185856</v>
      </c>
      <c r="AR91" s="7">
        <f t="shared" si="92"/>
        <v>18972.127824086219</v>
      </c>
      <c r="AS91" s="7">
        <f t="shared" si="93"/>
        <v>16410.116431287574</v>
      </c>
      <c r="AT91" s="7">
        <f t="shared" si="94"/>
        <v>182342.31519114444</v>
      </c>
      <c r="AU91">
        <f>SUM($AT$9:AT91)</f>
        <v>58255379.269990079</v>
      </c>
      <c r="AV91" s="7">
        <f>AT91/(1+$AR$5)^(COUNT($E$9:E91))</f>
        <v>97335.920518185318</v>
      </c>
      <c r="AW91" s="7">
        <f t="shared" si="109"/>
        <v>0</v>
      </c>
      <c r="AX91" s="7">
        <f t="shared" si="95"/>
        <v>0</v>
      </c>
      <c r="AY91" s="117">
        <f t="shared" si="96"/>
        <v>0</v>
      </c>
      <c r="AZ91" s="117">
        <f t="shared" si="97"/>
        <v>182342.31519114444</v>
      </c>
      <c r="BA91" s="120">
        <f t="shared" si="98"/>
        <v>45200.369511467077</v>
      </c>
      <c r="BB91" s="119">
        <f t="shared" si="63"/>
        <v>0</v>
      </c>
      <c r="BC91" s="17"/>
      <c r="BD91" s="126">
        <f t="shared" si="64"/>
        <v>0.4977596938238944</v>
      </c>
      <c r="BE91" s="127">
        <f t="shared" si="65"/>
        <v>0.18050303698968592</v>
      </c>
      <c r="BF91" s="127">
        <f t="shared" si="66"/>
        <v>5.3897296745774044E-2</v>
      </c>
      <c r="BG91" s="127">
        <f t="shared" si="67"/>
        <v>7.37970032138726E-2</v>
      </c>
      <c r="BH91" s="127">
        <f t="shared" si="68"/>
        <v>0.10404676393517466</v>
      </c>
      <c r="BI91" s="128">
        <f t="shared" si="69"/>
        <v>8.999620529159838E-2</v>
      </c>
      <c r="BJ91" s="126">
        <f t="array" ref="BJ91">BD91*INDEX(Royalty!$U$7:$Z$246,MATCH('Decline and Model'!$E91,Royalty!$AI$7:$AI$246,0),MATCH('Decline and Model'!BJ$8,Royalty!$U$1:$Z$1,0))</f>
        <v>0.14221505436722034</v>
      </c>
      <c r="BK91" s="127">
        <f t="array" ref="BK91">BE91*INDEX(Royalty!$U$7:$Z$246,MATCH('Decline and Model'!$E91,Royalty!$AI$7:$AI$246,0),MATCH('Decline and Model'!BK$8,Royalty!$U$1:$Z$1,0))</f>
        <v>5.0066123330171214E-2</v>
      </c>
      <c r="BL91" s="127">
        <f t="array" ref="BL91">BF91*INDEX(Royalty!$U$7:$Z$246,MATCH('Decline and Model'!$E91,Royalty!$AI$7:$AI$246,0),MATCH('Decline and Model'!BL$8,Royalty!$U$1:$Z$1,0))</f>
        <v>1.5474711252427581E-2</v>
      </c>
      <c r="BM91" s="127">
        <f t="array" ref="BM91">BG91*INDEX(Royalty!$U$7:$Z$246,MATCH('Decline and Model'!$E91,Royalty!$AI$7:$AI$246,0),MATCH('Decline and Model'!BM$8,Royalty!$U$1:$Z$1,0))</f>
        <v>2.0463975752846583E-2</v>
      </c>
      <c r="BN91" s="127">
        <f t="array" ref="BN91">BH91*INDEX(Royalty!$U$7:$Z$246,MATCH('Decline and Model'!$E91,Royalty!$AI$7:$AI$246,0),MATCH('Decline and Model'!BN$8,Royalty!$U$1:$Z$1,0))</f>
        <v>1.5167763908830781E-2</v>
      </c>
      <c r="BO91" s="127">
        <f t="array" ref="BO91">BI91*INDEX(Royalty!$U$7:$Z$246,MATCH('Decline and Model'!$E91,Royalty!$AI$7:$AI$246,0),MATCH('Decline and Model'!BO$8,Royalty!$U$1:$Z$1,0))</f>
        <v>4.4998102645799195E-3</v>
      </c>
      <c r="BP91" s="135">
        <f t="shared" si="70"/>
        <v>0.24788743887607642</v>
      </c>
      <c r="BQ91" s="7"/>
      <c r="BR91" s="7"/>
      <c r="BS91">
        <v>83</v>
      </c>
      <c r="BT91" s="120">
        <f t="shared" si="71"/>
        <v>45200.369511467077</v>
      </c>
      <c r="BU91" s="113">
        <f t="shared" si="72"/>
        <v>32358.189340459277</v>
      </c>
      <c r="BV91" s="113">
        <f t="shared" si="73"/>
        <v>9707.4568021377818</v>
      </c>
      <c r="BW91" s="113">
        <f t="shared" si="106"/>
        <v>1919392.3127836094</v>
      </c>
      <c r="BX91" s="113">
        <f t="shared" si="99"/>
        <v>42427.112547691402</v>
      </c>
      <c r="BY91" s="120">
        <f t="shared" si="100"/>
        <v>52649.186989388909</v>
      </c>
      <c r="BZ91" s="153">
        <f t="shared" si="107"/>
        <v>0</v>
      </c>
      <c r="CA91" s="120">
        <f t="shared" si="110"/>
        <v>52649.186989388909</v>
      </c>
      <c r="CB91" s="120">
        <f t="shared" si="101"/>
        <v>13162.296747347227</v>
      </c>
      <c r="CC91" s="153">
        <f t="shared" si="102"/>
        <v>81914.002789733087</v>
      </c>
      <c r="CD91" s="7">
        <f t="shared" si="74"/>
        <v>43726.410167106907</v>
      </c>
      <c r="CE91" s="11">
        <f>SUM($CD$9:CD91)</f>
        <v>23769734.081186213</v>
      </c>
      <c r="CF91" s="11">
        <f t="shared" si="103"/>
        <v>12000000</v>
      </c>
      <c r="CG91">
        <f t="shared" si="104"/>
        <v>11769734.081186213</v>
      </c>
    </row>
    <row r="92" spans="1:89">
      <c r="A92">
        <f t="shared" si="75"/>
        <v>2024</v>
      </c>
      <c r="B92">
        <f t="shared" si="76"/>
        <v>30.416666666666668</v>
      </c>
      <c r="C92">
        <f t="shared" si="111"/>
        <v>7</v>
      </c>
      <c r="E92" s="97">
        <v>45352</v>
      </c>
      <c r="F92" s="2">
        <f>$F$6*EXP(-$F$3*COUNT($E$9:$E92))</f>
        <v>12.018414980847343</v>
      </c>
      <c r="G92" s="260">
        <f>$F$6/(1+$F$5*$F$3*COUNT($E$9:$E92))^(1/$F$5)</f>
        <v>31.532926540779798</v>
      </c>
      <c r="H92" s="260">
        <f>$H$6/(1+$H$5*$H$3*COUNT($E$9:$E92))^(1/$H$5)</f>
        <v>251.08814776242468</v>
      </c>
      <c r="I92" s="260">
        <f t="shared" si="77"/>
        <v>47.826313859509462</v>
      </c>
      <c r="J92" s="260">
        <f t="shared" si="78"/>
        <v>19.91487709109974</v>
      </c>
      <c r="K92" s="260">
        <f t="shared" si="78"/>
        <v>13.549194716399031</v>
      </c>
      <c r="L92" s="260">
        <f t="shared" si="78"/>
        <v>6.4613350024197285</v>
      </c>
      <c r="M92" s="260">
        <f t="shared" si="78"/>
        <v>7.9056896809769137</v>
      </c>
      <c r="N92" s="19">
        <f t="shared" si="79"/>
        <v>365.56012233410667</v>
      </c>
      <c r="O92" s="19">
        <f t="shared" si="80"/>
        <v>959.12651561538553</v>
      </c>
      <c r="P92" s="19">
        <f t="shared" si="81"/>
        <v>7637.2644944404174</v>
      </c>
      <c r="Q92" s="19">
        <f t="shared" si="82"/>
        <v>1454.7170465600796</v>
      </c>
      <c r="R92" s="19">
        <f t="shared" si="83"/>
        <v>605.74417818761708</v>
      </c>
      <c r="S92" s="19">
        <f t="shared" si="84"/>
        <v>412.12133929047053</v>
      </c>
      <c r="T92" s="19">
        <f t="shared" si="85"/>
        <v>196.53227299026676</v>
      </c>
      <c r="U92" s="19">
        <f t="shared" si="86"/>
        <v>240.46472779638114</v>
      </c>
      <c r="V92" s="261">
        <f t="shared" si="105"/>
        <v>3175.1831388365135</v>
      </c>
      <c r="W92" s="261">
        <f>SUM(O$9:O92)</f>
        <v>527816.79451817775</v>
      </c>
      <c r="X92" s="261">
        <f>SUM(P$9:P92)</f>
        <v>1959158.7038877681</v>
      </c>
      <c r="Y92" s="261">
        <f>SUM(Q$9:Q92)</f>
        <v>373173.08645481273</v>
      </c>
      <c r="Z92" s="261">
        <f>SUM($V$9:V92)</f>
        <v>1096293.4558741248</v>
      </c>
      <c r="AB92" s="257">
        <f t="array" ref="AB92">(INDEX(PriceDeck!$C$18:$O$77,MATCH('Decline and Model'!$A92,PriceDeck!$B$18:$B$77,0),MATCH('Decline and Model'!AB$8,PriceDeck!$C$13:$O$13,0))*(1+$AE$6))</f>
        <v>80.400000000000006</v>
      </c>
      <c r="AC92" s="257">
        <f t="array" ref="AC92">INDEX(PriceDeck!$C$18:$O$77,MATCH('Decline and Model'!$A92,PriceDeck!$B$18:$B$77,0),MATCH('Decline and Model'!AC$8,PriceDeck!$C$13:$O$13,0))*(1+$AE$6)</f>
        <v>91.8</v>
      </c>
      <c r="AD92" s="257">
        <f t="array" ref="AD92">INDEX(PriceDeck!$C$18:$O$77,MATCH('Decline and Model'!$A92,PriceDeck!$B$18:$B$77,0),MATCH('Decline and Model'!AD$8,PriceDeck!$C$13:$O$13,0))*(1+$AE$6)</f>
        <v>16</v>
      </c>
      <c r="AE92" s="257">
        <f t="array" ref="AE92">INDEX(PriceDeck!$C$18:$O$77,MATCH('Decline and Model'!$A92,PriceDeck!$B$18:$B$77,0),MATCH('Decline and Model'!AE$8,PriceDeck!$C$13:$O$13,0))*(1+$AE$6)</f>
        <v>32.200000000000003</v>
      </c>
      <c r="AF92" s="257">
        <f t="array" ref="AF92">INDEX(PriceDeck!$C$18:$O$77,MATCH('Decline and Model'!$A92,PriceDeck!$B$18:$B$77,0),MATCH('Decline and Model'!AF$8,PriceDeck!$C$13:$O$13,0))*(1+$AE$6)</f>
        <v>95.2</v>
      </c>
      <c r="AG92" s="257">
        <f t="array" ref="AG92">INDEX(PriceDeck!$C$18:$O$77,MATCH('Decline and Model'!$A92,PriceDeck!$B$18:$B$77,0),MATCH('Decline and Model'!AG$8,PriceDeck!$C$13:$O$13,0))*(1+$AE$6)</f>
        <v>67.3</v>
      </c>
      <c r="AH92" s="258">
        <f t="array" ref="AH92">INDEX(PriceDeck!$C$18:$O$77,MATCH('Decline and Model'!$A92,PriceDeck!$B$18:$B$77,0),MATCH('Decline and Model'!AH$8,PriceDeck!$C$13:$O$13,0))</f>
        <v>0.85</v>
      </c>
      <c r="AI92" s="258">
        <f t="shared" si="87"/>
        <v>4.25</v>
      </c>
      <c r="AJ92" s="259">
        <f t="shared" si="62"/>
        <v>4.25</v>
      </c>
      <c r="AK92" s="120">
        <v>4.25</v>
      </c>
      <c r="AL92" s="120"/>
      <c r="AN92" s="7">
        <f t="shared" si="88"/>
        <v>88047.814133492386</v>
      </c>
      <c r="AO92" s="7">
        <f t="shared" si="89"/>
        <v>32458.374101371774</v>
      </c>
      <c r="AP92" s="7">
        <f t="shared" si="90"/>
        <v>9691.9068510018733</v>
      </c>
      <c r="AQ92" s="7">
        <f t="shared" si="91"/>
        <v>13270.307125153153</v>
      </c>
      <c r="AR92" s="7">
        <f t="shared" si="92"/>
        <v>18709.872388673397</v>
      </c>
      <c r="AS92" s="7">
        <f t="shared" si="93"/>
        <v>16183.27618069645</v>
      </c>
      <c r="AT92" s="7">
        <f t="shared" si="94"/>
        <v>178361.55078038902</v>
      </c>
      <c r="AU92">
        <f>SUM($AT$9:AT92)</f>
        <v>58433740.820770465</v>
      </c>
      <c r="AV92" s="7">
        <f>AT92/(1+$AR$5)^(COUNT($E$9:E92))</f>
        <v>94493.602283755172</v>
      </c>
      <c r="AW92" s="7">
        <f t="shared" si="109"/>
        <v>0</v>
      </c>
      <c r="AX92" s="7">
        <f t="shared" si="95"/>
        <v>0</v>
      </c>
      <c r="AY92" s="117">
        <f t="shared" si="96"/>
        <v>0</v>
      </c>
      <c r="AZ92" s="117">
        <f t="shared" si="97"/>
        <v>178361.55078038902</v>
      </c>
      <c r="BA92" s="120">
        <f t="shared" si="98"/>
        <v>44158.358712691079</v>
      </c>
      <c r="BB92" s="119">
        <f t="shared" si="63"/>
        <v>0</v>
      </c>
      <c r="BC92" s="17"/>
      <c r="BD92" s="126">
        <f t="shared" si="64"/>
        <v>0.49364795130035</v>
      </c>
      <c r="BE92" s="127">
        <f t="shared" si="65"/>
        <v>0.18198077982253447</v>
      </c>
      <c r="BF92" s="127">
        <f t="shared" si="66"/>
        <v>5.4338543304858419E-2</v>
      </c>
      <c r="BG92" s="127">
        <f t="shared" si="67"/>
        <v>7.4401164752668392E-2</v>
      </c>
      <c r="BH92" s="127">
        <f t="shared" si="68"/>
        <v>0.10489857431050414</v>
      </c>
      <c r="BI92" s="128">
        <f t="shared" si="69"/>
        <v>9.0732986509084623E-2</v>
      </c>
      <c r="BJ92" s="126">
        <f t="array" ref="BJ92">BD92*INDEX(Royalty!$U$7:$Z$246,MATCH('Decline and Model'!$E92,Royalty!$AI$7:$AI$246,0),MATCH('Decline and Model'!BJ$8,Royalty!$U$1:$Z$1,0))</f>
        <v>0.1410402873184107</v>
      </c>
      <c r="BK92" s="127">
        <f t="array" ref="BK92">BE92*INDEX(Royalty!$U$7:$Z$246,MATCH('Decline and Model'!$E92,Royalty!$AI$7:$AI$246,0),MATCH('Decline and Model'!BK$8,Royalty!$U$1:$Z$1,0))</f>
        <v>5.0476004826646527E-2</v>
      </c>
      <c r="BL92" s="127">
        <f t="array" ref="BL92">BF92*INDEX(Royalty!$U$7:$Z$246,MATCH('Decline and Model'!$E92,Royalty!$AI$7:$AI$246,0),MATCH('Decline and Model'!BL$8,Royalty!$U$1:$Z$1,0))</f>
        <v>1.5601399667343183E-2</v>
      </c>
      <c r="BM92" s="127">
        <f t="array" ref="BM92">BG92*INDEX(Royalty!$U$7:$Z$246,MATCH('Decline and Model'!$E92,Royalty!$AI$7:$AI$246,0),MATCH('Decline and Model'!BM$8,Royalty!$U$1:$Z$1,0))</f>
        <v>2.0631510294119058E-2</v>
      </c>
      <c r="BN92" s="127">
        <f t="array" ref="BN92">BH92*INDEX(Royalty!$U$7:$Z$246,MATCH('Decline and Model'!$E92,Royalty!$AI$7:$AI$246,0),MATCH('Decline and Model'!BN$8,Royalty!$U$1:$Z$1,0))</f>
        <v>1.5291939406265182E-2</v>
      </c>
      <c r="BO92" s="127">
        <f t="array" ref="BO92">BI92*INDEX(Royalty!$U$7:$Z$246,MATCH('Decline and Model'!$E92,Royalty!$AI$7:$AI$246,0),MATCH('Decline and Model'!BO$8,Royalty!$U$1:$Z$1,0))</f>
        <v>4.5366493254542315E-3</v>
      </c>
      <c r="BP92" s="135">
        <f t="shared" si="70"/>
        <v>0.24757779083823889</v>
      </c>
      <c r="BQ92" s="7"/>
      <c r="BR92" s="7"/>
      <c r="BS92">
        <v>84</v>
      </c>
      <c r="BT92" s="120">
        <f t="shared" si="71"/>
        <v>44158.358712691079</v>
      </c>
      <c r="BU92" s="113">
        <f t="shared" si="72"/>
        <v>31751.831388365135</v>
      </c>
      <c r="BV92" s="113">
        <f t="shared" si="73"/>
        <v>9525.5494165095406</v>
      </c>
      <c r="BW92" s="113">
        <f t="shared" si="106"/>
        <v>1876965.2002359179</v>
      </c>
      <c r="BX92" s="113">
        <f t="shared" si="99"/>
        <v>41489.284534551181</v>
      </c>
      <c r="BY92" s="120">
        <f t="shared" si="100"/>
        <v>51436.526728272082</v>
      </c>
      <c r="BZ92" s="153">
        <f t="shared" si="107"/>
        <v>0</v>
      </c>
      <c r="CA92" s="120">
        <f t="shared" si="110"/>
        <v>51436.526728272082</v>
      </c>
      <c r="CB92" s="120">
        <f t="shared" si="101"/>
        <v>12859.13168206802</v>
      </c>
      <c r="CC92" s="153">
        <f t="shared" si="102"/>
        <v>80066.679580755241</v>
      </c>
      <c r="CD92" s="7">
        <f t="shared" si="74"/>
        <v>42418.273127711618</v>
      </c>
      <c r="CE92" s="11">
        <f>SUM($CD$9:CD92)</f>
        <v>23812152.354313925</v>
      </c>
      <c r="CF92" s="11">
        <f t="shared" si="103"/>
        <v>12000000</v>
      </c>
      <c r="CG92">
        <f t="shared" si="104"/>
        <v>11812152.354313925</v>
      </c>
    </row>
    <row r="93" spans="1:89">
      <c r="A93">
        <f t="shared" si="75"/>
        <v>2024</v>
      </c>
      <c r="B93">
        <f t="shared" si="76"/>
        <v>30.416666666666668</v>
      </c>
      <c r="C93">
        <f t="shared" si="111"/>
        <v>8</v>
      </c>
      <c r="E93" s="97">
        <v>45383</v>
      </c>
      <c r="F93" s="2">
        <f>$F$6*EXP(-$F$3*COUNT($E$9:$E93))</f>
        <v>11.432269965642179</v>
      </c>
      <c r="G93" s="260">
        <f>$F$6/(1+$F$5*$F$3*COUNT($E$9:$E93))^(1/$F$5)</f>
        <v>30.594079674283172</v>
      </c>
      <c r="H93" s="260">
        <f>$H$6/(1+$H$5*$H$3*COUNT($E$9:$E93))^(1/$H$5)</f>
        <v>247.65124671518637</v>
      </c>
      <c r="I93" s="260">
        <f t="shared" si="77"/>
        <v>47.17166604098788</v>
      </c>
      <c r="J93" s="260">
        <f t="shared" si="78"/>
        <v>19.642281739467354</v>
      </c>
      <c r="K93" s="260">
        <f t="shared" si="78"/>
        <v>13.363732989411867</v>
      </c>
      <c r="L93" s="260">
        <f t="shared" si="78"/>
        <v>6.3728920821374624</v>
      </c>
      <c r="M93" s="260">
        <f t="shared" si="78"/>
        <v>7.7974763965752967</v>
      </c>
      <c r="N93" s="19">
        <f t="shared" si="79"/>
        <v>347.73154478828297</v>
      </c>
      <c r="O93" s="19">
        <f t="shared" si="80"/>
        <v>930.56992342611318</v>
      </c>
      <c r="P93" s="19">
        <f t="shared" si="81"/>
        <v>7532.7254209202529</v>
      </c>
      <c r="Q93" s="19">
        <f t="shared" si="82"/>
        <v>1434.804842080048</v>
      </c>
      <c r="R93" s="19">
        <f t="shared" si="83"/>
        <v>597.452736242132</v>
      </c>
      <c r="S93" s="19">
        <f t="shared" si="84"/>
        <v>406.48021176127764</v>
      </c>
      <c r="T93" s="19">
        <f t="shared" si="85"/>
        <v>193.8421341650145</v>
      </c>
      <c r="U93" s="19">
        <f t="shared" si="86"/>
        <v>237.17324039583195</v>
      </c>
      <c r="V93" s="261">
        <f t="shared" si="105"/>
        <v>3116.2931063914521</v>
      </c>
      <c r="W93" s="261">
        <f>SUM(O$9:O93)</f>
        <v>528747.36444160389</v>
      </c>
      <c r="X93" s="261">
        <f>SUM(P$9:P93)</f>
        <v>1966691.4293086883</v>
      </c>
      <c r="Y93" s="261">
        <f>SUM(Q$9:Q93)</f>
        <v>374607.89129689278</v>
      </c>
      <c r="Z93" s="261">
        <f>SUM($V$9:V93)</f>
        <v>1099409.7489805163</v>
      </c>
      <c r="AB93" s="257">
        <f t="array" ref="AB93">(INDEX(PriceDeck!$C$18:$O$77,MATCH('Decline and Model'!$A93,PriceDeck!$B$18:$B$77,0),MATCH('Decline and Model'!AB$8,PriceDeck!$C$13:$O$13,0))*(1+$AE$6))</f>
        <v>80.400000000000006</v>
      </c>
      <c r="AC93" s="257">
        <f t="array" ref="AC93">INDEX(PriceDeck!$C$18:$O$77,MATCH('Decline and Model'!$A93,PriceDeck!$B$18:$B$77,0),MATCH('Decline and Model'!AC$8,PriceDeck!$C$13:$O$13,0))*(1+$AE$6)</f>
        <v>91.8</v>
      </c>
      <c r="AD93" s="257">
        <f t="array" ref="AD93">INDEX(PriceDeck!$C$18:$O$77,MATCH('Decline and Model'!$A93,PriceDeck!$B$18:$B$77,0),MATCH('Decline and Model'!AD$8,PriceDeck!$C$13:$O$13,0))*(1+$AE$6)</f>
        <v>16</v>
      </c>
      <c r="AE93" s="257">
        <f t="array" ref="AE93">INDEX(PriceDeck!$C$18:$O$77,MATCH('Decline and Model'!$A93,PriceDeck!$B$18:$B$77,0),MATCH('Decline and Model'!AE$8,PriceDeck!$C$13:$O$13,0))*(1+$AE$6)</f>
        <v>32.200000000000003</v>
      </c>
      <c r="AF93" s="257">
        <f t="array" ref="AF93">INDEX(PriceDeck!$C$18:$O$77,MATCH('Decline and Model'!$A93,PriceDeck!$B$18:$B$77,0),MATCH('Decline and Model'!AF$8,PriceDeck!$C$13:$O$13,0))*(1+$AE$6)</f>
        <v>95.2</v>
      </c>
      <c r="AG93" s="257">
        <f t="array" ref="AG93">INDEX(PriceDeck!$C$18:$O$77,MATCH('Decline and Model'!$A93,PriceDeck!$B$18:$B$77,0),MATCH('Decline and Model'!AG$8,PriceDeck!$C$13:$O$13,0))*(1+$AE$6)</f>
        <v>67.3</v>
      </c>
      <c r="AH93" s="258">
        <f t="array" ref="AH93">INDEX(PriceDeck!$C$18:$O$77,MATCH('Decline and Model'!$A93,PriceDeck!$B$18:$B$77,0),MATCH('Decline and Model'!AH$8,PriceDeck!$C$13:$O$13,0))</f>
        <v>0.85</v>
      </c>
      <c r="AI93" s="258">
        <f t="shared" si="87"/>
        <v>4.25</v>
      </c>
      <c r="AJ93" s="259">
        <f t="shared" si="62"/>
        <v>4.25</v>
      </c>
      <c r="AK93" s="120">
        <v>4.25</v>
      </c>
      <c r="AL93" s="120"/>
      <c r="AN93" s="7">
        <f t="shared" si="88"/>
        <v>85426.318970517183</v>
      </c>
      <c r="AO93" s="7">
        <f t="shared" si="89"/>
        <v>32014.083038911074</v>
      </c>
      <c r="AP93" s="7">
        <f t="shared" si="90"/>
        <v>9559.2437798741121</v>
      </c>
      <c r="AQ93" s="7">
        <f t="shared" si="91"/>
        <v>13088.662818713141</v>
      </c>
      <c r="AR93" s="7">
        <f t="shared" si="92"/>
        <v>18453.77117250938</v>
      </c>
      <c r="AS93" s="7">
        <f t="shared" si="93"/>
        <v>15961.75907863949</v>
      </c>
      <c r="AT93" s="7">
        <f t="shared" si="94"/>
        <v>174503.83885916439</v>
      </c>
      <c r="AU93">
        <f>SUM($AT$9:AT93)</f>
        <v>58608244.659629628</v>
      </c>
      <c r="AV93" s="7">
        <f>AT93/(1+$AR$5)^(COUNT($E$9:E93))</f>
        <v>91753.289037146766</v>
      </c>
      <c r="AW93" s="7">
        <f t="shared" si="109"/>
        <v>0</v>
      </c>
      <c r="AX93" s="7">
        <f t="shared" si="95"/>
        <v>0</v>
      </c>
      <c r="AY93" s="117">
        <f t="shared" si="96"/>
        <v>0</v>
      </c>
      <c r="AZ93" s="117">
        <f t="shared" si="97"/>
        <v>174503.83885916439</v>
      </c>
      <c r="BA93" s="120">
        <f t="shared" si="98"/>
        <v>43149.268106564225</v>
      </c>
      <c r="BB93" s="119">
        <f t="shared" si="63"/>
        <v>0</v>
      </c>
      <c r="BC93" s="17"/>
      <c r="BD93" s="126">
        <f t="shared" si="64"/>
        <v>0.48953833639993222</v>
      </c>
      <c r="BE93" s="127">
        <f t="shared" si="65"/>
        <v>0.18345775799665048</v>
      </c>
      <c r="BF93" s="127">
        <f t="shared" si="66"/>
        <v>5.477956154070069E-2</v>
      </c>
      <c r="BG93" s="127">
        <f t="shared" si="67"/>
        <v>7.5005013667788237E-2</v>
      </c>
      <c r="BH93" s="127">
        <f t="shared" si="68"/>
        <v>0.10574994391614925</v>
      </c>
      <c r="BI93" s="128">
        <f t="shared" si="69"/>
        <v>9.1469386478779058E-2</v>
      </c>
      <c r="BJ93" s="126">
        <f t="array" ref="BJ93">BD93*INDEX(Royalty!$U$7:$Z$246,MATCH('Decline and Model'!$E93,Royalty!$AI$7:$AI$246,0),MATCH('Decline and Model'!BJ$8,Royalty!$U$1:$Z$1,0))</f>
        <v>0.13986612815336985</v>
      </c>
      <c r="BK93" s="127">
        <f t="array" ref="BK93">BE93*INDEX(Royalty!$U$7:$Z$246,MATCH('Decline and Model'!$E93,Royalty!$AI$7:$AI$246,0),MATCH('Decline and Model'!BK$8,Royalty!$U$1:$Z$1,0))</f>
        <v>5.0885674229746318E-2</v>
      </c>
      <c r="BL93" s="127">
        <f t="array" ref="BL93">BF93*INDEX(Royalty!$U$7:$Z$246,MATCH('Decline and Model'!$E93,Royalty!$AI$7:$AI$246,0),MATCH('Decline and Model'!BL$8,Royalty!$U$1:$Z$1,0))</f>
        <v>1.572802252727816E-2</v>
      </c>
      <c r="BM93" s="127">
        <f t="array" ref="BM93">BG93*INDEX(Royalty!$U$7:$Z$246,MATCH('Decline and Model'!$E93,Royalty!$AI$7:$AI$246,0),MATCH('Decline and Model'!BM$8,Royalty!$U$1:$Z$1,0))</f>
        <v>2.0798958144563371E-2</v>
      </c>
      <c r="BN93" s="127">
        <f t="array" ref="BN93">BH93*INDEX(Royalty!$U$7:$Z$246,MATCH('Decline and Model'!$E93,Royalty!$AI$7:$AI$246,0),MATCH('Decline and Model'!BN$8,Royalty!$U$1:$Z$1,0))</f>
        <v>1.5416050649029301E-2</v>
      </c>
      <c r="BO93" s="127">
        <f t="array" ref="BO93">BI93*INDEX(Royalty!$U$7:$Z$246,MATCH('Decline and Model'!$E93,Royalty!$AI$7:$AI$246,0),MATCH('Decline and Model'!BO$8,Royalty!$U$1:$Z$1,0))</f>
        <v>4.5734693239389531E-3</v>
      </c>
      <c r="BP93" s="135">
        <f t="shared" si="70"/>
        <v>0.24726830302792596</v>
      </c>
      <c r="BQ93" s="7"/>
      <c r="BR93" s="7"/>
      <c r="BS93">
        <v>85</v>
      </c>
      <c r="BT93" s="120">
        <f t="shared" si="71"/>
        <v>43149.268106564225</v>
      </c>
      <c r="BU93" s="113">
        <f t="shared" si="72"/>
        <v>31162.931063914519</v>
      </c>
      <c r="BV93" s="113">
        <f t="shared" si="73"/>
        <v>9348.8793191743571</v>
      </c>
      <c r="BW93" s="113">
        <f t="shared" si="106"/>
        <v>1835475.9157013667</v>
      </c>
      <c r="BX93" s="113">
        <f t="shared" si="99"/>
        <v>40572.186694392723</v>
      </c>
      <c r="BY93" s="120">
        <f t="shared" si="100"/>
        <v>50270.57367511854</v>
      </c>
      <c r="BZ93" s="153">
        <f t="shared" si="107"/>
        <v>0</v>
      </c>
      <c r="CA93" s="120">
        <f t="shared" si="110"/>
        <v>50270.57367511854</v>
      </c>
      <c r="CB93" s="120">
        <f t="shared" si="101"/>
        <v>12567.643418779635</v>
      </c>
      <c r="CC93" s="153">
        <f t="shared" si="102"/>
        <v>78275.116950731637</v>
      </c>
      <c r="CD93" s="7">
        <f t="shared" si="74"/>
        <v>41156.684442875056</v>
      </c>
      <c r="CE93" s="11">
        <f>SUM($CD$9:CD93)</f>
        <v>23853309.038756799</v>
      </c>
      <c r="CF93" s="11">
        <f t="shared" si="103"/>
        <v>12000000</v>
      </c>
      <c r="CG93">
        <f t="shared" si="104"/>
        <v>11853309.038756799</v>
      </c>
    </row>
    <row r="94" spans="1:89">
      <c r="A94">
        <f t="shared" si="75"/>
        <v>2024</v>
      </c>
      <c r="B94">
        <f t="shared" si="76"/>
        <v>30.416666666666668</v>
      </c>
      <c r="C94">
        <f t="shared" si="111"/>
        <v>8</v>
      </c>
      <c r="E94" s="97">
        <v>45413</v>
      </c>
      <c r="F94" s="2">
        <f>$F$6*EXP(-$F$3*COUNT($E$9:$E94))</f>
        <v>10.87471158015461</v>
      </c>
      <c r="G94" s="260">
        <f>$F$6/(1+$F$5*$F$3*COUNT($E$9:$E94))^(1/$F$5)</f>
        <v>29.687365506110531</v>
      </c>
      <c r="H94" s="260">
        <f>$H$6/(1+$H$5*$H$3*COUNT($E$9:$E94))^(1/$H$5)</f>
        <v>244.29421672089924</v>
      </c>
      <c r="I94" s="260">
        <f t="shared" si="77"/>
        <v>46.53223175636176</v>
      </c>
      <c r="J94" s="260">
        <f t="shared" si="78"/>
        <v>19.376021303349038</v>
      </c>
      <c r="K94" s="260">
        <f t="shared" si="78"/>
        <v>13.182581256577286</v>
      </c>
      <c r="L94" s="260">
        <f t="shared" si="78"/>
        <v>6.2865045102844741</v>
      </c>
      <c r="M94" s="260">
        <f t="shared" si="78"/>
        <v>7.691777909326599</v>
      </c>
      <c r="N94" s="19">
        <f t="shared" si="79"/>
        <v>330.77247722970276</v>
      </c>
      <c r="O94" s="19">
        <f t="shared" si="80"/>
        <v>902.99070081086199</v>
      </c>
      <c r="P94" s="19">
        <f t="shared" si="81"/>
        <v>7430.6157585940191</v>
      </c>
      <c r="Q94" s="19">
        <f t="shared" si="82"/>
        <v>1415.3553825893368</v>
      </c>
      <c r="R94" s="19">
        <f t="shared" si="83"/>
        <v>589.35398131019997</v>
      </c>
      <c r="S94" s="19">
        <f t="shared" si="84"/>
        <v>400.97017988755914</v>
      </c>
      <c r="T94" s="19">
        <f t="shared" si="85"/>
        <v>191.21451218781942</v>
      </c>
      <c r="U94" s="19">
        <f t="shared" si="86"/>
        <v>233.9582447420174</v>
      </c>
      <c r="V94" s="261">
        <f t="shared" si="105"/>
        <v>3059.0853703657194</v>
      </c>
      <c r="W94" s="261">
        <f>SUM(O$9:O94)</f>
        <v>529650.3551424148</v>
      </c>
      <c r="X94" s="261">
        <f>SUM(P$9:P94)</f>
        <v>1974122.0450672824</v>
      </c>
      <c r="Y94" s="261">
        <f>SUM(Q$9:Q94)</f>
        <v>376023.24667948211</v>
      </c>
      <c r="Z94" s="261">
        <f>SUM($V$9:V94)</f>
        <v>1102468.8343508821</v>
      </c>
      <c r="AB94" s="257">
        <f t="array" ref="AB94">(INDEX(PriceDeck!$C$18:$O$77,MATCH('Decline and Model'!$A94,PriceDeck!$B$18:$B$77,0),MATCH('Decline and Model'!AB$8,PriceDeck!$C$13:$O$13,0))*(1+$AE$6))</f>
        <v>80.400000000000006</v>
      </c>
      <c r="AC94" s="257">
        <f t="array" ref="AC94">INDEX(PriceDeck!$C$18:$O$77,MATCH('Decline and Model'!$A94,PriceDeck!$B$18:$B$77,0),MATCH('Decline and Model'!AC$8,PriceDeck!$C$13:$O$13,0))*(1+$AE$6)</f>
        <v>91.8</v>
      </c>
      <c r="AD94" s="257">
        <f t="array" ref="AD94">INDEX(PriceDeck!$C$18:$O$77,MATCH('Decline and Model'!$A94,PriceDeck!$B$18:$B$77,0),MATCH('Decline and Model'!AD$8,PriceDeck!$C$13:$O$13,0))*(1+$AE$6)</f>
        <v>16</v>
      </c>
      <c r="AE94" s="257">
        <f t="array" ref="AE94">INDEX(PriceDeck!$C$18:$O$77,MATCH('Decline and Model'!$A94,PriceDeck!$B$18:$B$77,0),MATCH('Decline and Model'!AE$8,PriceDeck!$C$13:$O$13,0))*(1+$AE$6)</f>
        <v>32.200000000000003</v>
      </c>
      <c r="AF94" s="257">
        <f t="array" ref="AF94">INDEX(PriceDeck!$C$18:$O$77,MATCH('Decline and Model'!$A94,PriceDeck!$B$18:$B$77,0),MATCH('Decline and Model'!AF$8,PriceDeck!$C$13:$O$13,0))*(1+$AE$6)</f>
        <v>95.2</v>
      </c>
      <c r="AG94" s="257">
        <f t="array" ref="AG94">INDEX(PriceDeck!$C$18:$O$77,MATCH('Decline and Model'!$A94,PriceDeck!$B$18:$B$77,0),MATCH('Decline and Model'!AG$8,PriceDeck!$C$13:$O$13,0))*(1+$AE$6)</f>
        <v>67.3</v>
      </c>
      <c r="AH94" s="258">
        <f t="array" ref="AH94">INDEX(PriceDeck!$C$18:$O$77,MATCH('Decline and Model'!$A94,PriceDeck!$B$18:$B$77,0),MATCH('Decline and Model'!AH$8,PriceDeck!$C$13:$O$13,0))</f>
        <v>0.85</v>
      </c>
      <c r="AI94" s="258">
        <f t="shared" si="87"/>
        <v>4.25</v>
      </c>
      <c r="AJ94" s="259">
        <f t="shared" si="62"/>
        <v>4.25</v>
      </c>
      <c r="AK94" s="120">
        <v>4.25</v>
      </c>
      <c r="AL94" s="120"/>
      <c r="AN94" s="7">
        <f t="shared" si="88"/>
        <v>82894.546334437124</v>
      </c>
      <c r="AO94" s="7">
        <f t="shared" si="89"/>
        <v>31580.116974024582</v>
      </c>
      <c r="AP94" s="7">
        <f t="shared" si="90"/>
        <v>9429.6637009631995</v>
      </c>
      <c r="AQ94" s="7">
        <f t="shared" si="91"/>
        <v>12911.239792379405</v>
      </c>
      <c r="AR94" s="7">
        <f t="shared" si="92"/>
        <v>18203.621560280411</v>
      </c>
      <c r="AS94" s="7">
        <f t="shared" si="93"/>
        <v>15745.38987113777</v>
      </c>
      <c r="AT94" s="7">
        <f t="shared" si="94"/>
        <v>170764.57823322248</v>
      </c>
      <c r="AU94">
        <f>SUM($AT$9:AT94)</f>
        <v>58779009.237862848</v>
      </c>
      <c r="AV94" s="7">
        <f>AT94/(1+$AR$5)^(COUNT($E$9:E94))</f>
        <v>89110.716513056221</v>
      </c>
      <c r="AW94" s="7">
        <f t="shared" si="109"/>
        <v>0</v>
      </c>
      <c r="AX94" s="7">
        <f t="shared" si="95"/>
        <v>0</v>
      </c>
      <c r="AY94" s="117">
        <f t="shared" si="96"/>
        <v>0</v>
      </c>
      <c r="AZ94" s="117">
        <f t="shared" si="97"/>
        <v>170764.57823322248</v>
      </c>
      <c r="BA94" s="120">
        <f t="shared" si="98"/>
        <v>42171.856738882001</v>
      </c>
      <c r="BB94" s="119">
        <f t="shared" si="63"/>
        <v>0</v>
      </c>
      <c r="BC94" s="17"/>
      <c r="BD94" s="126">
        <f t="shared" si="64"/>
        <v>0.48543173995501299</v>
      </c>
      <c r="BE94" s="127">
        <f t="shared" si="65"/>
        <v>0.18493365135065598</v>
      </c>
      <c r="BF94" s="127">
        <f t="shared" si="66"/>
        <v>5.5220255854727639E-2</v>
      </c>
      <c r="BG94" s="127">
        <f t="shared" si="67"/>
        <v>7.560841906420325E-2</v>
      </c>
      <c r="BH94" s="127">
        <f t="shared" si="68"/>
        <v>0.10660068820255413</v>
      </c>
      <c r="BI94" s="128">
        <f t="shared" si="69"/>
        <v>9.2205245572846109E-2</v>
      </c>
      <c r="BJ94" s="126">
        <f t="array" ref="BJ94">BD94*INDEX(Royalty!$U$7:$Z$246,MATCH('Decline and Model'!$E94,Royalty!$AI$7:$AI$246,0),MATCH('Decline and Model'!BJ$8,Royalty!$U$1:$Z$1,0))</f>
        <v>0.13869283139205144</v>
      </c>
      <c r="BK94" s="127">
        <f t="array" ref="BK94">BE94*INDEX(Royalty!$U$7:$Z$246,MATCH('Decline and Model'!$E94,Royalty!$AI$7:$AI$246,0),MATCH('Decline and Model'!BK$8,Royalty!$U$1:$Z$1,0))</f>
        <v>5.1295042736316326E-2</v>
      </c>
      <c r="BL94" s="127">
        <f t="array" ref="BL94">BF94*INDEX(Royalty!$U$7:$Z$246,MATCH('Decline and Model'!$E94,Royalty!$AI$7:$AI$246,0),MATCH('Decline and Model'!BL$8,Royalty!$U$1:$Z$1,0))</f>
        <v>1.5854552384467861E-2</v>
      </c>
      <c r="BM94" s="127">
        <f t="array" ref="BM94">BG94*INDEX(Royalty!$U$7:$Z$246,MATCH('Decline and Model'!$E94,Royalty!$AI$7:$AI$246,0),MATCH('Decline and Model'!BM$8,Royalty!$U$1:$Z$1,0))</f>
        <v>2.0966283006869601E-2</v>
      </c>
      <c r="BN94" s="127">
        <f t="array" ref="BN94">BH94*INDEX(Royalty!$U$7:$Z$246,MATCH('Decline and Model'!$E94,Royalty!$AI$7:$AI$246,0),MATCH('Decline and Model'!BN$8,Royalty!$U$1:$Z$1,0))</f>
        <v>1.5540070733796334E-2</v>
      </c>
      <c r="BO94" s="127">
        <f t="array" ref="BO94">BI94*INDEX(Royalty!$U$7:$Z$246,MATCH('Decline and Model'!$E94,Royalty!$AI$7:$AI$246,0),MATCH('Decline and Model'!BO$8,Royalty!$U$1:$Z$1,0))</f>
        <v>4.6102622786423058E-3</v>
      </c>
      <c r="BP94" s="135">
        <f t="shared" si="70"/>
        <v>0.24695904253214387</v>
      </c>
      <c r="BQ94" s="7"/>
      <c r="BR94" s="7"/>
      <c r="BS94">
        <v>86</v>
      </c>
      <c r="BT94" s="120">
        <f t="shared" si="71"/>
        <v>42171.856738882001</v>
      </c>
      <c r="BU94" s="113">
        <f t="shared" si="72"/>
        <v>30590.853703657194</v>
      </c>
      <c r="BV94" s="113">
        <f t="shared" si="73"/>
        <v>9177.2561110971583</v>
      </c>
      <c r="BW94" s="113">
        <f t="shared" si="106"/>
        <v>1794903.729006974</v>
      </c>
      <c r="BX94" s="113">
        <f t="shared" si="99"/>
        <v>39675.360798131558</v>
      </c>
      <c r="BY94" s="120">
        <f t="shared" si="100"/>
        <v>49149.250881454573</v>
      </c>
      <c r="BZ94" s="153">
        <f t="shared" si="107"/>
        <v>0</v>
      </c>
      <c r="CA94" s="120">
        <f t="shared" si="110"/>
        <v>49149.250881454573</v>
      </c>
      <c r="CB94" s="120">
        <f t="shared" si="101"/>
        <v>12287.312720363643</v>
      </c>
      <c r="CC94" s="153">
        <f t="shared" si="102"/>
        <v>76537.298959222491</v>
      </c>
      <c r="CD94" s="7">
        <f t="shared" si="74"/>
        <v>39939.744066333602</v>
      </c>
      <c r="CE94" s="11">
        <f>SUM($CD$9:CD94)</f>
        <v>23893248.782823134</v>
      </c>
      <c r="CF94" s="11">
        <f t="shared" si="103"/>
        <v>12000000</v>
      </c>
      <c r="CG94">
        <f t="shared" si="104"/>
        <v>11893248.782823134</v>
      </c>
    </row>
    <row r="95" spans="1:89">
      <c r="A95">
        <f t="shared" si="75"/>
        <v>2024</v>
      </c>
      <c r="B95">
        <f t="shared" si="76"/>
        <v>30.416666666666668</v>
      </c>
      <c r="C95">
        <f t="shared" si="111"/>
        <v>8</v>
      </c>
      <c r="E95" s="97">
        <v>45444</v>
      </c>
      <c r="F95" s="2">
        <f>$F$6*EXP(-$F$3*COUNT($E$9:$E95))</f>
        <v>10.344345638001712</v>
      </c>
      <c r="G95" s="260">
        <f>$F$6/(1+$F$5*$F$3*COUNT($E$9:$E95))^(1/$F$5)</f>
        <v>28.811542521476966</v>
      </c>
      <c r="H95" s="260">
        <f>$H$6/(1+$H$5*$H$3*COUNT($E$9:$E95))^(1/$H$5)</f>
        <v>241.01445340538186</v>
      </c>
      <c r="I95" s="260">
        <f t="shared" si="77"/>
        <v>45.907514934358446</v>
      </c>
      <c r="J95" s="260">
        <f t="shared" si="78"/>
        <v>19.115889218666858</v>
      </c>
      <c r="K95" s="260">
        <f t="shared" si="78"/>
        <v>13.005598980903747</v>
      </c>
      <c r="L95" s="260">
        <f t="shared" si="78"/>
        <v>6.2021052676318256</v>
      </c>
      <c r="M95" s="260">
        <f t="shared" si="78"/>
        <v>7.5885122186494511</v>
      </c>
      <c r="N95" s="19">
        <f t="shared" si="79"/>
        <v>314.64051315588546</v>
      </c>
      <c r="O95" s="19">
        <f t="shared" si="80"/>
        <v>876.35108502825778</v>
      </c>
      <c r="P95" s="19">
        <f t="shared" si="81"/>
        <v>7330.8562910803648</v>
      </c>
      <c r="Q95" s="19">
        <f t="shared" si="82"/>
        <v>1396.3535792534028</v>
      </c>
      <c r="R95" s="19">
        <f t="shared" si="83"/>
        <v>581.44163040111698</v>
      </c>
      <c r="S95" s="19">
        <f t="shared" si="84"/>
        <v>395.58696900248896</v>
      </c>
      <c r="T95" s="19">
        <f t="shared" si="85"/>
        <v>188.64736855713471</v>
      </c>
      <c r="U95" s="19">
        <f t="shared" si="86"/>
        <v>230.81724665058749</v>
      </c>
      <c r="V95" s="261">
        <f t="shared" si="105"/>
        <v>3003.4991823027422</v>
      </c>
      <c r="W95" s="261">
        <f>SUM(O$9:O95)</f>
        <v>530526.70622744306</v>
      </c>
      <c r="X95" s="261">
        <f>SUM(P$9:P95)</f>
        <v>1981452.9013583628</v>
      </c>
      <c r="Y95" s="261">
        <f>SUM(Q$9:Q95)</f>
        <v>377419.60025873553</v>
      </c>
      <c r="Z95" s="261">
        <f>SUM($V$9:V95)</f>
        <v>1105472.3335331848</v>
      </c>
      <c r="AB95" s="257">
        <f t="array" ref="AB95">(INDEX(PriceDeck!$C$18:$O$77,MATCH('Decline and Model'!$A95,PriceDeck!$B$18:$B$77,0),MATCH('Decline and Model'!AB$8,PriceDeck!$C$13:$O$13,0))*(1+$AE$6))</f>
        <v>80.400000000000006</v>
      </c>
      <c r="AC95" s="257">
        <f t="array" ref="AC95">INDEX(PriceDeck!$C$18:$O$77,MATCH('Decline and Model'!$A95,PriceDeck!$B$18:$B$77,0),MATCH('Decline and Model'!AC$8,PriceDeck!$C$13:$O$13,0))*(1+$AE$6)</f>
        <v>91.8</v>
      </c>
      <c r="AD95" s="257">
        <f t="array" ref="AD95">INDEX(PriceDeck!$C$18:$O$77,MATCH('Decline and Model'!$A95,PriceDeck!$B$18:$B$77,0),MATCH('Decline and Model'!AD$8,PriceDeck!$C$13:$O$13,0))*(1+$AE$6)</f>
        <v>16</v>
      </c>
      <c r="AE95" s="257">
        <f t="array" ref="AE95">INDEX(PriceDeck!$C$18:$O$77,MATCH('Decline and Model'!$A95,PriceDeck!$B$18:$B$77,0),MATCH('Decline and Model'!AE$8,PriceDeck!$C$13:$O$13,0))*(1+$AE$6)</f>
        <v>32.200000000000003</v>
      </c>
      <c r="AF95" s="257">
        <f t="array" ref="AF95">INDEX(PriceDeck!$C$18:$O$77,MATCH('Decline and Model'!$A95,PriceDeck!$B$18:$B$77,0),MATCH('Decline and Model'!AF$8,PriceDeck!$C$13:$O$13,0))*(1+$AE$6)</f>
        <v>95.2</v>
      </c>
      <c r="AG95" s="257">
        <f t="array" ref="AG95">INDEX(PriceDeck!$C$18:$O$77,MATCH('Decline and Model'!$A95,PriceDeck!$B$18:$B$77,0),MATCH('Decline and Model'!AG$8,PriceDeck!$C$13:$O$13,0))*(1+$AE$6)</f>
        <v>67.3</v>
      </c>
      <c r="AH95" s="258">
        <f t="array" ref="AH95">INDEX(PriceDeck!$C$18:$O$77,MATCH('Decline and Model'!$A95,PriceDeck!$B$18:$B$77,0),MATCH('Decline and Model'!AH$8,PriceDeck!$C$13:$O$13,0))</f>
        <v>0.85</v>
      </c>
      <c r="AI95" s="258">
        <f t="shared" si="87"/>
        <v>4.25</v>
      </c>
      <c r="AJ95" s="259">
        <f t="shared" si="62"/>
        <v>4.25</v>
      </c>
      <c r="AK95" s="120">
        <v>4.25</v>
      </c>
      <c r="AL95" s="120"/>
      <c r="AN95" s="7">
        <f t="shared" si="88"/>
        <v>80449.029605594056</v>
      </c>
      <c r="AO95" s="7">
        <f t="shared" si="89"/>
        <v>31156.139237091549</v>
      </c>
      <c r="AP95" s="7">
        <f t="shared" si="90"/>
        <v>9303.0660864178717</v>
      </c>
      <c r="AQ95" s="7">
        <f t="shared" si="91"/>
        <v>12737.900401880146</v>
      </c>
      <c r="AR95" s="7">
        <f t="shared" si="92"/>
        <v>17959.229486639226</v>
      </c>
      <c r="AS95" s="7">
        <f t="shared" si="93"/>
        <v>15534.000699584538</v>
      </c>
      <c r="AT95" s="7">
        <f t="shared" si="94"/>
        <v>167139.36551720742</v>
      </c>
      <c r="AU95">
        <f>SUM($AT$9:AT95)</f>
        <v>58946148.603380054</v>
      </c>
      <c r="AV95" s="7">
        <f>AT95/(1+$AR$5)^(COUNT($E$9:E95))</f>
        <v>86561.821211762202</v>
      </c>
      <c r="AW95" s="7">
        <f t="shared" si="109"/>
        <v>0</v>
      </c>
      <c r="AX95" s="7">
        <f t="shared" si="95"/>
        <v>0</v>
      </c>
      <c r="AY95" s="117">
        <f t="shared" si="96"/>
        <v>0</v>
      </c>
      <c r="AZ95" s="117">
        <f t="shared" si="97"/>
        <v>167139.36551720742</v>
      </c>
      <c r="BA95" s="120">
        <f t="shared" si="98"/>
        <v>41224.937063407939</v>
      </c>
      <c r="BB95" s="119">
        <f t="shared" si="63"/>
        <v>0</v>
      </c>
      <c r="BC95" s="17"/>
      <c r="BD95" s="126">
        <f t="shared" si="64"/>
        <v>0.48132903554256717</v>
      </c>
      <c r="BE95" s="127">
        <f t="shared" si="65"/>
        <v>0.1864081459246891</v>
      </c>
      <c r="BF95" s="127">
        <f t="shared" si="66"/>
        <v>5.566053250010751E-2</v>
      </c>
      <c r="BG95" s="127">
        <f t="shared" si="67"/>
        <v>7.6211252582317285E-2</v>
      </c>
      <c r="BH95" s="127">
        <f t="shared" si="68"/>
        <v>0.10745062619488212</v>
      </c>
      <c r="BI95" s="128">
        <f t="shared" si="69"/>
        <v>9.2940407255436619E-2</v>
      </c>
      <c r="BJ95" s="126">
        <f t="array" ref="BJ95">BD95*INDEX(Royalty!$U$7:$Z$246,MATCH('Decline and Model'!$E95,Royalty!$AI$7:$AI$246,0),MATCH('Decline and Model'!BJ$8,Royalty!$U$1:$Z$1,0))</f>
        <v>0.13752064662436503</v>
      </c>
      <c r="BK95" s="127">
        <f t="array" ref="BK95">BE95*INDEX(Royalty!$U$7:$Z$246,MATCH('Decline and Model'!$E95,Royalty!$AI$7:$AI$246,0),MATCH('Decline and Model'!BK$8,Royalty!$U$1:$Z$1,0))</f>
        <v>5.170402326331671E-2</v>
      </c>
      <c r="BL95" s="127">
        <f t="array" ref="BL95">BF95*INDEX(Royalty!$U$7:$Z$246,MATCH('Decline and Model'!$E95,Royalty!$AI$7:$AI$246,0),MATCH('Decline and Model'!BL$8,Royalty!$U$1:$Z$1,0))</f>
        <v>1.5980962322809995E-2</v>
      </c>
      <c r="BM95" s="127">
        <f t="array" ref="BM95">BG95*INDEX(Royalty!$U$7:$Z$246,MATCH('Decline and Model'!$E95,Royalty!$AI$7:$AI$246,0),MATCH('Decline and Model'!BM$8,Royalty!$U$1:$Z$1,0))</f>
        <v>2.1133449286805613E-2</v>
      </c>
      <c r="BN95" s="127">
        <f t="array" ref="BN95">BH95*INDEX(Royalty!$U$7:$Z$246,MATCH('Decline and Model'!$E95,Royalty!$AI$7:$AI$246,0),MATCH('Decline and Model'!BN$8,Royalty!$U$1:$Z$1,0))</f>
        <v>1.5663973278356093E-2</v>
      </c>
      <c r="BO95" s="127">
        <f t="array" ref="BO95">BI95*INDEX(Royalty!$U$7:$Z$246,MATCH('Decline and Model'!$E95,Royalty!$AI$7:$AI$246,0),MATCH('Decline and Model'!BO$8,Royalty!$U$1:$Z$1,0))</f>
        <v>4.6470203627718308E-3</v>
      </c>
      <c r="BP95" s="135">
        <f t="shared" si="70"/>
        <v>0.24665007513842527</v>
      </c>
      <c r="BQ95" s="7"/>
      <c r="BR95" s="7"/>
      <c r="BS95">
        <v>87</v>
      </c>
      <c r="BT95" s="120">
        <f t="shared" si="71"/>
        <v>41224.937063407939</v>
      </c>
      <c r="BU95" s="113">
        <f t="shared" si="72"/>
        <v>30034.99182302742</v>
      </c>
      <c r="BV95" s="113">
        <f t="shared" si="73"/>
        <v>9010.4975469082274</v>
      </c>
      <c r="BW95" s="113">
        <f t="shared" si="106"/>
        <v>1755228.3682088424</v>
      </c>
      <c r="BX95" s="113">
        <f t="shared" si="99"/>
        <v>38798.35874558537</v>
      </c>
      <c r="BY95" s="120">
        <f t="shared" si="100"/>
        <v>48070.580338278465</v>
      </c>
      <c r="BZ95" s="153">
        <f t="shared" si="107"/>
        <v>0</v>
      </c>
      <c r="CA95" s="120">
        <f t="shared" si="110"/>
        <v>48070.580338278465</v>
      </c>
      <c r="CB95" s="120">
        <f t="shared" si="101"/>
        <v>12017.645084569616</v>
      </c>
      <c r="CC95" s="153">
        <f t="shared" si="102"/>
        <v>74851.293999294227</v>
      </c>
      <c r="CD95" s="7">
        <f t="shared" si="74"/>
        <v>38765.639133462544</v>
      </c>
      <c r="CE95" s="11">
        <f>SUM($CD$9:CD95)</f>
        <v>23932014.421956595</v>
      </c>
      <c r="CF95" s="11">
        <f t="shared" si="103"/>
        <v>12000000</v>
      </c>
      <c r="CG95">
        <f t="shared" si="104"/>
        <v>11932014.421956595</v>
      </c>
    </row>
    <row r="96" spans="1:89">
      <c r="A96">
        <f t="shared" si="75"/>
        <v>2024</v>
      </c>
      <c r="B96">
        <f t="shared" si="76"/>
        <v>30.416666666666668</v>
      </c>
      <c r="C96">
        <f t="shared" si="111"/>
        <v>8</v>
      </c>
      <c r="E96" s="97">
        <v>45474</v>
      </c>
      <c r="F96" s="2">
        <f>$F$6*EXP(-$F$3*COUNT($E$9:$E96))</f>
        <v>9.839845948072842</v>
      </c>
      <c r="G96" s="260">
        <f>$F$6/(1+$F$5*$F$3*COUNT($E$9:$E96))^(1/$F$5)</f>
        <v>27.965422601066464</v>
      </c>
      <c r="H96" s="260">
        <f>$H$6/(1+$H$5*$H$3*COUNT($E$9:$E96))^(1/$H$5)</f>
        <v>237.80946124990271</v>
      </c>
      <c r="I96" s="260">
        <f t="shared" si="77"/>
        <v>45.297040238076704</v>
      </c>
      <c r="J96" s="260">
        <f t="shared" si="78"/>
        <v>18.861687555135138</v>
      </c>
      <c r="K96" s="260">
        <f t="shared" si="78"/>
        <v>12.832651499447129</v>
      </c>
      <c r="L96" s="260">
        <f t="shared" si="78"/>
        <v>6.1196301361641625</v>
      </c>
      <c r="M96" s="260">
        <f t="shared" si="78"/>
        <v>7.487600751354079</v>
      </c>
      <c r="N96" s="19">
        <f t="shared" si="79"/>
        <v>299.29531425388228</v>
      </c>
      <c r="O96" s="19">
        <f t="shared" si="80"/>
        <v>850.61493744910501</v>
      </c>
      <c r="P96" s="19">
        <f t="shared" si="81"/>
        <v>7233.3711130178744</v>
      </c>
      <c r="Q96" s="19">
        <f t="shared" si="82"/>
        <v>1377.7849739081664</v>
      </c>
      <c r="R96" s="19">
        <f t="shared" si="83"/>
        <v>573.70966313536042</v>
      </c>
      <c r="S96" s="19">
        <f t="shared" si="84"/>
        <v>390.32648310818354</v>
      </c>
      <c r="T96" s="19">
        <f t="shared" si="85"/>
        <v>186.13874997499329</v>
      </c>
      <c r="U96" s="19">
        <f t="shared" si="86"/>
        <v>227.74785618701992</v>
      </c>
      <c r="V96" s="261">
        <f t="shared" si="105"/>
        <v>2949.4763785957916</v>
      </c>
      <c r="W96" s="261">
        <f>SUM(O$9:O96)</f>
        <v>531377.32116489217</v>
      </c>
      <c r="X96" s="261">
        <f>SUM(P$9:P96)</f>
        <v>1988686.2724713807</v>
      </c>
      <c r="Y96" s="261">
        <f>SUM(Q$9:Q96)</f>
        <v>378797.38523264369</v>
      </c>
      <c r="Z96" s="261">
        <f>SUM($V$9:V96)</f>
        <v>1108421.8099117805</v>
      </c>
      <c r="AB96" s="257">
        <f t="array" ref="AB96">(INDEX(PriceDeck!$C$18:$O$77,MATCH('Decline and Model'!$A96,PriceDeck!$B$18:$B$77,0),MATCH('Decline and Model'!AB$8,PriceDeck!$C$13:$O$13,0))*(1+$AE$6))</f>
        <v>80.400000000000006</v>
      </c>
      <c r="AC96" s="257">
        <f t="array" ref="AC96">INDEX(PriceDeck!$C$18:$O$77,MATCH('Decline and Model'!$A96,PriceDeck!$B$18:$B$77,0),MATCH('Decline and Model'!AC$8,PriceDeck!$C$13:$O$13,0))*(1+$AE$6)</f>
        <v>91.8</v>
      </c>
      <c r="AD96" s="257">
        <f t="array" ref="AD96">INDEX(PriceDeck!$C$18:$O$77,MATCH('Decline and Model'!$A96,PriceDeck!$B$18:$B$77,0),MATCH('Decline and Model'!AD$8,PriceDeck!$C$13:$O$13,0))*(1+$AE$6)</f>
        <v>16</v>
      </c>
      <c r="AE96" s="257">
        <f t="array" ref="AE96">INDEX(PriceDeck!$C$18:$O$77,MATCH('Decline and Model'!$A96,PriceDeck!$B$18:$B$77,0),MATCH('Decline and Model'!AE$8,PriceDeck!$C$13:$O$13,0))*(1+$AE$6)</f>
        <v>32.200000000000003</v>
      </c>
      <c r="AF96" s="257">
        <f t="array" ref="AF96">INDEX(PriceDeck!$C$18:$O$77,MATCH('Decline and Model'!$A96,PriceDeck!$B$18:$B$77,0),MATCH('Decline and Model'!AF$8,PriceDeck!$C$13:$O$13,0))*(1+$AE$6)</f>
        <v>95.2</v>
      </c>
      <c r="AG96" s="257">
        <f t="array" ref="AG96">INDEX(PriceDeck!$C$18:$O$77,MATCH('Decline and Model'!$A96,PriceDeck!$B$18:$B$77,0),MATCH('Decline and Model'!AG$8,PriceDeck!$C$13:$O$13,0))*(1+$AE$6)</f>
        <v>67.3</v>
      </c>
      <c r="AH96" s="258">
        <f t="array" ref="AH96">INDEX(PriceDeck!$C$18:$O$77,MATCH('Decline and Model'!$A96,PriceDeck!$B$18:$B$77,0),MATCH('Decline and Model'!AH$8,PriceDeck!$C$13:$O$13,0))</f>
        <v>0.85</v>
      </c>
      <c r="AI96" s="258">
        <f t="shared" si="87"/>
        <v>4.25</v>
      </c>
      <c r="AJ96" s="259">
        <f t="shared" si="62"/>
        <v>4.25</v>
      </c>
      <c r="AK96" s="120">
        <v>4.25</v>
      </c>
      <c r="AL96" s="120"/>
      <c r="AN96" s="7">
        <f t="shared" si="88"/>
        <v>78086.451257827837</v>
      </c>
      <c r="AO96" s="7">
        <f t="shared" si="89"/>
        <v>30741.827230325966</v>
      </c>
      <c r="AP96" s="7">
        <f t="shared" si="90"/>
        <v>9179.3546101657666</v>
      </c>
      <c r="AQ96" s="7">
        <f t="shared" si="91"/>
        <v>12568.512756083512</v>
      </c>
      <c r="AR96" s="7">
        <f t="shared" si="92"/>
        <v>17720.408997619361</v>
      </c>
      <c r="AS96" s="7">
        <f t="shared" si="93"/>
        <v>15327.430721386439</v>
      </c>
      <c r="AT96" s="7">
        <f t="shared" si="94"/>
        <v>163623.98557340889</v>
      </c>
      <c r="AU96">
        <f>SUM($AT$9:AT96)</f>
        <v>59109772.588953465</v>
      </c>
      <c r="AV96" s="7">
        <f>AT96/(1+$AR$5)^(COUNT($E$9:E96))</f>
        <v>84102.729949291359</v>
      </c>
      <c r="AW96" s="7">
        <f t="shared" si="109"/>
        <v>0</v>
      </c>
      <c r="AX96" s="7">
        <f t="shared" si="95"/>
        <v>0</v>
      </c>
      <c r="AY96" s="117">
        <f t="shared" si="96"/>
        <v>0</v>
      </c>
      <c r="AZ96" s="117">
        <f t="shared" si="97"/>
        <v>163623.98557340889</v>
      </c>
      <c r="BA96" s="120">
        <f t="shared" si="98"/>
        <v>40307.372369561024</v>
      </c>
      <c r="BB96" s="119">
        <f t="shared" si="63"/>
        <v>0</v>
      </c>
      <c r="BC96" s="17"/>
      <c r="BD96" s="126">
        <f t="shared" si="64"/>
        <v>0.47723107944216914</v>
      </c>
      <c r="BE96" s="127">
        <f t="shared" si="65"/>
        <v>0.18788093397550101</v>
      </c>
      <c r="BF96" s="127">
        <f t="shared" si="66"/>
        <v>5.6100299586257819E-2</v>
      </c>
      <c r="BG96" s="127">
        <f t="shared" si="67"/>
        <v>7.6813388404139107E-2</v>
      </c>
      <c r="BH96" s="127">
        <f t="shared" si="68"/>
        <v>0.10829958050171812</v>
      </c>
      <c r="BI96" s="128">
        <f t="shared" si="69"/>
        <v>9.3674718090214729E-2</v>
      </c>
      <c r="BJ96" s="126">
        <f t="array" ref="BJ96">BD96*INDEX(Royalty!$U$7:$Z$246,MATCH('Decline and Model'!$E96,Royalty!$AI$7:$AI$246,0),MATCH('Decline and Model'!BJ$8,Royalty!$U$1:$Z$1,0))</f>
        <v>0.13634981849817535</v>
      </c>
      <c r="BK96" s="127">
        <f t="array" ref="BK96">BE96*INDEX(Royalty!$U$7:$Z$246,MATCH('Decline and Model'!$E96,Royalty!$AI$7:$AI$246,0),MATCH('Decline and Model'!BK$8,Royalty!$U$1:$Z$1,0))</f>
        <v>5.2112530452009413E-2</v>
      </c>
      <c r="BL96" s="127">
        <f t="array" ref="BL96">BF96*INDEX(Royalty!$U$7:$Z$246,MATCH('Decline and Model'!$E96,Royalty!$AI$7:$AI$246,0),MATCH('Decline and Model'!BL$8,Royalty!$U$1:$Z$1,0))</f>
        <v>1.6107225959158901E-2</v>
      </c>
      <c r="BM96" s="127">
        <f t="array" ref="BM96">BG96*INDEX(Royalty!$U$7:$Z$246,MATCH('Decline and Model'!$E96,Royalty!$AI$7:$AI$246,0),MATCH('Decline and Model'!BM$8,Royalty!$U$1:$Z$1,0))</f>
        <v>2.130042209492861E-2</v>
      </c>
      <c r="BN96" s="127">
        <f t="array" ref="BN96">BH96*INDEX(Royalty!$U$7:$Z$246,MATCH('Decline and Model'!$E96,Royalty!$AI$7:$AI$246,0),MATCH('Decline and Model'!BN$8,Royalty!$U$1:$Z$1,0))</f>
        <v>1.5787732422883605E-2</v>
      </c>
      <c r="BO96" s="127">
        <f t="array" ref="BO96">BI96*INDEX(Royalty!$U$7:$Z$246,MATCH('Decline and Model'!$E96,Royalty!$AI$7:$AI$246,0),MATCH('Decline and Model'!BO$8,Royalty!$U$1:$Z$1,0))</f>
        <v>4.6837359045107368E-3</v>
      </c>
      <c r="BP96" s="135">
        <f t="shared" si="70"/>
        <v>0.24634146533166662</v>
      </c>
      <c r="BQ96" s="7"/>
      <c r="BR96" s="7"/>
      <c r="BS96">
        <v>88</v>
      </c>
      <c r="BT96" s="120">
        <f t="shared" si="71"/>
        <v>40307.372369561024</v>
      </c>
      <c r="BU96" s="113">
        <f t="shared" si="72"/>
        <v>29494.763785957915</v>
      </c>
      <c r="BV96" s="113">
        <f t="shared" si="73"/>
        <v>8848.4291357873753</v>
      </c>
      <c r="BW96" s="113">
        <f t="shared" si="106"/>
        <v>1716430.0094632569</v>
      </c>
      <c r="BX96" s="113">
        <f t="shared" si="99"/>
        <v>37940.742341580197</v>
      </c>
      <c r="BY96" s="120">
        <f t="shared" si="100"/>
        <v>47032.677940522386</v>
      </c>
      <c r="BZ96" s="153">
        <f t="shared" si="107"/>
        <v>0</v>
      </c>
      <c r="CA96" s="120">
        <f t="shared" si="110"/>
        <v>47032.677940522386</v>
      </c>
      <c r="CB96" s="120">
        <f t="shared" si="101"/>
        <v>11758.169485130597</v>
      </c>
      <c r="CC96" s="153">
        <f t="shared" si="102"/>
        <v>73215.250796971988</v>
      </c>
      <c r="CD96" s="7">
        <f t="shared" si="74"/>
        <v>37632.639520229772</v>
      </c>
      <c r="CE96" s="11">
        <f>SUM($CD$9:CD96)</f>
        <v>23969647.061476827</v>
      </c>
      <c r="CF96" s="11">
        <f t="shared" si="103"/>
        <v>12000000</v>
      </c>
      <c r="CG96">
        <f t="shared" si="104"/>
        <v>11969647.061476827</v>
      </c>
    </row>
    <row r="97" spans="1:85">
      <c r="A97">
        <f t="shared" si="75"/>
        <v>2024</v>
      </c>
      <c r="B97">
        <f t="shared" si="76"/>
        <v>30.416666666666668</v>
      </c>
      <c r="C97">
        <f t="shared" si="111"/>
        <v>8</v>
      </c>
      <c r="E97" s="97">
        <v>45505</v>
      </c>
      <c r="F97" s="2">
        <f>$F$6*EXP(-$F$3*COUNT($E$9:$E97))</f>
        <v>9.359950998361013</v>
      </c>
      <c r="G97" s="260">
        <f>$F$6/(1+$F$5*$F$3*COUNT($E$9:$E97))^(1/$F$5)</f>
        <v>27.147868493296503</v>
      </c>
      <c r="H97" s="260">
        <f>$H$6/(1+$H$5*$H$3*COUNT($E$9:$E97))^(1/$H$5)</f>
        <v>234.67684805979064</v>
      </c>
      <c r="I97" s="260">
        <f t="shared" si="77"/>
        <v>44.700352011388695</v>
      </c>
      <c r="J97" s="260">
        <f t="shared" si="78"/>
        <v>18.613226577542253</v>
      </c>
      <c r="K97" s="260">
        <f t="shared" si="78"/>
        <v>12.663609724826417</v>
      </c>
      <c r="L97" s="260">
        <f t="shared" si="78"/>
        <v>6.0390175567386128</v>
      </c>
      <c r="M97" s="260">
        <f t="shared" si="78"/>
        <v>7.3889681874825515</v>
      </c>
      <c r="N97" s="19">
        <f t="shared" si="79"/>
        <v>284.69850953348083</v>
      </c>
      <c r="O97" s="19">
        <f t="shared" si="80"/>
        <v>825.74766667110202</v>
      </c>
      <c r="P97" s="19">
        <f t="shared" si="81"/>
        <v>7138.0874618186326</v>
      </c>
      <c r="Q97" s="19">
        <f t="shared" si="82"/>
        <v>1359.6357070130728</v>
      </c>
      <c r="R97" s="19">
        <f t="shared" si="83"/>
        <v>566.15230840024356</v>
      </c>
      <c r="S97" s="19">
        <f t="shared" si="84"/>
        <v>385.18479579680354</v>
      </c>
      <c r="T97" s="19">
        <f t="shared" si="85"/>
        <v>183.68678401746615</v>
      </c>
      <c r="U97" s="19">
        <f t="shared" si="86"/>
        <v>224.74778236926096</v>
      </c>
      <c r="V97" s="261">
        <f t="shared" si="105"/>
        <v>2896.9612547836978</v>
      </c>
      <c r="W97" s="261">
        <f>SUM(O$9:O97)</f>
        <v>532203.06883156323</v>
      </c>
      <c r="X97" s="261">
        <f>SUM(P$9:P97)</f>
        <v>1995824.3599331994</v>
      </c>
      <c r="Y97" s="261">
        <f>SUM(Q$9:Q97)</f>
        <v>380157.02093965677</v>
      </c>
      <c r="Z97" s="261">
        <f>SUM($V$9:V97)</f>
        <v>1111318.7711665642</v>
      </c>
      <c r="AB97" s="257">
        <f t="array" ref="AB97">(INDEX(PriceDeck!$C$18:$O$77,MATCH('Decline and Model'!$A97,PriceDeck!$B$18:$B$77,0),MATCH('Decline and Model'!AB$8,PriceDeck!$C$13:$O$13,0))*(1+$AE$6))</f>
        <v>80.400000000000006</v>
      </c>
      <c r="AC97" s="257">
        <f t="array" ref="AC97">INDEX(PriceDeck!$C$18:$O$77,MATCH('Decline and Model'!$A97,PriceDeck!$B$18:$B$77,0),MATCH('Decline and Model'!AC$8,PriceDeck!$C$13:$O$13,0))*(1+$AE$6)</f>
        <v>91.8</v>
      </c>
      <c r="AD97" s="257">
        <f t="array" ref="AD97">INDEX(PriceDeck!$C$18:$O$77,MATCH('Decline and Model'!$A97,PriceDeck!$B$18:$B$77,0),MATCH('Decline and Model'!AD$8,PriceDeck!$C$13:$O$13,0))*(1+$AE$6)</f>
        <v>16</v>
      </c>
      <c r="AE97" s="257">
        <f t="array" ref="AE97">INDEX(PriceDeck!$C$18:$O$77,MATCH('Decline and Model'!$A97,PriceDeck!$B$18:$B$77,0),MATCH('Decline and Model'!AE$8,PriceDeck!$C$13:$O$13,0))*(1+$AE$6)</f>
        <v>32.200000000000003</v>
      </c>
      <c r="AF97" s="257">
        <f t="array" ref="AF97">INDEX(PriceDeck!$C$18:$O$77,MATCH('Decline and Model'!$A97,PriceDeck!$B$18:$B$77,0),MATCH('Decline and Model'!AF$8,PriceDeck!$C$13:$O$13,0))*(1+$AE$6)</f>
        <v>95.2</v>
      </c>
      <c r="AG97" s="257">
        <f t="array" ref="AG97">INDEX(PriceDeck!$C$18:$O$77,MATCH('Decline and Model'!$A97,PriceDeck!$B$18:$B$77,0),MATCH('Decline and Model'!AG$8,PriceDeck!$C$13:$O$13,0))*(1+$AE$6)</f>
        <v>67.3</v>
      </c>
      <c r="AH97" s="258">
        <f t="array" ref="AH97">INDEX(PriceDeck!$C$18:$O$77,MATCH('Decline and Model'!$A97,PriceDeck!$B$18:$B$77,0),MATCH('Decline and Model'!AH$8,PriceDeck!$C$13:$O$13,0))</f>
        <v>0.85</v>
      </c>
      <c r="AI97" s="258">
        <f t="shared" si="87"/>
        <v>4.25</v>
      </c>
      <c r="AJ97" s="259">
        <f t="shared" si="62"/>
        <v>4.25</v>
      </c>
      <c r="AK97" s="120">
        <v>4.25</v>
      </c>
      <c r="AL97" s="120"/>
      <c r="AN97" s="7">
        <f t="shared" si="88"/>
        <v>75803.635800407166</v>
      </c>
      <c r="AO97" s="7">
        <f t="shared" si="89"/>
        <v>30336.871712729189</v>
      </c>
      <c r="AP97" s="7">
        <f t="shared" si="90"/>
        <v>9058.4369344038969</v>
      </c>
      <c r="AQ97" s="7">
        <f t="shared" si="91"/>
        <v>12402.950424657076</v>
      </c>
      <c r="AR97" s="7">
        <f t="shared" si="92"/>
        <v>17486.98183846278</v>
      </c>
      <c r="AS97" s="7">
        <f t="shared" si="93"/>
        <v>15125.525753451262</v>
      </c>
      <c r="AT97" s="7">
        <f t="shared" si="94"/>
        <v>160214.40246411136</v>
      </c>
      <c r="AU97">
        <f>SUM($AT$9:AT97)</f>
        <v>59269986.991417579</v>
      </c>
      <c r="AV97" s="7">
        <f>AT97/(1+$AR$5)^(COUNT($E$9:E97))</f>
        <v>81729.750002969566</v>
      </c>
      <c r="AW97" s="7">
        <f t="shared" si="109"/>
        <v>0</v>
      </c>
      <c r="AX97" s="7">
        <f t="shared" si="95"/>
        <v>0</v>
      </c>
      <c r="AY97" s="117">
        <f t="shared" si="96"/>
        <v>0</v>
      </c>
      <c r="AZ97" s="117">
        <f t="shared" si="97"/>
        <v>160214.40246411136</v>
      </c>
      <c r="BA97" s="120">
        <f t="shared" si="98"/>
        <v>39418.07434724077</v>
      </c>
      <c r="BB97" s="119">
        <f t="shared" si="63"/>
        <v>0</v>
      </c>
      <c r="BC97" s="17"/>
      <c r="BD97" s="126">
        <f t="shared" si="64"/>
        <v>0.47313871059368379</v>
      </c>
      <c r="BE97" s="127">
        <f t="shared" si="65"/>
        <v>0.18935171399166043</v>
      </c>
      <c r="BF97" s="127">
        <f t="shared" si="66"/>
        <v>5.6539467083385475E-2</v>
      </c>
      <c r="BG97" s="127">
        <f t="shared" si="67"/>
        <v>7.7414703259498688E-2</v>
      </c>
      <c r="BH97" s="127">
        <f t="shared" si="68"/>
        <v>0.10914737732383285</v>
      </c>
      <c r="BI97" s="128">
        <f t="shared" si="69"/>
        <v>9.4408027747938814E-2</v>
      </c>
      <c r="BJ97" s="126">
        <f t="array" ref="BJ97">BD97*INDEX(Royalty!$U$7:$Z$246,MATCH('Decline and Model'!$E97,Royalty!$AI$7:$AI$246,0),MATCH('Decline and Model'!BJ$8,Royalty!$U$1:$Z$1,0))</f>
        <v>0.13518058670721403</v>
      </c>
      <c r="BK97" s="127">
        <f t="array" ref="BK97">BE97*INDEX(Royalty!$U$7:$Z$246,MATCH('Decline and Model'!$E97,Royalty!$AI$7:$AI$246,0),MATCH('Decline and Model'!BK$8,Royalty!$U$1:$Z$1,0))</f>
        <v>5.252048067217549E-2</v>
      </c>
      <c r="BL97" s="127">
        <f t="array" ref="BL97">BF97*INDEX(Royalty!$U$7:$Z$246,MATCH('Decline and Model'!$E97,Royalty!$AI$7:$AI$246,0),MATCH('Decline and Model'!BL$8,Royalty!$U$1:$Z$1,0))</f>
        <v>1.6233317444629081E-2</v>
      </c>
      <c r="BM97" s="127">
        <f t="array" ref="BM97">BG97*INDEX(Royalty!$U$7:$Z$246,MATCH('Decline and Model'!$E97,Royalty!$AI$7:$AI$246,0),MATCH('Decline and Model'!BM$8,Royalty!$U$1:$Z$1,0))</f>
        <v>2.1467167248308924E-2</v>
      </c>
      <c r="BN97" s="127">
        <f t="array" ref="BN97">BH97*INDEX(Royalty!$U$7:$Z$246,MATCH('Decline and Model'!$E97,Royalty!$AI$7:$AI$246,0),MATCH('Decline and Model'!BN$8,Royalty!$U$1:$Z$1,0))</f>
        <v>1.5911322831216778E-2</v>
      </c>
      <c r="BO97" s="127">
        <f t="array" ref="BO97">BI97*INDEX(Royalty!$U$7:$Z$246,MATCH('Decline and Model'!$E97,Royalty!$AI$7:$AI$246,0),MATCH('Decline and Model'!BO$8,Royalty!$U$1:$Z$1,0))</f>
        <v>4.7204013873969409E-3</v>
      </c>
      <c r="BP97" s="135">
        <f t="shared" si="70"/>
        <v>0.24603327629094124</v>
      </c>
      <c r="BQ97" s="7"/>
      <c r="BR97" s="7"/>
      <c r="BS97">
        <v>89</v>
      </c>
      <c r="BT97" s="120">
        <f t="shared" si="71"/>
        <v>39418.07434724077</v>
      </c>
      <c r="BU97" s="113">
        <f t="shared" si="72"/>
        <v>28969.61254783698</v>
      </c>
      <c r="BV97" s="113">
        <f t="shared" si="73"/>
        <v>8690.8837643510924</v>
      </c>
      <c r="BW97" s="113">
        <f t="shared" si="106"/>
        <v>1678489.2671216768</v>
      </c>
      <c r="BX97" s="113">
        <f t="shared" si="99"/>
        <v>37102.083077005627</v>
      </c>
      <c r="BY97" s="120">
        <f t="shared" si="100"/>
        <v>46033.748727676902</v>
      </c>
      <c r="BZ97" s="153">
        <f t="shared" si="107"/>
        <v>0</v>
      </c>
      <c r="CA97" s="120">
        <f t="shared" si="110"/>
        <v>46033.748727676902</v>
      </c>
      <c r="CB97" s="120">
        <f t="shared" si="101"/>
        <v>11508.437181919226</v>
      </c>
      <c r="CC97" s="153">
        <f t="shared" si="102"/>
        <v>71627.394622763299</v>
      </c>
      <c r="CD97" s="7">
        <f t="shared" si="74"/>
        <v>36539.093651045689</v>
      </c>
      <c r="CE97" s="11">
        <f>SUM($CD$9:CD97)</f>
        <v>24006186.155127872</v>
      </c>
      <c r="CF97" s="11">
        <f t="shared" si="103"/>
        <v>12000000</v>
      </c>
      <c r="CG97">
        <f t="shared" si="104"/>
        <v>12006186.155127872</v>
      </c>
    </row>
    <row r="98" spans="1:85">
      <c r="A98">
        <f t="shared" si="75"/>
        <v>2024</v>
      </c>
      <c r="B98">
        <f t="shared" si="76"/>
        <v>30.416666666666668</v>
      </c>
      <c r="C98">
        <f t="shared" si="111"/>
        <v>8</v>
      </c>
      <c r="E98" s="97">
        <v>45536</v>
      </c>
      <c r="F98" s="2">
        <f>$F$6*EXP(-$F$3*COUNT($E$9:$E98))</f>
        <v>8.9034608015258314</v>
      </c>
      <c r="G98" s="260">
        <f>$F$6/(1+$F$5*$F$3*COUNT($E$9:$E98))^(1/$F$5)</f>
        <v>26.357791417096344</v>
      </c>
      <c r="H98" s="260">
        <f>$H$6/(1+$H$5*$H$3*COUNT($E$9:$E98))^(1/$H$5)</f>
        <v>231.61431976306437</v>
      </c>
      <c r="I98" s="260">
        <f t="shared" si="77"/>
        <v>44.117013288202735</v>
      </c>
      <c r="J98" s="260">
        <f t="shared" si="78"/>
        <v>18.37032433320762</v>
      </c>
      <c r="K98" s="260">
        <f t="shared" si="78"/>
        <v>12.498349864547835</v>
      </c>
      <c r="L98" s="260">
        <f t="shared" si="78"/>
        <v>5.9602084952361896</v>
      </c>
      <c r="M98" s="260">
        <f t="shared" si="78"/>
        <v>7.2925422965399118</v>
      </c>
      <c r="N98" s="19">
        <f t="shared" si="79"/>
        <v>270.81359937974406</v>
      </c>
      <c r="O98" s="19">
        <f t="shared" si="80"/>
        <v>801.71615560334715</v>
      </c>
      <c r="P98" s="19">
        <f t="shared" si="81"/>
        <v>7044.9355594598746</v>
      </c>
      <c r="Q98" s="19">
        <f t="shared" si="82"/>
        <v>1341.8924875161665</v>
      </c>
      <c r="R98" s="19">
        <f t="shared" si="83"/>
        <v>558.76403180173179</v>
      </c>
      <c r="S98" s="19">
        <f t="shared" si="84"/>
        <v>380.15814171333</v>
      </c>
      <c r="T98" s="19">
        <f t="shared" si="85"/>
        <v>181.28967506343412</v>
      </c>
      <c r="U98" s="19">
        <f t="shared" si="86"/>
        <v>221.81482818642232</v>
      </c>
      <c r="V98" s="261">
        <f t="shared" si="105"/>
        <v>2845.9004467290379</v>
      </c>
      <c r="W98" s="261">
        <f>SUM(O$9:O98)</f>
        <v>533004.78498716652</v>
      </c>
      <c r="X98" s="261">
        <f>SUM(P$9:P98)</f>
        <v>2002869.2954926593</v>
      </c>
      <c r="Y98" s="261">
        <f>SUM(Q$9:Q98)</f>
        <v>381498.91342717293</v>
      </c>
      <c r="Z98" s="261">
        <f>SUM($V$9:V98)</f>
        <v>1114164.6716132932</v>
      </c>
      <c r="AB98" s="257">
        <f t="array" ref="AB98">(INDEX(PriceDeck!$C$18:$O$77,MATCH('Decline and Model'!$A98,PriceDeck!$B$18:$B$77,0),MATCH('Decline and Model'!AB$8,PriceDeck!$C$13:$O$13,0))*(1+$AE$6))</f>
        <v>80.400000000000006</v>
      </c>
      <c r="AC98" s="257">
        <f t="array" ref="AC98">INDEX(PriceDeck!$C$18:$O$77,MATCH('Decline and Model'!$A98,PriceDeck!$B$18:$B$77,0),MATCH('Decline and Model'!AC$8,PriceDeck!$C$13:$O$13,0))*(1+$AE$6)</f>
        <v>91.8</v>
      </c>
      <c r="AD98" s="257">
        <f t="array" ref="AD98">INDEX(PriceDeck!$C$18:$O$77,MATCH('Decline and Model'!$A98,PriceDeck!$B$18:$B$77,0),MATCH('Decline and Model'!AD$8,PriceDeck!$C$13:$O$13,0))*(1+$AE$6)</f>
        <v>16</v>
      </c>
      <c r="AE98" s="257">
        <f t="array" ref="AE98">INDEX(PriceDeck!$C$18:$O$77,MATCH('Decline and Model'!$A98,PriceDeck!$B$18:$B$77,0),MATCH('Decline and Model'!AE$8,PriceDeck!$C$13:$O$13,0))*(1+$AE$6)</f>
        <v>32.200000000000003</v>
      </c>
      <c r="AF98" s="257">
        <f t="array" ref="AF98">INDEX(PriceDeck!$C$18:$O$77,MATCH('Decline and Model'!$A98,PriceDeck!$B$18:$B$77,0),MATCH('Decline and Model'!AF$8,PriceDeck!$C$13:$O$13,0))*(1+$AE$6)</f>
        <v>95.2</v>
      </c>
      <c r="AG98" s="257">
        <f t="array" ref="AG98">INDEX(PriceDeck!$C$18:$O$77,MATCH('Decline and Model'!$A98,PriceDeck!$B$18:$B$77,0),MATCH('Decline and Model'!AG$8,PriceDeck!$C$13:$O$13,0))*(1+$AE$6)</f>
        <v>67.3</v>
      </c>
      <c r="AH98" s="258">
        <f t="array" ref="AH98">INDEX(PriceDeck!$C$18:$O$77,MATCH('Decline and Model'!$A98,PriceDeck!$B$18:$B$77,0),MATCH('Decline and Model'!AH$8,PriceDeck!$C$13:$O$13,0))</f>
        <v>0.85</v>
      </c>
      <c r="AI98" s="258">
        <f t="shared" si="87"/>
        <v>4.25</v>
      </c>
      <c r="AJ98" s="259">
        <f t="shared" si="62"/>
        <v>4.25</v>
      </c>
      <c r="AK98" s="120">
        <v>4.25</v>
      </c>
      <c r="AL98" s="120"/>
      <c r="AN98" s="7">
        <f t="shared" si="88"/>
        <v>73597.54308438726</v>
      </c>
      <c r="AO98" s="7">
        <f t="shared" si="89"/>
        <v>29940.976127704467</v>
      </c>
      <c r="AP98" s="7">
        <f t="shared" si="90"/>
        <v>8940.2245088277086</v>
      </c>
      <c r="AQ98" s="7">
        <f t="shared" si="91"/>
        <v>12241.092163169227</v>
      </c>
      <c r="AR98" s="7">
        <f t="shared" si="92"/>
        <v>17258.777066038929</v>
      </c>
      <c r="AS98" s="7">
        <f t="shared" si="93"/>
        <v>14928.137936946221</v>
      </c>
      <c r="AT98" s="7">
        <f t="shared" si="94"/>
        <v>156906.75088707381</v>
      </c>
      <c r="AU98">
        <f>SUM($AT$9:AT98)</f>
        <v>59426893.742304653</v>
      </c>
      <c r="AV98" s="7">
        <f>AT98/(1+$AR$5)^(COUNT($E$9:E98))</f>
        <v>79439.359815418618</v>
      </c>
      <c r="AW98" s="7">
        <f t="shared" si="109"/>
        <v>0</v>
      </c>
      <c r="AX98" s="7">
        <f t="shared" si="95"/>
        <v>0</v>
      </c>
      <c r="AY98" s="117">
        <f t="shared" si="96"/>
        <v>0</v>
      </c>
      <c r="AZ98" s="117">
        <f t="shared" si="97"/>
        <v>156906.75088707381</v>
      </c>
      <c r="BA98" s="120">
        <f t="shared" si="98"/>
        <v>38556.0007807484</v>
      </c>
      <c r="BB98" s="119">
        <f t="shared" si="63"/>
        <v>0</v>
      </c>
      <c r="BC98" s="17"/>
      <c r="BD98" s="126">
        <f t="shared" si="64"/>
        <v>0.46905275055600126</v>
      </c>
      <c r="BE98" s="127">
        <f t="shared" si="65"/>
        <v>0.19082019070838491</v>
      </c>
      <c r="BF98" s="127">
        <f t="shared" si="66"/>
        <v>5.6977946826915121E-2</v>
      </c>
      <c r="BG98" s="127">
        <f t="shared" si="67"/>
        <v>7.8015076432110766E-2</v>
      </c>
      <c r="BH98" s="127">
        <f t="shared" si="68"/>
        <v>0.10999384646273196</v>
      </c>
      <c r="BI98" s="128">
        <f t="shared" si="69"/>
        <v>9.5140189013856014E-2</v>
      </c>
      <c r="BJ98" s="126">
        <f t="array" ref="BJ98">BD98*INDEX(Royalty!$U$7:$Z$246,MATCH('Decline and Model'!$E98,Royalty!$AI$7:$AI$246,0),MATCH('Decline and Model'!BJ$8,Royalty!$U$1:$Z$1,0))</f>
        <v>0.13401318597928991</v>
      </c>
      <c r="BK98" s="127">
        <f t="array" ref="BK98">BE98*INDEX(Royalty!$U$7:$Z$246,MATCH('Decline and Model'!$E98,Royalty!$AI$7:$AI$246,0),MATCH('Decline and Model'!BK$8,Royalty!$U$1:$Z$1,0))</f>
        <v>5.2927792026228854E-2</v>
      </c>
      <c r="BL98" s="127">
        <f t="array" ref="BL98">BF98*INDEX(Royalty!$U$7:$Z$246,MATCH('Decline and Model'!$E98,Royalty!$AI$7:$AI$246,0),MATCH('Decline and Model'!BL$8,Royalty!$U$1:$Z$1,0))</f>
        <v>1.6359211465866646E-2</v>
      </c>
      <c r="BM98" s="127">
        <f t="array" ref="BM98">BG98*INDEX(Royalty!$U$7:$Z$246,MATCH('Decline and Model'!$E98,Royalty!$AI$7:$AI$246,0),MATCH('Decline and Model'!BM$8,Royalty!$U$1:$Z$1,0))</f>
        <v>2.1633651272211452E-2</v>
      </c>
      <c r="BN98" s="127">
        <f t="array" ref="BN98">BH98*INDEX(Royalty!$U$7:$Z$246,MATCH('Decline and Model'!$E98,Royalty!$AI$7:$AI$246,0),MATCH('Decline and Model'!BN$8,Royalty!$U$1:$Z$1,0))</f>
        <v>1.6034719692102642E-2</v>
      </c>
      <c r="BO98" s="127">
        <f t="array" ref="BO98">BI98*INDEX(Royalty!$U$7:$Z$246,MATCH('Decline and Model'!$E98,Royalty!$AI$7:$AI$246,0),MATCH('Decline and Model'!BO$8,Royalty!$U$1:$Z$1,0))</f>
        <v>4.7570094506928012E-3</v>
      </c>
      <c r="BP98" s="135">
        <f t="shared" si="70"/>
        <v>0.24572556988639227</v>
      </c>
      <c r="BQ98" s="7"/>
      <c r="BR98" s="7"/>
      <c r="BS98">
        <v>90</v>
      </c>
      <c r="BT98" s="120">
        <f t="shared" si="71"/>
        <v>38556.0007807484</v>
      </c>
      <c r="BU98" s="113">
        <f t="shared" si="72"/>
        <v>28459.004467290379</v>
      </c>
      <c r="BV98" s="113">
        <f t="shared" si="73"/>
        <v>8537.7013401871136</v>
      </c>
      <c r="BW98" s="113">
        <f t="shared" si="106"/>
        <v>1641387.1840446712</v>
      </c>
      <c r="BX98" s="113">
        <f t="shared" si="99"/>
        <v>36281.961914709726</v>
      </c>
      <c r="BY98" s="120">
        <f t="shared" si="100"/>
        <v>45072.082384138193</v>
      </c>
      <c r="BZ98" s="153">
        <f t="shared" si="107"/>
        <v>0</v>
      </c>
      <c r="CA98" s="120">
        <f t="shared" si="110"/>
        <v>45072.082384138193</v>
      </c>
      <c r="CB98" s="120">
        <f t="shared" si="101"/>
        <v>11268.020596034548</v>
      </c>
      <c r="CC98" s="153">
        <f t="shared" si="102"/>
        <v>70086.023702813371</v>
      </c>
      <c r="CD98" s="7">
        <f t="shared" si="74"/>
        <v>35483.424540265689</v>
      </c>
      <c r="CE98" s="11">
        <f>SUM($CD$9:CD98)</f>
        <v>24041669.579668138</v>
      </c>
      <c r="CF98" s="11">
        <f t="shared" si="103"/>
        <v>12000000</v>
      </c>
      <c r="CG98">
        <f t="shared" si="104"/>
        <v>12041669.579668138</v>
      </c>
    </row>
    <row r="99" spans="1:85">
      <c r="A99">
        <f t="shared" si="75"/>
        <v>2024</v>
      </c>
      <c r="B99">
        <f t="shared" si="76"/>
        <v>30.416666666666668</v>
      </c>
      <c r="C99">
        <f t="shared" si="111"/>
        <v>8</v>
      </c>
      <c r="E99" s="97">
        <v>45566</v>
      </c>
      <c r="F99" s="2">
        <f>$F$6*EXP(-$F$3*COUNT($E$9:$E99))</f>
        <v>8.4692338943000838</v>
      </c>
      <c r="G99" s="260">
        <f>$F$6/(1+$F$5*$F$3*COUNT($E$9:$E99))^(1/$F$5)</f>
        <v>25.594148787903723</v>
      </c>
      <c r="H99" s="260">
        <f>$H$6/(1+$H$5*$H$3*COUNT($E$9:$E99))^(1/$H$5)</f>
        <v>228.61967551652396</v>
      </c>
      <c r="I99" s="260">
        <f t="shared" si="77"/>
        <v>43.546604860290273</v>
      </c>
      <c r="J99" s="260">
        <f t="shared" si="78"/>
        <v>18.132806263824868</v>
      </c>
      <c r="K99" s="260">
        <f t="shared" si="78"/>
        <v>12.336753156920235</v>
      </c>
      <c r="L99" s="260">
        <f t="shared" si="78"/>
        <v>5.8831463166252158</v>
      </c>
      <c r="M99" s="260">
        <f t="shared" si="78"/>
        <v>7.1982537834059821</v>
      </c>
      <c r="N99" s="19">
        <f t="shared" si="79"/>
        <v>257.60586428496089</v>
      </c>
      <c r="O99" s="19">
        <f t="shared" si="80"/>
        <v>778.48869229873833</v>
      </c>
      <c r="P99" s="19">
        <f t="shared" si="81"/>
        <v>6953.8484636276044</v>
      </c>
      <c r="Q99" s="19">
        <f t="shared" si="82"/>
        <v>1324.5425645004959</v>
      </c>
      <c r="R99" s="19">
        <f t="shared" si="83"/>
        <v>551.53952385800642</v>
      </c>
      <c r="S99" s="19">
        <f t="shared" si="84"/>
        <v>375.24290852299049</v>
      </c>
      <c r="T99" s="19">
        <f t="shared" si="85"/>
        <v>178.94570046401699</v>
      </c>
      <c r="U99" s="19">
        <f t="shared" si="86"/>
        <v>218.94688591193196</v>
      </c>
      <c r="V99" s="261">
        <f t="shared" si="105"/>
        <v>2796.2428182578274</v>
      </c>
      <c r="W99" s="261">
        <f>SUM(O$9:O99)</f>
        <v>533783.27367946529</v>
      </c>
      <c r="X99" s="261">
        <f>SUM(P$9:P99)</f>
        <v>2009823.1439562868</v>
      </c>
      <c r="Y99" s="261">
        <f>SUM(Q$9:Q99)</f>
        <v>382823.4559916734</v>
      </c>
      <c r="Z99" s="261">
        <f>SUM($V$9:V99)</f>
        <v>1116960.914431551</v>
      </c>
      <c r="AB99" s="257">
        <f t="array" ref="AB99">(INDEX(PriceDeck!$C$18:$O$77,MATCH('Decline and Model'!$A99,PriceDeck!$B$18:$B$77,0),MATCH('Decline and Model'!AB$8,PriceDeck!$C$13:$O$13,0))*(1+$AE$6))</f>
        <v>80.400000000000006</v>
      </c>
      <c r="AC99" s="257">
        <f t="array" ref="AC99">INDEX(PriceDeck!$C$18:$O$77,MATCH('Decline and Model'!$A99,PriceDeck!$B$18:$B$77,0),MATCH('Decline and Model'!AC$8,PriceDeck!$C$13:$O$13,0))*(1+$AE$6)</f>
        <v>91.8</v>
      </c>
      <c r="AD99" s="257">
        <f t="array" ref="AD99">INDEX(PriceDeck!$C$18:$O$77,MATCH('Decline and Model'!$A99,PriceDeck!$B$18:$B$77,0),MATCH('Decline and Model'!AD$8,PriceDeck!$C$13:$O$13,0))*(1+$AE$6)</f>
        <v>16</v>
      </c>
      <c r="AE99" s="257">
        <f t="array" ref="AE99">INDEX(PriceDeck!$C$18:$O$77,MATCH('Decline and Model'!$A99,PriceDeck!$B$18:$B$77,0),MATCH('Decline and Model'!AE$8,PriceDeck!$C$13:$O$13,0))*(1+$AE$6)</f>
        <v>32.200000000000003</v>
      </c>
      <c r="AF99" s="257">
        <f t="array" ref="AF99">INDEX(PriceDeck!$C$18:$O$77,MATCH('Decline and Model'!$A99,PriceDeck!$B$18:$B$77,0),MATCH('Decline and Model'!AF$8,PriceDeck!$C$13:$O$13,0))*(1+$AE$6)</f>
        <v>95.2</v>
      </c>
      <c r="AG99" s="257">
        <f t="array" ref="AG99">INDEX(PriceDeck!$C$18:$O$77,MATCH('Decline and Model'!$A99,PriceDeck!$B$18:$B$77,0),MATCH('Decline and Model'!AG$8,PriceDeck!$C$13:$O$13,0))*(1+$AE$6)</f>
        <v>67.3</v>
      </c>
      <c r="AH99" s="258">
        <f t="array" ref="AH99">INDEX(PriceDeck!$C$18:$O$77,MATCH('Decline and Model'!$A99,PriceDeck!$B$18:$B$77,0),MATCH('Decline and Model'!AH$8,PriceDeck!$C$13:$O$13,0))</f>
        <v>0.85</v>
      </c>
      <c r="AI99" s="258">
        <f t="shared" si="87"/>
        <v>4.25</v>
      </c>
      <c r="AJ99" s="259">
        <f t="shared" si="62"/>
        <v>4.25</v>
      </c>
      <c r="AK99" s="120">
        <v>4.25</v>
      </c>
      <c r="AL99" s="120"/>
      <c r="AN99" s="7">
        <f t="shared" si="88"/>
        <v>71465.261953024179</v>
      </c>
      <c r="AO99" s="7">
        <f t="shared" si="89"/>
        <v>29553.855970417317</v>
      </c>
      <c r="AP99" s="7">
        <f t="shared" si="90"/>
        <v>8824.6323817281027</v>
      </c>
      <c r="AQ99" s="7">
        <f t="shared" si="91"/>
        <v>12082.821654440295</v>
      </c>
      <c r="AR99" s="7">
        <f t="shared" si="92"/>
        <v>17035.630684174419</v>
      </c>
      <c r="AS99" s="7">
        <f t="shared" si="93"/>
        <v>14735.125421873021</v>
      </c>
      <c r="AT99" s="7">
        <f t="shared" si="94"/>
        <v>153697.32806565735</v>
      </c>
      <c r="AU99">
        <f>SUM($AT$9:AT99)</f>
        <v>59580591.070370309</v>
      </c>
      <c r="AV99" s="7">
        <f>AT99/(1+$AR$5)^(COUNT($E$9:E99))</f>
        <v>77228.200222544299</v>
      </c>
      <c r="AW99" s="7">
        <f t="shared" si="109"/>
        <v>0</v>
      </c>
      <c r="AX99" s="7">
        <f t="shared" si="95"/>
        <v>0</v>
      </c>
      <c r="AY99" s="117">
        <f t="shared" si="96"/>
        <v>0</v>
      </c>
      <c r="AZ99" s="117">
        <f t="shared" si="97"/>
        <v>153697.32806565735</v>
      </c>
      <c r="BA99" s="120">
        <f t="shared" si="98"/>
        <v>37720.153364277125</v>
      </c>
      <c r="BB99" s="119">
        <f t="shared" si="63"/>
        <v>0</v>
      </c>
      <c r="BC99" s="17"/>
      <c r="BD99" s="126">
        <f t="shared" si="64"/>
        <v>0.46497400346800577</v>
      </c>
      <c r="BE99" s="127">
        <f t="shared" si="65"/>
        <v>0.19228607512156831</v>
      </c>
      <c r="BF99" s="127">
        <f t="shared" si="66"/>
        <v>5.7415652521677824E-2</v>
      </c>
      <c r="BG99" s="127">
        <f t="shared" si="67"/>
        <v>7.8614389765309919E-2</v>
      </c>
      <c r="BH99" s="127">
        <f t="shared" si="68"/>
        <v>0.11083882132874187</v>
      </c>
      <c r="BI99" s="128">
        <f t="shared" si="69"/>
        <v>9.5871057794696221E-2</v>
      </c>
      <c r="BJ99" s="126">
        <f t="array" ref="BJ99">BD99*INDEX(Royalty!$U$7:$Z$246,MATCH('Decline and Model'!$E99,Royalty!$AI$7:$AI$246,0),MATCH('Decline and Model'!BJ$8,Royalty!$U$1:$Z$1,0))</f>
        <v>0.13284784606513717</v>
      </c>
      <c r="BK99" s="127">
        <f t="array" ref="BK99">BE99*INDEX(Royalty!$U$7:$Z$246,MATCH('Decline and Model'!$E99,Royalty!$AI$7:$AI$246,0),MATCH('Decline and Model'!BK$8,Royalty!$U$1:$Z$1,0))</f>
        <v>5.3334384353107035E-2</v>
      </c>
      <c r="BL99" s="127">
        <f t="array" ref="BL99">BF99*INDEX(Royalty!$U$7:$Z$246,MATCH('Decline and Model'!$E99,Royalty!$AI$7:$AI$246,0),MATCH('Decline and Model'!BL$8,Royalty!$U$1:$Z$1,0))</f>
        <v>1.6484883246251941E-2</v>
      </c>
      <c r="BM99" s="127">
        <f t="array" ref="BM99">BG99*INDEX(Royalty!$U$7:$Z$246,MATCH('Decline and Model'!$E99,Royalty!$AI$7:$AI$246,0),MATCH('Decline and Model'!BM$8,Royalty!$U$1:$Z$1,0))</f>
        <v>2.1799841401685973E-2</v>
      </c>
      <c r="BN99" s="127">
        <f t="array" ref="BN99">BH99*INDEX(Royalty!$U$7:$Z$246,MATCH('Decline and Model'!$E99,Royalty!$AI$7:$AI$246,0),MATCH('Decline and Model'!BN$8,Royalty!$U$1:$Z$1,0))</f>
        <v>1.6157898720376113E-2</v>
      </c>
      <c r="BO99" s="127">
        <f t="array" ref="BO99">BI99*INDEX(Royalty!$U$7:$Z$246,MATCH('Decline and Model'!$E99,Royalty!$AI$7:$AI$246,0),MATCH('Decline and Model'!BO$8,Royalty!$U$1:$Z$1,0))</f>
        <v>4.7935528897348114E-3</v>
      </c>
      <c r="BP99" s="135">
        <f t="shared" si="70"/>
        <v>0.24541840667629305</v>
      </c>
      <c r="BQ99" s="7"/>
      <c r="BR99" s="7"/>
      <c r="BS99">
        <v>91</v>
      </c>
      <c r="BT99" s="120">
        <f t="shared" si="71"/>
        <v>37720.153364277125</v>
      </c>
      <c r="BU99" s="113">
        <f t="shared" si="72"/>
        <v>27962.428182578275</v>
      </c>
      <c r="BV99" s="113">
        <f t="shared" si="73"/>
        <v>8388.7284547734816</v>
      </c>
      <c r="BW99" s="113">
        <f t="shared" si="106"/>
        <v>1605105.2221299615</v>
      </c>
      <c r="BX99" s="113">
        <f t="shared" si="99"/>
        <v>35479.969080126568</v>
      </c>
      <c r="BY99" s="120">
        <f t="shared" si="100"/>
        <v>44146.048983901899</v>
      </c>
      <c r="BZ99" s="153">
        <f t="shared" si="107"/>
        <v>0</v>
      </c>
      <c r="CA99" s="120">
        <f t="shared" si="110"/>
        <v>44146.048983901899</v>
      </c>
      <c r="CB99" s="120">
        <f t="shared" si="101"/>
        <v>11036.512245975475</v>
      </c>
      <c r="CC99" s="153">
        <f t="shared" si="102"/>
        <v>68589.505818052989</v>
      </c>
      <c r="CD99" s="7">
        <f t="shared" si="74"/>
        <v>34464.126053116168</v>
      </c>
      <c r="CE99" s="11">
        <f>SUM($CD$9:CD99)</f>
        <v>24076133.705721255</v>
      </c>
      <c r="CF99" s="11">
        <f t="shared" si="103"/>
        <v>12000000</v>
      </c>
      <c r="CG99">
        <f t="shared" si="104"/>
        <v>12076133.705721255</v>
      </c>
    </row>
    <row r="100" spans="1:85">
      <c r="A100">
        <f t="shared" si="75"/>
        <v>2024</v>
      </c>
      <c r="B100">
        <f t="shared" si="76"/>
        <v>30.416666666666668</v>
      </c>
      <c r="C100">
        <f t="shared" si="111"/>
        <v>8</v>
      </c>
      <c r="E100" s="97">
        <v>45597</v>
      </c>
      <c r="F100" s="2">
        <f>$F$6*EXP(-$F$3*COUNT($E$9:$E100))</f>
        <v>8.0561844832370042</v>
      </c>
      <c r="G100" s="260">
        <f>$F$6/(1+$F$5*$F$3*COUNT($E$9:$E100))^(1/$F$5)</f>
        <v>24.855942060025178</v>
      </c>
      <c r="H100" s="260">
        <f>$H$6/(1+$H$5*$H$3*COUNT($E$9:$E100))^(1/$H$5)</f>
        <v>225.69080309848195</v>
      </c>
      <c r="I100" s="260">
        <f t="shared" si="77"/>
        <v>42.988724399710847</v>
      </c>
      <c r="J100" s="260">
        <f t="shared" si="78"/>
        <v>17.900504840039595</v>
      </c>
      <c r="K100" s="260">
        <f t="shared" si="78"/>
        <v>12.178705622438082</v>
      </c>
      <c r="L100" s="260">
        <f t="shared" si="78"/>
        <v>5.8077766664009349</v>
      </c>
      <c r="M100" s="260">
        <f t="shared" si="78"/>
        <v>7.1060361432722035</v>
      </c>
      <c r="N100" s="19">
        <f t="shared" si="79"/>
        <v>245.04227803179222</v>
      </c>
      <c r="O100" s="19">
        <f t="shared" si="80"/>
        <v>756.03490432576586</v>
      </c>
      <c r="P100" s="19">
        <f t="shared" si="81"/>
        <v>6864.7619275788265</v>
      </c>
      <c r="Q100" s="19">
        <f t="shared" si="82"/>
        <v>1307.573700491205</v>
      </c>
      <c r="R100" s="19">
        <f t="shared" si="83"/>
        <v>544.47368888453775</v>
      </c>
      <c r="S100" s="19">
        <f t="shared" si="84"/>
        <v>370.43562934915838</v>
      </c>
      <c r="T100" s="19">
        <f t="shared" si="85"/>
        <v>176.65320693636178</v>
      </c>
      <c r="U100" s="19">
        <f t="shared" si="86"/>
        <v>216.14193269119619</v>
      </c>
      <c r="V100" s="261">
        <f t="shared" si="105"/>
        <v>2747.9393548684238</v>
      </c>
      <c r="W100" s="261">
        <f>SUM(O$9:O100)</f>
        <v>534539.30858379102</v>
      </c>
      <c r="X100" s="261">
        <f>SUM(P$9:P100)</f>
        <v>2016687.9058838657</v>
      </c>
      <c r="Y100" s="261">
        <f>SUM(Q$9:Q100)</f>
        <v>384131.02969216462</v>
      </c>
      <c r="Z100" s="261">
        <f>SUM($V$9:V100)</f>
        <v>1119708.8537864194</v>
      </c>
      <c r="AB100" s="257">
        <f t="array" ref="AB100">(INDEX(PriceDeck!$C$18:$O$77,MATCH('Decline and Model'!$A100,PriceDeck!$B$18:$B$77,0),MATCH('Decline and Model'!AB$8,PriceDeck!$C$13:$O$13,0))*(1+$AE$6))</f>
        <v>80.400000000000006</v>
      </c>
      <c r="AC100" s="257">
        <f t="array" ref="AC100">INDEX(PriceDeck!$C$18:$O$77,MATCH('Decline and Model'!$A100,PriceDeck!$B$18:$B$77,0),MATCH('Decline and Model'!AC$8,PriceDeck!$C$13:$O$13,0))*(1+$AE$6)</f>
        <v>91.8</v>
      </c>
      <c r="AD100" s="257">
        <f t="array" ref="AD100">INDEX(PriceDeck!$C$18:$O$77,MATCH('Decline and Model'!$A100,PriceDeck!$B$18:$B$77,0),MATCH('Decline and Model'!AD$8,PriceDeck!$C$13:$O$13,0))*(1+$AE$6)</f>
        <v>16</v>
      </c>
      <c r="AE100" s="257">
        <f t="array" ref="AE100">INDEX(PriceDeck!$C$18:$O$77,MATCH('Decline and Model'!$A100,PriceDeck!$B$18:$B$77,0),MATCH('Decline and Model'!AE$8,PriceDeck!$C$13:$O$13,0))*(1+$AE$6)</f>
        <v>32.200000000000003</v>
      </c>
      <c r="AF100" s="257">
        <f t="array" ref="AF100">INDEX(PriceDeck!$C$18:$O$77,MATCH('Decline and Model'!$A100,PriceDeck!$B$18:$B$77,0),MATCH('Decline and Model'!AF$8,PriceDeck!$C$13:$O$13,0))*(1+$AE$6)</f>
        <v>95.2</v>
      </c>
      <c r="AG100" s="257">
        <f t="array" ref="AG100">INDEX(PriceDeck!$C$18:$O$77,MATCH('Decline and Model'!$A100,PriceDeck!$B$18:$B$77,0),MATCH('Decline and Model'!AG$8,PriceDeck!$C$13:$O$13,0))*(1+$AE$6)</f>
        <v>67.3</v>
      </c>
      <c r="AH100" s="258">
        <f t="array" ref="AH100">INDEX(PriceDeck!$C$18:$O$77,MATCH('Decline and Model'!$A100,PriceDeck!$B$18:$B$77,0),MATCH('Decline and Model'!AH$8,PriceDeck!$C$13:$O$13,0))</f>
        <v>0.85</v>
      </c>
      <c r="AI100" s="258">
        <f t="shared" si="87"/>
        <v>4.25</v>
      </c>
      <c r="AJ100" s="259">
        <f t="shared" si="62"/>
        <v>4.25</v>
      </c>
      <c r="AK100" s="120">
        <v>4.25</v>
      </c>
      <c r="AL100" s="120"/>
      <c r="AN100" s="7">
        <f t="shared" si="88"/>
        <v>69404.004217105306</v>
      </c>
      <c r="AO100" s="7">
        <f t="shared" si="89"/>
        <v>29175.238192210014</v>
      </c>
      <c r="AP100" s="7">
        <f t="shared" si="90"/>
        <v>8711.579022152604</v>
      </c>
      <c r="AQ100" s="7">
        <f t="shared" si="91"/>
        <v>11928.027265042901</v>
      </c>
      <c r="AR100" s="7">
        <f t="shared" si="92"/>
        <v>16817.385300341641</v>
      </c>
      <c r="AS100" s="7">
        <f t="shared" si="93"/>
        <v>14546.352070117502</v>
      </c>
      <c r="AT100" s="7">
        <f t="shared" si="94"/>
        <v>150582.58606696996</v>
      </c>
      <c r="AU100">
        <f>SUM($AT$9:AT100)</f>
        <v>59731173.656437278</v>
      </c>
      <c r="AV100" s="7">
        <f>AT100/(1+$AR$5)^(COUNT($E$9:E100))</f>
        <v>75093.066173372761</v>
      </c>
      <c r="AW100" s="7">
        <f t="shared" si="109"/>
        <v>0</v>
      </c>
      <c r="AX100" s="7">
        <f t="shared" si="95"/>
        <v>0</v>
      </c>
      <c r="AY100" s="117">
        <f t="shared" si="96"/>
        <v>0</v>
      </c>
      <c r="AZ100" s="117">
        <f t="shared" si="97"/>
        <v>150582.58606696996</v>
      </c>
      <c r="BA100" s="120">
        <f t="shared" si="98"/>
        <v>36909.575631926964</v>
      </c>
      <c r="BB100" s="119">
        <f t="shared" si="63"/>
        <v>0</v>
      </c>
      <c r="BC100" s="17"/>
      <c r="BD100" s="126">
        <f t="shared" si="64"/>
        <v>0.46090325601287413</v>
      </c>
      <c r="BE100" s="127">
        <f t="shared" si="65"/>
        <v>0.19374908450061182</v>
      </c>
      <c r="BF100" s="127">
        <f t="shared" si="66"/>
        <v>5.7852499745742345E-2</v>
      </c>
      <c r="BG100" s="127">
        <f t="shared" si="67"/>
        <v>7.9212527667296417E-2</v>
      </c>
      <c r="BH100" s="127">
        <f t="shared" si="68"/>
        <v>0.11168213894840598</v>
      </c>
      <c r="BI100" s="128">
        <f t="shared" si="69"/>
        <v>9.6600493125069395E-2</v>
      </c>
      <c r="BJ100" s="126">
        <f t="array" ref="BJ100">BD100*INDEX(Royalty!$U$7:$Z$246,MATCH('Decline and Model'!$E100,Royalty!$AI$7:$AI$246,0),MATCH('Decline and Model'!BJ$8,Royalty!$U$1:$Z$1,0))</f>
        <v>0.13168479172821534</v>
      </c>
      <c r="BK100" s="127">
        <f t="array" ref="BK100">BE100*INDEX(Royalty!$U$7:$Z$246,MATCH('Decline and Model'!$E100,Royalty!$AI$7:$AI$246,0),MATCH('Decline and Model'!BK$8,Royalty!$U$1:$Z$1,0))</f>
        <v>5.3740179231830186E-2</v>
      </c>
      <c r="BL100" s="127">
        <f t="array" ref="BL100">BF100*INDEX(Royalty!$U$7:$Z$246,MATCH('Decline and Model'!$E100,Royalty!$AI$7:$AI$246,0),MATCH('Decline and Model'!BL$8,Royalty!$U$1:$Z$1,0))</f>
        <v>1.6610308546999571E-2</v>
      </c>
      <c r="BM100" s="127">
        <f t="array" ref="BM100">BG100*INDEX(Royalty!$U$7:$Z$246,MATCH('Decline and Model'!$E100,Royalty!$AI$7:$AI$246,0),MATCH('Decline and Model'!BM$8,Royalty!$U$1:$Z$1,0))</f>
        <v>2.1965705583021852E-2</v>
      </c>
      <c r="BN100" s="127">
        <f t="array" ref="BN100">BH100*INDEX(Royalty!$U$7:$Z$246,MATCH('Decline and Model'!$E100,Royalty!$AI$7:$AI$246,0),MATCH('Decline and Model'!BN$8,Royalty!$U$1:$Z$1,0))</f>
        <v>1.6280836158038201E-2</v>
      </c>
      <c r="BO100" s="127">
        <f t="array" ref="BO100">BI100*INDEX(Royalty!$U$7:$Z$246,MATCH('Decline and Model'!$E100,Royalty!$AI$7:$AI$246,0),MATCH('Decline and Model'!BO$8,Royalty!$U$1:$Z$1,0))</f>
        <v>4.8300246562534704E-3</v>
      </c>
      <c r="BP100" s="135">
        <f t="shared" si="70"/>
        <v>0.24511184590435864</v>
      </c>
      <c r="BQ100" s="7"/>
      <c r="BR100" s="7"/>
      <c r="BS100">
        <v>92</v>
      </c>
      <c r="BT100" s="120">
        <f t="shared" si="71"/>
        <v>36909.575631926964</v>
      </c>
      <c r="BU100" s="113">
        <f t="shared" si="72"/>
        <v>27479.393548684238</v>
      </c>
      <c r="BV100" s="113">
        <f t="shared" si="73"/>
        <v>8243.8180646052715</v>
      </c>
      <c r="BW100" s="113">
        <f t="shared" si="106"/>
        <v>1569625.2530498349</v>
      </c>
      <c r="BX100" s="113">
        <f t="shared" si="99"/>
        <v>34695.703856531894</v>
      </c>
      <c r="BY100" s="120">
        <f t="shared" si="100"/>
        <v>43254.094965221579</v>
      </c>
      <c r="BZ100" s="153">
        <f t="shared" si="107"/>
        <v>0</v>
      </c>
      <c r="CA100" s="120">
        <f t="shared" si="110"/>
        <v>43254.094965221579</v>
      </c>
      <c r="CB100" s="120">
        <f t="shared" si="101"/>
        <v>10813.523741305395</v>
      </c>
      <c r="CC100" s="153">
        <f t="shared" si="102"/>
        <v>67136.275080448075</v>
      </c>
      <c r="CD100" s="7">
        <f t="shared" si="74"/>
        <v>33479.759372758454</v>
      </c>
      <c r="CE100" s="11">
        <f>SUM($CD$9:CD100)</f>
        <v>24109613.465094015</v>
      </c>
      <c r="CF100" s="11">
        <f t="shared" si="103"/>
        <v>12000000</v>
      </c>
      <c r="CG100">
        <f t="shared" si="104"/>
        <v>12109613.465094015</v>
      </c>
    </row>
    <row r="101" spans="1:85">
      <c r="A101">
        <f t="shared" si="75"/>
        <v>2024</v>
      </c>
      <c r="B101">
        <f t="shared" si="76"/>
        <v>30.416666666666668</v>
      </c>
      <c r="C101">
        <f t="shared" si="111"/>
        <v>8</v>
      </c>
      <c r="E101" s="97">
        <v>45627</v>
      </c>
      <c r="F101" s="2">
        <f>$F$6*EXP(-$F$3*COUNT($E$9:$E101))</f>
        <v>7.6632797296611201</v>
      </c>
      <c r="G101" s="260">
        <f>$F$6/(1+$F$5*$F$3*COUNT($E$9:$E101))^(1/$F$5)</f>
        <v>24.142214678914609</v>
      </c>
      <c r="H101" s="260">
        <f>$H$6/(1+$H$5*$H$3*COUNT($E$9:$E101))^(1/$H$5)</f>
        <v>222.82567456889936</v>
      </c>
      <c r="I101" s="260">
        <f t="shared" si="77"/>
        <v>42.442985632171307</v>
      </c>
      <c r="J101" s="260">
        <f t="shared" si="78"/>
        <v>17.673259217236133</v>
      </c>
      <c r="K101" s="260">
        <f t="shared" si="78"/>
        <v>12.024097829594131</v>
      </c>
      <c r="L101" s="260">
        <f t="shared" si="78"/>
        <v>5.7340473589063432</v>
      </c>
      <c r="M101" s="260">
        <f t="shared" si="78"/>
        <v>7.0158255249979176</v>
      </c>
      <c r="N101" s="19">
        <f t="shared" si="79"/>
        <v>233.09142511052573</v>
      </c>
      <c r="O101" s="19">
        <f t="shared" si="80"/>
        <v>734.32569648365268</v>
      </c>
      <c r="P101" s="19">
        <f t="shared" si="81"/>
        <v>6777.6142681373558</v>
      </c>
      <c r="Q101" s="19">
        <f t="shared" si="82"/>
        <v>1290.9741463118773</v>
      </c>
      <c r="R101" s="19">
        <f t="shared" si="83"/>
        <v>537.56163452426574</v>
      </c>
      <c r="S101" s="19">
        <f t="shared" si="84"/>
        <v>365.73297565015486</v>
      </c>
      <c r="T101" s="19">
        <f t="shared" si="85"/>
        <v>174.41060716673462</v>
      </c>
      <c r="U101" s="19">
        <f t="shared" si="86"/>
        <v>213.39802638535335</v>
      </c>
      <c r="V101" s="261">
        <f t="shared" si="105"/>
        <v>2700.9430631438454</v>
      </c>
      <c r="W101" s="261">
        <f>SUM(O$9:O101)</f>
        <v>535273.63428027462</v>
      </c>
      <c r="X101" s="261">
        <f>SUM(P$9:P101)</f>
        <v>2023465.520152003</v>
      </c>
      <c r="Y101" s="261">
        <f>SUM(Q$9:Q101)</f>
        <v>385422.00383847649</v>
      </c>
      <c r="Z101" s="261">
        <f>SUM($V$9:V101)</f>
        <v>1122409.7968495633</v>
      </c>
      <c r="AB101" s="257">
        <f t="array" ref="AB101">(INDEX(PriceDeck!$C$18:$O$77,MATCH('Decline and Model'!$A101,PriceDeck!$B$18:$B$77,0),MATCH('Decline and Model'!AB$8,PriceDeck!$C$13:$O$13,0))*(1+$AE$6))</f>
        <v>80.400000000000006</v>
      </c>
      <c r="AC101" s="257">
        <f t="array" ref="AC101">INDEX(PriceDeck!$C$18:$O$77,MATCH('Decline and Model'!$A101,PriceDeck!$B$18:$B$77,0),MATCH('Decline and Model'!AC$8,PriceDeck!$C$13:$O$13,0))*(1+$AE$6)</f>
        <v>91.8</v>
      </c>
      <c r="AD101" s="257">
        <f t="array" ref="AD101">INDEX(PriceDeck!$C$18:$O$77,MATCH('Decline and Model'!$A101,PriceDeck!$B$18:$B$77,0),MATCH('Decline and Model'!AD$8,PriceDeck!$C$13:$O$13,0))*(1+$AE$6)</f>
        <v>16</v>
      </c>
      <c r="AE101" s="257">
        <f t="array" ref="AE101">INDEX(PriceDeck!$C$18:$O$77,MATCH('Decline and Model'!$A101,PriceDeck!$B$18:$B$77,0),MATCH('Decline and Model'!AE$8,PriceDeck!$C$13:$O$13,0))*(1+$AE$6)</f>
        <v>32.200000000000003</v>
      </c>
      <c r="AF101" s="257">
        <f t="array" ref="AF101">INDEX(PriceDeck!$C$18:$O$77,MATCH('Decline and Model'!$A101,PriceDeck!$B$18:$B$77,0),MATCH('Decline and Model'!AF$8,PriceDeck!$C$13:$O$13,0))*(1+$AE$6)</f>
        <v>95.2</v>
      </c>
      <c r="AG101" s="257">
        <f t="array" ref="AG101">INDEX(PriceDeck!$C$18:$O$77,MATCH('Decline and Model'!$A101,PriceDeck!$B$18:$B$77,0),MATCH('Decline and Model'!AG$8,PriceDeck!$C$13:$O$13,0))*(1+$AE$6)</f>
        <v>67.3</v>
      </c>
      <c r="AH101" s="258">
        <f t="array" ref="AH101">INDEX(PriceDeck!$C$18:$O$77,MATCH('Decline and Model'!$A101,PriceDeck!$B$18:$B$77,0),MATCH('Decline and Model'!AH$8,PriceDeck!$C$13:$O$13,0))</f>
        <v>0.85</v>
      </c>
      <c r="AI101" s="258">
        <f t="shared" si="87"/>
        <v>4.25</v>
      </c>
      <c r="AJ101" s="259">
        <f t="shared" si="62"/>
        <v>4.25</v>
      </c>
      <c r="AK101" s="120">
        <v>4.25</v>
      </c>
      <c r="AL101" s="120"/>
      <c r="AN101" s="7">
        <f t="shared" si="88"/>
        <v>67411.09893719932</v>
      </c>
      <c r="AO101" s="7">
        <f t="shared" si="89"/>
        <v>28804.860639583763</v>
      </c>
      <c r="AP101" s="7">
        <f t="shared" si="90"/>
        <v>8600.9861523882519</v>
      </c>
      <c r="AQ101" s="7">
        <f t="shared" si="91"/>
        <v>11776.601815934988</v>
      </c>
      <c r="AR101" s="7">
        <f t="shared" si="92"/>
        <v>16603.889802273137</v>
      </c>
      <c r="AS101" s="7">
        <f t="shared" si="93"/>
        <v>14361.68717573428</v>
      </c>
      <c r="AT101" s="7">
        <f t="shared" si="94"/>
        <v>147559.12452311377</v>
      </c>
      <c r="AU101">
        <f>SUM($AT$9:AT101)</f>
        <v>59878732.780960388</v>
      </c>
      <c r="AV101" s="7">
        <f>AT101/(1+$AR$5)^(COUNT($E$9:E101))</f>
        <v>73030.898911732365</v>
      </c>
      <c r="AW101" s="7">
        <f t="shared" si="109"/>
        <v>0</v>
      </c>
      <c r="AX101" s="7">
        <f t="shared" si="95"/>
        <v>0</v>
      </c>
      <c r="AY101" s="117">
        <f t="shared" si="96"/>
        <v>0</v>
      </c>
      <c r="AZ101" s="117">
        <f t="shared" si="97"/>
        <v>147559.12452311377</v>
      </c>
      <c r="BA101" s="120">
        <f t="shared" si="98"/>
        <v>36123.350995646644</v>
      </c>
      <c r="BB101" s="119">
        <f t="shared" si="63"/>
        <v>0</v>
      </c>
      <c r="BC101" s="17"/>
      <c r="BD101" s="126">
        <f t="shared" si="64"/>
        <v>0.45684127738667896</v>
      </c>
      <c r="BE101" s="127">
        <f t="shared" si="65"/>
        <v>0.19520894239970737</v>
      </c>
      <c r="BF101" s="127">
        <f t="shared" si="66"/>
        <v>5.828840595378422E-2</v>
      </c>
      <c r="BG101" s="127">
        <f t="shared" si="67"/>
        <v>7.980937711574923E-2</v>
      </c>
      <c r="BH101" s="127">
        <f t="shared" si="68"/>
        <v>0.11252363997098866</v>
      </c>
      <c r="BI101" s="128">
        <f t="shared" si="69"/>
        <v>9.7328357173091351E-2</v>
      </c>
      <c r="BJ101" s="126">
        <f t="array" ref="BJ101">BD101*INDEX(Royalty!$U$7:$Z$246,MATCH('Decline and Model'!$E101,Royalty!$AI$7:$AI$246,0),MATCH('Decline and Model'!BJ$8,Royalty!$U$1:$Z$1,0))</f>
        <v>0.13052424273573862</v>
      </c>
      <c r="BK101" s="127">
        <f t="array" ref="BK101">BE101*INDEX(Royalty!$U$7:$Z$246,MATCH('Decline and Model'!$E101,Royalty!$AI$7:$AI$246,0),MATCH('Decline and Model'!BK$8,Royalty!$U$1:$Z$1,0))</f>
        <v>5.4145099984630699E-2</v>
      </c>
      <c r="BL101" s="127">
        <f t="array" ref="BL101">BF101*INDEX(Royalty!$U$7:$Z$246,MATCH('Decline and Model'!$E101,Royalty!$AI$7:$AI$246,0),MATCH('Decline and Model'!BL$8,Royalty!$U$1:$Z$1,0))</f>
        <v>1.6735463668125707E-2</v>
      </c>
      <c r="BM101" s="127">
        <f t="array" ref="BM101">BG101*INDEX(Royalty!$U$7:$Z$246,MATCH('Decline and Model'!$E101,Royalty!$AI$7:$AI$246,0),MATCH('Decline and Model'!BM$8,Royalty!$U$1:$Z$1,0))</f>
        <v>2.213121247502722E-2</v>
      </c>
      <c r="BN101" s="127">
        <f t="array" ref="BN101">BH101*INDEX(Royalty!$U$7:$Z$246,MATCH('Decline and Model'!$E101,Royalty!$AI$7:$AI$246,0),MATCH('Decline and Model'!BN$8,Royalty!$U$1:$Z$1,0))</f>
        <v>1.6403508775204131E-2</v>
      </c>
      <c r="BO101" s="127">
        <f t="array" ref="BO101">BI101*INDEX(Royalty!$U$7:$Z$246,MATCH('Decline and Model'!$E101,Royalty!$AI$7:$AI$246,0),MATCH('Decline and Model'!BO$8,Royalty!$U$1:$Z$1,0))</f>
        <v>4.8664178586545681E-3</v>
      </c>
      <c r="BP101" s="135">
        <f t="shared" si="70"/>
        <v>0.24480594549738097</v>
      </c>
      <c r="BQ101" s="7"/>
      <c r="BR101" s="7"/>
      <c r="BS101">
        <v>93</v>
      </c>
      <c r="BT101" s="120">
        <f t="shared" si="71"/>
        <v>36123.350995646644</v>
      </c>
      <c r="BU101" s="113">
        <f t="shared" si="72"/>
        <v>27009.430631438452</v>
      </c>
      <c r="BV101" s="113">
        <f t="shared" si="73"/>
        <v>8102.8291894315362</v>
      </c>
      <c r="BW101" s="113">
        <f t="shared" si="106"/>
        <v>1534929.5491933029</v>
      </c>
      <c r="BX101" s="113">
        <f t="shared" si="99"/>
        <v>33928.77438482445</v>
      </c>
      <c r="BY101" s="120">
        <f t="shared" si="100"/>
        <v>42394.7393217727</v>
      </c>
      <c r="BZ101" s="153">
        <f t="shared" si="107"/>
        <v>0</v>
      </c>
      <c r="CA101" s="120">
        <f t="shared" si="110"/>
        <v>42394.7393217727</v>
      </c>
      <c r="CB101" s="120">
        <f t="shared" si="101"/>
        <v>10598.684830443175</v>
      </c>
      <c r="CC101" s="153">
        <f t="shared" si="102"/>
        <v>65724.828876153973</v>
      </c>
      <c r="CD101" s="7">
        <f t="shared" si="74"/>
        <v>32528.949661079365</v>
      </c>
      <c r="CE101" s="11">
        <f>SUM($CD$9:CD101)</f>
        <v>24142142.414755095</v>
      </c>
      <c r="CF101" s="11">
        <f t="shared" si="103"/>
        <v>12000000</v>
      </c>
      <c r="CG101">
        <f t="shared" si="104"/>
        <v>12142142.414755095</v>
      </c>
    </row>
    <row r="102" spans="1:85">
      <c r="A102">
        <f t="shared" si="75"/>
        <v>2025</v>
      </c>
      <c r="B102">
        <f t="shared" si="76"/>
        <v>30.416666666666668</v>
      </c>
      <c r="C102">
        <f t="shared" si="111"/>
        <v>8</v>
      </c>
      <c r="E102" s="97">
        <v>45658</v>
      </c>
      <c r="F102" s="2">
        <f>$F$6*EXP(-$F$3*COUNT($E$9:$E102))</f>
        <v>7.2895371670335356</v>
      </c>
      <c r="G102" s="260">
        <f>$F$6/(1+$F$5*$F$3*COUNT($E$9:$E102))^(1/$F$5)</f>
        <v>23.452050137308525</v>
      </c>
      <c r="H102" s="260">
        <f>$H$6/(1+$H$5*$H$3*COUNT($E$9:$E102))^(1/$H$5)</f>
        <v>220.02234217914079</v>
      </c>
      <c r="I102" s="260">
        <f t="shared" si="77"/>
        <v>41.909017557931577</v>
      </c>
      <c r="J102" s="260">
        <f t="shared" si="78"/>
        <v>17.450914911122709</v>
      </c>
      <c r="K102" s="260">
        <f t="shared" si="78"/>
        <v>11.872824674162015</v>
      </c>
      <c r="L102" s="260">
        <f t="shared" si="78"/>
        <v>5.6619082720765563</v>
      </c>
      <c r="M102" s="260">
        <f t="shared" si="78"/>
        <v>6.9275606023260901</v>
      </c>
      <c r="N102" s="19">
        <f t="shared" si="79"/>
        <v>221.7234221639367</v>
      </c>
      <c r="O102" s="19">
        <f t="shared" si="80"/>
        <v>713.33319167646766</v>
      </c>
      <c r="P102" s="19">
        <f t="shared" si="81"/>
        <v>6692.3462412821991</v>
      </c>
      <c r="Q102" s="19">
        <f t="shared" si="82"/>
        <v>1274.7326173870856</v>
      </c>
      <c r="R102" s="19">
        <f t="shared" si="83"/>
        <v>530.79866187998243</v>
      </c>
      <c r="S102" s="19">
        <f t="shared" si="84"/>
        <v>361.13175050576132</v>
      </c>
      <c r="T102" s="19">
        <f t="shared" si="85"/>
        <v>172.21637660899526</v>
      </c>
      <c r="U102" s="19">
        <f t="shared" si="86"/>
        <v>210.71330165408526</v>
      </c>
      <c r="V102" s="261">
        <f t="shared" si="105"/>
        <v>2655.2088755261566</v>
      </c>
      <c r="W102" s="261">
        <f>SUM(O$9:O102)</f>
        <v>535986.96747195104</v>
      </c>
      <c r="X102" s="261">
        <f>SUM(P$9:P102)</f>
        <v>2030157.8663932853</v>
      </c>
      <c r="Y102" s="261">
        <f>SUM(Q$9:Q102)</f>
        <v>386696.73645586357</v>
      </c>
      <c r="Z102" s="261">
        <f>SUM($V$9:V102)</f>
        <v>1125065.0057250895</v>
      </c>
      <c r="AB102" s="257">
        <f t="array" ref="AB102">(INDEX(PriceDeck!$C$18:$O$77,MATCH('Decline and Model'!$A102,PriceDeck!$B$18:$B$77,0),MATCH('Decline and Model'!AB$8,PriceDeck!$C$13:$O$13,0))*(1+$AE$6))</f>
        <v>82</v>
      </c>
      <c r="AC102" s="257">
        <f t="array" ref="AC102">INDEX(PriceDeck!$C$18:$O$77,MATCH('Decline and Model'!$A102,PriceDeck!$B$18:$B$77,0),MATCH('Decline and Model'!AC$8,PriceDeck!$C$13:$O$13,0))*(1+$AE$6)</f>
        <v>93.7</v>
      </c>
      <c r="AD102" s="257">
        <f t="array" ref="AD102">INDEX(PriceDeck!$C$18:$O$77,MATCH('Decline and Model'!$A102,PriceDeck!$B$18:$B$77,0),MATCH('Decline and Model'!AD$8,PriceDeck!$C$13:$O$13,0))*(1+$AE$6)</f>
        <v>16.2</v>
      </c>
      <c r="AE102" s="257">
        <f t="array" ref="AE102">INDEX(PriceDeck!$C$18:$O$77,MATCH('Decline and Model'!$A102,PriceDeck!$B$18:$B$77,0),MATCH('Decline and Model'!AE$8,PriceDeck!$C$13:$O$13,0))*(1+$AE$6)</f>
        <v>32.9</v>
      </c>
      <c r="AF102" s="257">
        <f t="array" ref="AF102">INDEX(PriceDeck!$C$18:$O$77,MATCH('Decline and Model'!$A102,PriceDeck!$B$18:$B$77,0),MATCH('Decline and Model'!AF$8,PriceDeck!$C$13:$O$13,0))*(1+$AE$6)</f>
        <v>97.2</v>
      </c>
      <c r="AG102" s="257">
        <f t="array" ref="AG102">INDEX(PriceDeck!$C$18:$O$77,MATCH('Decline and Model'!$A102,PriceDeck!$B$18:$B$77,0),MATCH('Decline and Model'!AG$8,PriceDeck!$C$13:$O$13,0))*(1+$AE$6)</f>
        <v>68.599999999999994</v>
      </c>
      <c r="AH102" s="258">
        <f t="array" ref="AH102">INDEX(PriceDeck!$C$18:$O$77,MATCH('Decline and Model'!$A102,PriceDeck!$B$18:$B$77,0),MATCH('Decline and Model'!AH$8,PriceDeck!$C$13:$O$13,0))</f>
        <v>0.85</v>
      </c>
      <c r="AI102" s="258">
        <f t="shared" si="87"/>
        <v>4.3</v>
      </c>
      <c r="AJ102" s="259">
        <f t="shared" si="62"/>
        <v>4.3</v>
      </c>
      <c r="AK102" s="120">
        <v>4.3</v>
      </c>
      <c r="AL102" s="120"/>
      <c r="AN102" s="7">
        <f t="shared" si="88"/>
        <v>66839.320060085025</v>
      </c>
      <c r="AO102" s="7">
        <f t="shared" si="89"/>
        <v>28777.088837513456</v>
      </c>
      <c r="AP102" s="7">
        <f t="shared" si="90"/>
        <v>8598.938322455715</v>
      </c>
      <c r="AQ102" s="7">
        <f t="shared" si="91"/>
        <v>11881.234591639546</v>
      </c>
      <c r="AR102" s="7">
        <f t="shared" si="92"/>
        <v>16739.431806394339</v>
      </c>
      <c r="AS102" s="7">
        <f t="shared" si="93"/>
        <v>14454.932493470247</v>
      </c>
      <c r="AT102" s="7">
        <f t="shared" si="94"/>
        <v>147290.94611155833</v>
      </c>
      <c r="AU102">
        <f>SUM($AT$9:AT102)</f>
        <v>60026023.727071948</v>
      </c>
      <c r="AV102" s="7">
        <f>AT102/(1+$AR$5)^(COUNT($E$9:E102))</f>
        <v>72348.930959085352</v>
      </c>
      <c r="AW102" s="7">
        <f t="shared" si="109"/>
        <v>0</v>
      </c>
      <c r="AX102" s="7">
        <f t="shared" si="95"/>
        <v>0</v>
      </c>
      <c r="AY102" s="117">
        <f t="shared" si="96"/>
        <v>0</v>
      </c>
      <c r="AZ102" s="117">
        <f t="shared" si="97"/>
        <v>147290.94611155833</v>
      </c>
      <c r="BA102" s="120">
        <f t="shared" si="98"/>
        <v>36599.919451709437</v>
      </c>
      <c r="BB102" s="119">
        <f t="shared" si="63"/>
        <v>0</v>
      </c>
      <c r="BC102" s="17"/>
      <c r="BD102" s="126">
        <f t="shared" si="64"/>
        <v>0.45379109731198852</v>
      </c>
      <c r="BE102" s="127">
        <f t="shared" si="65"/>
        <v>0.1953758163500264</v>
      </c>
      <c r="BF102" s="127">
        <f t="shared" si="66"/>
        <v>5.8380630646114998E-2</v>
      </c>
      <c r="BG102" s="127">
        <f t="shared" si="67"/>
        <v>8.0665070768441441E-2</v>
      </c>
      <c r="BH102" s="127">
        <f t="shared" si="68"/>
        <v>0.11364874928371956</v>
      </c>
      <c r="BI102" s="128">
        <f t="shared" si="69"/>
        <v>9.8138635639709079E-2</v>
      </c>
      <c r="BJ102" s="126">
        <f t="array" ref="BJ102">BD102*INDEX(Royalty!$U$7:$Z$246,MATCH('Decline and Model'!$E102,Royalty!$AI$7:$AI$246,0),MATCH('Decline and Model'!BJ$8,Royalty!$U$1:$Z$1,0))</f>
        <v>0.13187909760601846</v>
      </c>
      <c r="BK102" s="127">
        <f t="array" ref="BK102">BE102*INDEX(Royalty!$U$7:$Z$246,MATCH('Decline and Model'!$E102,Royalty!$AI$7:$AI$246,0),MATCH('Decline and Model'!BK$8,Royalty!$U$1:$Z$1,0))</f>
        <v>5.5101983490202538E-2</v>
      </c>
      <c r="BL102" s="127">
        <f t="array" ref="BL102">BF102*INDEX(Royalty!$U$7:$Z$246,MATCH('Decline and Model'!$E102,Royalty!$AI$7:$AI$246,0),MATCH('Decline and Model'!BL$8,Royalty!$U$1:$Z$1,0))</f>
        <v>1.7026402395880897E-2</v>
      </c>
      <c r="BM102" s="127">
        <f t="array" ref="BM102">BG102*INDEX(Royalty!$U$7:$Z$246,MATCH('Decline and Model'!$E102,Royalty!$AI$7:$AI$246,0),MATCH('Decline and Model'!BM$8,Royalty!$U$1:$Z$1,0))</f>
        <v>2.2763787483504466E-2</v>
      </c>
      <c r="BN102" s="127">
        <f t="array" ref="BN102">BH102*INDEX(Royalty!$U$7:$Z$246,MATCH('Decline and Model'!$E102,Royalty!$AI$7:$AI$246,0),MATCH('Decline and Model'!BN$8,Royalty!$U$1:$Z$1,0))</f>
        <v>1.6809028928655999E-2</v>
      </c>
      <c r="BO102" s="127">
        <f t="array" ref="BO102">BI102*INDEX(Royalty!$U$7:$Z$246,MATCH('Decline and Model'!$E102,Royalty!$AI$7:$AI$246,0),MATCH('Decline and Model'!BO$8,Royalty!$U$1:$Z$1,0))</f>
        <v>4.9069317819854545E-3</v>
      </c>
      <c r="BP102" s="135">
        <f t="shared" si="70"/>
        <v>0.24848723168624781</v>
      </c>
      <c r="BQ102" s="7"/>
      <c r="BR102" s="7"/>
      <c r="BS102">
        <v>94</v>
      </c>
      <c r="BT102" s="120">
        <f t="shared" si="71"/>
        <v>36599.919451709437</v>
      </c>
      <c r="BU102" s="113">
        <f t="shared" si="72"/>
        <v>26552.088755261568</v>
      </c>
      <c r="BV102" s="113">
        <f t="shared" si="73"/>
        <v>7965.6266265784698</v>
      </c>
      <c r="BW102" s="113">
        <f t="shared" si="106"/>
        <v>1501000.7748084783</v>
      </c>
      <c r="BX102" s="113">
        <f t="shared" si="99"/>
        <v>33178.797467733159</v>
      </c>
      <c r="BY102" s="120">
        <f t="shared" si="100"/>
        <v>42994.513810275712</v>
      </c>
      <c r="BZ102" s="153">
        <f t="shared" si="107"/>
        <v>0</v>
      </c>
      <c r="CA102" s="120">
        <f t="shared" si="110"/>
        <v>42994.513810275712</v>
      </c>
      <c r="CB102" s="120">
        <f t="shared" si="101"/>
        <v>10748.628452568928</v>
      </c>
      <c r="CC102" s="153">
        <f t="shared" si="102"/>
        <v>65424.682825439944</v>
      </c>
      <c r="CD102" s="7">
        <f t="shared" si="74"/>
        <v>32136.434626285347</v>
      </c>
      <c r="CE102" s="11">
        <f>SUM($CD$9:CD102)</f>
        <v>24174278.84938138</v>
      </c>
      <c r="CF102" s="11">
        <f t="shared" si="103"/>
        <v>12000000</v>
      </c>
      <c r="CG102">
        <f t="shared" si="104"/>
        <v>12174278.84938138</v>
      </c>
    </row>
    <row r="103" spans="1:85">
      <c r="A103">
        <f t="shared" si="75"/>
        <v>2025</v>
      </c>
      <c r="B103">
        <f t="shared" si="76"/>
        <v>30.416666666666668</v>
      </c>
      <c r="C103">
        <f t="shared" si="111"/>
        <v>8</v>
      </c>
      <c r="E103" s="97">
        <v>45689</v>
      </c>
      <c r="F103" s="2">
        <f>$F$6*EXP(-$F$3*COUNT($E$9:$E103))</f>
        <v>6.9340222442738764</v>
      </c>
      <c r="G103" s="260">
        <f>$F$6/(1+$F$5*$F$3*COUNT($E$9:$E103))^(1/$F$5)</f>
        <v>22.784570129516379</v>
      </c>
      <c r="H103" s="260">
        <f>$H$6/(1+$H$5*$H$3*COUNT($E$9:$E103))^(1/$H$5)</f>
        <v>217.27893451489797</v>
      </c>
      <c r="I103" s="260">
        <f t="shared" si="77"/>
        <v>41.386463717123419</v>
      </c>
      <c r="J103" s="260">
        <f t="shared" si="78"/>
        <v>17.233323491810193</v>
      </c>
      <c r="K103" s="260">
        <f t="shared" si="78"/>
        <v>11.724785171061065</v>
      </c>
      <c r="L103" s="260">
        <f t="shared" si="78"/>
        <v>5.5913112481833736</v>
      </c>
      <c r="M103" s="260">
        <f t="shared" si="78"/>
        <v>6.8411824524405009</v>
      </c>
      <c r="N103" s="19">
        <f t="shared" si="79"/>
        <v>210.9098432633304</v>
      </c>
      <c r="O103" s="19">
        <f t="shared" si="80"/>
        <v>693.03067477278989</v>
      </c>
      <c r="P103" s="19">
        <f t="shared" si="81"/>
        <v>6608.9009248281473</v>
      </c>
      <c r="Q103" s="19">
        <f t="shared" si="82"/>
        <v>1258.8382713958374</v>
      </c>
      <c r="R103" s="19">
        <f t="shared" si="83"/>
        <v>524.18025620922674</v>
      </c>
      <c r="S103" s="19">
        <f t="shared" si="84"/>
        <v>356.62888228644073</v>
      </c>
      <c r="T103" s="19">
        <f t="shared" si="85"/>
        <v>170.06905046557762</v>
      </c>
      <c r="U103" s="19">
        <f t="shared" si="86"/>
        <v>208.0859662617319</v>
      </c>
      <c r="V103" s="261">
        <f t="shared" si="105"/>
        <v>2610.693560134303</v>
      </c>
      <c r="W103" s="261">
        <f>SUM(O$9:O103)</f>
        <v>536679.99814672384</v>
      </c>
      <c r="X103" s="261">
        <f>SUM(P$9:P103)</f>
        <v>2036766.7673181135</v>
      </c>
      <c r="Y103" s="261">
        <f>SUM(Q$9:Q103)</f>
        <v>387955.5747272594</v>
      </c>
      <c r="Z103" s="261">
        <f>SUM($V$9:V103)</f>
        <v>1127675.6992852238</v>
      </c>
      <c r="AB103" s="257">
        <f t="array" ref="AB103">(INDEX(PriceDeck!$C$18:$O$77,MATCH('Decline and Model'!$A103,PriceDeck!$B$18:$B$77,0),MATCH('Decline and Model'!AB$8,PriceDeck!$C$13:$O$13,0))*(1+$AE$6))</f>
        <v>82</v>
      </c>
      <c r="AC103" s="257">
        <f t="array" ref="AC103">INDEX(PriceDeck!$C$18:$O$77,MATCH('Decline and Model'!$A103,PriceDeck!$B$18:$B$77,0),MATCH('Decline and Model'!AC$8,PriceDeck!$C$13:$O$13,0))*(1+$AE$6)</f>
        <v>93.7</v>
      </c>
      <c r="AD103" s="257">
        <f t="array" ref="AD103">INDEX(PriceDeck!$C$18:$O$77,MATCH('Decline and Model'!$A103,PriceDeck!$B$18:$B$77,0),MATCH('Decline and Model'!AD$8,PriceDeck!$C$13:$O$13,0))*(1+$AE$6)</f>
        <v>16.2</v>
      </c>
      <c r="AE103" s="257">
        <f t="array" ref="AE103">INDEX(PriceDeck!$C$18:$O$77,MATCH('Decline and Model'!$A103,PriceDeck!$B$18:$B$77,0),MATCH('Decline and Model'!AE$8,PriceDeck!$C$13:$O$13,0))*(1+$AE$6)</f>
        <v>32.9</v>
      </c>
      <c r="AF103" s="257">
        <f t="array" ref="AF103">INDEX(PriceDeck!$C$18:$O$77,MATCH('Decline and Model'!$A103,PriceDeck!$B$18:$B$77,0),MATCH('Decline and Model'!AF$8,PriceDeck!$C$13:$O$13,0))*(1+$AE$6)</f>
        <v>97.2</v>
      </c>
      <c r="AG103" s="257">
        <f t="array" ref="AG103">INDEX(PriceDeck!$C$18:$O$77,MATCH('Decline and Model'!$A103,PriceDeck!$B$18:$B$77,0),MATCH('Decline and Model'!AG$8,PriceDeck!$C$13:$O$13,0))*(1+$AE$6)</f>
        <v>68.599999999999994</v>
      </c>
      <c r="AH103" s="258">
        <f t="array" ref="AH103">INDEX(PriceDeck!$C$18:$O$77,MATCH('Decline and Model'!$A103,PriceDeck!$B$18:$B$77,0),MATCH('Decline and Model'!AH$8,PriceDeck!$C$13:$O$13,0))</f>
        <v>0.85</v>
      </c>
      <c r="AI103" s="258">
        <f t="shared" si="87"/>
        <v>4.3</v>
      </c>
      <c r="AJ103" s="259">
        <f t="shared" si="62"/>
        <v>4.3</v>
      </c>
      <c r="AK103" s="120">
        <v>4.3</v>
      </c>
      <c r="AL103" s="120"/>
      <c r="AN103" s="7">
        <f t="shared" si="88"/>
        <v>64936.974226210412</v>
      </c>
      <c r="AO103" s="7">
        <f t="shared" si="89"/>
        <v>28418.273976761033</v>
      </c>
      <c r="AP103" s="7">
        <f t="shared" si="90"/>
        <v>8491.7201505894736</v>
      </c>
      <c r="AQ103" s="7">
        <f t="shared" si="91"/>
        <v>11733.0902272239</v>
      </c>
      <c r="AR103" s="7">
        <f t="shared" si="92"/>
        <v>16530.711705254143</v>
      </c>
      <c r="AS103" s="7">
        <f t="shared" si="93"/>
        <v>14274.697285554807</v>
      </c>
      <c r="AT103" s="7">
        <f t="shared" si="94"/>
        <v>144385.46757159376</v>
      </c>
      <c r="AU103">
        <f>SUM($AT$9:AT103)</f>
        <v>60170409.194643542</v>
      </c>
      <c r="AV103" s="7">
        <f>AT103/(1+$AR$5)^(COUNT($E$9:E103))</f>
        <v>70387.418926705039</v>
      </c>
      <c r="AW103" s="7">
        <f t="shared" si="109"/>
        <v>0</v>
      </c>
      <c r="AX103" s="7">
        <f t="shared" si="95"/>
        <v>0</v>
      </c>
      <c r="AY103" s="117">
        <f t="shared" si="96"/>
        <v>0</v>
      </c>
      <c r="AZ103" s="117">
        <f t="shared" si="97"/>
        <v>144385.46757159376</v>
      </c>
      <c r="BA103" s="120">
        <f t="shared" si="98"/>
        <v>35832.911590910422</v>
      </c>
      <c r="BB103" s="119">
        <f t="shared" si="63"/>
        <v>0</v>
      </c>
      <c r="BC103" s="17"/>
      <c r="BD103" s="126">
        <f t="shared" si="64"/>
        <v>0.44974730018456538</v>
      </c>
      <c r="BE103" s="127">
        <f t="shared" si="65"/>
        <v>0.19682225957172447</v>
      </c>
      <c r="BF103" s="127">
        <f t="shared" si="66"/>
        <v>5.8812845180411528E-2</v>
      </c>
      <c r="BG103" s="127">
        <f t="shared" si="67"/>
        <v>8.1262265687549393E-2</v>
      </c>
      <c r="BH103" s="127">
        <f t="shared" si="68"/>
        <v>0.11449013521431693</v>
      </c>
      <c r="BI103" s="128">
        <f t="shared" si="69"/>
        <v>9.8865194161432315E-2</v>
      </c>
      <c r="BJ103" s="126">
        <f t="array" ref="BJ103">BD103*INDEX(Royalty!$U$7:$Z$246,MATCH('Decline and Model'!$E103,Royalty!$AI$7:$AI$246,0),MATCH('Decline and Model'!BJ$8,Royalty!$U$1:$Z$1,0))</f>
        <v>0.13070390417621053</v>
      </c>
      <c r="BK103" s="127">
        <f t="array" ref="BK103">BE103*INDEX(Royalty!$U$7:$Z$246,MATCH('Decline and Model'!$E103,Royalty!$AI$7:$AI$246,0),MATCH('Decline and Model'!BK$8,Royalty!$U$1:$Z$1,0))</f>
        <v>5.5509924923336368E-2</v>
      </c>
      <c r="BL103" s="127">
        <f t="array" ref="BL103">BF103*INDEX(Royalty!$U$7:$Z$246,MATCH('Decline and Model'!$E103,Royalty!$AI$7:$AI$246,0),MATCH('Decline and Model'!BL$8,Royalty!$U$1:$Z$1,0))</f>
        <v>1.715245548062555E-2</v>
      </c>
      <c r="BM103" s="127">
        <f t="array" ref="BM103">BG103*INDEX(Royalty!$U$7:$Z$246,MATCH('Decline and Model'!$E103,Royalty!$AI$7:$AI$246,0),MATCH('Decline and Model'!BM$8,Royalty!$U$1:$Z$1,0))</f>
        <v>2.2932316663424566E-2</v>
      </c>
      <c r="BN103" s="127">
        <f t="array" ref="BN103">BH103*INDEX(Royalty!$U$7:$Z$246,MATCH('Decline and Model'!$E103,Royalty!$AI$7:$AI$246,0),MATCH('Decline and Model'!BN$8,Royalty!$U$1:$Z$1,0))</f>
        <v>1.6933472713006572E-2</v>
      </c>
      <c r="BO103" s="127">
        <f t="array" ref="BO103">BI103*INDEX(Royalty!$U$7:$Z$246,MATCH('Decline and Model'!$E103,Royalty!$AI$7:$AI$246,0),MATCH('Decline and Model'!BO$8,Royalty!$U$1:$Z$1,0))</f>
        <v>4.9432597080716163E-3</v>
      </c>
      <c r="BP103" s="135">
        <f t="shared" si="70"/>
        <v>0.2481753336646752</v>
      </c>
      <c r="BQ103" s="7"/>
      <c r="BR103" s="7"/>
      <c r="BS103">
        <v>95</v>
      </c>
      <c r="BT103" s="120">
        <f t="shared" si="71"/>
        <v>35832.911590910422</v>
      </c>
      <c r="BU103" s="113">
        <f t="shared" si="72"/>
        <v>26106.93560134303</v>
      </c>
      <c r="BV103" s="113">
        <f t="shared" si="73"/>
        <v>7832.0806804029089</v>
      </c>
      <c r="BW103" s="113">
        <f t="shared" si="106"/>
        <v>1467821.977340745</v>
      </c>
      <c r="BX103" s="113">
        <f t="shared" si="99"/>
        <v>32445.39837835206</v>
      </c>
      <c r="BY103" s="120">
        <f t="shared" si="100"/>
        <v>42168.141320585339</v>
      </c>
      <c r="BZ103" s="153">
        <f t="shared" si="107"/>
        <v>0</v>
      </c>
      <c r="CA103" s="120">
        <f t="shared" si="110"/>
        <v>42168.141320585339</v>
      </c>
      <c r="CB103" s="120">
        <f t="shared" si="101"/>
        <v>10542.035330146335</v>
      </c>
      <c r="CC103" s="153">
        <f t="shared" si="102"/>
        <v>64071.504368791066</v>
      </c>
      <c r="CD103" s="7">
        <f t="shared" si="74"/>
        <v>31234.638049941579</v>
      </c>
      <c r="CE103" s="11">
        <f>SUM($CD$9:CD103)</f>
        <v>24205513.487431321</v>
      </c>
      <c r="CF103" s="11">
        <f t="shared" si="103"/>
        <v>12000000</v>
      </c>
      <c r="CG103">
        <f t="shared" si="104"/>
        <v>12205513.487431321</v>
      </c>
    </row>
    <row r="104" spans="1:85">
      <c r="A104">
        <f t="shared" si="75"/>
        <v>2025</v>
      </c>
      <c r="B104">
        <f t="shared" si="76"/>
        <v>30.416666666666668</v>
      </c>
      <c r="C104">
        <f t="shared" si="111"/>
        <v>8</v>
      </c>
      <c r="E104" s="97">
        <v>45717</v>
      </c>
      <c r="F104" s="2">
        <f>$F$6*EXP(-$F$3*COUNT($E$9:$E104))</f>
        <v>6.5958459888957846</v>
      </c>
      <c r="G104" s="260">
        <f>$F$6/(1+$F$5*$F$3*COUNT($E$9:$E104))^(1/$F$5)</f>
        <v>22.138932798500583</v>
      </c>
      <c r="H104" s="260">
        <f>$H$6/(1+$H$5*$H$3*COUNT($E$9:$E104))^(1/$H$5)</f>
        <v>214.59365285704632</v>
      </c>
      <c r="I104" s="260">
        <f t="shared" si="77"/>
        <v>40.874981496580247</v>
      </c>
      <c r="J104" s="260">
        <f t="shared" si="78"/>
        <v>17.020342295176015</v>
      </c>
      <c r="K104" s="260">
        <f t="shared" si="78"/>
        <v>11.579882257981184</v>
      </c>
      <c r="L104" s="260">
        <f t="shared" si="78"/>
        <v>5.5222100001879912</v>
      </c>
      <c r="M104" s="260">
        <f t="shared" si="78"/>
        <v>6.7566344413847146</v>
      </c>
      <c r="N104" s="19">
        <f t="shared" si="79"/>
        <v>200.62364882891345</v>
      </c>
      <c r="O104" s="19">
        <f t="shared" si="80"/>
        <v>673.39253928772609</v>
      </c>
      <c r="P104" s="19">
        <f t="shared" si="81"/>
        <v>6527.223607735159</v>
      </c>
      <c r="Q104" s="19">
        <f t="shared" si="82"/>
        <v>1243.2806871876492</v>
      </c>
      <c r="R104" s="19">
        <f t="shared" si="83"/>
        <v>517.7020781449371</v>
      </c>
      <c r="S104" s="19">
        <f t="shared" si="84"/>
        <v>352.22141868026102</v>
      </c>
      <c r="T104" s="19">
        <f t="shared" si="85"/>
        <v>167.96722083905141</v>
      </c>
      <c r="U104" s="19">
        <f t="shared" si="86"/>
        <v>205.5142975921184</v>
      </c>
      <c r="V104" s="261">
        <f t="shared" si="105"/>
        <v>2567.355635327734</v>
      </c>
      <c r="W104" s="261">
        <f>SUM(O$9:O104)</f>
        <v>537353.39068601152</v>
      </c>
      <c r="X104" s="261">
        <f>SUM(P$9:P104)</f>
        <v>2043293.9909258487</v>
      </c>
      <c r="Y104" s="261">
        <f>SUM(Q$9:Q104)</f>
        <v>389198.85541444703</v>
      </c>
      <c r="Z104" s="261">
        <f>SUM($V$9:V104)</f>
        <v>1130243.0549205516</v>
      </c>
      <c r="AB104" s="257">
        <f t="array" ref="AB104">(INDEX(PriceDeck!$C$18:$O$77,MATCH('Decline and Model'!$A104,PriceDeck!$B$18:$B$77,0),MATCH('Decline and Model'!AB$8,PriceDeck!$C$13:$O$13,0))*(1+$AE$6))</f>
        <v>82</v>
      </c>
      <c r="AC104" s="257">
        <f t="array" ref="AC104">INDEX(PriceDeck!$C$18:$O$77,MATCH('Decline and Model'!$A104,PriceDeck!$B$18:$B$77,0),MATCH('Decline and Model'!AC$8,PriceDeck!$C$13:$O$13,0))*(1+$AE$6)</f>
        <v>93.7</v>
      </c>
      <c r="AD104" s="257">
        <f t="array" ref="AD104">INDEX(PriceDeck!$C$18:$O$77,MATCH('Decline and Model'!$A104,PriceDeck!$B$18:$B$77,0),MATCH('Decline and Model'!AD$8,PriceDeck!$C$13:$O$13,0))*(1+$AE$6)</f>
        <v>16.2</v>
      </c>
      <c r="AE104" s="257">
        <f t="array" ref="AE104">INDEX(PriceDeck!$C$18:$O$77,MATCH('Decline and Model'!$A104,PriceDeck!$B$18:$B$77,0),MATCH('Decline and Model'!AE$8,PriceDeck!$C$13:$O$13,0))*(1+$AE$6)</f>
        <v>32.9</v>
      </c>
      <c r="AF104" s="257">
        <f t="array" ref="AF104">INDEX(PriceDeck!$C$18:$O$77,MATCH('Decline and Model'!$A104,PriceDeck!$B$18:$B$77,0),MATCH('Decline and Model'!AF$8,PriceDeck!$C$13:$O$13,0))*(1+$AE$6)</f>
        <v>97.2</v>
      </c>
      <c r="AG104" s="257">
        <f t="array" ref="AG104">INDEX(PriceDeck!$C$18:$O$77,MATCH('Decline and Model'!$A104,PriceDeck!$B$18:$B$77,0),MATCH('Decline and Model'!AG$8,PriceDeck!$C$13:$O$13,0))*(1+$AE$6)</f>
        <v>68.599999999999994</v>
      </c>
      <c r="AH104" s="258">
        <f t="array" ref="AH104">INDEX(PriceDeck!$C$18:$O$77,MATCH('Decline and Model'!$A104,PriceDeck!$B$18:$B$77,0),MATCH('Decline and Model'!AH$8,PriceDeck!$C$13:$O$13,0))</f>
        <v>0.85</v>
      </c>
      <c r="AI104" s="258">
        <f t="shared" si="87"/>
        <v>4.3</v>
      </c>
      <c r="AJ104" s="259">
        <f t="shared" si="62"/>
        <v>4.3</v>
      </c>
      <c r="AK104" s="120">
        <v>4.3</v>
      </c>
      <c r="AL104" s="120"/>
      <c r="AN104" s="7">
        <f t="shared" si="88"/>
        <v>63096.880931259941</v>
      </c>
      <c r="AO104" s="7">
        <f t="shared" si="89"/>
        <v>28067.061513261182</v>
      </c>
      <c r="AP104" s="7">
        <f t="shared" si="90"/>
        <v>8386.7736659479815</v>
      </c>
      <c r="AQ104" s="7">
        <f t="shared" si="91"/>
        <v>11588.084674580587</v>
      </c>
      <c r="AR104" s="7">
        <f t="shared" si="92"/>
        <v>16326.413865555798</v>
      </c>
      <c r="AS104" s="7">
        <f t="shared" si="93"/>
        <v>14098.280814819322</v>
      </c>
      <c r="AT104" s="7">
        <f t="shared" si="94"/>
        <v>141563.49546542481</v>
      </c>
      <c r="AU104">
        <f>SUM($AT$9:AT104)</f>
        <v>60311972.69010897</v>
      </c>
      <c r="AV104" s="7">
        <f>AT104/(1+$AR$5)^(COUNT($E$9:E104))</f>
        <v>68491.759686893216</v>
      </c>
      <c r="AW104" s="7">
        <f t="shared" si="109"/>
        <v>0</v>
      </c>
      <c r="AX104" s="7">
        <f t="shared" si="95"/>
        <v>0</v>
      </c>
      <c r="AY104" s="117">
        <f t="shared" si="96"/>
        <v>0</v>
      </c>
      <c r="AZ104" s="117">
        <f t="shared" si="97"/>
        <v>141563.49546542481</v>
      </c>
      <c r="BA104" s="120">
        <f t="shared" si="98"/>
        <v>35088.532749742888</v>
      </c>
      <c r="BB104" s="119">
        <f t="shared" si="63"/>
        <v>0</v>
      </c>
      <c r="BC104" s="17"/>
      <c r="BD104" s="126">
        <f t="shared" si="64"/>
        <v>0.44571434693536932</v>
      </c>
      <c r="BE104" s="127">
        <f t="shared" si="65"/>
        <v>0.19826482399988651</v>
      </c>
      <c r="BF104" s="127">
        <f t="shared" si="66"/>
        <v>5.9243900684808608E-2</v>
      </c>
      <c r="BG104" s="127">
        <f t="shared" si="67"/>
        <v>8.1857859164058563E-2</v>
      </c>
      <c r="BH104" s="127">
        <f t="shared" si="68"/>
        <v>0.11532926487777584</v>
      </c>
      <c r="BI104" s="128">
        <f t="shared" si="69"/>
        <v>9.9589804338101121E-2</v>
      </c>
      <c r="BJ104" s="126">
        <f t="array" ref="BJ104">BD104*INDEX(Royalty!$U$7:$Z$246,MATCH('Decline and Model'!$E104,Royalty!$AI$7:$AI$246,0),MATCH('Decline and Model'!BJ$8,Royalty!$U$1:$Z$1,0))</f>
        <v>0.12953186215436019</v>
      </c>
      <c r="BK104" s="127">
        <f t="array" ref="BK104">BE104*INDEX(Royalty!$U$7:$Z$246,MATCH('Decline and Model'!$E104,Royalty!$AI$7:$AI$246,0),MATCH('Decline and Model'!BK$8,Royalty!$U$1:$Z$1,0))</f>
        <v>5.5916772417510016E-2</v>
      </c>
      <c r="BL104" s="127">
        <f t="array" ref="BL104">BF104*INDEX(Royalty!$U$7:$Z$246,MATCH('Decline and Model'!$E104,Royalty!$AI$7:$AI$246,0),MATCH('Decline and Model'!BL$8,Royalty!$U$1:$Z$1,0))</f>
        <v>1.7278170540425311E-2</v>
      </c>
      <c r="BM104" s="127">
        <f t="array" ref="BM104">BG104*INDEX(Royalty!$U$7:$Z$246,MATCH('Decline and Model'!$E104,Royalty!$AI$7:$AI$246,0),MATCH('Decline and Model'!BM$8,Royalty!$U$1:$Z$1,0))</f>
        <v>2.3100393914168398E-2</v>
      </c>
      <c r="BN104" s="127">
        <f t="array" ref="BN104">BH104*INDEX(Royalty!$U$7:$Z$246,MATCH('Decline and Model'!$E104,Royalty!$AI$7:$AI$246,0),MATCH('Decline and Model'!BN$8,Royalty!$U$1:$Z$1,0))</f>
        <v>1.705758278792488E-2</v>
      </c>
      <c r="BO104" s="127">
        <f t="array" ref="BO104">BI104*INDEX(Royalty!$U$7:$Z$246,MATCH('Decline and Model'!$E104,Royalty!$AI$7:$AI$246,0),MATCH('Decline and Model'!BO$8,Royalty!$U$1:$Z$1,0))</f>
        <v>4.979490216905056E-3</v>
      </c>
      <c r="BP104" s="135">
        <f t="shared" si="70"/>
        <v>0.24786427203129385</v>
      </c>
      <c r="BQ104" s="7"/>
      <c r="BR104" s="7"/>
      <c r="BS104">
        <v>96</v>
      </c>
      <c r="BT104" s="120">
        <f t="shared" si="71"/>
        <v>35088.532749742888</v>
      </c>
      <c r="BU104" s="113">
        <f t="shared" si="72"/>
        <v>25673.556353277341</v>
      </c>
      <c r="BV104" s="113">
        <f t="shared" si="73"/>
        <v>7702.0669059832017</v>
      </c>
      <c r="BW104" s="113">
        <f t="shared" si="106"/>
        <v>1435376.5789623929</v>
      </c>
      <c r="BX104" s="113">
        <f t="shared" si="99"/>
        <v>31728.210672907589</v>
      </c>
      <c r="BY104" s="120">
        <f t="shared" si="100"/>
        <v>41371.128783513806</v>
      </c>
      <c r="BZ104" s="153">
        <f t="shared" si="107"/>
        <v>0</v>
      </c>
      <c r="CA104" s="120">
        <f t="shared" si="110"/>
        <v>41371.128783513806</v>
      </c>
      <c r="CB104" s="120">
        <f t="shared" si="101"/>
        <v>10342.782195878452</v>
      </c>
      <c r="CC104" s="153">
        <f t="shared" si="102"/>
        <v>62756.557260542948</v>
      </c>
      <c r="CD104" s="7">
        <f t="shared" si="74"/>
        <v>30363.103316530291</v>
      </c>
      <c r="CE104" s="11">
        <f>SUM($CD$9:CD104)</f>
        <v>24235876.590747852</v>
      </c>
      <c r="CF104" s="11">
        <f t="shared" si="103"/>
        <v>12000000</v>
      </c>
      <c r="CG104">
        <f t="shared" si="104"/>
        <v>12235876.590747852</v>
      </c>
    </row>
    <row r="105" spans="1:85">
      <c r="A105">
        <f t="shared" si="75"/>
        <v>2025</v>
      </c>
      <c r="B105">
        <f t="shared" si="76"/>
        <v>30.416666666666668</v>
      </c>
      <c r="C105">
        <f t="shared" si="111"/>
        <v>9</v>
      </c>
      <c r="E105" s="97">
        <v>45748</v>
      </c>
      <c r="F105" s="2">
        <f>$F$6*EXP(-$F$3*COUNT($E$9:$E105))</f>
        <v>6.2741627841126801</v>
      </c>
      <c r="G105" s="260">
        <f>$F$6/(1+$F$5*$F$3*COUNT($E$9:$E105))^(1/$F$5)</f>
        <v>21.514331070696631</v>
      </c>
      <c r="H105" s="260">
        <f>$H$6/(1+$H$5*$H$3*COUNT($E$9:$E105))^(1/$H$5)</f>
        <v>211.96476774632271</v>
      </c>
      <c r="I105" s="260">
        <f t="shared" si="77"/>
        <v>40.374241475490038</v>
      </c>
      <c r="J105" s="260">
        <f t="shared" si="78"/>
        <v>16.811834150394052</v>
      </c>
      <c r="K105" s="260">
        <f t="shared" si="78"/>
        <v>11.438022610006328</v>
      </c>
      <c r="L105" s="260">
        <f t="shared" si="78"/>
        <v>5.4545600233387042</v>
      </c>
      <c r="M105" s="260">
        <f t="shared" si="78"/>
        <v>6.673862115898503</v>
      </c>
      <c r="N105" s="19">
        <f t="shared" si="79"/>
        <v>190.83911801676069</v>
      </c>
      <c r="O105" s="19">
        <f t="shared" si="80"/>
        <v>654.39423673368924</v>
      </c>
      <c r="P105" s="19">
        <f t="shared" si="81"/>
        <v>6447.2616856173163</v>
      </c>
      <c r="Q105" s="19">
        <f t="shared" si="82"/>
        <v>1228.0498448794888</v>
      </c>
      <c r="R105" s="19">
        <f t="shared" si="83"/>
        <v>511.35995540781909</v>
      </c>
      <c r="S105" s="19">
        <f t="shared" si="84"/>
        <v>347.90652105435919</v>
      </c>
      <c r="T105" s="19">
        <f t="shared" si="85"/>
        <v>165.90953404321891</v>
      </c>
      <c r="U105" s="19">
        <f t="shared" si="86"/>
        <v>202.99663935857947</v>
      </c>
      <c r="V105" s="261">
        <f t="shared" si="105"/>
        <v>2525.1552887376774</v>
      </c>
      <c r="W105" s="261">
        <f>SUM(O$9:O105)</f>
        <v>538007.7849227452</v>
      </c>
      <c r="X105" s="261">
        <f>SUM(P$9:P105)</f>
        <v>2049741.252611466</v>
      </c>
      <c r="Y105" s="261">
        <f>SUM(Q$9:Q105)</f>
        <v>390426.90525932651</v>
      </c>
      <c r="Z105" s="261">
        <f>SUM($V$9:V105)</f>
        <v>1132768.2102092893</v>
      </c>
      <c r="AB105" s="257">
        <f t="array" ref="AB105">(INDEX(PriceDeck!$C$18:$O$77,MATCH('Decline and Model'!$A105,PriceDeck!$B$18:$B$77,0),MATCH('Decline and Model'!AB$8,PriceDeck!$C$13:$O$13,0))*(1+$AE$6))</f>
        <v>82</v>
      </c>
      <c r="AC105" s="257">
        <f t="array" ref="AC105">INDEX(PriceDeck!$C$18:$O$77,MATCH('Decline and Model'!$A105,PriceDeck!$B$18:$B$77,0),MATCH('Decline and Model'!AC$8,PriceDeck!$C$13:$O$13,0))*(1+$AE$6)</f>
        <v>93.7</v>
      </c>
      <c r="AD105" s="257">
        <f t="array" ref="AD105">INDEX(PriceDeck!$C$18:$O$77,MATCH('Decline and Model'!$A105,PriceDeck!$B$18:$B$77,0),MATCH('Decline and Model'!AD$8,PriceDeck!$C$13:$O$13,0))*(1+$AE$6)</f>
        <v>16.2</v>
      </c>
      <c r="AE105" s="257">
        <f t="array" ref="AE105">INDEX(PriceDeck!$C$18:$O$77,MATCH('Decline and Model'!$A105,PriceDeck!$B$18:$B$77,0),MATCH('Decline and Model'!AE$8,PriceDeck!$C$13:$O$13,0))*(1+$AE$6)</f>
        <v>32.9</v>
      </c>
      <c r="AF105" s="257">
        <f t="array" ref="AF105">INDEX(PriceDeck!$C$18:$O$77,MATCH('Decline and Model'!$A105,PriceDeck!$B$18:$B$77,0),MATCH('Decline and Model'!AF$8,PriceDeck!$C$13:$O$13,0))*(1+$AE$6)</f>
        <v>97.2</v>
      </c>
      <c r="AG105" s="257">
        <f t="array" ref="AG105">INDEX(PriceDeck!$C$18:$O$77,MATCH('Decline and Model'!$A105,PriceDeck!$B$18:$B$77,0),MATCH('Decline and Model'!AG$8,PriceDeck!$C$13:$O$13,0))*(1+$AE$6)</f>
        <v>68.599999999999994</v>
      </c>
      <c r="AH105" s="258">
        <f t="array" ref="AH105">INDEX(PriceDeck!$C$18:$O$77,MATCH('Decline and Model'!$A105,PriceDeck!$B$18:$B$77,0),MATCH('Decline and Model'!AH$8,PriceDeck!$C$13:$O$13,0))</f>
        <v>0.85</v>
      </c>
      <c r="AI105" s="258">
        <f t="shared" si="87"/>
        <v>4.3</v>
      </c>
      <c r="AJ105" s="259">
        <f t="shared" si="62"/>
        <v>4.3</v>
      </c>
      <c r="AK105" s="120">
        <v>4.3</v>
      </c>
      <c r="AL105" s="120"/>
      <c r="AN105" s="7">
        <f t="shared" si="88"/>
        <v>61316.739981946681</v>
      </c>
      <c r="AO105" s="7">
        <f t="shared" si="89"/>
        <v>27723.22524815446</v>
      </c>
      <c r="AP105" s="7">
        <f t="shared" si="90"/>
        <v>8284.0312776066694</v>
      </c>
      <c r="AQ105" s="7">
        <f t="shared" si="91"/>
        <v>11446.124542688416</v>
      </c>
      <c r="AR105" s="7">
        <f t="shared" si="92"/>
        <v>16126.406709000879</v>
      </c>
      <c r="AS105" s="7">
        <f t="shared" si="93"/>
        <v>13925.569459998551</v>
      </c>
      <c r="AT105" s="7">
        <f t="shared" si="94"/>
        <v>138822.09721939565</v>
      </c>
      <c r="AU105">
        <f>SUM($AT$9:AT105)</f>
        <v>60450794.787328362</v>
      </c>
      <c r="AV105" s="7">
        <f>AT105/(1+$AR$5)^(COUNT($E$9:E105))</f>
        <v>66659.359709595723</v>
      </c>
      <c r="AW105" s="7">
        <f t="shared" si="109"/>
        <v>0</v>
      </c>
      <c r="AX105" s="7">
        <f t="shared" si="95"/>
        <v>0</v>
      </c>
      <c r="AY105" s="117">
        <f t="shared" si="96"/>
        <v>0</v>
      </c>
      <c r="AZ105" s="117">
        <f t="shared" si="97"/>
        <v>138822.09721939565</v>
      </c>
      <c r="BA105" s="120">
        <f t="shared" si="98"/>
        <v>34365.979449940132</v>
      </c>
      <c r="BB105" s="119">
        <f t="shared" si="63"/>
        <v>0</v>
      </c>
      <c r="BC105" s="17"/>
      <c r="BD105" s="126">
        <f t="shared" si="64"/>
        <v>0.4416929380128955</v>
      </c>
      <c r="BE105" s="127">
        <f t="shared" si="65"/>
        <v>0.19970325908807179</v>
      </c>
      <c r="BF105" s="127">
        <f t="shared" si="66"/>
        <v>5.967372229303318E-2</v>
      </c>
      <c r="BG105" s="127">
        <f t="shared" si="67"/>
        <v>8.245174775452975E-2</v>
      </c>
      <c r="BH105" s="127">
        <f t="shared" si="68"/>
        <v>0.11616599253297957</v>
      </c>
      <c r="BI105" s="128">
        <f t="shared" si="69"/>
        <v>0.10031234031849022</v>
      </c>
      <c r="BJ105" s="126">
        <f t="array" ref="BJ105">BD105*INDEX(Royalty!$U$7:$Z$246,MATCH('Decline and Model'!$E105,Royalty!$AI$7:$AI$246,0),MATCH('Decline and Model'!BJ$8,Royalty!$U$1:$Z$1,0))</f>
        <v>0.12836317510222961</v>
      </c>
      <c r="BK105" s="127">
        <f t="array" ref="BK105">BE105*INDEX(Royalty!$U$7:$Z$246,MATCH('Decline and Model'!$E105,Royalty!$AI$7:$AI$246,0),MATCH('Decline and Model'!BK$8,Royalty!$U$1:$Z$1,0))</f>
        <v>5.6322455310928686E-2</v>
      </c>
      <c r="BL105" s="127">
        <f t="array" ref="BL105">BF105*INDEX(Royalty!$U$7:$Z$246,MATCH('Decline and Model'!$E105,Royalty!$AI$7:$AI$246,0),MATCH('Decline and Model'!BL$8,Royalty!$U$1:$Z$1,0))</f>
        <v>1.7403525740927298E-2</v>
      </c>
      <c r="BM105" s="127">
        <f t="array" ref="BM105">BG105*INDEX(Royalty!$U$7:$Z$246,MATCH('Decline and Model'!$E105,Royalty!$AI$7:$AI$246,0),MATCH('Decline and Model'!BM$8,Royalty!$U$1:$Z$1,0))</f>
        <v>2.3267990043863398E-2</v>
      </c>
      <c r="BN105" s="127">
        <f t="array" ref="BN105">BH105*INDEX(Royalty!$U$7:$Z$246,MATCH('Decline and Model'!$E105,Royalty!$AI$7:$AI$246,0),MATCH('Decline and Model'!BN$8,Royalty!$U$1:$Z$1,0))</f>
        <v>1.7181337597813848E-2</v>
      </c>
      <c r="BO105" s="127">
        <f t="array" ref="BO105">BI105*INDEX(Royalty!$U$7:$Z$246,MATCH('Decline and Model'!$E105,Royalty!$AI$7:$AI$246,0),MATCH('Decline and Model'!BO$8,Royalty!$U$1:$Z$1,0))</f>
        <v>5.0156170159245117E-3</v>
      </c>
      <c r="BP105" s="135">
        <f t="shared" si="70"/>
        <v>0.24755410081168736</v>
      </c>
      <c r="BQ105" s="7"/>
      <c r="BR105" s="7"/>
      <c r="BS105">
        <v>97</v>
      </c>
      <c r="BT105" s="120">
        <f t="shared" si="71"/>
        <v>34365.979449940132</v>
      </c>
      <c r="BU105" s="113">
        <f t="shared" si="72"/>
        <v>25251.552887376776</v>
      </c>
      <c r="BV105" s="113">
        <f t="shared" si="73"/>
        <v>7575.4658662130323</v>
      </c>
      <c r="BW105" s="113">
        <f t="shared" si="106"/>
        <v>1403648.3682894853</v>
      </c>
      <c r="BX105" s="113">
        <f t="shared" si="99"/>
        <v>31026.876007664472</v>
      </c>
      <c r="BY105" s="120">
        <f t="shared" si="100"/>
        <v>40602.223008201239</v>
      </c>
      <c r="BZ105" s="153">
        <f t="shared" si="107"/>
        <v>0</v>
      </c>
      <c r="CA105" s="120">
        <f t="shared" si="110"/>
        <v>40602.223008201239</v>
      </c>
      <c r="CB105" s="120">
        <f t="shared" si="101"/>
        <v>10150.55575205031</v>
      </c>
      <c r="CC105" s="153">
        <f t="shared" si="102"/>
        <v>61478.543263815402</v>
      </c>
      <c r="CD105" s="7">
        <f t="shared" si="74"/>
        <v>29520.662862252462</v>
      </c>
      <c r="CE105" s="11">
        <f>SUM($CD$9:CD105)</f>
        <v>24265397.253610104</v>
      </c>
      <c r="CF105" s="11">
        <f t="shared" si="103"/>
        <v>12000000</v>
      </c>
      <c r="CG105">
        <f t="shared" si="104"/>
        <v>12265397.253610104</v>
      </c>
    </row>
    <row r="106" spans="1:85">
      <c r="A106">
        <f t="shared" si="75"/>
        <v>2025</v>
      </c>
      <c r="B106">
        <f t="shared" si="76"/>
        <v>30.416666666666668</v>
      </c>
      <c r="C106">
        <f t="shared" si="111"/>
        <v>9</v>
      </c>
      <c r="E106" s="97">
        <v>45778</v>
      </c>
      <c r="F106" s="2">
        <f>$F$6*EXP(-$F$3*COUNT($E$9:$E106))</f>
        <v>5.9681682543553043</v>
      </c>
      <c r="G106" s="260">
        <f>$F$6/(1+$F$5*$F$3*COUNT($E$9:$E106))^(1/$F$5)</f>
        <v>20.909991073818993</v>
      </c>
      <c r="H106" s="260">
        <f>$H$6/(1+$H$5*$H$3*COUNT($E$9:$E106))^(1/$H$5)</f>
        <v>209.39061573873943</v>
      </c>
      <c r="I106" s="260">
        <f t="shared" si="77"/>
        <v>39.883926807378934</v>
      </c>
      <c r="J106" s="260">
        <f t="shared" si="78"/>
        <v>16.607667122592588</v>
      </c>
      <c r="K106" s="260">
        <f t="shared" si="78"/>
        <v>11.299116464530451</v>
      </c>
      <c r="L106" s="260">
        <f t="shared" si="78"/>
        <v>5.3883185116768937</v>
      </c>
      <c r="M106" s="260">
        <f t="shared" si="78"/>
        <v>6.592813101259738</v>
      </c>
      <c r="N106" s="19">
        <f t="shared" si="79"/>
        <v>181.53178440330717</v>
      </c>
      <c r="O106" s="19">
        <f t="shared" si="80"/>
        <v>636.01222849532769</v>
      </c>
      <c r="P106" s="19">
        <f t="shared" si="81"/>
        <v>6368.9645620533247</v>
      </c>
      <c r="Q106" s="19">
        <f t="shared" si="82"/>
        <v>1213.1361070577759</v>
      </c>
      <c r="R106" s="19">
        <f t="shared" si="83"/>
        <v>505.14987497885789</v>
      </c>
      <c r="S106" s="19">
        <f t="shared" si="84"/>
        <v>343.6814591294679</v>
      </c>
      <c r="T106" s="19">
        <f t="shared" si="85"/>
        <v>163.89468806350553</v>
      </c>
      <c r="U106" s="19">
        <f t="shared" si="86"/>
        <v>200.53139849665038</v>
      </c>
      <c r="V106" s="261">
        <f t="shared" si="105"/>
        <v>2484.0543005059617</v>
      </c>
      <c r="W106" s="261">
        <f>SUM(O$9:O106)</f>
        <v>538643.79715124052</v>
      </c>
      <c r="X106" s="261">
        <f>SUM(P$9:P106)</f>
        <v>2056110.2171735193</v>
      </c>
      <c r="Y106" s="261">
        <f>SUM(Q$9:Q106)</f>
        <v>391640.04136638431</v>
      </c>
      <c r="Z106" s="261">
        <f>SUM($V$9:V106)</f>
        <v>1135252.2645097952</v>
      </c>
      <c r="AB106" s="257">
        <f t="array" ref="AB106">(INDEX(PriceDeck!$C$18:$O$77,MATCH('Decline and Model'!$A106,PriceDeck!$B$18:$B$77,0),MATCH('Decline and Model'!AB$8,PriceDeck!$C$13:$O$13,0))*(1+$AE$6))</f>
        <v>82</v>
      </c>
      <c r="AC106" s="257">
        <f t="array" ref="AC106">INDEX(PriceDeck!$C$18:$O$77,MATCH('Decline and Model'!$A106,PriceDeck!$B$18:$B$77,0),MATCH('Decline and Model'!AC$8,PriceDeck!$C$13:$O$13,0))*(1+$AE$6)</f>
        <v>93.7</v>
      </c>
      <c r="AD106" s="257">
        <f t="array" ref="AD106">INDEX(PriceDeck!$C$18:$O$77,MATCH('Decline and Model'!$A106,PriceDeck!$B$18:$B$77,0),MATCH('Decline and Model'!AD$8,PriceDeck!$C$13:$O$13,0))*(1+$AE$6)</f>
        <v>16.2</v>
      </c>
      <c r="AE106" s="257">
        <f t="array" ref="AE106">INDEX(PriceDeck!$C$18:$O$77,MATCH('Decline and Model'!$A106,PriceDeck!$B$18:$B$77,0),MATCH('Decline and Model'!AE$8,PriceDeck!$C$13:$O$13,0))*(1+$AE$6)</f>
        <v>32.9</v>
      </c>
      <c r="AF106" s="257">
        <f t="array" ref="AF106">INDEX(PriceDeck!$C$18:$O$77,MATCH('Decline and Model'!$A106,PriceDeck!$B$18:$B$77,0),MATCH('Decline and Model'!AF$8,PriceDeck!$C$13:$O$13,0))*(1+$AE$6)</f>
        <v>97.2</v>
      </c>
      <c r="AG106" s="257">
        <f t="array" ref="AG106">INDEX(PriceDeck!$C$18:$O$77,MATCH('Decline and Model'!$A106,PriceDeck!$B$18:$B$77,0),MATCH('Decline and Model'!AG$8,PriceDeck!$C$13:$O$13,0))*(1+$AE$6)</f>
        <v>68.599999999999994</v>
      </c>
      <c r="AH106" s="258">
        <f t="array" ref="AH106">INDEX(PriceDeck!$C$18:$O$77,MATCH('Decline and Model'!$A106,PriceDeck!$B$18:$B$77,0),MATCH('Decline and Model'!AH$8,PriceDeck!$C$13:$O$13,0))</f>
        <v>0.85</v>
      </c>
      <c r="AI106" s="258">
        <f t="shared" si="87"/>
        <v>4.3</v>
      </c>
      <c r="AJ106" s="259">
        <f t="shared" si="62"/>
        <v>4.3</v>
      </c>
      <c r="AK106" s="120">
        <v>4.3</v>
      </c>
      <c r="AL106" s="120"/>
      <c r="AN106" s="7">
        <f t="shared" si="88"/>
        <v>59594.345810012208</v>
      </c>
      <c r="AO106" s="7">
        <f t="shared" si="89"/>
        <v>27386.547616829295</v>
      </c>
      <c r="AP106" s="7">
        <f t="shared" si="90"/>
        <v>8183.4279746574975</v>
      </c>
      <c r="AQ106" s="7">
        <f t="shared" si="91"/>
        <v>11307.120005359493</v>
      </c>
      <c r="AR106" s="7">
        <f t="shared" si="92"/>
        <v>15930.563679772738</v>
      </c>
      <c r="AS106" s="7">
        <f t="shared" si="93"/>
        <v>13756.453936870215</v>
      </c>
      <c r="AT106" s="7">
        <f t="shared" si="94"/>
        <v>136158.45902350146</v>
      </c>
      <c r="AU106">
        <f>SUM($AT$9:AT106)</f>
        <v>60586953.24635186</v>
      </c>
      <c r="AV106" s="7">
        <f>AT106/(1+$AR$5)^(COUNT($E$9:E106))</f>
        <v>64887.740918234813</v>
      </c>
      <c r="AW106" s="7">
        <f t="shared" si="109"/>
        <v>0</v>
      </c>
      <c r="AX106" s="7">
        <f t="shared" si="95"/>
        <v>0</v>
      </c>
      <c r="AY106" s="117">
        <f t="shared" si="96"/>
        <v>0</v>
      </c>
      <c r="AZ106" s="117">
        <f t="shared" si="97"/>
        <v>136158.45902350146</v>
      </c>
      <c r="BA106" s="120">
        <f t="shared" si="98"/>
        <v>33664.480866078717</v>
      </c>
      <c r="BB106" s="119">
        <f t="shared" si="63"/>
        <v>0</v>
      </c>
      <c r="BC106" s="17"/>
      <c r="BD106" s="126">
        <f t="shared" si="64"/>
        <v>0.43768375639243978</v>
      </c>
      <c r="BE106" s="127">
        <f t="shared" si="65"/>
        <v>0.20113732053990324</v>
      </c>
      <c r="BF106" s="127">
        <f t="shared" si="66"/>
        <v>6.0102237006405948E-2</v>
      </c>
      <c r="BG106" s="127">
        <f t="shared" si="67"/>
        <v>8.3043830595995807E-2</v>
      </c>
      <c r="BH106" s="127">
        <f t="shared" si="68"/>
        <v>0.11700017607443004</v>
      </c>
      <c r="BI106" s="128">
        <f t="shared" si="69"/>
        <v>0.10103267939082507</v>
      </c>
      <c r="BJ106" s="126">
        <f t="array" ref="BJ106">BD106*INDEX(Royalty!$U$7:$Z$246,MATCH('Decline and Model'!$E106,Royalty!$AI$7:$AI$246,0),MATCH('Decline and Model'!BJ$8,Royalty!$U$1:$Z$1,0))</f>
        <v>0.12719804150358427</v>
      </c>
      <c r="BK106" s="127">
        <f t="array" ref="BK106">BE106*INDEX(Royalty!$U$7:$Z$246,MATCH('Decline and Model'!$E106,Royalty!$AI$7:$AI$246,0),MATCH('Decline and Model'!BK$8,Royalty!$U$1:$Z$1,0))</f>
        <v>5.6726904704507593E-2</v>
      </c>
      <c r="BL106" s="127">
        <f t="array" ref="BL106">BF106*INDEX(Royalty!$U$7:$Z$246,MATCH('Decline and Model'!$E106,Royalty!$AI$7:$AI$246,0),MATCH('Decline and Model'!BL$8,Royalty!$U$1:$Z$1,0))</f>
        <v>1.7528499792452482E-2</v>
      </c>
      <c r="BM106" s="127">
        <f t="array" ref="BM106">BG106*INDEX(Royalty!$U$7:$Z$246,MATCH('Decline and Model'!$E106,Royalty!$AI$7:$AI$246,0),MATCH('Decline and Model'!BM$8,Royalty!$U$1:$Z$1,0))</f>
        <v>2.3435076588849555E-2</v>
      </c>
      <c r="BN106" s="127">
        <f t="array" ref="BN106">BH106*INDEX(Royalty!$U$7:$Z$246,MATCH('Decline and Model'!$E106,Royalty!$AI$7:$AI$246,0),MATCH('Decline and Model'!BN$8,Royalty!$U$1:$Z$1,0))</f>
        <v>1.7304716124796532E-2</v>
      </c>
      <c r="BO106" s="127">
        <f t="array" ref="BO106">BI106*INDEX(Royalty!$U$7:$Z$246,MATCH('Decline and Model'!$E106,Royalty!$AI$7:$AI$246,0),MATCH('Decline and Model'!BO$8,Royalty!$U$1:$Z$1,0))</f>
        <v>5.0516339695412535E-3</v>
      </c>
      <c r="BP106" s="135">
        <f t="shared" si="70"/>
        <v>0.24724487268373166</v>
      </c>
      <c r="BQ106" s="7"/>
      <c r="BR106" s="7"/>
      <c r="BS106">
        <v>98</v>
      </c>
      <c r="BT106" s="120">
        <f t="shared" si="71"/>
        <v>33664.480866078717</v>
      </c>
      <c r="BU106" s="113">
        <f t="shared" si="72"/>
        <v>24840.543005059619</v>
      </c>
      <c r="BV106" s="113">
        <f t="shared" si="73"/>
        <v>7452.1629015178851</v>
      </c>
      <c r="BW106" s="113">
        <f t="shared" si="106"/>
        <v>1372621.4922818209</v>
      </c>
      <c r="BX106" s="113">
        <f t="shared" si="99"/>
        <v>30341.043959878803</v>
      </c>
      <c r="BY106" s="120">
        <f t="shared" si="100"/>
        <v>39860.228290966421</v>
      </c>
      <c r="BZ106" s="153">
        <f t="shared" si="107"/>
        <v>0</v>
      </c>
      <c r="CA106" s="120">
        <f t="shared" si="110"/>
        <v>39860.228290966421</v>
      </c>
      <c r="CB106" s="120">
        <f t="shared" si="101"/>
        <v>9965.0570727416052</v>
      </c>
      <c r="CC106" s="153">
        <f t="shared" si="102"/>
        <v>60236.215178103623</v>
      </c>
      <c r="CD106" s="7">
        <f t="shared" si="74"/>
        <v>28706.199764622728</v>
      </c>
      <c r="CE106" s="11">
        <f>SUM($CD$9:CD106)</f>
        <v>24294103.453374729</v>
      </c>
      <c r="CF106" s="11">
        <f t="shared" si="103"/>
        <v>12000000</v>
      </c>
      <c r="CG106">
        <f t="shared" si="104"/>
        <v>12294103.453374729</v>
      </c>
    </row>
    <row r="107" spans="1:85">
      <c r="A107">
        <f t="shared" si="75"/>
        <v>2025</v>
      </c>
      <c r="B107">
        <f t="shared" si="76"/>
        <v>30.416666666666668</v>
      </c>
      <c r="C107">
        <f t="shared" si="111"/>
        <v>9</v>
      </c>
      <c r="E107" s="97">
        <v>45809</v>
      </c>
      <c r="F107" s="2">
        <f>$F$6*EXP(-$F$3*COUNT($E$9:$E107))</f>
        <v>5.6770972539138276</v>
      </c>
      <c r="G107" s="260">
        <f>$F$6/(1+$F$5*$F$3*COUNT($E$9:$E107))^(1/$F$5)</f>
        <v>20.325170633175794</v>
      </c>
      <c r="H107" s="260">
        <f>$H$6/(1+$H$5*$H$3*COUNT($E$9:$E107))^(1/$H$5)</f>
        <v>206.8695963395943</v>
      </c>
      <c r="I107" s="260">
        <f t="shared" si="77"/>
        <v>39.403732636113197</v>
      </c>
      <c r="J107" s="260">
        <f t="shared" si="78"/>
        <v>16.407714269677534</v>
      </c>
      <c r="K107" s="260">
        <f t="shared" si="78"/>
        <v>11.163077455810869</v>
      </c>
      <c r="L107" s="260">
        <f t="shared" si="78"/>
        <v>5.3234442791388927</v>
      </c>
      <c r="M107" s="260">
        <f t="shared" si="78"/>
        <v>6.5134370047495116</v>
      </c>
      <c r="N107" s="19">
        <f t="shared" si="79"/>
        <v>172.67837480654561</v>
      </c>
      <c r="O107" s="19">
        <f t="shared" si="80"/>
        <v>618.22394009243044</v>
      </c>
      <c r="P107" s="19">
        <f t="shared" si="81"/>
        <v>6292.2835553293271</v>
      </c>
      <c r="Q107" s="19">
        <f t="shared" si="82"/>
        <v>1198.5302010151097</v>
      </c>
      <c r="R107" s="19">
        <f t="shared" si="83"/>
        <v>499.06797570269168</v>
      </c>
      <c r="S107" s="19">
        <f t="shared" si="84"/>
        <v>339.5436059475806</v>
      </c>
      <c r="T107" s="19">
        <f t="shared" si="85"/>
        <v>161.92143015714132</v>
      </c>
      <c r="U107" s="19">
        <f t="shared" si="86"/>
        <v>198.11704222779764</v>
      </c>
      <c r="V107" s="261">
        <f t="shared" si="105"/>
        <v>2444.0159704880748</v>
      </c>
      <c r="W107" s="261">
        <f>SUM(O$9:O107)</f>
        <v>539262.02109133301</v>
      </c>
      <c r="X107" s="261">
        <f>SUM(P$9:P107)</f>
        <v>2062402.5007288486</v>
      </c>
      <c r="Y107" s="261">
        <f>SUM(Q$9:Q107)</f>
        <v>392838.57156739943</v>
      </c>
      <c r="Z107" s="261">
        <f>SUM($V$9:V107)</f>
        <v>1137696.2804802833</v>
      </c>
      <c r="AB107" s="257">
        <f t="array" ref="AB107">(INDEX(PriceDeck!$C$18:$O$77,MATCH('Decline and Model'!$A107,PriceDeck!$B$18:$B$77,0),MATCH('Decline and Model'!AB$8,PriceDeck!$C$13:$O$13,0))*(1+$AE$6))</f>
        <v>82</v>
      </c>
      <c r="AC107" s="257">
        <f t="array" ref="AC107">INDEX(PriceDeck!$C$18:$O$77,MATCH('Decline and Model'!$A107,PriceDeck!$B$18:$B$77,0),MATCH('Decline and Model'!AC$8,PriceDeck!$C$13:$O$13,0))*(1+$AE$6)</f>
        <v>93.7</v>
      </c>
      <c r="AD107" s="257">
        <f t="array" ref="AD107">INDEX(PriceDeck!$C$18:$O$77,MATCH('Decline and Model'!$A107,PriceDeck!$B$18:$B$77,0),MATCH('Decline and Model'!AD$8,PriceDeck!$C$13:$O$13,0))*(1+$AE$6)</f>
        <v>16.2</v>
      </c>
      <c r="AE107" s="257">
        <f t="array" ref="AE107">INDEX(PriceDeck!$C$18:$O$77,MATCH('Decline and Model'!$A107,PriceDeck!$B$18:$B$77,0),MATCH('Decline and Model'!AE$8,PriceDeck!$C$13:$O$13,0))*(1+$AE$6)</f>
        <v>32.9</v>
      </c>
      <c r="AF107" s="257">
        <f t="array" ref="AF107">INDEX(PriceDeck!$C$18:$O$77,MATCH('Decline and Model'!$A107,PriceDeck!$B$18:$B$77,0),MATCH('Decline and Model'!AF$8,PriceDeck!$C$13:$O$13,0))*(1+$AE$6)</f>
        <v>97.2</v>
      </c>
      <c r="AG107" s="257">
        <f t="array" ref="AG107">INDEX(PriceDeck!$C$18:$O$77,MATCH('Decline and Model'!$A107,PriceDeck!$B$18:$B$77,0),MATCH('Decline and Model'!AG$8,PriceDeck!$C$13:$O$13,0))*(1+$AE$6)</f>
        <v>68.599999999999994</v>
      </c>
      <c r="AH107" s="258">
        <f t="array" ref="AH107">INDEX(PriceDeck!$C$18:$O$77,MATCH('Decline and Model'!$A107,PriceDeck!$B$18:$B$77,0),MATCH('Decline and Model'!AH$8,PriceDeck!$C$13:$O$13,0))</f>
        <v>0.85</v>
      </c>
      <c r="AI107" s="258">
        <f t="shared" si="87"/>
        <v>4.3</v>
      </c>
      <c r="AJ107" s="259">
        <f t="shared" si="62"/>
        <v>4.3</v>
      </c>
      <c r="AK107" s="120">
        <v>4.3</v>
      </c>
      <c r="AL107" s="120"/>
      <c r="AN107" s="7">
        <f t="shared" si="88"/>
        <v>57927.583186660733</v>
      </c>
      <c r="AO107" s="7">
        <f t="shared" si="89"/>
        <v>27056.819287916107</v>
      </c>
      <c r="AP107" s="7">
        <f t="shared" si="90"/>
        <v>8084.9012063836053</v>
      </c>
      <c r="AQ107" s="7">
        <f t="shared" si="91"/>
        <v>11170.984635675401</v>
      </c>
      <c r="AR107" s="7">
        <f t="shared" si="92"/>
        <v>15738.763011274137</v>
      </c>
      <c r="AS107" s="7">
        <f t="shared" si="93"/>
        <v>13590.829096826918</v>
      </c>
      <c r="AT107" s="7">
        <f t="shared" si="94"/>
        <v>133569.88042473688</v>
      </c>
      <c r="AU107">
        <f>SUM($AT$9:AT107)</f>
        <v>60720523.126776598</v>
      </c>
      <c r="AV107" s="7">
        <f>AT107/(1+$AR$5)^(COUNT($E$9:E107))</f>
        <v>63174.535003645484</v>
      </c>
      <c r="AW107" s="7">
        <f t="shared" si="109"/>
        <v>0</v>
      </c>
      <c r="AX107" s="7">
        <f t="shared" si="95"/>
        <v>0</v>
      </c>
      <c r="AY107" s="117">
        <f t="shared" si="96"/>
        <v>0</v>
      </c>
      <c r="AZ107" s="117">
        <f t="shared" si="97"/>
        <v>133569.88042473688</v>
      </c>
      <c r="BA107" s="120">
        <f t="shared" si="98"/>
        <v>32983.29734078663</v>
      </c>
      <c r="BB107" s="119">
        <f t="shared" si="63"/>
        <v>0</v>
      </c>
      <c r="BC107" s="17"/>
      <c r="BD107" s="126">
        <f t="shared" si="64"/>
        <v>0.43368746758219495</v>
      </c>
      <c r="BE107" s="127">
        <f t="shared" si="65"/>
        <v>0.20256677030688752</v>
      </c>
      <c r="BF107" s="127">
        <f t="shared" si="66"/>
        <v>6.0529373693190024E-2</v>
      </c>
      <c r="BG107" s="127">
        <f t="shared" si="67"/>
        <v>8.3634009405061618E-2</v>
      </c>
      <c r="BH107" s="127">
        <f t="shared" si="68"/>
        <v>0.11783167703097942</v>
      </c>
      <c r="BI107" s="128">
        <f t="shared" si="69"/>
        <v>0.10175070198168661</v>
      </c>
      <c r="BJ107" s="126">
        <f t="array" ref="BJ107">BD107*INDEX(Royalty!$U$7:$Z$246,MATCH('Decline and Model'!$E107,Royalty!$AI$7:$AI$246,0),MATCH('Decline and Model'!BJ$8,Royalty!$U$1:$Z$1,0))</f>
        <v>0.1260366547659644</v>
      </c>
      <c r="BK107" s="127">
        <f t="array" ref="BK107">BE107*INDEX(Royalty!$U$7:$Z$246,MATCH('Decline and Model'!$E107,Royalty!$AI$7:$AI$246,0),MATCH('Decline and Model'!BK$8,Royalty!$U$1:$Z$1,0))</f>
        <v>5.7130053461257144E-2</v>
      </c>
      <c r="BL107" s="127">
        <f t="array" ref="BL107">BF107*INDEX(Royalty!$U$7:$Z$246,MATCH('Decline and Model'!$E107,Royalty!$AI$7:$AI$246,0),MATCH('Decline and Model'!BL$8,Royalty!$U$1:$Z$1,0))</f>
        <v>1.765307194980572E-2</v>
      </c>
      <c r="BM107" s="127">
        <f t="array" ref="BM107">BG107*INDEX(Royalty!$U$7:$Z$246,MATCH('Decline and Model'!$E107,Royalty!$AI$7:$AI$246,0),MATCH('Decline and Model'!BM$8,Royalty!$U$1:$Z$1,0))</f>
        <v>2.3601625813425429E-2</v>
      </c>
      <c r="BN107" s="127">
        <f t="array" ref="BN107">BH107*INDEX(Royalty!$U$7:$Z$246,MATCH('Decline and Model'!$E107,Royalty!$AI$7:$AI$246,0),MATCH('Decline and Model'!BN$8,Royalty!$U$1:$Z$1,0))</f>
        <v>1.7427697888528496E-2</v>
      </c>
      <c r="BO107" s="127">
        <f t="array" ref="BO107">BI107*INDEX(Royalty!$U$7:$Z$246,MATCH('Decline and Model'!$E107,Royalty!$AI$7:$AI$246,0),MATCH('Decline and Model'!BO$8,Royalty!$U$1:$Z$1,0))</f>
        <v>5.0875350990843308E-3</v>
      </c>
      <c r="BP107" s="135">
        <f t="shared" si="70"/>
        <v>0.2469366389780655</v>
      </c>
      <c r="BQ107" s="7"/>
      <c r="BR107" s="7"/>
      <c r="BS107">
        <v>99</v>
      </c>
      <c r="BT107" s="120">
        <f t="shared" si="71"/>
        <v>32983.29734078663</v>
      </c>
      <c r="BU107" s="113">
        <f t="shared" si="72"/>
        <v>24440.159704880749</v>
      </c>
      <c r="BV107" s="113">
        <f t="shared" si="73"/>
        <v>7332.0479114642239</v>
      </c>
      <c r="BW107" s="113">
        <f t="shared" si="106"/>
        <v>1342280.448321942</v>
      </c>
      <c r="BX107" s="113">
        <f t="shared" si="99"/>
        <v>29670.371852708937</v>
      </c>
      <c r="BY107" s="120">
        <f t="shared" si="100"/>
        <v>39144.003614896341</v>
      </c>
      <c r="BZ107" s="153">
        <f t="shared" si="107"/>
        <v>0</v>
      </c>
      <c r="CA107" s="120">
        <f t="shared" si="110"/>
        <v>39144.003614896341</v>
      </c>
      <c r="CB107" s="120">
        <f t="shared" si="101"/>
        <v>9786.0009037240852</v>
      </c>
      <c r="CC107" s="153">
        <f t="shared" si="102"/>
        <v>59028.374563881196</v>
      </c>
      <c r="CD107" s="7">
        <f t="shared" si="74"/>
        <v>27918.645305634258</v>
      </c>
      <c r="CE107" s="11">
        <f>SUM($CD$9:CD107)</f>
        <v>24322022.098680362</v>
      </c>
      <c r="CF107" s="11">
        <f t="shared" si="103"/>
        <v>12000000</v>
      </c>
      <c r="CG107">
        <f t="shared" si="104"/>
        <v>12322022.098680362</v>
      </c>
    </row>
    <row r="108" spans="1:85">
      <c r="A108">
        <f t="shared" si="75"/>
        <v>2025</v>
      </c>
      <c r="B108">
        <f t="shared" si="76"/>
        <v>30.416666666666668</v>
      </c>
      <c r="C108">
        <f t="shared" si="111"/>
        <v>9</v>
      </c>
      <c r="E108" s="97">
        <v>45839</v>
      </c>
      <c r="F108" s="2">
        <f>$F$6*EXP(-$F$3*COUNT($E$9:$E108))</f>
        <v>5.4002219536750351</v>
      </c>
      <c r="G108" s="260">
        <f>$F$6/(1+$F$5*$F$3*COUNT($E$9:$E108))^(1/$F$5)</f>
        <v>19.759157842274881</v>
      </c>
      <c r="H108" s="260">
        <f>$H$6/(1+$H$5*$H$3*COUNT($E$9:$E108))^(1/$H$5)</f>
        <v>204.40016910480799</v>
      </c>
      <c r="I108" s="260">
        <f t="shared" si="77"/>
        <v>38.93336554377295</v>
      </c>
      <c r="J108" s="260">
        <f t="shared" si="78"/>
        <v>16.211853412427057</v>
      </c>
      <c r="K108" s="260">
        <f t="shared" si="78"/>
        <v>11.029822458550877</v>
      </c>
      <c r="L108" s="260">
        <f t="shared" si="78"/>
        <v>5.2598976849637253</v>
      </c>
      <c r="M108" s="260">
        <f t="shared" si="78"/>
        <v>6.4356853243856689</v>
      </c>
      <c r="N108" s="19">
        <f t="shared" si="79"/>
        <v>164.256751090949</v>
      </c>
      <c r="O108" s="19">
        <f t="shared" si="80"/>
        <v>601.00771770252766</v>
      </c>
      <c r="P108" s="19">
        <f t="shared" si="81"/>
        <v>6217.171810271243</v>
      </c>
      <c r="Q108" s="19">
        <f t="shared" si="82"/>
        <v>1184.2232019564274</v>
      </c>
      <c r="R108" s="19">
        <f t="shared" si="83"/>
        <v>493.11054129465634</v>
      </c>
      <c r="S108" s="19">
        <f t="shared" si="84"/>
        <v>335.49043311425584</v>
      </c>
      <c r="T108" s="19">
        <f t="shared" si="85"/>
        <v>159.98855458431331</v>
      </c>
      <c r="U108" s="19">
        <f t="shared" si="86"/>
        <v>195.75209528339744</v>
      </c>
      <c r="V108" s="261">
        <f t="shared" si="105"/>
        <v>2405.0050491927159</v>
      </c>
      <c r="W108" s="261">
        <f>SUM(O$9:O108)</f>
        <v>539863.02880903555</v>
      </c>
      <c r="X108" s="261">
        <f>SUM(P$9:P108)</f>
        <v>2068619.6725391198</v>
      </c>
      <c r="Y108" s="261">
        <f>SUM(Q$9:Q108)</f>
        <v>394022.79476935585</v>
      </c>
      <c r="Z108" s="261">
        <f>SUM($V$9:V108)</f>
        <v>1140101.2855294761</v>
      </c>
      <c r="AB108" s="257">
        <f t="array" ref="AB108">(INDEX(PriceDeck!$C$18:$O$77,MATCH('Decline and Model'!$A108,PriceDeck!$B$18:$B$77,0),MATCH('Decline and Model'!AB$8,PriceDeck!$C$13:$O$13,0))*(1+$AE$6))</f>
        <v>82</v>
      </c>
      <c r="AC108" s="257">
        <f t="array" ref="AC108">INDEX(PriceDeck!$C$18:$O$77,MATCH('Decline and Model'!$A108,PriceDeck!$B$18:$B$77,0),MATCH('Decline and Model'!AC$8,PriceDeck!$C$13:$O$13,0))*(1+$AE$6)</f>
        <v>93.7</v>
      </c>
      <c r="AD108" s="257">
        <f t="array" ref="AD108">INDEX(PriceDeck!$C$18:$O$77,MATCH('Decline and Model'!$A108,PriceDeck!$B$18:$B$77,0),MATCH('Decline and Model'!AD$8,PriceDeck!$C$13:$O$13,0))*(1+$AE$6)</f>
        <v>16.2</v>
      </c>
      <c r="AE108" s="257">
        <f t="array" ref="AE108">INDEX(PriceDeck!$C$18:$O$77,MATCH('Decline and Model'!$A108,PriceDeck!$B$18:$B$77,0),MATCH('Decline and Model'!AE$8,PriceDeck!$C$13:$O$13,0))*(1+$AE$6)</f>
        <v>32.9</v>
      </c>
      <c r="AF108" s="257">
        <f t="array" ref="AF108">INDEX(PriceDeck!$C$18:$O$77,MATCH('Decline and Model'!$A108,PriceDeck!$B$18:$B$77,0),MATCH('Decline and Model'!AF$8,PriceDeck!$C$13:$O$13,0))*(1+$AE$6)</f>
        <v>97.2</v>
      </c>
      <c r="AG108" s="257">
        <f t="array" ref="AG108">INDEX(PriceDeck!$C$18:$O$77,MATCH('Decline and Model'!$A108,PriceDeck!$B$18:$B$77,0),MATCH('Decline and Model'!AG$8,PriceDeck!$C$13:$O$13,0))*(1+$AE$6)</f>
        <v>68.599999999999994</v>
      </c>
      <c r="AH108" s="258">
        <f t="array" ref="AH108">INDEX(PriceDeck!$C$18:$O$77,MATCH('Decline and Model'!$A108,PriceDeck!$B$18:$B$77,0),MATCH('Decline and Model'!AH$8,PriceDeck!$C$13:$O$13,0))</f>
        <v>0.85</v>
      </c>
      <c r="AI108" s="258">
        <f t="shared" si="87"/>
        <v>4.3</v>
      </c>
      <c r="AJ108" s="259">
        <f t="shared" si="62"/>
        <v>4.3</v>
      </c>
      <c r="AK108" s="120">
        <v>4.3</v>
      </c>
      <c r="AL108" s="120"/>
      <c r="AN108" s="7">
        <f t="shared" si="88"/>
        <v>56314.423148726841</v>
      </c>
      <c r="AO108" s="7">
        <f t="shared" si="89"/>
        <v>26733.838784166343</v>
      </c>
      <c r="AP108" s="7">
        <f t="shared" si="90"/>
        <v>7988.3907689734324</v>
      </c>
      <c r="AQ108" s="7">
        <f t="shared" si="91"/>
        <v>11037.635249459017</v>
      </c>
      <c r="AR108" s="7">
        <f t="shared" si="92"/>
        <v>15550.887505595254</v>
      </c>
      <c r="AS108" s="7">
        <f t="shared" si="93"/>
        <v>13428.593736441064</v>
      </c>
      <c r="AT108" s="7">
        <f t="shared" si="94"/>
        <v>131053.76919336196</v>
      </c>
      <c r="AU108">
        <f>SUM($AT$9:AT108)</f>
        <v>60851576.895969957</v>
      </c>
      <c r="AV108" s="7">
        <f>AT108/(1+$AR$5)^(COUNT($E$9:E108))</f>
        <v>61517.478044132062</v>
      </c>
      <c r="AW108" s="7">
        <f t="shared" si="109"/>
        <v>0</v>
      </c>
      <c r="AX108" s="7">
        <f t="shared" si="95"/>
        <v>0</v>
      </c>
      <c r="AY108" s="117">
        <f t="shared" si="96"/>
        <v>0</v>
      </c>
      <c r="AZ108" s="117">
        <f t="shared" si="97"/>
        <v>131053.76919336196</v>
      </c>
      <c r="BA108" s="120">
        <f t="shared" si="98"/>
        <v>32321.718974546573</v>
      </c>
      <c r="BB108" s="119">
        <f t="shared" si="63"/>
        <v>0</v>
      </c>
      <c r="BC108" s="17"/>
      <c r="BD108" s="126">
        <f t="shared" si="64"/>
        <v>0.42970471963792428</v>
      </c>
      <c r="BE108" s="127">
        <f t="shared" si="65"/>
        <v>0.20399137658316541</v>
      </c>
      <c r="BF108" s="127">
        <f t="shared" si="66"/>
        <v>6.0955063087022254E-2</v>
      </c>
      <c r="BG108" s="127">
        <f t="shared" si="67"/>
        <v>8.422218847573662E-2</v>
      </c>
      <c r="BH108" s="127">
        <f t="shared" si="68"/>
        <v>0.11866036056277675</v>
      </c>
      <c r="BI108" s="128">
        <f t="shared" si="69"/>
        <v>0.10246629165337458</v>
      </c>
      <c r="BJ108" s="126">
        <f t="array" ref="BJ108">BD108*INDEX(Royalty!$U$7:$Z$246,MATCH('Decline and Model'!$E108,Royalty!$AI$7:$AI$246,0),MATCH('Decline and Model'!BJ$8,Royalty!$U$1:$Z$1,0))</f>
        <v>0.12487920322494941</v>
      </c>
      <c r="BK108" s="127">
        <f t="array" ref="BK108">BE108*INDEX(Royalty!$U$7:$Z$246,MATCH('Decline and Model'!$E108,Royalty!$AI$7:$AI$246,0),MATCH('Decline and Model'!BK$8,Royalty!$U$1:$Z$1,0))</f>
        <v>5.7531836204802372E-2</v>
      </c>
      <c r="BL108" s="127">
        <f t="array" ref="BL108">BF108*INDEX(Royalty!$U$7:$Z$246,MATCH('Decline and Model'!$E108,Royalty!$AI$7:$AI$246,0),MATCH('Decline and Model'!BL$8,Royalty!$U$1:$Z$1,0))</f>
        <v>1.7777222011818253E-2</v>
      </c>
      <c r="BM108" s="127">
        <f t="array" ref="BM108">BG108*INDEX(Royalty!$U$7:$Z$246,MATCH('Decline and Model'!$E108,Royalty!$AI$7:$AI$246,0),MATCH('Decline and Model'!BM$8,Royalty!$U$1:$Z$1,0))</f>
        <v>2.3767610709236484E-2</v>
      </c>
      <c r="BN108" s="127">
        <f t="array" ref="BN108">BH108*INDEX(Royalty!$U$7:$Z$246,MATCH('Decline and Model'!$E108,Royalty!$AI$7:$AI$246,0),MATCH('Decline and Model'!BN$8,Royalty!$U$1:$Z$1,0))</f>
        <v>1.7550262945746225E-2</v>
      </c>
      <c r="BO108" s="127">
        <f t="array" ref="BO108">BI108*INDEX(Royalty!$U$7:$Z$246,MATCH('Decline and Model'!$E108,Royalty!$AI$7:$AI$246,0),MATCH('Decline and Model'!BO$8,Royalty!$U$1:$Z$1,0))</f>
        <v>5.1233145826687296E-3</v>
      </c>
      <c r="BP108" s="135">
        <f t="shared" si="70"/>
        <v>0.24662944967922149</v>
      </c>
      <c r="BQ108" s="7"/>
      <c r="BR108" s="7"/>
      <c r="BS108">
        <v>100</v>
      </c>
      <c r="BT108" s="120">
        <f t="shared" si="71"/>
        <v>32321.718974546573</v>
      </c>
      <c r="BU108" s="113">
        <f t="shared" si="72"/>
        <v>24050.050491927159</v>
      </c>
      <c r="BV108" s="113">
        <f t="shared" si="73"/>
        <v>7215.0151475781477</v>
      </c>
      <c r="BW108" s="113">
        <f t="shared" si="106"/>
        <v>1312610.076469233</v>
      </c>
      <c r="BX108" s="113">
        <f t="shared" si="99"/>
        <v>29014.524583996517</v>
      </c>
      <c r="BY108" s="120">
        <f t="shared" si="100"/>
        <v>38452.459995313562</v>
      </c>
      <c r="BZ108" s="153">
        <f t="shared" si="107"/>
        <v>0</v>
      </c>
      <c r="CA108" s="120">
        <f t="shared" si="110"/>
        <v>38452.459995313562</v>
      </c>
      <c r="CB108" s="120">
        <f t="shared" si="101"/>
        <v>9613.1149988283905</v>
      </c>
      <c r="CC108" s="153">
        <f t="shared" si="102"/>
        <v>57853.869580481689</v>
      </c>
      <c r="CD108" s="7">
        <f t="shared" si="74"/>
        <v>27156.976663786263</v>
      </c>
      <c r="CE108" s="11">
        <f>SUM($CD$9:CD108)</f>
        <v>24349179.075344149</v>
      </c>
      <c r="CF108" s="11">
        <f t="shared" si="103"/>
        <v>12000000</v>
      </c>
      <c r="CG108">
        <f t="shared" si="104"/>
        <v>12349179.075344149</v>
      </c>
    </row>
    <row r="109" spans="1:85">
      <c r="A109">
        <f t="shared" si="75"/>
        <v>2025</v>
      </c>
      <c r="B109">
        <f t="shared" si="76"/>
        <v>30.416666666666668</v>
      </c>
      <c r="C109">
        <f t="shared" si="111"/>
        <v>9</v>
      </c>
      <c r="E109" s="97">
        <v>45870</v>
      </c>
      <c r="F109" s="2">
        <f>$F$6*EXP(-$F$3*COUNT($E$9:$E109))</f>
        <v>5.1368500211704209</v>
      </c>
      <c r="G109" s="260">
        <f>$F$6/(1+$F$5*$F$3*COUNT($E$9:$E109))^(1/$F$5)</f>
        <v>19.211269703747661</v>
      </c>
      <c r="H109" s="260">
        <f>$H$6/(1+$H$5*$H$3*COUNT($E$9:$E109))^(1/$H$5)</f>
        <v>201.98085089911808</v>
      </c>
      <c r="I109" s="260">
        <f t="shared" si="77"/>
        <v>38.472543028403443</v>
      </c>
      <c r="J109" s="260">
        <f t="shared" si="78"/>
        <v>16.019966917027194</v>
      </c>
      <c r="K109" s="260">
        <f t="shared" si="78"/>
        <v>10.899271439946695</v>
      </c>
      <c r="L109" s="260">
        <f t="shared" si="78"/>
        <v>5.1976405631373055</v>
      </c>
      <c r="M109" s="260">
        <f t="shared" si="78"/>
        <v>6.3595113625950894</v>
      </c>
      <c r="N109" s="19">
        <f t="shared" si="79"/>
        <v>156.24585481060032</v>
      </c>
      <c r="O109" s="19">
        <f t="shared" si="80"/>
        <v>584.34278682232468</v>
      </c>
      <c r="P109" s="19">
        <f t="shared" si="81"/>
        <v>6143.5842148481752</v>
      </c>
      <c r="Q109" s="19">
        <f t="shared" si="82"/>
        <v>1170.2065171139382</v>
      </c>
      <c r="R109" s="19">
        <f t="shared" si="83"/>
        <v>487.27399372624382</v>
      </c>
      <c r="S109" s="19">
        <f t="shared" si="84"/>
        <v>331.51950629837864</v>
      </c>
      <c r="T109" s="19">
        <f t="shared" si="85"/>
        <v>158.09490046209305</v>
      </c>
      <c r="U109" s="19">
        <f t="shared" si="86"/>
        <v>193.43513727893398</v>
      </c>
      <c r="V109" s="261">
        <f t="shared" si="105"/>
        <v>2366.9876722445633</v>
      </c>
      <c r="W109" s="261">
        <f>SUM(O$9:O109)</f>
        <v>540447.3715958579</v>
      </c>
      <c r="X109" s="261">
        <f>SUM(P$9:P109)</f>
        <v>2074763.2567539681</v>
      </c>
      <c r="Y109" s="261">
        <f>SUM(Q$9:Q109)</f>
        <v>395193.00128646981</v>
      </c>
      <c r="Z109" s="261">
        <f>SUM($V$9:V109)</f>
        <v>1142468.2732017208</v>
      </c>
      <c r="AB109" s="257">
        <f t="array" ref="AB109">(INDEX(PriceDeck!$C$18:$O$77,MATCH('Decline and Model'!$A109,PriceDeck!$B$18:$B$77,0),MATCH('Decline and Model'!AB$8,PriceDeck!$C$13:$O$13,0))*(1+$AE$6))</f>
        <v>82</v>
      </c>
      <c r="AC109" s="257">
        <f t="array" ref="AC109">INDEX(PriceDeck!$C$18:$O$77,MATCH('Decline and Model'!$A109,PriceDeck!$B$18:$B$77,0),MATCH('Decline and Model'!AC$8,PriceDeck!$C$13:$O$13,0))*(1+$AE$6)</f>
        <v>93.7</v>
      </c>
      <c r="AD109" s="257">
        <f t="array" ref="AD109">INDEX(PriceDeck!$C$18:$O$77,MATCH('Decline and Model'!$A109,PriceDeck!$B$18:$B$77,0),MATCH('Decline and Model'!AD$8,PriceDeck!$C$13:$O$13,0))*(1+$AE$6)</f>
        <v>16.2</v>
      </c>
      <c r="AE109" s="257">
        <f t="array" ref="AE109">INDEX(PriceDeck!$C$18:$O$77,MATCH('Decline and Model'!$A109,PriceDeck!$B$18:$B$77,0),MATCH('Decline and Model'!AE$8,PriceDeck!$C$13:$O$13,0))*(1+$AE$6)</f>
        <v>32.9</v>
      </c>
      <c r="AF109" s="257">
        <f t="array" ref="AF109">INDEX(PriceDeck!$C$18:$O$77,MATCH('Decline and Model'!$A109,PriceDeck!$B$18:$B$77,0),MATCH('Decline and Model'!AF$8,PriceDeck!$C$13:$O$13,0))*(1+$AE$6)</f>
        <v>97.2</v>
      </c>
      <c r="AG109" s="257">
        <f t="array" ref="AG109">INDEX(PriceDeck!$C$18:$O$77,MATCH('Decline and Model'!$A109,PriceDeck!$B$18:$B$77,0),MATCH('Decline and Model'!AG$8,PriceDeck!$C$13:$O$13,0))*(1+$AE$6)</f>
        <v>68.599999999999994</v>
      </c>
      <c r="AH109" s="258">
        <f t="array" ref="AH109">INDEX(PriceDeck!$C$18:$O$77,MATCH('Decline and Model'!$A109,PriceDeck!$B$18:$B$77,0),MATCH('Decline and Model'!AH$8,PriceDeck!$C$13:$O$13,0))</f>
        <v>0.85</v>
      </c>
      <c r="AI109" s="258">
        <f t="shared" si="87"/>
        <v>4.3</v>
      </c>
      <c r="AJ109" s="259">
        <f t="shared" si="62"/>
        <v>4.3</v>
      </c>
      <c r="AK109" s="120">
        <v>4.3</v>
      </c>
      <c r="AL109" s="120"/>
      <c r="AN109" s="7">
        <f t="shared" si="88"/>
        <v>54752.919125251821</v>
      </c>
      <c r="AO109" s="7">
        <f t="shared" si="89"/>
        <v>26417.412123847153</v>
      </c>
      <c r="AP109" s="7">
        <f t="shared" si="90"/>
        <v>7893.8386983651499</v>
      </c>
      <c r="AQ109" s="7">
        <f t="shared" si="91"/>
        <v>10906.991757216658</v>
      </c>
      <c r="AR109" s="7">
        <f t="shared" si="92"/>
        <v>15366.824324915446</v>
      </c>
      <c r="AS109" s="7">
        <f t="shared" si="93"/>
        <v>13269.650417334869</v>
      </c>
      <c r="AT109" s="7">
        <f t="shared" si="94"/>
        <v>128607.63644693109</v>
      </c>
      <c r="AU109">
        <f>SUM($AT$9:AT109)</f>
        <v>60980184.532416888</v>
      </c>
      <c r="AV109" s="7">
        <f>AT109/(1+$AR$5)^(COUNT($E$9:E109))</f>
        <v>59914.405413750828</v>
      </c>
      <c r="AW109" s="7">
        <f t="shared" si="109"/>
        <v>0</v>
      </c>
      <c r="AX109" s="7">
        <f t="shared" si="95"/>
        <v>0</v>
      </c>
      <c r="AY109" s="117">
        <f t="shared" si="96"/>
        <v>0</v>
      </c>
      <c r="AZ109" s="117">
        <f t="shared" si="97"/>
        <v>128607.63644693109</v>
      </c>
      <c r="BA109" s="120">
        <f t="shared" si="98"/>
        <v>31679.064285985743</v>
      </c>
      <c r="BB109" s="119">
        <f t="shared" si="63"/>
        <v>0</v>
      </c>
      <c r="BC109" s="17"/>
      <c r="BD109" s="126">
        <f t="shared" si="64"/>
        <v>0.42573614318652975</v>
      </c>
      <c r="BE109" s="127">
        <f t="shared" si="65"/>
        <v>0.20541091379708301</v>
      </c>
      <c r="BF109" s="127">
        <f t="shared" si="66"/>
        <v>6.1379237784394546E-2</v>
      </c>
      <c r="BG109" s="127">
        <f t="shared" si="67"/>
        <v>8.4808274675954726E-2</v>
      </c>
      <c r="BH109" s="127">
        <f t="shared" si="68"/>
        <v>0.11948609545636461</v>
      </c>
      <c r="BI109" s="128">
        <f t="shared" si="69"/>
        <v>0.10317933509967336</v>
      </c>
      <c r="BJ109" s="126">
        <f t="array" ref="BJ109">BD109*INDEX(Royalty!$U$7:$Z$246,MATCH('Decline and Model'!$E109,Royalty!$AI$7:$AI$246,0),MATCH('Decline and Model'!BJ$8,Royalty!$U$1:$Z$1,0))</f>
        <v>0.12372587015100729</v>
      </c>
      <c r="BK109" s="127">
        <f t="array" ref="BK109">BE109*INDEX(Royalty!$U$7:$Z$246,MATCH('Decline and Model'!$E109,Royalty!$AI$7:$AI$246,0),MATCH('Decline and Model'!BK$8,Royalty!$U$1:$Z$1,0))</f>
        <v>5.7932189317005792E-2</v>
      </c>
      <c r="BL109" s="127">
        <f t="array" ref="BL109">BF109*INDEX(Royalty!$U$7:$Z$246,MATCH('Decline and Model'!$E109,Royalty!$AI$7:$AI$246,0),MATCH('Decline and Model'!BL$8,Royalty!$U$1:$Z$1,0))</f>
        <v>1.7900930320613174E-2</v>
      </c>
      <c r="BM109" s="127">
        <f t="array" ref="BM109">BG109*INDEX(Royalty!$U$7:$Z$246,MATCH('Decline and Model'!$E109,Royalty!$AI$7:$AI$246,0),MATCH('Decline and Model'!BM$8,Royalty!$U$1:$Z$1,0))</f>
        <v>2.3933004994292996E-2</v>
      </c>
      <c r="BN109" s="127">
        <f t="array" ref="BN109">BH109*INDEX(Royalty!$U$7:$Z$246,MATCH('Decline and Model'!$E109,Royalty!$AI$7:$AI$246,0),MATCH('Decline and Model'!BN$8,Royalty!$U$1:$Z$1,0))</f>
        <v>1.7672391889541891E-2</v>
      </c>
      <c r="BO109" s="127">
        <f t="array" ref="BO109">BI109*INDEX(Royalty!$U$7:$Z$246,MATCH('Decline and Model'!$E109,Royalty!$AI$7:$AI$246,0),MATCH('Decline and Model'!BO$8,Royalty!$U$1:$Z$1,0))</f>
        <v>5.1589667549836685E-3</v>
      </c>
      <c r="BP109" s="135">
        <f t="shared" si="70"/>
        <v>0.24632335342744482</v>
      </c>
      <c r="BQ109" s="7"/>
      <c r="BR109" s="7"/>
      <c r="BS109">
        <v>101</v>
      </c>
      <c r="BT109" s="120">
        <f t="shared" si="71"/>
        <v>31679.064285985743</v>
      </c>
      <c r="BU109" s="113">
        <f t="shared" si="72"/>
        <v>23669.876722445631</v>
      </c>
      <c r="BV109" s="113">
        <f t="shared" si="73"/>
        <v>7100.96301673369</v>
      </c>
      <c r="BW109" s="113">
        <f t="shared" si="106"/>
        <v>1283595.5518852365</v>
      </c>
      <c r="BX109" s="113">
        <f t="shared" si="99"/>
        <v>28373.174458832316</v>
      </c>
      <c r="BY109" s="120">
        <f t="shared" si="100"/>
        <v>37784.557962933701</v>
      </c>
      <c r="BZ109" s="153">
        <f t="shared" si="107"/>
        <v>0</v>
      </c>
      <c r="CA109" s="120">
        <f t="shared" si="110"/>
        <v>37784.557962933701</v>
      </c>
      <c r="CB109" s="120">
        <f t="shared" si="101"/>
        <v>9446.1394907334252</v>
      </c>
      <c r="CC109" s="153">
        <f t="shared" si="102"/>
        <v>56711.592931032588</v>
      </c>
      <c r="CD109" s="7">
        <f t="shared" si="74"/>
        <v>26420.214727541344</v>
      </c>
      <c r="CE109" s="11">
        <f>SUM($CD$9:CD109)</f>
        <v>24375599.290071689</v>
      </c>
      <c r="CF109" s="11">
        <f t="shared" si="103"/>
        <v>12000000</v>
      </c>
      <c r="CG109">
        <f t="shared" si="104"/>
        <v>12375599.290071689</v>
      </c>
    </row>
    <row r="110" spans="1:85">
      <c r="A110">
        <f t="shared" si="75"/>
        <v>2025</v>
      </c>
      <c r="B110">
        <f t="shared" si="76"/>
        <v>30.416666666666668</v>
      </c>
      <c r="C110">
        <f t="shared" si="111"/>
        <v>9</v>
      </c>
      <c r="E110" s="97">
        <v>45901</v>
      </c>
      <c r="F110" s="2">
        <f>$F$6*EXP(-$F$3*COUNT($E$9:$E110))</f>
        <v>4.8863228893844211</v>
      </c>
      <c r="G110" s="260">
        <f>$F$6/(1+$F$5*$F$3*COUNT($E$9:$E110))^(1/$F$5)</f>
        <v>18.680850836845831</v>
      </c>
      <c r="H110" s="260">
        <f>$H$6/(1+$H$5*$H$3*COUNT($E$9:$E110))^(1/$H$5)</f>
        <v>199.61021330139894</v>
      </c>
      <c r="I110" s="260">
        <f t="shared" si="77"/>
        <v>38.020993009790274</v>
      </c>
      <c r="J110" s="260">
        <f t="shared" si="78"/>
        <v>15.831941489276669</v>
      </c>
      <c r="K110" s="260">
        <f t="shared" si="78"/>
        <v>10.771347319673584</v>
      </c>
      <c r="L110" s="260">
        <f t="shared" si="78"/>
        <v>5.1366361556226661</v>
      </c>
      <c r="M110" s="260">
        <f t="shared" si="78"/>
        <v>6.2848701445183321</v>
      </c>
      <c r="N110" s="19">
        <f t="shared" si="79"/>
        <v>148.62565455210947</v>
      </c>
      <c r="O110" s="19">
        <f t="shared" si="80"/>
        <v>568.20921295406072</v>
      </c>
      <c r="P110" s="19">
        <f t="shared" si="81"/>
        <v>6071.4773212508844</v>
      </c>
      <c r="Q110" s="19">
        <f t="shared" si="82"/>
        <v>1156.4718707144543</v>
      </c>
      <c r="R110" s="19">
        <f t="shared" si="83"/>
        <v>481.55488696549872</v>
      </c>
      <c r="S110" s="19">
        <f t="shared" si="84"/>
        <v>327.62848097340486</v>
      </c>
      <c r="T110" s="19">
        <f t="shared" si="85"/>
        <v>156.23934973352277</v>
      </c>
      <c r="U110" s="19">
        <f t="shared" si="86"/>
        <v>191.16480022909928</v>
      </c>
      <c r="V110" s="261">
        <f t="shared" si="105"/>
        <v>2329.9312981704797</v>
      </c>
      <c r="W110" s="261">
        <f>SUM(O$9:O110)</f>
        <v>541015.58080881194</v>
      </c>
      <c r="X110" s="261">
        <f>SUM(P$9:P110)</f>
        <v>2080834.7340752189</v>
      </c>
      <c r="Y110" s="261">
        <f>SUM(Q$9:Q110)</f>
        <v>396349.47315718426</v>
      </c>
      <c r="Z110" s="261">
        <f>SUM($V$9:V110)</f>
        <v>1144798.2044998913</v>
      </c>
      <c r="AB110" s="257">
        <f t="array" ref="AB110">(INDEX(PriceDeck!$C$18:$O$77,MATCH('Decline and Model'!$A110,PriceDeck!$B$18:$B$77,0),MATCH('Decline and Model'!AB$8,PriceDeck!$C$13:$O$13,0))*(1+$AE$6))</f>
        <v>82</v>
      </c>
      <c r="AC110" s="257">
        <f t="array" ref="AC110">INDEX(PriceDeck!$C$18:$O$77,MATCH('Decline and Model'!$A110,PriceDeck!$B$18:$B$77,0),MATCH('Decline and Model'!AC$8,PriceDeck!$C$13:$O$13,0))*(1+$AE$6)</f>
        <v>93.7</v>
      </c>
      <c r="AD110" s="257">
        <f t="array" ref="AD110">INDEX(PriceDeck!$C$18:$O$77,MATCH('Decline and Model'!$A110,PriceDeck!$B$18:$B$77,0),MATCH('Decline and Model'!AD$8,PriceDeck!$C$13:$O$13,0))*(1+$AE$6)</f>
        <v>16.2</v>
      </c>
      <c r="AE110" s="257">
        <f t="array" ref="AE110">INDEX(PriceDeck!$C$18:$O$77,MATCH('Decline and Model'!$A110,PriceDeck!$B$18:$B$77,0),MATCH('Decline and Model'!AE$8,PriceDeck!$C$13:$O$13,0))*(1+$AE$6)</f>
        <v>32.9</v>
      </c>
      <c r="AF110" s="257">
        <f t="array" ref="AF110">INDEX(PriceDeck!$C$18:$O$77,MATCH('Decline and Model'!$A110,PriceDeck!$B$18:$B$77,0),MATCH('Decline and Model'!AF$8,PriceDeck!$C$13:$O$13,0))*(1+$AE$6)</f>
        <v>97.2</v>
      </c>
      <c r="AG110" s="257">
        <f t="array" ref="AG110">INDEX(PriceDeck!$C$18:$O$77,MATCH('Decline and Model'!$A110,PriceDeck!$B$18:$B$77,0),MATCH('Decline and Model'!AG$8,PriceDeck!$C$13:$O$13,0))*(1+$AE$6)</f>
        <v>68.599999999999994</v>
      </c>
      <c r="AH110" s="258">
        <f t="array" ref="AH110">INDEX(PriceDeck!$C$18:$O$77,MATCH('Decline and Model'!$A110,PriceDeck!$B$18:$B$77,0),MATCH('Decline and Model'!AH$8,PriceDeck!$C$13:$O$13,0))</f>
        <v>0.85</v>
      </c>
      <c r="AI110" s="258">
        <f t="shared" si="87"/>
        <v>4.3</v>
      </c>
      <c r="AJ110" s="259">
        <f t="shared" si="62"/>
        <v>4.3</v>
      </c>
      <c r="AK110" s="120">
        <v>4.3</v>
      </c>
      <c r="AL110" s="120"/>
      <c r="AN110" s="7">
        <f t="shared" si="88"/>
        <v>53241.203253795487</v>
      </c>
      <c r="AO110" s="7">
        <f t="shared" si="89"/>
        <v>26107.352481378803</v>
      </c>
      <c r="AP110" s="7">
        <f t="shared" si="90"/>
        <v>7801.1891688410788</v>
      </c>
      <c r="AQ110" s="7">
        <f t="shared" si="91"/>
        <v>10778.97702402502</v>
      </c>
      <c r="AR110" s="7">
        <f t="shared" si="92"/>
        <v>15186.464794098414</v>
      </c>
      <c r="AS110" s="7">
        <f t="shared" si="93"/>
        <v>13113.905295716209</v>
      </c>
      <c r="AT110" s="7">
        <f t="shared" si="94"/>
        <v>126229.09201785502</v>
      </c>
      <c r="AU110">
        <f>SUM($AT$9:AT110)</f>
        <v>61106413.624434739</v>
      </c>
      <c r="AV110" s="7">
        <f>AT110/(1+$AR$5)^(COUNT($E$9:E110))</f>
        <v>58363.246962058714</v>
      </c>
      <c r="AW110" s="7">
        <f t="shared" si="109"/>
        <v>0</v>
      </c>
      <c r="AX110" s="7">
        <f t="shared" si="95"/>
        <v>0</v>
      </c>
      <c r="AY110" s="117">
        <f t="shared" si="96"/>
        <v>0</v>
      </c>
      <c r="AZ110" s="117">
        <f t="shared" si="97"/>
        <v>126229.09201785502</v>
      </c>
      <c r="BA110" s="120">
        <f t="shared" si="98"/>
        <v>31054.678938790756</v>
      </c>
      <c r="BB110" s="119">
        <f t="shared" si="63"/>
        <v>0</v>
      </c>
      <c r="BC110" s="17"/>
      <c r="BD110" s="126">
        <f t="shared" si="64"/>
        <v>0.42178235145876325</v>
      </c>
      <c r="BE110" s="127">
        <f t="shared" si="65"/>
        <v>0.20682516259948963</v>
      </c>
      <c r="BF110" s="127">
        <f t="shared" si="66"/>
        <v>6.1801832241157262E-2</v>
      </c>
      <c r="BG110" s="127">
        <f t="shared" si="67"/>
        <v>8.5392177442743078E-2</v>
      </c>
      <c r="BH110" s="127">
        <f t="shared" si="68"/>
        <v>0.12030875411787244</v>
      </c>
      <c r="BI110" s="128">
        <f t="shared" si="69"/>
        <v>0.10388972213997433</v>
      </c>
      <c r="BJ110" s="126">
        <f t="array" ref="BJ110">BD110*INDEX(Royalty!$U$7:$Z$246,MATCH('Decline and Model'!$E110,Royalty!$AI$7:$AI$246,0),MATCH('Decline and Model'!BJ$8,Royalty!$U$1:$Z$1,0))</f>
        <v>0.1225768337590009</v>
      </c>
      <c r="BK110" s="127">
        <f t="array" ref="BK110">BE110*INDEX(Royalty!$U$7:$Z$246,MATCH('Decline and Model'!$E110,Royalty!$AI$7:$AI$246,0),MATCH('Decline and Model'!BK$8,Royalty!$U$1:$Z$1,0))</f>
        <v>5.8331050934666985E-2</v>
      </c>
      <c r="BL110" s="127">
        <f t="array" ref="BL110">BF110*INDEX(Royalty!$U$7:$Z$246,MATCH('Decline and Model'!$E110,Royalty!$AI$7:$AI$246,0),MATCH('Decline and Model'!BL$8,Royalty!$U$1:$Z$1,0))</f>
        <v>1.8024177760585621E-2</v>
      </c>
      <c r="BM110" s="127">
        <f t="array" ref="BM110">BG110*INDEX(Royalty!$U$7:$Z$246,MATCH('Decline and Model'!$E110,Royalty!$AI$7:$AI$246,0),MATCH('Decline and Model'!BM$8,Royalty!$U$1:$Z$1,0))</f>
        <v>2.4097783111606701E-2</v>
      </c>
      <c r="BN110" s="127">
        <f t="array" ref="BN110">BH110*INDEX(Royalty!$U$7:$Z$246,MATCH('Decline and Model'!$E110,Royalty!$AI$7:$AI$246,0),MATCH('Decline and Model'!BN$8,Royalty!$U$1:$Z$1,0))</f>
        <v>1.7794065848356633E-2</v>
      </c>
      <c r="BO110" s="127">
        <f t="array" ref="BO110">BI110*INDEX(Royalty!$U$7:$Z$246,MATCH('Decline and Model'!$E110,Royalty!$AI$7:$AI$246,0),MATCH('Decline and Model'!BO$8,Royalty!$U$1:$Z$1,0))</f>
        <v>5.1944861069987171E-3</v>
      </c>
      <c r="BP110" s="135">
        <f t="shared" si="70"/>
        <v>0.24601839752121557</v>
      </c>
      <c r="BQ110" s="7"/>
      <c r="BR110" s="7"/>
      <c r="BS110">
        <v>102</v>
      </c>
      <c r="BT110" s="120">
        <f t="shared" si="71"/>
        <v>31054.678938790756</v>
      </c>
      <c r="BU110" s="113">
        <f t="shared" si="72"/>
        <v>23299.312981704796</v>
      </c>
      <c r="BV110" s="113">
        <f t="shared" si="73"/>
        <v>6989.7938945114392</v>
      </c>
      <c r="BW110" s="113">
        <f t="shared" si="106"/>
        <v>1255222.3774264043</v>
      </c>
      <c r="BX110" s="113">
        <f t="shared" si="99"/>
        <v>27746.001025823014</v>
      </c>
      <c r="BY110" s="120">
        <f t="shared" si="100"/>
        <v>37139.305177025002</v>
      </c>
      <c r="BZ110" s="153">
        <f t="shared" si="107"/>
        <v>0</v>
      </c>
      <c r="CA110" s="120">
        <f t="shared" si="110"/>
        <v>37139.305177025002</v>
      </c>
      <c r="CB110" s="120">
        <f t="shared" si="101"/>
        <v>9284.8262942562505</v>
      </c>
      <c r="CC110" s="153">
        <f t="shared" si="102"/>
        <v>55600.479908591762</v>
      </c>
      <c r="CD110" s="7">
        <f t="shared" si="74"/>
        <v>25707.422023245785</v>
      </c>
      <c r="CE110" s="11">
        <f>SUM($CD$9:CD110)</f>
        <v>24401306.712094933</v>
      </c>
      <c r="CF110" s="11">
        <f t="shared" si="103"/>
        <v>12000000</v>
      </c>
      <c r="CG110">
        <f t="shared" si="104"/>
        <v>12401306.712094933</v>
      </c>
    </row>
    <row r="111" spans="1:85">
      <c r="A111">
        <f t="shared" si="75"/>
        <v>2025</v>
      </c>
      <c r="B111">
        <f t="shared" si="76"/>
        <v>30.416666666666668</v>
      </c>
      <c r="C111">
        <f t="shared" si="111"/>
        <v>9</v>
      </c>
      <c r="E111" s="97">
        <v>45931</v>
      </c>
      <c r="F111" s="2">
        <f>$F$6*EXP(-$F$3*COUNT($E$9:$E111))</f>
        <v>4.6480141099938104</v>
      </c>
      <c r="G111" s="260">
        <f>$F$6/(1+$F$5*$F$3*COUNT($E$9:$E111))^(1/$F$5)</f>
        <v>18.167272247980222</v>
      </c>
      <c r="H111" s="260">
        <f>$H$6/(1+$H$5*$H$3*COUNT($E$9:$E111))^(1/$H$5)</f>
        <v>197.28688014805269</v>
      </c>
      <c r="I111" s="260">
        <f t="shared" si="77"/>
        <v>37.578453361533846</v>
      </c>
      <c r="J111" s="260">
        <f t="shared" si="78"/>
        <v>15.647667979742693</v>
      </c>
      <c r="K111" s="260">
        <f t="shared" si="78"/>
        <v>10.645975837322538</v>
      </c>
      <c r="L111" s="260">
        <f t="shared" si="78"/>
        <v>5.0768490491432221</v>
      </c>
      <c r="M111" s="260">
        <f t="shared" si="78"/>
        <v>6.2117183406615446</v>
      </c>
      <c r="N111" s="19">
        <f t="shared" si="79"/>
        <v>141.37709584564507</v>
      </c>
      <c r="O111" s="19">
        <f t="shared" si="80"/>
        <v>552.58786420939839</v>
      </c>
      <c r="P111" s="19">
        <f t="shared" si="81"/>
        <v>6000.8092711699364</v>
      </c>
      <c r="Q111" s="19">
        <f t="shared" si="82"/>
        <v>1143.0112897466545</v>
      </c>
      <c r="R111" s="19">
        <f t="shared" si="83"/>
        <v>475.94990105050692</v>
      </c>
      <c r="S111" s="19">
        <f t="shared" si="84"/>
        <v>323.8150983852272</v>
      </c>
      <c r="T111" s="19">
        <f t="shared" si="85"/>
        <v>154.420825244773</v>
      </c>
      <c r="U111" s="19">
        <f t="shared" si="86"/>
        <v>188.93976619512199</v>
      </c>
      <c r="V111" s="261">
        <f t="shared" si="105"/>
        <v>2293.8046493218326</v>
      </c>
      <c r="W111" s="261">
        <f>SUM(O$9:O111)</f>
        <v>541568.16867302137</v>
      </c>
      <c r="X111" s="261">
        <f>SUM(P$9:P111)</f>
        <v>2086835.5433463887</v>
      </c>
      <c r="Y111" s="261">
        <f>SUM(Q$9:Q111)</f>
        <v>397492.48444693093</v>
      </c>
      <c r="Z111" s="261">
        <f>SUM($V$9:V111)</f>
        <v>1147092.0091492131</v>
      </c>
      <c r="AB111" s="257">
        <f t="array" ref="AB111">(INDEX(PriceDeck!$C$18:$O$77,MATCH('Decline and Model'!$A111,PriceDeck!$B$18:$B$77,0),MATCH('Decline and Model'!AB$8,PriceDeck!$C$13:$O$13,0))*(1+$AE$6))</f>
        <v>82</v>
      </c>
      <c r="AC111" s="257">
        <f t="array" ref="AC111">INDEX(PriceDeck!$C$18:$O$77,MATCH('Decline and Model'!$A111,PriceDeck!$B$18:$B$77,0),MATCH('Decline and Model'!AC$8,PriceDeck!$C$13:$O$13,0))*(1+$AE$6)</f>
        <v>93.7</v>
      </c>
      <c r="AD111" s="257">
        <f t="array" ref="AD111">INDEX(PriceDeck!$C$18:$O$77,MATCH('Decline and Model'!$A111,PriceDeck!$B$18:$B$77,0),MATCH('Decline and Model'!AD$8,PriceDeck!$C$13:$O$13,0))*(1+$AE$6)</f>
        <v>16.2</v>
      </c>
      <c r="AE111" s="257">
        <f t="array" ref="AE111">INDEX(PriceDeck!$C$18:$O$77,MATCH('Decline and Model'!$A111,PriceDeck!$B$18:$B$77,0),MATCH('Decline and Model'!AE$8,PriceDeck!$C$13:$O$13,0))*(1+$AE$6)</f>
        <v>32.9</v>
      </c>
      <c r="AF111" s="257">
        <f t="array" ref="AF111">INDEX(PriceDeck!$C$18:$O$77,MATCH('Decline and Model'!$A111,PriceDeck!$B$18:$B$77,0),MATCH('Decline and Model'!AF$8,PriceDeck!$C$13:$O$13,0))*(1+$AE$6)</f>
        <v>97.2</v>
      </c>
      <c r="AG111" s="257">
        <f t="array" ref="AG111">INDEX(PriceDeck!$C$18:$O$77,MATCH('Decline and Model'!$A111,PriceDeck!$B$18:$B$77,0),MATCH('Decline and Model'!AG$8,PriceDeck!$C$13:$O$13,0))*(1+$AE$6)</f>
        <v>68.599999999999994</v>
      </c>
      <c r="AH111" s="258">
        <f t="array" ref="AH111">INDEX(PriceDeck!$C$18:$O$77,MATCH('Decline and Model'!$A111,PriceDeck!$B$18:$B$77,0),MATCH('Decline and Model'!AH$8,PriceDeck!$C$13:$O$13,0))</f>
        <v>0.85</v>
      </c>
      <c r="AI111" s="258">
        <f t="shared" si="87"/>
        <v>4.3</v>
      </c>
      <c r="AJ111" s="259">
        <f t="shared" si="62"/>
        <v>4.3</v>
      </c>
      <c r="AK111" s="120">
        <v>4.3</v>
      </c>
      <c r="AL111" s="120"/>
      <c r="AN111" s="7">
        <f t="shared" si="88"/>
        <v>51777.482876420632</v>
      </c>
      <c r="AO111" s="7">
        <f t="shared" si="89"/>
        <v>25803.479866030724</v>
      </c>
      <c r="AP111" s="7">
        <f t="shared" si="90"/>
        <v>7710.3883970182114</v>
      </c>
      <c r="AQ111" s="7">
        <f t="shared" si="91"/>
        <v>10653.516736873975</v>
      </c>
      <c r="AR111" s="7">
        <f t="shared" si="92"/>
        <v>15009.704213791936</v>
      </c>
      <c r="AS111" s="7">
        <f t="shared" si="93"/>
        <v>12961.267960985368</v>
      </c>
      <c r="AT111" s="7">
        <f t="shared" si="94"/>
        <v>123915.84005112085</v>
      </c>
      <c r="AU111">
        <f>SUM($AT$9:AT111)</f>
        <v>61230329.464485861</v>
      </c>
      <c r="AV111" s="7">
        <f>AT111/(1+$AR$5)^(COUNT($E$9:E111))</f>
        <v>56862.022449618278</v>
      </c>
      <c r="AW111" s="7">
        <f t="shared" si="109"/>
        <v>0</v>
      </c>
      <c r="AX111" s="7">
        <f t="shared" si="95"/>
        <v>0</v>
      </c>
      <c r="AY111" s="117">
        <f t="shared" si="96"/>
        <v>0</v>
      </c>
      <c r="AZ111" s="117">
        <f t="shared" si="97"/>
        <v>123915.84005112085</v>
      </c>
      <c r="BA111" s="120">
        <f t="shared" si="98"/>
        <v>30447.934531616418</v>
      </c>
      <c r="BB111" s="119">
        <f t="shared" si="63"/>
        <v>0</v>
      </c>
      <c r="BC111" s="17"/>
      <c r="BD111" s="126">
        <f t="shared" si="64"/>
        <v>0.41784394033127725</v>
      </c>
      <c r="BE111" s="127">
        <f t="shared" si="65"/>
        <v>0.20823390984869755</v>
      </c>
      <c r="BF111" s="127">
        <f t="shared" si="66"/>
        <v>6.2222782768024898E-2</v>
      </c>
      <c r="BG111" s="127">
        <f t="shared" si="67"/>
        <v>8.5973808776012184E-2</v>
      </c>
      <c r="BH111" s="127">
        <f t="shared" si="68"/>
        <v>0.12112821256426748</v>
      </c>
      <c r="BI111" s="128">
        <f t="shared" si="69"/>
        <v>0.10459734571172065</v>
      </c>
      <c r="BJ111" s="126">
        <f t="array" ref="BJ111">BD111*INDEX(Royalty!$U$7:$Z$246,MATCH('Decline and Model'!$E111,Royalty!$AI$7:$AI$246,0),MATCH('Decline and Model'!BJ$8,Royalty!$U$1:$Z$1,0))</f>
        <v>0.12143226722040867</v>
      </c>
      <c r="BK111" s="127">
        <f t="array" ref="BK111">BE111*INDEX(Royalty!$U$7:$Z$246,MATCH('Decline and Model'!$E111,Royalty!$AI$7:$AI$246,0),MATCH('Decline and Model'!BK$8,Royalty!$U$1:$Z$1,0))</f>
        <v>5.8728360945280861E-2</v>
      </c>
      <c r="BL111" s="127">
        <f t="array" ref="BL111">BF111*INDEX(Royalty!$U$7:$Z$246,MATCH('Decline and Model'!$E111,Royalty!$AI$7:$AI$246,0),MATCH('Decline and Model'!BL$8,Royalty!$U$1:$Z$1,0))</f>
        <v>1.8146945757092067E-2</v>
      </c>
      <c r="BM111" s="127">
        <f t="array" ref="BM111">BG111*INDEX(Royalty!$U$7:$Z$246,MATCH('Decline and Model'!$E111,Royalty!$AI$7:$AI$246,0),MATCH('Decline and Model'!BM$8,Royalty!$U$1:$Z$1,0))</f>
        <v>2.4261920227438317E-2</v>
      </c>
      <c r="BN111" s="127">
        <f t="array" ref="BN111">BH111*INDEX(Royalty!$U$7:$Z$246,MATCH('Decline and Model'!$E111,Royalty!$AI$7:$AI$246,0),MATCH('Decline and Model'!BN$8,Royalty!$U$1:$Z$1,0))</f>
        <v>1.7915266484686547E-2</v>
      </c>
      <c r="BO111" s="127">
        <f t="array" ref="BO111">BI111*INDEX(Royalty!$U$7:$Z$246,MATCH('Decline and Model'!$E111,Royalty!$AI$7:$AI$246,0),MATCH('Decline and Model'!BO$8,Royalty!$U$1:$Z$1,0))</f>
        <v>5.2298672855860331E-3</v>
      </c>
      <c r="BP111" s="135">
        <f t="shared" si="70"/>
        <v>0.24571462792049248</v>
      </c>
      <c r="BQ111" s="7"/>
      <c r="BR111" s="7"/>
      <c r="BS111">
        <v>103</v>
      </c>
      <c r="BT111" s="120">
        <f t="shared" si="71"/>
        <v>30447.934531616418</v>
      </c>
      <c r="BU111" s="113">
        <f t="shared" si="72"/>
        <v>22938.046493218324</v>
      </c>
      <c r="BV111" s="113">
        <f t="shared" si="73"/>
        <v>6881.4139479654978</v>
      </c>
      <c r="BW111" s="113">
        <f t="shared" si="106"/>
        <v>1227476.3764005813</v>
      </c>
      <c r="BX111" s="113">
        <f t="shared" si="99"/>
        <v>27132.690916977295</v>
      </c>
      <c r="BY111" s="120">
        <f t="shared" si="100"/>
        <v>36515.754161343299</v>
      </c>
      <c r="BZ111" s="153">
        <f t="shared" si="107"/>
        <v>0</v>
      </c>
      <c r="CA111" s="120">
        <f t="shared" si="110"/>
        <v>36515.754161343299</v>
      </c>
      <c r="CB111" s="120">
        <f t="shared" si="101"/>
        <v>9128.9385403358247</v>
      </c>
      <c r="CC111" s="153">
        <f t="shared" si="102"/>
        <v>54519.506537984766</v>
      </c>
      <c r="CD111" s="7">
        <f t="shared" si="74"/>
        <v>25017.700750978038</v>
      </c>
      <c r="CE111" s="11">
        <f>SUM($CD$9:CD111)</f>
        <v>24426324.41284591</v>
      </c>
      <c r="CF111" s="11">
        <f t="shared" si="103"/>
        <v>12000000</v>
      </c>
      <c r="CG111">
        <f t="shared" si="104"/>
        <v>12426324.41284591</v>
      </c>
    </row>
    <row r="112" spans="1:85">
      <c r="A112">
        <f t="shared" si="75"/>
        <v>2025</v>
      </c>
      <c r="B112">
        <f t="shared" si="76"/>
        <v>30.416666666666668</v>
      </c>
      <c r="C112">
        <f t="shared" si="111"/>
        <v>9</v>
      </c>
      <c r="E112" s="97">
        <v>45962</v>
      </c>
      <c r="F112" s="2">
        <f>$F$6*EXP(-$F$3*COUNT($E$9:$E112))</f>
        <v>4.4213277869206111</v>
      </c>
      <c r="G112" s="260">
        <f>$F$6/(1+$F$5*$F$3*COUNT($E$9:$E112))^(1/$F$5)</f>
        <v>17.669930160973074</v>
      </c>
      <c r="H112" s="260">
        <f>$H$6/(1+$H$5*$H$3*COUNT($E$9:$E112))^(1/$H$5)</f>
        <v>195.00952520605011</v>
      </c>
      <c r="I112" s="260">
        <f t="shared" si="77"/>
        <v>37.144671467819066</v>
      </c>
      <c r="J112" s="260">
        <f t="shared" si="78"/>
        <v>15.467041199199858</v>
      </c>
      <c r="K112" s="260">
        <f t="shared" si="78"/>
        <v>10.523085426833141</v>
      </c>
      <c r="L112" s="260">
        <f t="shared" si="78"/>
        <v>5.0182451153023555</v>
      </c>
      <c r="M112" s="260">
        <f t="shared" si="78"/>
        <v>6.1400141936304919</v>
      </c>
      <c r="N112" s="19">
        <f t="shared" si="79"/>
        <v>134.48205351883527</v>
      </c>
      <c r="O112" s="19">
        <f t="shared" si="80"/>
        <v>537.46037572959767</v>
      </c>
      <c r="P112" s="19">
        <f t="shared" si="81"/>
        <v>5931.5397250173583</v>
      </c>
      <c r="Q112" s="19">
        <f t="shared" si="82"/>
        <v>1129.8170904794965</v>
      </c>
      <c r="R112" s="19">
        <f t="shared" si="83"/>
        <v>470.45583647566235</v>
      </c>
      <c r="S112" s="19">
        <f t="shared" si="84"/>
        <v>320.07718173284138</v>
      </c>
      <c r="T112" s="19">
        <f t="shared" si="85"/>
        <v>152.63828892377998</v>
      </c>
      <c r="U112" s="19">
        <f t="shared" si="86"/>
        <v>186.75876505626081</v>
      </c>
      <c r="V112" s="261">
        <f t="shared" si="105"/>
        <v>2258.5776557573663</v>
      </c>
      <c r="W112" s="261">
        <f>SUM(O$9:O112)</f>
        <v>542105.62904875097</v>
      </c>
      <c r="X112" s="261">
        <f>SUM(P$9:P112)</f>
        <v>2092767.083071406</v>
      </c>
      <c r="Y112" s="261">
        <f>SUM(Q$9:Q112)</f>
        <v>398622.30153741041</v>
      </c>
      <c r="Z112" s="261">
        <f>SUM($V$9:V112)</f>
        <v>1149350.5868049704</v>
      </c>
      <c r="AB112" s="257">
        <f t="array" ref="AB112">(INDEX(PriceDeck!$C$18:$O$77,MATCH('Decline and Model'!$A112,PriceDeck!$B$18:$B$77,0),MATCH('Decline and Model'!AB$8,PriceDeck!$C$13:$O$13,0))*(1+$AE$6))</f>
        <v>82</v>
      </c>
      <c r="AC112" s="257">
        <f t="array" ref="AC112">INDEX(PriceDeck!$C$18:$O$77,MATCH('Decline and Model'!$A112,PriceDeck!$B$18:$B$77,0),MATCH('Decline and Model'!AC$8,PriceDeck!$C$13:$O$13,0))*(1+$AE$6)</f>
        <v>93.7</v>
      </c>
      <c r="AD112" s="257">
        <f t="array" ref="AD112">INDEX(PriceDeck!$C$18:$O$77,MATCH('Decline and Model'!$A112,PriceDeck!$B$18:$B$77,0),MATCH('Decline and Model'!AD$8,PriceDeck!$C$13:$O$13,0))*(1+$AE$6)</f>
        <v>16.2</v>
      </c>
      <c r="AE112" s="257">
        <f t="array" ref="AE112">INDEX(PriceDeck!$C$18:$O$77,MATCH('Decline and Model'!$A112,PriceDeck!$B$18:$B$77,0),MATCH('Decline and Model'!AE$8,PriceDeck!$C$13:$O$13,0))*(1+$AE$6)</f>
        <v>32.9</v>
      </c>
      <c r="AF112" s="257">
        <f t="array" ref="AF112">INDEX(PriceDeck!$C$18:$O$77,MATCH('Decline and Model'!$A112,PriceDeck!$B$18:$B$77,0),MATCH('Decline and Model'!AF$8,PriceDeck!$C$13:$O$13,0))*(1+$AE$6)</f>
        <v>97.2</v>
      </c>
      <c r="AG112" s="257">
        <f t="array" ref="AG112">INDEX(PriceDeck!$C$18:$O$77,MATCH('Decline and Model'!$A112,PriceDeck!$B$18:$B$77,0),MATCH('Decline and Model'!AG$8,PriceDeck!$C$13:$O$13,0))*(1+$AE$6)</f>
        <v>68.599999999999994</v>
      </c>
      <c r="AH112" s="258">
        <f t="array" ref="AH112">INDEX(PriceDeck!$C$18:$O$77,MATCH('Decline and Model'!$A112,PriceDeck!$B$18:$B$77,0),MATCH('Decline and Model'!AH$8,PriceDeck!$C$13:$O$13,0))</f>
        <v>0.85</v>
      </c>
      <c r="AI112" s="258">
        <f t="shared" si="87"/>
        <v>4.3</v>
      </c>
      <c r="AJ112" s="259">
        <f t="shared" si="62"/>
        <v>4.3</v>
      </c>
      <c r="AK112" s="120">
        <v>4.3</v>
      </c>
      <c r="AL112" s="120"/>
      <c r="AN112" s="7">
        <f t="shared" si="88"/>
        <v>50360.0372058633</v>
      </c>
      <c r="AO112" s="7">
        <f t="shared" si="89"/>
        <v>25505.62081757464</v>
      </c>
      <c r="AP112" s="7">
        <f t="shared" si="90"/>
        <v>7621.3845509057301</v>
      </c>
      <c r="AQ112" s="7">
        <f t="shared" si="91"/>
        <v>10530.539279010482</v>
      </c>
      <c r="AR112" s="7">
        <f t="shared" si="92"/>
        <v>14836.441683391415</v>
      </c>
      <c r="AS112" s="7">
        <f t="shared" si="93"/>
        <v>12811.651282859491</v>
      </c>
      <c r="AT112" s="7">
        <f t="shared" si="94"/>
        <v>121665.67481960505</v>
      </c>
      <c r="AU112">
        <f>SUM($AT$9:AT112)</f>
        <v>61351995.139305465</v>
      </c>
      <c r="AV112" s="7">
        <f>AT112/(1+$AR$5)^(COUNT($E$9:E112))</f>
        <v>55408.837224535833</v>
      </c>
      <c r="AW112" s="7">
        <f t="shared" si="109"/>
        <v>0</v>
      </c>
      <c r="AX112" s="7">
        <f t="shared" si="95"/>
        <v>0</v>
      </c>
      <c r="AY112" s="117">
        <f t="shared" si="96"/>
        <v>0</v>
      </c>
      <c r="AZ112" s="117">
        <f t="shared" si="97"/>
        <v>121665.67481960505</v>
      </c>
      <c r="BA112" s="120">
        <f t="shared" si="98"/>
        <v>29858.227447573998</v>
      </c>
      <c r="BB112" s="119">
        <f t="shared" si="63"/>
        <v>0</v>
      </c>
      <c r="BC112" s="17"/>
      <c r="BD112" s="126">
        <f t="shared" si="64"/>
        <v>0.41392148837815307</v>
      </c>
      <c r="BE112" s="127">
        <f t="shared" si="65"/>
        <v>0.2096369485920502</v>
      </c>
      <c r="BF112" s="127">
        <f t="shared" si="66"/>
        <v>6.2642027525068478E-2</v>
      </c>
      <c r="BG112" s="127">
        <f t="shared" si="67"/>
        <v>8.655308323094596E-2</v>
      </c>
      <c r="BH112" s="127">
        <f t="shared" si="68"/>
        <v>0.12194435041263331</v>
      </c>
      <c r="BI112" s="128">
        <f t="shared" si="69"/>
        <v>0.10530210186114908</v>
      </c>
      <c r="BJ112" s="126">
        <f t="array" ref="BJ112">BD112*INDEX(Royalty!$U$7:$Z$246,MATCH('Decline and Model'!$E112,Royalty!$AI$7:$AI$246,0),MATCH('Decline and Model'!BJ$8,Royalty!$U$1:$Z$1,0))</f>
        <v>0.12029233867829948</v>
      </c>
      <c r="BK112" s="127">
        <f t="array" ref="BK112">BE112*INDEX(Royalty!$U$7:$Z$246,MATCH('Decline and Model'!$E112,Royalty!$AI$7:$AI$246,0),MATCH('Decline and Model'!BK$8,Royalty!$U$1:$Z$1,0))</f>
        <v>5.9124060981839255E-2</v>
      </c>
      <c r="BL112" s="127">
        <f t="array" ref="BL112">BF112*INDEX(Royalty!$U$7:$Z$246,MATCH('Decline and Model'!$E112,Royalty!$AI$7:$AI$246,0),MATCH('Decline and Model'!BL$8,Royalty!$U$1:$Z$1,0))</f>
        <v>1.8269216274844041E-2</v>
      </c>
      <c r="BM112" s="127">
        <f t="array" ref="BM112">BG112*INDEX(Royalty!$U$7:$Z$246,MATCH('Decline and Model'!$E112,Royalty!$AI$7:$AI$246,0),MATCH('Decline and Model'!BM$8,Royalty!$U$1:$Z$1,0))</f>
        <v>2.4425392229150047E-2</v>
      </c>
      <c r="BN112" s="127">
        <f t="array" ref="BN112">BH112*INDEX(Royalty!$U$7:$Z$246,MATCH('Decline and Model'!$E112,Royalty!$AI$7:$AI$246,0),MATCH('Decline and Model'!BN$8,Royalty!$U$1:$Z$1,0))</f>
        <v>1.8035975993496933E-2</v>
      </c>
      <c r="BO112" s="127">
        <f t="array" ref="BO112">BI112*INDEX(Royalty!$U$7:$Z$246,MATCH('Decline and Model'!$E112,Royalty!$AI$7:$AI$246,0),MATCH('Decline and Model'!BO$8,Royalty!$U$1:$Z$1,0))</f>
        <v>5.2651050930574541E-3</v>
      </c>
      <c r="BP112" s="135">
        <f t="shared" si="70"/>
        <v>0.24541208925068719</v>
      </c>
      <c r="BQ112" s="7"/>
      <c r="BR112" s="7"/>
      <c r="BS112">
        <v>104</v>
      </c>
      <c r="BT112" s="120">
        <f t="shared" si="71"/>
        <v>29858.227447573998</v>
      </c>
      <c r="BU112" s="113">
        <f t="shared" si="72"/>
        <v>22585.776557573663</v>
      </c>
      <c r="BV112" s="113">
        <f t="shared" si="73"/>
        <v>6775.7329672720989</v>
      </c>
      <c r="BW112" s="113">
        <f t="shared" si="106"/>
        <v>1200343.685483604</v>
      </c>
      <c r="BX112" s="113">
        <f t="shared" si="99"/>
        <v>26532.937691131119</v>
      </c>
      <c r="BY112" s="120">
        <f t="shared" si="100"/>
        <v>35913.000156054164</v>
      </c>
      <c r="BZ112" s="153">
        <f t="shared" si="107"/>
        <v>0</v>
      </c>
      <c r="CA112" s="120">
        <f t="shared" si="110"/>
        <v>35913.000156054164</v>
      </c>
      <c r="CB112" s="120">
        <f t="shared" si="101"/>
        <v>8978.250039013541</v>
      </c>
      <c r="CC112" s="153">
        <f t="shared" si="102"/>
        <v>53467.687808171744</v>
      </c>
      <c r="CD112" s="7">
        <f t="shared" si="74"/>
        <v>24350.19092219674</v>
      </c>
      <c r="CE112" s="11">
        <f>SUM($CD$9:CD112)</f>
        <v>24450674.603768107</v>
      </c>
      <c r="CF112" s="11">
        <f t="shared" si="103"/>
        <v>12000000</v>
      </c>
      <c r="CG112">
        <f t="shared" si="104"/>
        <v>12450674.603768107</v>
      </c>
    </row>
    <row r="113" spans="1:85">
      <c r="A113">
        <f t="shared" si="75"/>
        <v>2025</v>
      </c>
      <c r="B113">
        <f t="shared" si="76"/>
        <v>30.416666666666668</v>
      </c>
      <c r="C113">
        <f t="shared" si="111"/>
        <v>9</v>
      </c>
      <c r="E113" s="97">
        <v>45992</v>
      </c>
      <c r="F113" s="2">
        <f>$F$6*EXP(-$F$3*COUNT($E$9:$E113))</f>
        <v>4.2056970862815097</v>
      </c>
      <c r="G113" s="260">
        <f>$F$6/(1+$F$5*$F$3*COUNT($E$9:$E113))^(1/$F$5)</f>
        <v>17.18824490388344</v>
      </c>
      <c r="H113" s="260">
        <f>$H$6/(1+$H$5*$H$3*COUNT($E$9:$E113))^(1/$H$5)</f>
        <v>192.77686996776984</v>
      </c>
      <c r="I113" s="260">
        <f t="shared" si="77"/>
        <v>36.719403803384729</v>
      </c>
      <c r="J113" s="260">
        <f t="shared" si="78"/>
        <v>15.289959743729401</v>
      </c>
      <c r="K113" s="260">
        <f t="shared" si="78"/>
        <v>10.402607097498894</v>
      </c>
      <c r="L113" s="260">
        <f t="shared" si="78"/>
        <v>4.9607914538372766</v>
      </c>
      <c r="M113" s="260">
        <f t="shared" si="78"/>
        <v>6.069717448699496</v>
      </c>
      <c r="N113" s="19">
        <f t="shared" si="79"/>
        <v>127.92328637439593</v>
      </c>
      <c r="O113" s="19">
        <f t="shared" si="80"/>
        <v>522.80911582645467</v>
      </c>
      <c r="P113" s="19">
        <f t="shared" si="81"/>
        <v>5863.6297948529991</v>
      </c>
      <c r="Q113" s="19">
        <f t="shared" si="82"/>
        <v>1116.8818656862857</v>
      </c>
      <c r="R113" s="19">
        <f t="shared" si="83"/>
        <v>465.06960887176933</v>
      </c>
      <c r="S113" s="19">
        <f t="shared" si="84"/>
        <v>316.41263254892471</v>
      </c>
      <c r="T113" s="19">
        <f t="shared" si="85"/>
        <v>150.89074005421716</v>
      </c>
      <c r="U113" s="19">
        <f t="shared" si="86"/>
        <v>184.62057239794302</v>
      </c>
      <c r="V113" s="261">
        <f t="shared" si="105"/>
        <v>2224.2214019218063</v>
      </c>
      <c r="W113" s="261">
        <f>SUM(O$9:O113)</f>
        <v>542628.43816457747</v>
      </c>
      <c r="X113" s="261">
        <f>SUM(P$9:P113)</f>
        <v>2098630.7128662588</v>
      </c>
      <c r="Y113" s="261">
        <f>SUM(Q$9:Q113)</f>
        <v>399739.18340309669</v>
      </c>
      <c r="Z113" s="261">
        <f>SUM($V$9:V113)</f>
        <v>1151574.8082068921</v>
      </c>
      <c r="AB113" s="257">
        <f t="array" ref="AB113">(INDEX(PriceDeck!$C$18:$O$77,MATCH('Decline and Model'!$A113,PriceDeck!$B$18:$B$77,0),MATCH('Decline and Model'!AB$8,PriceDeck!$C$13:$O$13,0))*(1+$AE$6))</f>
        <v>82</v>
      </c>
      <c r="AC113" s="257">
        <f t="array" ref="AC113">INDEX(PriceDeck!$C$18:$O$77,MATCH('Decline and Model'!$A113,PriceDeck!$B$18:$B$77,0),MATCH('Decline and Model'!AC$8,PriceDeck!$C$13:$O$13,0))*(1+$AE$6)</f>
        <v>93.7</v>
      </c>
      <c r="AD113" s="257">
        <f t="array" ref="AD113">INDEX(PriceDeck!$C$18:$O$77,MATCH('Decline and Model'!$A113,PriceDeck!$B$18:$B$77,0),MATCH('Decline and Model'!AD$8,PriceDeck!$C$13:$O$13,0))*(1+$AE$6)</f>
        <v>16.2</v>
      </c>
      <c r="AE113" s="257">
        <f t="array" ref="AE113">INDEX(PriceDeck!$C$18:$O$77,MATCH('Decline and Model'!$A113,PriceDeck!$B$18:$B$77,0),MATCH('Decline and Model'!AE$8,PriceDeck!$C$13:$O$13,0))*(1+$AE$6)</f>
        <v>32.9</v>
      </c>
      <c r="AF113" s="257">
        <f t="array" ref="AF113">INDEX(PriceDeck!$C$18:$O$77,MATCH('Decline and Model'!$A113,PriceDeck!$B$18:$B$77,0),MATCH('Decline and Model'!AF$8,PriceDeck!$C$13:$O$13,0))*(1+$AE$6)</f>
        <v>97.2</v>
      </c>
      <c r="AG113" s="257">
        <f t="array" ref="AG113">INDEX(PriceDeck!$C$18:$O$77,MATCH('Decline and Model'!$A113,PriceDeck!$B$18:$B$77,0),MATCH('Decline and Model'!AG$8,PriceDeck!$C$13:$O$13,0))*(1+$AE$6)</f>
        <v>68.599999999999994</v>
      </c>
      <c r="AH113" s="258">
        <f t="array" ref="AH113">INDEX(PriceDeck!$C$18:$O$77,MATCH('Decline and Model'!$A113,PriceDeck!$B$18:$B$77,0),MATCH('Decline and Model'!AH$8,PriceDeck!$C$13:$O$13,0))</f>
        <v>0.85</v>
      </c>
      <c r="AI113" s="258">
        <f t="shared" si="87"/>
        <v>4.3</v>
      </c>
      <c r="AJ113" s="259">
        <f t="shared" si="62"/>
        <v>4.3</v>
      </c>
      <c r="AK113" s="120">
        <v>4.3</v>
      </c>
      <c r="AL113" s="120"/>
      <c r="AN113" s="7">
        <f t="shared" si="88"/>
        <v>48987.214152938803</v>
      </c>
      <c r="AO113" s="7">
        <f t="shared" si="89"/>
        <v>25213.608117867894</v>
      </c>
      <c r="AP113" s="7">
        <f t="shared" si="90"/>
        <v>7534.1276637226629</v>
      </c>
      <c r="AQ113" s="7">
        <f t="shared" si="91"/>
        <v>10409.975610859623</v>
      </c>
      <c r="AR113" s="7">
        <f t="shared" si="92"/>
        <v>14666.579933269908</v>
      </c>
      <c r="AS113" s="7">
        <f t="shared" si="93"/>
        <v>12664.971266498891</v>
      </c>
      <c r="AT113" s="7">
        <f t="shared" si="94"/>
        <v>119476.47674515779</v>
      </c>
      <c r="AU113">
        <f>SUM($AT$9:AT113)</f>
        <v>61471471.616050623</v>
      </c>
      <c r="AV113" s="7">
        <f>AT113/(1+$AR$5)^(COUNT($E$9:E113))</f>
        <v>54001.878126221964</v>
      </c>
      <c r="AW113" s="7">
        <f t="shared" si="109"/>
        <v>0</v>
      </c>
      <c r="AX113" s="7">
        <f t="shared" si="95"/>
        <v>0</v>
      </c>
      <c r="AY113" s="117">
        <f t="shared" si="96"/>
        <v>0</v>
      </c>
      <c r="AZ113" s="117">
        <f t="shared" si="97"/>
        <v>119476.47674515779</v>
      </c>
      <c r="BA113" s="120">
        <f t="shared" si="98"/>
        <v>29284.977760084981</v>
      </c>
      <c r="BB113" s="119">
        <f t="shared" si="63"/>
        <v>0</v>
      </c>
      <c r="BC113" s="17"/>
      <c r="BD113" s="126">
        <f t="shared" si="64"/>
        <v>0.4100155569319982</v>
      </c>
      <c r="BE113" s="127">
        <f t="shared" si="65"/>
        <v>0.2110340780440679</v>
      </c>
      <c r="BF113" s="127">
        <f t="shared" si="66"/>
        <v>6.3059506515185298E-2</v>
      </c>
      <c r="BG113" s="127">
        <f t="shared" si="67"/>
        <v>8.7129917908978879E-2</v>
      </c>
      <c r="BH113" s="127">
        <f t="shared" si="68"/>
        <v>0.12275705086745725</v>
      </c>
      <c r="BI113" s="128">
        <f t="shared" si="69"/>
        <v>0.10600388973231238</v>
      </c>
      <c r="BJ113" s="126">
        <f t="array" ref="BJ113">BD113*INDEX(Royalty!$U$7:$Z$246,MATCH('Decline and Model'!$E113,Royalty!$AI$7:$AI$246,0),MATCH('Decline and Model'!BJ$8,Royalty!$U$1:$Z$1,0))</f>
        <v>0.11915721126508863</v>
      </c>
      <c r="BK113" s="127">
        <f t="array" ref="BK113">BE113*INDEX(Royalty!$U$7:$Z$246,MATCH('Decline and Model'!$E113,Royalty!$AI$7:$AI$246,0),MATCH('Decline and Model'!BK$8,Royalty!$U$1:$Z$1,0))</f>
        <v>5.9518094416667409E-2</v>
      </c>
      <c r="BL113" s="127">
        <f t="array" ref="BL113">BF113*INDEX(Royalty!$U$7:$Z$246,MATCH('Decline and Model'!$E113,Royalty!$AI$7:$AI$246,0),MATCH('Decline and Model'!BL$8,Royalty!$U$1:$Z$1,0))</f>
        <v>1.8390971816003618E-2</v>
      </c>
      <c r="BM113" s="127">
        <f t="array" ref="BM113">BG113*INDEX(Royalty!$U$7:$Z$246,MATCH('Decline and Model'!$E113,Royalty!$AI$7:$AI$246,0),MATCH('Decline and Model'!BM$8,Royalty!$U$1:$Z$1,0))</f>
        <v>2.4588175722659287E-2</v>
      </c>
      <c r="BN113" s="127">
        <f t="array" ref="BN113">BH113*INDEX(Royalty!$U$7:$Z$246,MATCH('Decline and Model'!$E113,Royalty!$AI$7:$AI$246,0),MATCH('Decline and Model'!BN$8,Royalty!$U$1:$Z$1,0))</f>
        <v>1.815617710034206E-2</v>
      </c>
      <c r="BO113" s="127">
        <f t="array" ref="BO113">BI113*INDEX(Royalty!$U$7:$Z$246,MATCH('Decline and Model'!$E113,Royalty!$AI$7:$AI$246,0),MATCH('Decline and Model'!BO$8,Royalty!$U$1:$Z$1,0))</f>
        <v>5.3001944866156196E-3</v>
      </c>
      <c r="BP113" s="135">
        <f t="shared" si="70"/>
        <v>0.24511082480737664</v>
      </c>
      <c r="BQ113" s="7"/>
      <c r="BR113" s="7"/>
      <c r="BS113">
        <v>105</v>
      </c>
      <c r="BT113" s="120">
        <f t="shared" si="71"/>
        <v>29284.977760084981</v>
      </c>
      <c r="BU113" s="113">
        <f t="shared" si="72"/>
        <v>22242.214019218063</v>
      </c>
      <c r="BV113" s="113">
        <f t="shared" si="73"/>
        <v>6672.664205765419</v>
      </c>
      <c r="BW113" s="113">
        <f t="shared" si="106"/>
        <v>1173810.7477924728</v>
      </c>
      <c r="BX113" s="113">
        <f t="shared" si="99"/>
        <v>25946.441680834021</v>
      </c>
      <c r="BY113" s="120">
        <f t="shared" si="100"/>
        <v>35330.179079255307</v>
      </c>
      <c r="BZ113" s="153">
        <f t="shared" si="107"/>
        <v>0</v>
      </c>
      <c r="CA113" s="120">
        <f t="shared" si="110"/>
        <v>35330.179079255307</v>
      </c>
      <c r="CB113" s="120">
        <f t="shared" si="101"/>
        <v>8832.5447698138269</v>
      </c>
      <c r="CC113" s="153">
        <f t="shared" si="102"/>
        <v>52444.075990275502</v>
      </c>
      <c r="CD113" s="7">
        <f t="shared" si="74"/>
        <v>23704.06859343516</v>
      </c>
      <c r="CE113" s="11">
        <f>SUM($CD$9:CD113)</f>
        <v>24474378.672361542</v>
      </c>
      <c r="CF113" s="11">
        <f t="shared" si="103"/>
        <v>12000000</v>
      </c>
      <c r="CG113">
        <f t="shared" si="104"/>
        <v>12474378.672361542</v>
      </c>
    </row>
    <row r="114" spans="1:85">
      <c r="A114">
        <f t="shared" si="75"/>
        <v>2026</v>
      </c>
      <c r="B114">
        <f t="shared" si="76"/>
        <v>30.416666666666668</v>
      </c>
      <c r="C114">
        <f t="shared" si="111"/>
        <v>9</v>
      </c>
      <c r="E114" s="97">
        <v>46023</v>
      </c>
      <c r="F114" s="2">
        <f>$F$6*EXP(-$F$3*COUNT($E$9:$E114))</f>
        <v>4.0005828190078869</v>
      </c>
      <c r="G114" s="260">
        <f>$F$6/(1+$F$5*$F$3*COUNT($E$9:$E114))^(1/$F$5)</f>
        <v>16.721659849443579</v>
      </c>
      <c r="H114" s="260">
        <f>$H$6/(1+$H$5*$H$3*COUNT($E$9:$E114))^(1/$H$5)</f>
        <v>190.58768156032843</v>
      </c>
      <c r="I114" s="260">
        <f t="shared" si="77"/>
        <v>36.302415535300653</v>
      </c>
      <c r="J114" s="260">
        <f t="shared" si="78"/>
        <v>15.116325828899193</v>
      </c>
      <c r="K114" s="260">
        <f t="shared" si="78"/>
        <v>10.284474321150675</v>
      </c>
      <c r="L114" s="260">
        <f t="shared" si="78"/>
        <v>4.9044563388191182</v>
      </c>
      <c r="M114" s="260">
        <f t="shared" si="78"/>
        <v>6.0007892879851985</v>
      </c>
      <c r="N114" s="19">
        <f t="shared" si="79"/>
        <v>121.68439407815657</v>
      </c>
      <c r="O114" s="19">
        <f t="shared" si="80"/>
        <v>508.61715375390889</v>
      </c>
      <c r="P114" s="19">
        <f t="shared" si="81"/>
        <v>5797.0419807933231</v>
      </c>
      <c r="Q114" s="19">
        <f t="shared" si="82"/>
        <v>1104.1984725320615</v>
      </c>
      <c r="R114" s="19">
        <f t="shared" si="83"/>
        <v>459.78824396235046</v>
      </c>
      <c r="S114" s="19">
        <f t="shared" si="84"/>
        <v>312.81942726833307</v>
      </c>
      <c r="T114" s="19">
        <f t="shared" si="85"/>
        <v>149.17721363908151</v>
      </c>
      <c r="U114" s="19">
        <f t="shared" si="86"/>
        <v>182.52400750954979</v>
      </c>
      <c r="V114" s="261">
        <f t="shared" si="105"/>
        <v>2190.7080759656105</v>
      </c>
      <c r="W114" s="261">
        <f>SUM(O$9:O114)</f>
        <v>543137.05531833135</v>
      </c>
      <c r="X114" s="261">
        <f>SUM(P$9:P114)</f>
        <v>2104427.754847052</v>
      </c>
      <c r="Y114" s="261">
        <f>SUM(Q$9:Q114)</f>
        <v>400843.38187562872</v>
      </c>
      <c r="Z114" s="261">
        <f>SUM($V$9:V114)</f>
        <v>1153765.5162828576</v>
      </c>
      <c r="AB114" s="257">
        <f t="array" ref="AB114">(INDEX(PriceDeck!$C$18:$O$77,MATCH('Decline and Model'!$A114,PriceDeck!$B$18:$B$77,0),MATCH('Decline and Model'!AB$8,PriceDeck!$C$13:$O$13,0))*(1+$AE$6))</f>
        <v>83.7</v>
      </c>
      <c r="AC114" s="257">
        <f t="array" ref="AC114">INDEX(PriceDeck!$C$18:$O$77,MATCH('Decline and Model'!$A114,PriceDeck!$B$18:$B$77,0),MATCH('Decline and Model'!AC$8,PriceDeck!$C$13:$O$13,0))*(1+$AE$6)</f>
        <v>95.6</v>
      </c>
      <c r="AD114" s="257">
        <f t="array" ref="AD114">INDEX(PriceDeck!$C$18:$O$77,MATCH('Decline and Model'!$A114,PriceDeck!$B$18:$B$77,0),MATCH('Decline and Model'!AD$8,PriceDeck!$C$13:$O$13,0))*(1+$AE$6)</f>
        <v>16.600000000000001</v>
      </c>
      <c r="AE114" s="257">
        <f t="array" ref="AE114">INDEX(PriceDeck!$C$18:$O$77,MATCH('Decline and Model'!$A114,PriceDeck!$B$18:$B$77,0),MATCH('Decline and Model'!AE$8,PriceDeck!$C$13:$O$13,0))*(1+$AE$6)</f>
        <v>33.6</v>
      </c>
      <c r="AF114" s="257">
        <f t="array" ref="AF114">INDEX(PriceDeck!$C$18:$O$77,MATCH('Decline and Model'!$A114,PriceDeck!$B$18:$B$77,0),MATCH('Decline and Model'!AF$8,PriceDeck!$C$13:$O$13,0))*(1+$AE$6)</f>
        <v>99.2</v>
      </c>
      <c r="AG114" s="257">
        <f t="array" ref="AG114">INDEX(PriceDeck!$C$18:$O$77,MATCH('Decline and Model'!$A114,PriceDeck!$B$18:$B$77,0),MATCH('Decline and Model'!AG$8,PriceDeck!$C$13:$O$13,0))*(1+$AE$6)</f>
        <v>70</v>
      </c>
      <c r="AH114" s="258">
        <f t="array" ref="AH114">INDEX(PriceDeck!$C$18:$O$77,MATCH('Decline and Model'!$A114,PriceDeck!$B$18:$B$77,0),MATCH('Decline and Model'!AH$8,PriceDeck!$C$13:$O$13,0))</f>
        <v>0.85</v>
      </c>
      <c r="AI114" s="258">
        <f t="shared" si="87"/>
        <v>4.4000000000000004</v>
      </c>
      <c r="AJ114" s="259">
        <f t="shared" si="62"/>
        <v>4.4000000000000004</v>
      </c>
      <c r="AK114" s="120">
        <v>4.4000000000000004</v>
      </c>
      <c r="AL114" s="120"/>
      <c r="AN114" s="7">
        <f t="shared" si="88"/>
        <v>48623.799898873687</v>
      </c>
      <c r="AO114" s="7">
        <f t="shared" si="89"/>
        <v>25506.984715490624</v>
      </c>
      <c r="AP114" s="7">
        <f t="shared" si="90"/>
        <v>7632.4848497750181</v>
      </c>
      <c r="AQ114" s="7">
        <f t="shared" si="91"/>
        <v>10510.732756215992</v>
      </c>
      <c r="AR114" s="7">
        <f t="shared" si="92"/>
        <v>14798.379592996887</v>
      </c>
      <c r="AS114" s="7">
        <f t="shared" si="93"/>
        <v>12776.680525668486</v>
      </c>
      <c r="AT114" s="7">
        <f t="shared" si="94"/>
        <v>119849.0623390207</v>
      </c>
      <c r="AU114">
        <f>SUM($AT$9:AT114)</f>
        <v>61591320.678389646</v>
      </c>
      <c r="AV114" s="7">
        <f>AT114/(1+$AR$5)^(COUNT($E$9:E114))</f>
        <v>53762.145002769379</v>
      </c>
      <c r="AW114" s="7">
        <f t="shared" si="109"/>
        <v>0</v>
      </c>
      <c r="AX114" s="7">
        <f t="shared" si="95"/>
        <v>0</v>
      </c>
      <c r="AY114" s="117">
        <f t="shared" si="96"/>
        <v>0</v>
      </c>
      <c r="AZ114" s="117">
        <f t="shared" si="97"/>
        <v>119849.0623390207</v>
      </c>
      <c r="BA114" s="120">
        <f t="shared" si="98"/>
        <v>29853.369574255757</v>
      </c>
      <c r="BB114" s="119">
        <f t="shared" si="63"/>
        <v>0</v>
      </c>
      <c r="BC114" s="17"/>
      <c r="BD114" s="126">
        <f t="shared" si="64"/>
        <v>0.40570863843164712</v>
      </c>
      <c r="BE114" s="127">
        <f t="shared" si="65"/>
        <v>0.21282590132693935</v>
      </c>
      <c r="BF114" s="127">
        <f t="shared" si="66"/>
        <v>6.3684143211607078E-2</v>
      </c>
      <c r="BG114" s="127">
        <f t="shared" si="67"/>
        <v>8.7699749594068246E-2</v>
      </c>
      <c r="BH114" s="127">
        <f t="shared" si="68"/>
        <v>0.12347513868015303</v>
      </c>
      <c r="BI114" s="128">
        <f t="shared" si="69"/>
        <v>0.10660642875558508</v>
      </c>
      <c r="BJ114" s="126">
        <f t="array" ref="BJ114">BD114*INDEX(Royalty!$U$7:$Z$246,MATCH('Decline and Model'!$E114,Royalty!$AI$7:$AI$246,0),MATCH('Decline and Model'!BJ$8,Royalty!$U$1:$Z$1,0))</f>
        <v>0.11989597806668323</v>
      </c>
      <c r="BK114" s="127">
        <f t="array" ref="BK114">BE114*INDEX(Royalty!$U$7:$Z$246,MATCH('Decline and Model'!$E114,Royalty!$AI$7:$AI$246,0),MATCH('Decline and Model'!BK$8,Royalty!$U$1:$Z$1,0))</f>
        <v>6.1015371790963641E-2</v>
      </c>
      <c r="BL114" s="127">
        <f t="array" ref="BL114">BF114*INDEX(Royalty!$U$7:$Z$246,MATCH('Decline and Model'!$E114,Royalty!$AI$7:$AI$246,0),MATCH('Decline and Model'!BL$8,Royalty!$U$1:$Z$1,0))</f>
        <v>1.8883819043739709E-2</v>
      </c>
      <c r="BM114" s="127">
        <f t="array" ref="BM114">BG114*INDEX(Royalty!$U$7:$Z$246,MATCH('Decline and Model'!$E114,Royalty!$AI$7:$AI$246,0),MATCH('Decline and Model'!BM$8,Royalty!$U$1:$Z$1,0))</f>
        <v>2.5178746023556263E-2</v>
      </c>
      <c r="BN114" s="127">
        <f t="array" ref="BN114">BH114*INDEX(Royalty!$U$7:$Z$246,MATCH('Decline and Model'!$E114,Royalty!$AI$7:$AI$246,0),MATCH('Decline and Model'!BN$8,Royalty!$U$1:$Z$1,0))</f>
        <v>1.8787154021364657E-2</v>
      </c>
      <c r="BO114" s="127">
        <f t="array" ref="BO114">BI114*INDEX(Royalty!$U$7:$Z$246,MATCH('Decline and Model'!$E114,Royalty!$AI$7:$AI$246,0),MATCH('Decline and Model'!BO$8,Royalty!$U$1:$Z$1,0))</f>
        <v>5.3303214377792545E-3</v>
      </c>
      <c r="BP114" s="135">
        <f t="shared" si="70"/>
        <v>0.24909139038408676</v>
      </c>
      <c r="BQ114" s="7"/>
      <c r="BR114" s="7"/>
      <c r="BS114">
        <v>106</v>
      </c>
      <c r="BT114" s="120">
        <f t="shared" si="71"/>
        <v>29853.369574255757</v>
      </c>
      <c r="BU114" s="113">
        <f t="shared" si="72"/>
        <v>21907.080759656106</v>
      </c>
      <c r="BV114" s="113">
        <f t="shared" si="73"/>
        <v>6572.1242278968311</v>
      </c>
      <c r="BW114" s="113">
        <f t="shared" si="106"/>
        <v>1147864.3061116389</v>
      </c>
      <c r="BX114" s="113">
        <f t="shared" si="99"/>
        <v>25372.909842619894</v>
      </c>
      <c r="BY114" s="120">
        <f t="shared" si="100"/>
        <v>36143.577934592118</v>
      </c>
      <c r="BZ114" s="153">
        <f t="shared" si="107"/>
        <v>0</v>
      </c>
      <c r="CA114" s="120">
        <f t="shared" si="110"/>
        <v>36143.577934592118</v>
      </c>
      <c r="CB114" s="120">
        <f t="shared" si="101"/>
        <v>9035.8944836480296</v>
      </c>
      <c r="CC114" s="153">
        <f t="shared" si="102"/>
        <v>52480.593293563987</v>
      </c>
      <c r="CD114" s="7">
        <f t="shared" si="74"/>
        <v>23541.855158605889</v>
      </c>
      <c r="CE114" s="11">
        <f>SUM($CD$9:CD114)</f>
        <v>24497920.527520146</v>
      </c>
      <c r="CF114" s="11">
        <f t="shared" si="103"/>
        <v>12000000</v>
      </c>
      <c r="CG114">
        <f t="shared" si="104"/>
        <v>12497920.527520146</v>
      </c>
    </row>
    <row r="115" spans="1:85">
      <c r="A115">
        <f t="shared" si="75"/>
        <v>2026</v>
      </c>
      <c r="B115">
        <f t="shared" si="76"/>
        <v>30.416666666666668</v>
      </c>
      <c r="C115">
        <f t="shared" si="111"/>
        <v>9</v>
      </c>
      <c r="E115" s="97">
        <v>46054</v>
      </c>
      <c r="F115" s="2">
        <f>$F$6*EXP(-$F$3*COUNT($E$9:$E115))</f>
        <v>3.8054720925923173</v>
      </c>
      <c r="G115" s="260">
        <f>$F$6/(1+$F$5*$F$3*COUNT($E$9:$E115))^(1/$F$5)</f>
        <v>16.269640406310785</v>
      </c>
      <c r="H115" s="260">
        <f>$H$6/(1+$H$5*$H$3*COUNT($E$9:$E115))^(1/$H$5)</f>
        <v>188.44077076258046</v>
      </c>
      <c r="I115" s="260">
        <f t="shared" si="77"/>
        <v>35.89348014525342</v>
      </c>
      <c r="J115" s="260">
        <f t="shared" si="78"/>
        <v>14.946045132483524</v>
      </c>
      <c r="K115" s="260">
        <f t="shared" si="78"/>
        <v>10.168622925150293</v>
      </c>
      <c r="L115" s="260">
        <f t="shared" si="78"/>
        <v>4.8492091676237372</v>
      </c>
      <c r="M115" s="260">
        <f t="shared" si="78"/>
        <v>5.9331922680103908</v>
      </c>
      <c r="N115" s="19">
        <f t="shared" si="79"/>
        <v>115.74977614968299</v>
      </c>
      <c r="O115" s="19">
        <f t="shared" si="80"/>
        <v>494.86822902528638</v>
      </c>
      <c r="P115" s="19">
        <f t="shared" si="81"/>
        <v>5731.7401106951556</v>
      </c>
      <c r="Q115" s="19">
        <f t="shared" si="82"/>
        <v>1091.7600210847916</v>
      </c>
      <c r="R115" s="19">
        <f t="shared" si="83"/>
        <v>454.60887277970721</v>
      </c>
      <c r="S115" s="19">
        <f t="shared" si="84"/>
        <v>309.29561397332145</v>
      </c>
      <c r="T115" s="19">
        <f t="shared" si="85"/>
        <v>147.49677884855535</v>
      </c>
      <c r="U115" s="19">
        <f t="shared" si="86"/>
        <v>180.46793148531606</v>
      </c>
      <c r="V115" s="261">
        <f t="shared" si="105"/>
        <v>2158.0109215606276</v>
      </c>
      <c r="W115" s="261">
        <f>SUM(O$9:O115)</f>
        <v>543631.92354735662</v>
      </c>
      <c r="X115" s="261">
        <f>SUM(P$9:P115)</f>
        <v>2110159.4949577474</v>
      </c>
      <c r="Y115" s="261">
        <f>SUM(Q$9:Q115)</f>
        <v>401935.14189671353</v>
      </c>
      <c r="Z115" s="261">
        <f>SUM($V$9:V115)</f>
        <v>1155923.5272044183</v>
      </c>
      <c r="AB115" s="257">
        <f t="array" ref="AB115">(INDEX(PriceDeck!$C$18:$O$77,MATCH('Decline and Model'!$A115,PriceDeck!$B$18:$B$77,0),MATCH('Decline and Model'!AB$8,PriceDeck!$C$13:$O$13,0))*(1+$AE$6))</f>
        <v>83.7</v>
      </c>
      <c r="AC115" s="257">
        <f t="array" ref="AC115">INDEX(PriceDeck!$C$18:$O$77,MATCH('Decline and Model'!$A115,PriceDeck!$B$18:$B$77,0),MATCH('Decline and Model'!AC$8,PriceDeck!$C$13:$O$13,0))*(1+$AE$6)</f>
        <v>95.6</v>
      </c>
      <c r="AD115" s="257">
        <f t="array" ref="AD115">INDEX(PriceDeck!$C$18:$O$77,MATCH('Decline and Model'!$A115,PriceDeck!$B$18:$B$77,0),MATCH('Decline and Model'!AD$8,PriceDeck!$C$13:$O$13,0))*(1+$AE$6)</f>
        <v>16.600000000000001</v>
      </c>
      <c r="AE115" s="257">
        <f t="array" ref="AE115">INDEX(PriceDeck!$C$18:$O$77,MATCH('Decline and Model'!$A115,PriceDeck!$B$18:$B$77,0),MATCH('Decline and Model'!AE$8,PriceDeck!$C$13:$O$13,0))*(1+$AE$6)</f>
        <v>33.6</v>
      </c>
      <c r="AF115" s="257">
        <f t="array" ref="AF115">INDEX(PriceDeck!$C$18:$O$77,MATCH('Decline and Model'!$A115,PriceDeck!$B$18:$B$77,0),MATCH('Decline and Model'!AF$8,PriceDeck!$C$13:$O$13,0))*(1+$AE$6)</f>
        <v>99.2</v>
      </c>
      <c r="AG115" s="257">
        <f t="array" ref="AG115">INDEX(PriceDeck!$C$18:$O$77,MATCH('Decline and Model'!$A115,PriceDeck!$B$18:$B$77,0),MATCH('Decline and Model'!AG$8,PriceDeck!$C$13:$O$13,0))*(1+$AE$6)</f>
        <v>70</v>
      </c>
      <c r="AH115" s="258">
        <f t="array" ref="AH115">INDEX(PriceDeck!$C$18:$O$77,MATCH('Decline and Model'!$A115,PriceDeck!$B$18:$B$77,0),MATCH('Decline and Model'!AH$8,PriceDeck!$C$13:$O$13,0))</f>
        <v>0.85</v>
      </c>
      <c r="AI115" s="258">
        <f t="shared" si="87"/>
        <v>4.4000000000000004</v>
      </c>
      <c r="AJ115" s="259">
        <f t="shared" si="62"/>
        <v>4.4000000000000004</v>
      </c>
      <c r="AK115" s="120">
        <v>4.4000000000000004</v>
      </c>
      <c r="AL115" s="120"/>
      <c r="AN115" s="7">
        <f t="shared" si="88"/>
        <v>47309.402694817378</v>
      </c>
      <c r="AO115" s="7">
        <f t="shared" si="89"/>
        <v>25219.656487058688</v>
      </c>
      <c r="AP115" s="7">
        <f t="shared" si="90"/>
        <v>7546.5072881431406</v>
      </c>
      <c r="AQ115" s="7">
        <f t="shared" si="91"/>
        <v>10392.3326295036</v>
      </c>
      <c r="AR115" s="7">
        <f t="shared" si="92"/>
        <v>14631.680461776692</v>
      </c>
      <c r="AS115" s="7">
        <f t="shared" si="93"/>
        <v>12632.755203972123</v>
      </c>
      <c r="AT115" s="7">
        <f t="shared" si="94"/>
        <v>117732.33476527162</v>
      </c>
      <c r="AU115">
        <f>SUM($AT$9:AT115)</f>
        <v>61709053.013154916</v>
      </c>
      <c r="AV115" s="7">
        <f>AT115/(1+$AR$5)^(COUNT($E$9:E115))</f>
        <v>52414.710811625708</v>
      </c>
      <c r="AW115" s="7">
        <f t="shared" si="109"/>
        <v>0</v>
      </c>
      <c r="AX115" s="7">
        <f t="shared" si="95"/>
        <v>0</v>
      </c>
      <c r="AY115" s="117">
        <f t="shared" si="96"/>
        <v>0</v>
      </c>
      <c r="AZ115" s="117">
        <f t="shared" si="97"/>
        <v>117732.33476527162</v>
      </c>
      <c r="BA115" s="120">
        <f t="shared" si="98"/>
        <v>29290.513941264966</v>
      </c>
      <c r="BB115" s="119">
        <f t="shared" si="63"/>
        <v>0</v>
      </c>
      <c r="BC115" s="17"/>
      <c r="BD115" s="126">
        <f t="shared" si="64"/>
        <v>0.40183865196541219</v>
      </c>
      <c r="BE115" s="127">
        <f t="shared" si="65"/>
        <v>0.21421180967268066</v>
      </c>
      <c r="BF115" s="127">
        <f t="shared" si="66"/>
        <v>6.4098850185796113E-2</v>
      </c>
      <c r="BG115" s="127">
        <f t="shared" si="67"/>
        <v>8.8270844625847888E-2</v>
      </c>
      <c r="BH115" s="127">
        <f t="shared" si="68"/>
        <v>0.12427920070512954</v>
      </c>
      <c r="BI115" s="128">
        <f t="shared" si="69"/>
        <v>0.10730064284513366</v>
      </c>
      <c r="BJ115" s="126">
        <f t="array" ref="BJ115">BD115*INDEX(Royalty!$U$7:$Z$246,MATCH('Decline and Model'!$E115,Royalty!$AI$7:$AI$246,0),MATCH('Decline and Model'!BJ$8,Royalty!$U$1:$Z$1,0))</f>
        <v>0.11875231049709994</v>
      </c>
      <c r="BK115" s="127">
        <f t="array" ref="BK115">BE115*INDEX(Royalty!$U$7:$Z$246,MATCH('Decline and Model'!$E115,Royalty!$AI$7:$AI$246,0),MATCH('Decline and Model'!BK$8,Royalty!$U$1:$Z$1,0))</f>
        <v>6.1412699900260367E-2</v>
      </c>
      <c r="BL115" s="127">
        <f t="array" ref="BL115">BF115*INDEX(Royalty!$U$7:$Z$246,MATCH('Decline and Model'!$E115,Royalty!$AI$7:$AI$246,0),MATCH('Decline and Model'!BL$8,Royalty!$U$1:$Z$1,0))</f>
        <v>1.9006789237917265E-2</v>
      </c>
      <c r="BM115" s="127">
        <f t="array" ref="BM115">BG115*INDEX(Royalty!$U$7:$Z$246,MATCH('Decline and Model'!$E115,Royalty!$AI$7:$AI$246,0),MATCH('Decline and Model'!BM$8,Royalty!$U$1:$Z$1,0))</f>
        <v>2.5342708370393648E-2</v>
      </c>
      <c r="BN115" s="127">
        <f t="array" ref="BN115">BH115*INDEX(Royalty!$U$7:$Z$246,MATCH('Decline and Model'!$E115,Royalty!$AI$7:$AI$246,0),MATCH('Decline and Model'!BN$8,Royalty!$U$1:$Z$1,0))</f>
        <v>1.8909494739240619E-2</v>
      </c>
      <c r="BO115" s="127">
        <f t="array" ref="BO115">BI115*INDEX(Royalty!$U$7:$Z$246,MATCH('Decline and Model'!$E115,Royalty!$AI$7:$AI$246,0),MATCH('Decline and Model'!BO$8,Royalty!$U$1:$Z$1,0))</f>
        <v>5.3650321422566835E-3</v>
      </c>
      <c r="BP115" s="135">
        <f t="shared" si="70"/>
        <v>0.24878903488716853</v>
      </c>
      <c r="BQ115" s="7"/>
      <c r="BR115" s="7"/>
      <c r="BS115">
        <v>107</v>
      </c>
      <c r="BT115" s="120">
        <f t="shared" si="71"/>
        <v>29290.513941264966</v>
      </c>
      <c r="BU115" s="113">
        <f t="shared" si="72"/>
        <v>21580.109215606277</v>
      </c>
      <c r="BV115" s="113">
        <f t="shared" si="73"/>
        <v>6474.0327646818823</v>
      </c>
      <c r="BW115" s="113">
        <f t="shared" si="106"/>
        <v>1122491.396269019</v>
      </c>
      <c r="BX115" s="113">
        <f t="shared" si="99"/>
        <v>24812.055610587431</v>
      </c>
      <c r="BY115" s="120">
        <f t="shared" si="100"/>
        <v>35575.62323313106</v>
      </c>
      <c r="BZ115" s="153">
        <f t="shared" si="107"/>
        <v>0</v>
      </c>
      <c r="CA115" s="120">
        <f t="shared" si="110"/>
        <v>35575.62323313106</v>
      </c>
      <c r="CB115" s="120">
        <f t="shared" si="101"/>
        <v>8893.9058082827651</v>
      </c>
      <c r="CC115" s="153">
        <f t="shared" si="102"/>
        <v>51493.773035435726</v>
      </c>
      <c r="CD115" s="7">
        <f t="shared" si="74"/>
        <v>22925.14819852198</v>
      </c>
      <c r="CE115" s="11">
        <f>SUM($CD$9:CD115)</f>
        <v>24520845.675718669</v>
      </c>
      <c r="CF115" s="11">
        <f t="shared" si="103"/>
        <v>12000000</v>
      </c>
      <c r="CG115">
        <f t="shared" si="104"/>
        <v>12520845.675718669</v>
      </c>
    </row>
    <row r="116" spans="1:85">
      <c r="A116">
        <f t="shared" si="75"/>
        <v>2026</v>
      </c>
      <c r="B116">
        <f t="shared" si="76"/>
        <v>30.416666666666668</v>
      </c>
      <c r="C116">
        <f t="shared" si="111"/>
        <v>9</v>
      </c>
      <c r="E116" s="97">
        <v>46082</v>
      </c>
      <c r="F116" s="2">
        <f>$F$6*EXP(-$F$3*COUNT($E$9:$E116))</f>
        <v>3.6198770285901181</v>
      </c>
      <c r="G116" s="260">
        <f>$F$6/(1+$F$5*$F$3*COUNT($E$9:$E116))^(1/$F$5)</f>
        <v>15.831673058495767</v>
      </c>
      <c r="H116" s="260">
        <f>$H$6/(1+$H$5*$H$3*COUNT($E$9:$E116))^(1/$H$5)</f>
        <v>186.3349901234304</v>
      </c>
      <c r="I116" s="260">
        <f t="shared" si="77"/>
        <v>35.492379071129598</v>
      </c>
      <c r="J116" s="260">
        <f t="shared" si="78"/>
        <v>14.779026645218364</v>
      </c>
      <c r="K116" s="260">
        <f t="shared" si="78"/>
        <v>10.054990990851016</v>
      </c>
      <c r="L116" s="260">
        <f t="shared" si="78"/>
        <v>4.7950204125096088</v>
      </c>
      <c r="M116" s="260">
        <f t="shared" si="78"/>
        <v>5.8668902604577227</v>
      </c>
      <c r="N116" s="19">
        <f t="shared" si="79"/>
        <v>110.10459295294943</v>
      </c>
      <c r="O116" s="19">
        <f t="shared" si="80"/>
        <v>481.54672219591293</v>
      </c>
      <c r="P116" s="19">
        <f t="shared" si="81"/>
        <v>5667.6892829210083</v>
      </c>
      <c r="Q116" s="19">
        <f t="shared" si="82"/>
        <v>1079.5598634135254</v>
      </c>
      <c r="R116" s="19">
        <f t="shared" si="83"/>
        <v>449.52872712539192</v>
      </c>
      <c r="S116" s="19">
        <f t="shared" si="84"/>
        <v>305.83930930505176</v>
      </c>
      <c r="T116" s="19">
        <f t="shared" si="85"/>
        <v>145.84853754716727</v>
      </c>
      <c r="U116" s="19">
        <f t="shared" si="86"/>
        <v>178.45124542225574</v>
      </c>
      <c r="V116" s="261">
        <f t="shared" si="105"/>
        <v>2126.1041920752859</v>
      </c>
      <c r="W116" s="261">
        <f>SUM(O$9:O116)</f>
        <v>544113.47026955255</v>
      </c>
      <c r="X116" s="261">
        <f>SUM(P$9:P116)</f>
        <v>2115827.1842406685</v>
      </c>
      <c r="Y116" s="261">
        <f>SUM(Q$9:Q116)</f>
        <v>403014.70176012703</v>
      </c>
      <c r="Z116" s="261">
        <f>SUM($V$9:V116)</f>
        <v>1158049.6313964936</v>
      </c>
      <c r="AB116" s="257">
        <f t="array" ref="AB116">(INDEX(PriceDeck!$C$18:$O$77,MATCH('Decline and Model'!$A116,PriceDeck!$B$18:$B$77,0),MATCH('Decline and Model'!AB$8,PriceDeck!$C$13:$O$13,0))*(1+$AE$6))</f>
        <v>83.7</v>
      </c>
      <c r="AC116" s="257">
        <f t="array" ref="AC116">INDEX(PriceDeck!$C$18:$O$77,MATCH('Decline and Model'!$A116,PriceDeck!$B$18:$B$77,0),MATCH('Decline and Model'!AC$8,PriceDeck!$C$13:$O$13,0))*(1+$AE$6)</f>
        <v>95.6</v>
      </c>
      <c r="AD116" s="257">
        <f t="array" ref="AD116">INDEX(PriceDeck!$C$18:$O$77,MATCH('Decline and Model'!$A116,PriceDeck!$B$18:$B$77,0),MATCH('Decline and Model'!AD$8,PriceDeck!$C$13:$O$13,0))*(1+$AE$6)</f>
        <v>16.600000000000001</v>
      </c>
      <c r="AE116" s="257">
        <f t="array" ref="AE116">INDEX(PriceDeck!$C$18:$O$77,MATCH('Decline and Model'!$A116,PriceDeck!$B$18:$B$77,0),MATCH('Decline and Model'!AE$8,PriceDeck!$C$13:$O$13,0))*(1+$AE$6)</f>
        <v>33.6</v>
      </c>
      <c r="AF116" s="257">
        <f t="array" ref="AF116">INDEX(PriceDeck!$C$18:$O$77,MATCH('Decline and Model'!$A116,PriceDeck!$B$18:$B$77,0),MATCH('Decline and Model'!AF$8,PriceDeck!$C$13:$O$13,0))*(1+$AE$6)</f>
        <v>99.2</v>
      </c>
      <c r="AG116" s="257">
        <f t="array" ref="AG116">INDEX(PriceDeck!$C$18:$O$77,MATCH('Decline and Model'!$A116,PriceDeck!$B$18:$B$77,0),MATCH('Decline and Model'!AG$8,PriceDeck!$C$13:$O$13,0))*(1+$AE$6)</f>
        <v>70</v>
      </c>
      <c r="AH116" s="258">
        <f t="array" ref="AH116">INDEX(PriceDeck!$C$18:$O$77,MATCH('Decline and Model'!$A116,PriceDeck!$B$18:$B$77,0),MATCH('Decline and Model'!AH$8,PriceDeck!$C$13:$O$13,0))</f>
        <v>0.85</v>
      </c>
      <c r="AI116" s="258">
        <f t="shared" si="87"/>
        <v>4.4000000000000004</v>
      </c>
      <c r="AJ116" s="259">
        <f t="shared" si="62"/>
        <v>4.4000000000000004</v>
      </c>
      <c r="AK116" s="120">
        <v>4.4000000000000004</v>
      </c>
      <c r="AL116" s="120"/>
      <c r="AN116" s="7">
        <f t="shared" si="88"/>
        <v>46035.866641929271</v>
      </c>
      <c r="AO116" s="7">
        <f t="shared" si="89"/>
        <v>24937.832844852437</v>
      </c>
      <c r="AP116" s="7">
        <f t="shared" si="90"/>
        <v>7462.176870281507</v>
      </c>
      <c r="AQ116" s="7">
        <f t="shared" si="91"/>
        <v>10276.200792649739</v>
      </c>
      <c r="AR116" s="7">
        <f t="shared" si="92"/>
        <v>14468.174924678993</v>
      </c>
      <c r="AS116" s="7">
        <f t="shared" si="93"/>
        <v>12491.587179557902</v>
      </c>
      <c r="AT116" s="7">
        <f t="shared" si="94"/>
        <v>115671.83925394985</v>
      </c>
      <c r="AU116">
        <f>SUM($AT$9:AT116)</f>
        <v>61824724.852408864</v>
      </c>
      <c r="AV116" s="7">
        <f>AT116/(1+$AR$5)^(COUNT($E$9:E116))</f>
        <v>51109.374819009092</v>
      </c>
      <c r="AW116" s="7">
        <f t="shared" si="109"/>
        <v>0</v>
      </c>
      <c r="AX116" s="7">
        <f t="shared" si="95"/>
        <v>0</v>
      </c>
      <c r="AY116" s="117">
        <f t="shared" si="96"/>
        <v>0</v>
      </c>
      <c r="AZ116" s="117">
        <f t="shared" si="97"/>
        <v>115671.83925394985</v>
      </c>
      <c r="BA116" s="120">
        <f t="shared" si="98"/>
        <v>28743.075237293851</v>
      </c>
      <c r="BB116" s="119">
        <f t="shared" si="63"/>
        <v>0</v>
      </c>
      <c r="BC116" s="17"/>
      <c r="BD116" s="126">
        <f t="shared" si="64"/>
        <v>0.39798681285650334</v>
      </c>
      <c r="BE116" s="127">
        <f t="shared" si="65"/>
        <v>0.21559121913937135</v>
      </c>
      <c r="BF116" s="127">
        <f t="shared" si="66"/>
        <v>6.4511612492810746E-2</v>
      </c>
      <c r="BG116" s="127">
        <f t="shared" si="67"/>
        <v>8.8839261646812953E-2</v>
      </c>
      <c r="BH116" s="127">
        <f t="shared" si="68"/>
        <v>0.1250794922774166</v>
      </c>
      <c r="BI116" s="128">
        <f t="shared" si="69"/>
        <v>0.1079916015870851</v>
      </c>
      <c r="BJ116" s="126">
        <f t="array" ref="BJ116">BD116*INDEX(Royalty!$U$7:$Z$246,MATCH('Decline and Model'!$E116,Royalty!$AI$7:$AI$246,0),MATCH('Decline and Model'!BJ$8,Royalty!$U$1:$Z$1,0))</f>
        <v>0.11761400587754985</v>
      </c>
      <c r="BK116" s="127">
        <f t="array" ref="BK116">BE116*INDEX(Royalty!$U$7:$Z$246,MATCH('Decline and Model'!$E116,Royalty!$AI$7:$AI$246,0),MATCH('Decline and Model'!BK$8,Royalty!$U$1:$Z$1,0))</f>
        <v>6.180816483632947E-2</v>
      </c>
      <c r="BL116" s="127">
        <f t="array" ref="BL116">BF116*INDEX(Royalty!$U$7:$Z$246,MATCH('Decline and Model'!$E116,Royalty!$AI$7:$AI$246,0),MATCH('Decline and Model'!BL$8,Royalty!$U$1:$Z$1,0))</f>
        <v>1.9129182793371745E-2</v>
      </c>
      <c r="BM116" s="127">
        <f t="array" ref="BM116">BG116*INDEX(Royalty!$U$7:$Z$246,MATCH('Decline and Model'!$E116,Royalty!$AI$7:$AI$246,0),MATCH('Decline and Model'!BM$8,Royalty!$U$1:$Z$1,0))</f>
        <v>2.550590185580941E-2</v>
      </c>
      <c r="BN116" s="127">
        <f t="array" ref="BN116">BH116*INDEX(Royalty!$U$7:$Z$246,MATCH('Decline and Model'!$E116,Royalty!$AI$7:$AI$246,0),MATCH('Decline and Model'!BN$8,Royalty!$U$1:$Z$1,0))</f>
        <v>1.903126177016904E-2</v>
      </c>
      <c r="BO116" s="127">
        <f t="array" ref="BO116">BI116*INDEX(Royalty!$U$7:$Z$246,MATCH('Decline and Model'!$E116,Royalty!$AI$7:$AI$246,0),MATCH('Decline and Model'!BO$8,Royalty!$U$1:$Z$1,0))</f>
        <v>5.3995800793542551E-3</v>
      </c>
      <c r="BP116" s="135">
        <f t="shared" si="70"/>
        <v>0.24848809721258378</v>
      </c>
      <c r="BQ116" s="7"/>
      <c r="BR116" s="7"/>
      <c r="BS116">
        <v>108</v>
      </c>
      <c r="BT116" s="120">
        <f t="shared" si="71"/>
        <v>28743.075237293851</v>
      </c>
      <c r="BU116" s="113">
        <f t="shared" si="72"/>
        <v>21261.041920752861</v>
      </c>
      <c r="BV116" s="113">
        <f t="shared" si="73"/>
        <v>6378.3125762258578</v>
      </c>
      <c r="BW116" s="113">
        <f t="shared" si="106"/>
        <v>1097679.3406584316</v>
      </c>
      <c r="BX116" s="113">
        <f t="shared" si="99"/>
        <v>24263.598753217153</v>
      </c>
      <c r="BY116" s="120">
        <f t="shared" si="100"/>
        <v>35025.810766460127</v>
      </c>
      <c r="BZ116" s="153">
        <f t="shared" si="107"/>
        <v>0</v>
      </c>
      <c r="CA116" s="120">
        <f t="shared" si="110"/>
        <v>35025.810766460127</v>
      </c>
      <c r="CB116" s="120">
        <f t="shared" si="101"/>
        <v>8756.4526916150317</v>
      </c>
      <c r="CC116" s="153">
        <f t="shared" si="102"/>
        <v>50532.956828062248</v>
      </c>
      <c r="CD116" s="7">
        <f t="shared" si="74"/>
        <v>22327.887650926641</v>
      </c>
      <c r="CE116" s="11">
        <f>SUM($CD$9:CD116)</f>
        <v>24543173.563369595</v>
      </c>
      <c r="CF116" s="11">
        <f t="shared" si="103"/>
        <v>12000000</v>
      </c>
      <c r="CG116">
        <f t="shared" si="104"/>
        <v>12543173.563369595</v>
      </c>
    </row>
    <row r="117" spans="1:85">
      <c r="A117">
        <f t="shared" si="75"/>
        <v>2026</v>
      </c>
      <c r="B117">
        <f t="shared" si="76"/>
        <v>30.416666666666668</v>
      </c>
      <c r="C117">
        <f t="shared" si="111"/>
        <v>10</v>
      </c>
      <c r="E117" s="97">
        <v>46113</v>
      </c>
      <c r="F117" s="2">
        <f>$F$6*EXP(-$F$3*COUNT($E$9:$E117))</f>
        <v>3.4433335426691336</v>
      </c>
      <c r="G117" s="260">
        <f>$F$6/(1+$F$5*$F$3*COUNT($E$9:$E117))^(1/$F$5)</f>
        <v>15.407264450476896</v>
      </c>
      <c r="H117" s="260">
        <f>$H$6/(1+$H$5*$H$3*COUNT($E$9:$E117))^(1/$H$5)</f>
        <v>184.2692321755182</v>
      </c>
      <c r="I117" s="260">
        <f t="shared" si="77"/>
        <v>35.098901366765368</v>
      </c>
      <c r="J117" s="260">
        <f t="shared" si="78"/>
        <v>14.6151825291211</v>
      </c>
      <c r="K117" s="260">
        <f t="shared" si="78"/>
        <v>9.9435187572046289</v>
      </c>
      <c r="L117" s="260">
        <f t="shared" si="78"/>
        <v>4.7418615746500015</v>
      </c>
      <c r="M117" s="260">
        <f t="shared" si="78"/>
        <v>5.8018483959263154</v>
      </c>
      <c r="N117" s="19">
        <f t="shared" si="79"/>
        <v>104.73472858951949</v>
      </c>
      <c r="O117" s="19">
        <f t="shared" si="80"/>
        <v>468.63762703533894</v>
      </c>
      <c r="P117" s="19">
        <f t="shared" si="81"/>
        <v>5604.8558120053458</v>
      </c>
      <c r="Q117" s="19">
        <f t="shared" si="82"/>
        <v>1067.5915832391133</v>
      </c>
      <c r="R117" s="19">
        <f t="shared" si="83"/>
        <v>444.54513526076681</v>
      </c>
      <c r="S117" s="19">
        <f t="shared" si="84"/>
        <v>302.44869553164079</v>
      </c>
      <c r="T117" s="19">
        <f t="shared" si="85"/>
        <v>144.2316228956042</v>
      </c>
      <c r="U117" s="19">
        <f t="shared" si="86"/>
        <v>176.47288870942543</v>
      </c>
      <c r="V117" s="261">
        <f t="shared" si="105"/>
        <v>2094.9631069811448</v>
      </c>
      <c r="W117" s="261">
        <f>SUM(O$9:O117)</f>
        <v>544582.10789658793</v>
      </c>
      <c r="X117" s="261">
        <f>SUM(P$9:P117)</f>
        <v>2121432.0400526738</v>
      </c>
      <c r="Y117" s="261">
        <f>SUM(Q$9:Q117)</f>
        <v>404082.29334336612</v>
      </c>
      <c r="Z117" s="261">
        <f>SUM($V$9:V117)</f>
        <v>1160144.5945034749</v>
      </c>
      <c r="AB117" s="257">
        <f t="array" ref="AB117">(INDEX(PriceDeck!$C$18:$O$77,MATCH('Decline and Model'!$A117,PriceDeck!$B$18:$B$77,0),MATCH('Decline and Model'!AB$8,PriceDeck!$C$13:$O$13,0))*(1+$AE$6))</f>
        <v>83.7</v>
      </c>
      <c r="AC117" s="257">
        <f t="array" ref="AC117">INDEX(PriceDeck!$C$18:$O$77,MATCH('Decline and Model'!$A117,PriceDeck!$B$18:$B$77,0),MATCH('Decline and Model'!AC$8,PriceDeck!$C$13:$O$13,0))*(1+$AE$6)</f>
        <v>95.6</v>
      </c>
      <c r="AD117" s="257">
        <f t="array" ref="AD117">INDEX(PriceDeck!$C$18:$O$77,MATCH('Decline and Model'!$A117,PriceDeck!$B$18:$B$77,0),MATCH('Decline and Model'!AD$8,PriceDeck!$C$13:$O$13,0))*(1+$AE$6)</f>
        <v>16.600000000000001</v>
      </c>
      <c r="AE117" s="257">
        <f t="array" ref="AE117">INDEX(PriceDeck!$C$18:$O$77,MATCH('Decline and Model'!$A117,PriceDeck!$B$18:$B$77,0),MATCH('Decline and Model'!AE$8,PriceDeck!$C$13:$O$13,0))*(1+$AE$6)</f>
        <v>33.6</v>
      </c>
      <c r="AF117" s="257">
        <f t="array" ref="AF117">INDEX(PriceDeck!$C$18:$O$77,MATCH('Decline and Model'!$A117,PriceDeck!$B$18:$B$77,0),MATCH('Decline and Model'!AF$8,PriceDeck!$C$13:$O$13,0))*(1+$AE$6)</f>
        <v>99.2</v>
      </c>
      <c r="AG117" s="257">
        <f t="array" ref="AG117">INDEX(PriceDeck!$C$18:$O$77,MATCH('Decline and Model'!$A117,PriceDeck!$B$18:$B$77,0),MATCH('Decline and Model'!AG$8,PriceDeck!$C$13:$O$13,0))*(1+$AE$6)</f>
        <v>70</v>
      </c>
      <c r="AH117" s="258">
        <f t="array" ref="AH117">INDEX(PriceDeck!$C$18:$O$77,MATCH('Decline and Model'!$A117,PriceDeck!$B$18:$B$77,0),MATCH('Decline and Model'!AH$8,PriceDeck!$C$13:$O$13,0))</f>
        <v>0.85</v>
      </c>
      <c r="AI117" s="258">
        <f t="shared" si="87"/>
        <v>4.4000000000000004</v>
      </c>
      <c r="AJ117" s="259">
        <f t="shared" si="62"/>
        <v>4.4000000000000004</v>
      </c>
      <c r="AK117" s="120">
        <v>4.4000000000000004</v>
      </c>
      <c r="AL117" s="120"/>
      <c r="AN117" s="7">
        <f t="shared" si="88"/>
        <v>44801.757144578398</v>
      </c>
      <c r="AO117" s="7">
        <f t="shared" si="89"/>
        <v>24661.365572823524</v>
      </c>
      <c r="AP117" s="7">
        <f t="shared" si="90"/>
        <v>7379.4492453287294</v>
      </c>
      <c r="AQ117" s="7">
        <f t="shared" si="91"/>
        <v>10162.276169863131</v>
      </c>
      <c r="AR117" s="7">
        <f t="shared" si="92"/>
        <v>14307.776991243938</v>
      </c>
      <c r="AS117" s="7">
        <f t="shared" si="93"/>
        <v>12353.102209659781</v>
      </c>
      <c r="AT117" s="7">
        <f t="shared" si="94"/>
        <v>113665.72733349749</v>
      </c>
      <c r="AU117">
        <f>SUM($AT$9:AT117)</f>
        <v>61938390.579742365</v>
      </c>
      <c r="AV117" s="7">
        <f>AT117/(1+$AR$5)^(COUNT($E$9:E117))</f>
        <v>49844.581361406083</v>
      </c>
      <c r="AW117" s="7">
        <f t="shared" si="109"/>
        <v>0</v>
      </c>
      <c r="AX117" s="7">
        <f t="shared" si="95"/>
        <v>0</v>
      </c>
      <c r="AY117" s="117">
        <f t="shared" si="96"/>
        <v>0</v>
      </c>
      <c r="AZ117" s="117">
        <f t="shared" si="97"/>
        <v>113665.72733349749</v>
      </c>
      <c r="BA117" s="120">
        <f t="shared" si="98"/>
        <v>28210.539533074225</v>
      </c>
      <c r="BB117" s="119">
        <f t="shared" si="63"/>
        <v>0</v>
      </c>
      <c r="BC117" s="17"/>
      <c r="BD117" s="126">
        <f t="shared" si="64"/>
        <v>0.39415361336781102</v>
      </c>
      <c r="BE117" s="127">
        <f t="shared" si="65"/>
        <v>0.21696395343925079</v>
      </c>
      <c r="BF117" s="127">
        <f t="shared" si="66"/>
        <v>6.4922377381858298E-2</v>
      </c>
      <c r="BG117" s="127">
        <f t="shared" si="67"/>
        <v>8.9404928013585058E-2</v>
      </c>
      <c r="BH117" s="127">
        <f t="shared" si="68"/>
        <v>0.12587591112019755</v>
      </c>
      <c r="BI117" s="128">
        <f t="shared" si="69"/>
        <v>0.10867921667729741</v>
      </c>
      <c r="BJ117" s="126">
        <f t="array" ref="BJ117">BD117*INDEX(Royalty!$U$7:$Z$246,MATCH('Decline and Model'!$E117,Royalty!$AI$7:$AI$246,0),MATCH('Decline and Model'!BJ$8,Royalty!$U$1:$Z$1,0))</f>
        <v>0.1164812096827286</v>
      </c>
      <c r="BK117" s="127">
        <f t="array" ref="BK117">BE117*INDEX(Royalty!$U$7:$Z$246,MATCH('Decline and Model'!$E117,Royalty!$AI$7:$AI$246,0),MATCH('Decline and Model'!BK$8,Royalty!$U$1:$Z$1,0))</f>
        <v>6.2201716058972643E-2</v>
      </c>
      <c r="BL117" s="127">
        <f t="array" ref="BL117">BF117*INDEX(Royalty!$U$7:$Z$246,MATCH('Decline and Model'!$E117,Royalty!$AI$7:$AI$246,0),MATCH('Decline and Model'!BL$8,Royalty!$U$1:$Z$1,0))</f>
        <v>1.9250984068275009E-2</v>
      </c>
      <c r="BM117" s="127">
        <f t="array" ref="BM117">BG117*INDEX(Royalty!$U$7:$Z$246,MATCH('Decline and Model'!$E117,Royalty!$AI$7:$AI$246,0),MATCH('Decline and Model'!BM$8,Royalty!$U$1:$Z$1,0))</f>
        <v>2.5668305623767103E-2</v>
      </c>
      <c r="BN117" s="127">
        <f t="array" ref="BN117">BH117*INDEX(Royalty!$U$7:$Z$246,MATCH('Decline and Model'!$E117,Royalty!$AI$7:$AI$246,0),MATCH('Decline and Model'!BN$8,Royalty!$U$1:$Z$1,0))</f>
        <v>1.9152439552391265E-2</v>
      </c>
      <c r="BO117" s="127">
        <f t="array" ref="BO117">BI117*INDEX(Royalty!$U$7:$Z$246,MATCH('Decline and Model'!$E117,Royalty!$AI$7:$AI$246,0),MATCH('Decline and Model'!BO$8,Royalty!$U$1:$Z$1,0))</f>
        <v>5.4339608338648711E-3</v>
      </c>
      <c r="BP117" s="135">
        <f t="shared" si="70"/>
        <v>0.24818861581999951</v>
      </c>
      <c r="BQ117" s="7"/>
      <c r="BR117" s="7"/>
      <c r="BS117">
        <v>109</v>
      </c>
      <c r="BT117" s="120">
        <f t="shared" si="71"/>
        <v>28210.539533074225</v>
      </c>
      <c r="BU117" s="113">
        <f t="shared" si="72"/>
        <v>20949.631069811447</v>
      </c>
      <c r="BV117" s="113">
        <f t="shared" si="73"/>
        <v>6284.8893209434345</v>
      </c>
      <c r="BW117" s="113">
        <f t="shared" si="106"/>
        <v>1073415.7419052145</v>
      </c>
      <c r="BX117" s="113">
        <f t="shared" si="99"/>
        <v>23727.265233353344</v>
      </c>
      <c r="BY117" s="120">
        <f t="shared" si="100"/>
        <v>34493.402176315052</v>
      </c>
      <c r="BZ117" s="153">
        <f t="shared" si="107"/>
        <v>0</v>
      </c>
      <c r="CA117" s="120">
        <f t="shared" si="110"/>
        <v>34493.402176315052</v>
      </c>
      <c r="CB117" s="120">
        <f t="shared" si="101"/>
        <v>8623.3505440787631</v>
      </c>
      <c r="CC117" s="153">
        <f t="shared" si="102"/>
        <v>49597.31686558963</v>
      </c>
      <c r="CD117" s="7">
        <f t="shared" si="74"/>
        <v>21749.365915382405</v>
      </c>
      <c r="CE117" s="11">
        <f>SUM($CD$9:CD117)</f>
        <v>24564922.929284979</v>
      </c>
      <c r="CF117" s="11">
        <f t="shared" si="103"/>
        <v>12000000</v>
      </c>
      <c r="CG117">
        <f t="shared" si="104"/>
        <v>12564922.929284979</v>
      </c>
    </row>
    <row r="118" spans="1:85">
      <c r="A118">
        <f t="shared" si="75"/>
        <v>2026</v>
      </c>
      <c r="B118">
        <f t="shared" si="76"/>
        <v>30.416666666666668</v>
      </c>
      <c r="C118">
        <f t="shared" si="111"/>
        <v>10</v>
      </c>
      <c r="E118" s="97">
        <v>46143</v>
      </c>
      <c r="F118" s="2">
        <f>$F$6*EXP(-$F$3*COUNT($E$9:$E118))</f>
        <v>3.2754001841571649</v>
      </c>
      <c r="G118" s="260">
        <f>$F$6/(1+$F$5*$F$3*COUNT($E$9:$E118))^(1/$F$5)</f>
        <v>14.995940515646826</v>
      </c>
      <c r="H118" s="260">
        <f>$H$6/(1+$H$5*$H$3*COUNT($E$9:$E118))^(1/$H$5)</f>
        <v>182.24242773873266</v>
      </c>
      <c r="I118" s="260">
        <f t="shared" si="77"/>
        <v>34.71284337880622</v>
      </c>
      <c r="J118" s="260">
        <f t="shared" si="78"/>
        <v>14.454427982934909</v>
      </c>
      <c r="K118" s="260">
        <f t="shared" si="78"/>
        <v>9.8341485292158026</v>
      </c>
      <c r="L118" s="260">
        <f t="shared" si="78"/>
        <v>4.68970514047672</v>
      </c>
      <c r="M118" s="260">
        <f t="shared" si="78"/>
        <v>5.7380330105166681</v>
      </c>
      <c r="N118" s="19">
        <f t="shared" si="79"/>
        <v>99.626755601447101</v>
      </c>
      <c r="O118" s="19">
        <f t="shared" si="80"/>
        <v>456.12652401759095</v>
      </c>
      <c r="P118" s="19">
        <f t="shared" si="81"/>
        <v>5543.2071770531184</v>
      </c>
      <c r="Q118" s="19">
        <f t="shared" si="82"/>
        <v>1055.8489861053558</v>
      </c>
      <c r="R118" s="19">
        <f t="shared" si="83"/>
        <v>439.65551781427018</v>
      </c>
      <c r="S118" s="19">
        <f t="shared" si="84"/>
        <v>299.12201776364736</v>
      </c>
      <c r="T118" s="19">
        <f t="shared" si="85"/>
        <v>142.64519802283357</v>
      </c>
      <c r="U118" s="19">
        <f t="shared" si="86"/>
        <v>174.53183740321532</v>
      </c>
      <c r="V118" s="261">
        <f t="shared" si="105"/>
        <v>2064.5638103702754</v>
      </c>
      <c r="W118" s="261">
        <f>SUM(O$9:O118)</f>
        <v>545038.23442060547</v>
      </c>
      <c r="X118" s="261">
        <f>SUM(P$9:P118)</f>
        <v>2126975.247229727</v>
      </c>
      <c r="Y118" s="261">
        <f>SUM(Q$9:Q118)</f>
        <v>405138.14232947148</v>
      </c>
      <c r="Z118" s="261">
        <f>SUM($V$9:V118)</f>
        <v>1162209.1583138451</v>
      </c>
      <c r="AB118" s="257">
        <f t="array" ref="AB118">(INDEX(PriceDeck!$C$18:$O$77,MATCH('Decline and Model'!$A118,PriceDeck!$B$18:$B$77,0),MATCH('Decline and Model'!AB$8,PriceDeck!$C$13:$O$13,0))*(1+$AE$6))</f>
        <v>83.7</v>
      </c>
      <c r="AC118" s="257">
        <f t="array" ref="AC118">INDEX(PriceDeck!$C$18:$O$77,MATCH('Decline and Model'!$A118,PriceDeck!$B$18:$B$77,0),MATCH('Decline and Model'!AC$8,PriceDeck!$C$13:$O$13,0))*(1+$AE$6)</f>
        <v>95.6</v>
      </c>
      <c r="AD118" s="257">
        <f t="array" ref="AD118">INDEX(PriceDeck!$C$18:$O$77,MATCH('Decline and Model'!$A118,PriceDeck!$B$18:$B$77,0),MATCH('Decline and Model'!AD$8,PriceDeck!$C$13:$O$13,0))*(1+$AE$6)</f>
        <v>16.600000000000001</v>
      </c>
      <c r="AE118" s="257">
        <f t="array" ref="AE118">INDEX(PriceDeck!$C$18:$O$77,MATCH('Decline and Model'!$A118,PriceDeck!$B$18:$B$77,0),MATCH('Decline and Model'!AE$8,PriceDeck!$C$13:$O$13,0))*(1+$AE$6)</f>
        <v>33.6</v>
      </c>
      <c r="AF118" s="257">
        <f t="array" ref="AF118">INDEX(PriceDeck!$C$18:$O$77,MATCH('Decline and Model'!$A118,PriceDeck!$B$18:$B$77,0),MATCH('Decline and Model'!AF$8,PriceDeck!$C$13:$O$13,0))*(1+$AE$6)</f>
        <v>99.2</v>
      </c>
      <c r="AG118" s="257">
        <f t="array" ref="AG118">INDEX(PriceDeck!$C$18:$O$77,MATCH('Decline and Model'!$A118,PriceDeck!$B$18:$B$77,0),MATCH('Decline and Model'!AG$8,PriceDeck!$C$13:$O$13,0))*(1+$AE$6)</f>
        <v>70</v>
      </c>
      <c r="AH118" s="258">
        <f t="array" ref="AH118">INDEX(PriceDeck!$C$18:$O$77,MATCH('Decline and Model'!$A118,PriceDeck!$B$18:$B$77,0),MATCH('Decline and Model'!AH$8,PriceDeck!$C$13:$O$13,0))</f>
        <v>0.85</v>
      </c>
      <c r="AI118" s="258">
        <f t="shared" si="87"/>
        <v>4.4000000000000004</v>
      </c>
      <c r="AJ118" s="259">
        <f t="shared" si="62"/>
        <v>4.4000000000000004</v>
      </c>
      <c r="AK118" s="120">
        <v>4.4000000000000004</v>
      </c>
      <c r="AL118" s="120"/>
      <c r="AN118" s="7">
        <f t="shared" si="88"/>
        <v>43605.69569608169</v>
      </c>
      <c r="AO118" s="7">
        <f t="shared" si="89"/>
        <v>24390.111579033724</v>
      </c>
      <c r="AP118" s="7">
        <f t="shared" si="90"/>
        <v>7298.2815957168859</v>
      </c>
      <c r="AQ118" s="7">
        <f t="shared" si="91"/>
        <v>10050.499796858552</v>
      </c>
      <c r="AR118" s="7">
        <f t="shared" si="92"/>
        <v>14150.403643865091</v>
      </c>
      <c r="AS118" s="7">
        <f t="shared" si="93"/>
        <v>12217.228618225072</v>
      </c>
      <c r="AT118" s="7">
        <f t="shared" si="94"/>
        <v>111712.220929781</v>
      </c>
      <c r="AU118">
        <f>SUM($AT$9:AT118)</f>
        <v>62050102.800672144</v>
      </c>
      <c r="AV118" s="7">
        <f>AT118/(1+$AR$5)^(COUNT($E$9:E118))</f>
        <v>48618.840090282967</v>
      </c>
      <c r="AW118" s="7">
        <f t="shared" si="109"/>
        <v>0</v>
      </c>
      <c r="AX118" s="7">
        <f t="shared" si="95"/>
        <v>0</v>
      </c>
      <c r="AY118" s="117">
        <f t="shared" si="96"/>
        <v>0</v>
      </c>
      <c r="AZ118" s="117">
        <f t="shared" si="97"/>
        <v>111712.220929781</v>
      </c>
      <c r="BA118" s="120">
        <f t="shared" si="98"/>
        <v>27692.412585454458</v>
      </c>
      <c r="BB118" s="119">
        <f t="shared" si="63"/>
        <v>0</v>
      </c>
      <c r="BC118" s="17"/>
      <c r="BD118" s="126">
        <f t="shared" si="64"/>
        <v>0.39033952895351476</v>
      </c>
      <c r="BE118" s="127">
        <f t="shared" si="65"/>
        <v>0.21832984230404504</v>
      </c>
      <c r="BF118" s="127">
        <f t="shared" si="66"/>
        <v>6.5331093903364154E-2</v>
      </c>
      <c r="BG118" s="127">
        <f t="shared" si="67"/>
        <v>8.9967773563252307E-2</v>
      </c>
      <c r="BH118" s="127">
        <f t="shared" si="68"/>
        <v>0.1266683584489795</v>
      </c>
      <c r="BI118" s="128">
        <f t="shared" si="69"/>
        <v>0.10936340282684434</v>
      </c>
      <c r="BJ118" s="126">
        <f t="array" ref="BJ118">BD118*INDEX(Royalty!$U$7:$Z$246,MATCH('Decline and Model'!$E118,Royalty!$AI$7:$AI$246,0),MATCH('Decline and Model'!BJ$8,Royalty!$U$1:$Z$1,0))</f>
        <v>0.11535406241998185</v>
      </c>
      <c r="BK118" s="127">
        <f t="array" ref="BK118">BE118*INDEX(Royalty!$U$7:$Z$246,MATCH('Decline and Model'!$E118,Royalty!$AI$7:$AI$246,0),MATCH('Decline and Model'!BK$8,Royalty!$U$1:$Z$1,0))</f>
        <v>6.2593304753727111E-2</v>
      </c>
      <c r="BL118" s="127">
        <f t="array" ref="BL118">BF118*INDEX(Royalty!$U$7:$Z$246,MATCH('Decline and Model'!$E118,Royalty!$AI$7:$AI$246,0),MATCH('Decline and Model'!BL$8,Royalty!$U$1:$Z$1,0))</f>
        <v>1.9372177954901669E-2</v>
      </c>
      <c r="BM118" s="127">
        <f t="array" ref="BM118">BG118*INDEX(Royalty!$U$7:$Z$246,MATCH('Decline and Model'!$E118,Royalty!$AI$7:$AI$246,0),MATCH('Decline and Model'!BM$8,Royalty!$U$1:$Z$1,0))</f>
        <v>2.5829899530376378E-2</v>
      </c>
      <c r="BN118" s="127">
        <f t="array" ref="BN118">BH118*INDEX(Royalty!$U$7:$Z$246,MATCH('Decline and Model'!$E118,Royalty!$AI$7:$AI$246,0),MATCH('Decline and Model'!BN$8,Royalty!$U$1:$Z$1,0))</f>
        <v>1.9273013055517353E-2</v>
      </c>
      <c r="BO118" s="127">
        <f t="array" ref="BO118">BI118*INDEX(Royalty!$U$7:$Z$246,MATCH('Decline and Model'!$E118,Royalty!$AI$7:$AI$246,0),MATCH('Decline and Model'!BO$8,Royalty!$U$1:$Z$1,0))</f>
        <v>5.4681701413422171E-3</v>
      </c>
      <c r="BP118" s="135">
        <f t="shared" si="70"/>
        <v>0.24789062785584656</v>
      </c>
      <c r="BQ118" s="7"/>
      <c r="BR118" s="7"/>
      <c r="BS118">
        <v>110</v>
      </c>
      <c r="BT118" s="120">
        <f t="shared" si="71"/>
        <v>27692.412585454458</v>
      </c>
      <c r="BU118" s="113">
        <f t="shared" si="72"/>
        <v>20645.638103702753</v>
      </c>
      <c r="BV118" s="113">
        <f t="shared" si="73"/>
        <v>6193.6914311108267</v>
      </c>
      <c r="BW118" s="113">
        <f t="shared" si="106"/>
        <v>1049688.4766718613</v>
      </c>
      <c r="BX118" s="113">
        <f t="shared" si="99"/>
        <v>23202.787071281069</v>
      </c>
      <c r="BY118" s="120">
        <f t="shared" si="100"/>
        <v>33977.691738231901</v>
      </c>
      <c r="BZ118" s="153">
        <f t="shared" si="107"/>
        <v>0</v>
      </c>
      <c r="CA118" s="120">
        <f t="shared" si="110"/>
        <v>33977.691738231901</v>
      </c>
      <c r="CB118" s="120">
        <f t="shared" si="101"/>
        <v>8494.4229345579752</v>
      </c>
      <c r="CC118" s="153">
        <f t="shared" si="102"/>
        <v>48686.055874954996</v>
      </c>
      <c r="CD118" s="7">
        <f t="shared" si="74"/>
        <v>21188.904360776087</v>
      </c>
      <c r="CE118" s="11">
        <f>SUM($CD$9:CD118)</f>
        <v>24586111.833645754</v>
      </c>
      <c r="CF118" s="11">
        <f t="shared" si="103"/>
        <v>12000000</v>
      </c>
      <c r="CG118">
        <f t="shared" si="104"/>
        <v>12586111.833645754</v>
      </c>
    </row>
    <row r="119" spans="1:85">
      <c r="A119">
        <f t="shared" si="75"/>
        <v>2026</v>
      </c>
      <c r="B119">
        <f t="shared" si="76"/>
        <v>30.416666666666668</v>
      </c>
      <c r="C119">
        <f t="shared" si="111"/>
        <v>10</v>
      </c>
      <c r="E119" s="97">
        <v>46174</v>
      </c>
      <c r="F119" s="2">
        <f>$F$6*EXP(-$F$3*COUNT($E$9:$E119))</f>
        <v>3.1156570321853505</v>
      </c>
      <c r="G119" s="260">
        <f>$F$6/(1+$F$5*$F$3*COUNT($E$9:$E119))^(1/$F$5)</f>
        <v>14.597245645869865</v>
      </c>
      <c r="H119" s="260">
        <f>$H$6/(1+$H$5*$H$3*COUNT($E$9:$E119))^(1/$H$5)</f>
        <v>180.25354430837061</v>
      </c>
      <c r="I119" s="260">
        <f t="shared" si="77"/>
        <v>34.33400843968964</v>
      </c>
      <c r="J119" s="260">
        <f t="shared" si="78"/>
        <v>14.296681114286766</v>
      </c>
      <c r="K119" s="260">
        <f t="shared" si="78"/>
        <v>9.7268245909640747</v>
      </c>
      <c r="L119" s="260">
        <f t="shared" si="78"/>
        <v>4.6385245402020701</v>
      </c>
      <c r="M119" s="260">
        <f t="shared" si="78"/>
        <v>5.675411595080698</v>
      </c>
      <c r="N119" s="19">
        <f t="shared" si="79"/>
        <v>94.76790139563775</v>
      </c>
      <c r="O119" s="19">
        <f t="shared" si="80"/>
        <v>443.99955506187507</v>
      </c>
      <c r="P119" s="19">
        <f t="shared" si="81"/>
        <v>5482.7119727129393</v>
      </c>
      <c r="Q119" s="19">
        <f t="shared" si="82"/>
        <v>1044.3260900405598</v>
      </c>
      <c r="R119" s="19">
        <f t="shared" si="83"/>
        <v>434.85738389288917</v>
      </c>
      <c r="S119" s="19">
        <f t="shared" si="84"/>
        <v>295.85758130849064</v>
      </c>
      <c r="T119" s="19">
        <f t="shared" si="85"/>
        <v>141.08845476447965</v>
      </c>
      <c r="U119" s="19">
        <f t="shared" si="86"/>
        <v>172.62710268370458</v>
      </c>
      <c r="V119" s="261">
        <f t="shared" si="105"/>
        <v>2034.8833314701601</v>
      </c>
      <c r="W119" s="261">
        <f>SUM(O$9:O119)</f>
        <v>545482.23397566739</v>
      </c>
      <c r="X119" s="261">
        <f>SUM(P$9:P119)</f>
        <v>2132457.95920244</v>
      </c>
      <c r="Y119" s="261">
        <f>SUM(Q$9:Q119)</f>
        <v>406182.46841951204</v>
      </c>
      <c r="Z119" s="261">
        <f>SUM($V$9:V119)</f>
        <v>1164244.0416453152</v>
      </c>
      <c r="AB119" s="257">
        <f t="array" ref="AB119">(INDEX(PriceDeck!$C$18:$O$77,MATCH('Decline and Model'!$A119,PriceDeck!$B$18:$B$77,0),MATCH('Decline and Model'!AB$8,PriceDeck!$C$13:$O$13,0))*(1+$AE$6))</f>
        <v>83.7</v>
      </c>
      <c r="AC119" s="257">
        <f t="array" ref="AC119">INDEX(PriceDeck!$C$18:$O$77,MATCH('Decline and Model'!$A119,PriceDeck!$B$18:$B$77,0),MATCH('Decline and Model'!AC$8,PriceDeck!$C$13:$O$13,0))*(1+$AE$6)</f>
        <v>95.6</v>
      </c>
      <c r="AD119" s="257">
        <f t="array" ref="AD119">INDEX(PriceDeck!$C$18:$O$77,MATCH('Decline and Model'!$A119,PriceDeck!$B$18:$B$77,0),MATCH('Decline and Model'!AD$8,PriceDeck!$C$13:$O$13,0))*(1+$AE$6)</f>
        <v>16.600000000000001</v>
      </c>
      <c r="AE119" s="257">
        <f t="array" ref="AE119">INDEX(PriceDeck!$C$18:$O$77,MATCH('Decline and Model'!$A119,PriceDeck!$B$18:$B$77,0),MATCH('Decline and Model'!AE$8,PriceDeck!$C$13:$O$13,0))*(1+$AE$6)</f>
        <v>33.6</v>
      </c>
      <c r="AF119" s="257">
        <f t="array" ref="AF119">INDEX(PriceDeck!$C$18:$O$77,MATCH('Decline and Model'!$A119,PriceDeck!$B$18:$B$77,0),MATCH('Decline and Model'!AF$8,PriceDeck!$C$13:$O$13,0))*(1+$AE$6)</f>
        <v>99.2</v>
      </c>
      <c r="AG119" s="257">
        <f t="array" ref="AG119">INDEX(PriceDeck!$C$18:$O$77,MATCH('Decline and Model'!$A119,PriceDeck!$B$18:$B$77,0),MATCH('Decline and Model'!AG$8,PriceDeck!$C$13:$O$13,0))*(1+$AE$6)</f>
        <v>70</v>
      </c>
      <c r="AH119" s="258">
        <f t="array" ref="AH119">INDEX(PriceDeck!$C$18:$O$77,MATCH('Decline and Model'!$A119,PriceDeck!$B$18:$B$77,0),MATCH('Decline and Model'!AH$8,PriceDeck!$C$13:$O$13,0))</f>
        <v>0.85</v>
      </c>
      <c r="AI119" s="258">
        <f t="shared" si="87"/>
        <v>4.4000000000000004</v>
      </c>
      <c r="AJ119" s="259">
        <f t="shared" si="62"/>
        <v>4.4000000000000004</v>
      </c>
      <c r="AK119" s="120">
        <v>4.4000000000000004</v>
      </c>
      <c r="AL119" s="120"/>
      <c r="AN119" s="7">
        <f t="shared" si="88"/>
        <v>42446.357463915258</v>
      </c>
      <c r="AO119" s="7">
        <f t="shared" si="89"/>
        <v>24123.932679936934</v>
      </c>
      <c r="AP119" s="7">
        <f t="shared" si="90"/>
        <v>7218.6325726219611</v>
      </c>
      <c r="AQ119" s="7">
        <f t="shared" si="91"/>
        <v>9940.8147319652853</v>
      </c>
      <c r="AR119" s="7">
        <f t="shared" si="92"/>
        <v>13995.974712636382</v>
      </c>
      <c r="AS119" s="7">
        <f t="shared" si="93"/>
        <v>12083.89718785932</v>
      </c>
      <c r="AT119" s="7">
        <f t="shared" si="94"/>
        <v>109809.60934893513</v>
      </c>
      <c r="AU119">
        <f>SUM($AT$9:AT119)</f>
        <v>62159912.410021082</v>
      </c>
      <c r="AV119" s="7">
        <f>AT119/(1+$AR$5)^(COUNT($E$9:E119))</f>
        <v>47430.72293178604</v>
      </c>
      <c r="AW119" s="7">
        <f t="shared" si="109"/>
        <v>0</v>
      </c>
      <c r="AX119" s="7">
        <f t="shared" si="95"/>
        <v>0</v>
      </c>
      <c r="AY119" s="117">
        <f t="shared" si="96"/>
        <v>0</v>
      </c>
      <c r="AZ119" s="117">
        <f t="shared" si="97"/>
        <v>109809.60934893513</v>
      </c>
      <c r="BA119" s="120">
        <f t="shared" si="98"/>
        <v>27188.218992824335</v>
      </c>
      <c r="BB119" s="119">
        <f t="shared" si="63"/>
        <v>0</v>
      </c>
      <c r="BC119" s="17"/>
      <c r="BD119" s="126">
        <f t="shared" si="64"/>
        <v>0.38654501837845651</v>
      </c>
      <c r="BE119" s="127">
        <f t="shared" si="65"/>
        <v>0.21968872144221752</v>
      </c>
      <c r="BF119" s="127">
        <f t="shared" si="66"/>
        <v>6.5737712896179815E-2</v>
      </c>
      <c r="BG119" s="127">
        <f t="shared" si="67"/>
        <v>9.0527730595753045E-2</v>
      </c>
      <c r="BH119" s="127">
        <f t="shared" si="68"/>
        <v>0.12745673894679152</v>
      </c>
      <c r="BI119" s="128">
        <f t="shared" si="69"/>
        <v>0.1100440777406017</v>
      </c>
      <c r="BJ119" s="126">
        <f t="array" ref="BJ119">BD119*INDEX(Royalty!$U$7:$Z$246,MATCH('Decline and Model'!$E119,Royalty!$AI$7:$AI$246,0),MATCH('Decline and Model'!BJ$8,Royalty!$U$1:$Z$1,0))</f>
        <v>0.11423269966458262</v>
      </c>
      <c r="BK119" s="127">
        <f t="array" ref="BK119">BE119*INDEX(Royalty!$U$7:$Z$246,MATCH('Decline and Model'!$E119,Royalty!$AI$7:$AI$246,0),MATCH('Decline and Model'!BK$8,Royalty!$U$1:$Z$1,0))</f>
        <v>6.2982883819609745E-2</v>
      </c>
      <c r="BL119" s="127">
        <f t="array" ref="BL119">BF119*INDEX(Royalty!$U$7:$Z$246,MATCH('Decline and Model'!$E119,Royalty!$AI$7:$AI$246,0),MATCH('Decline and Model'!BL$8,Royalty!$U$1:$Z$1,0))</f>
        <v>1.949274987583597E-2</v>
      </c>
      <c r="BM119" s="127">
        <f t="array" ref="BM119">BG119*INDEX(Royalty!$U$7:$Z$246,MATCH('Decline and Model'!$E119,Royalty!$AI$7:$AI$246,0),MATCH('Decline and Model'!BM$8,Royalty!$U$1:$Z$1,0))</f>
        <v>2.599066413883535E-2</v>
      </c>
      <c r="BN119" s="127">
        <f t="array" ref="BN119">BH119*INDEX(Royalty!$U$7:$Z$246,MATCH('Decline and Model'!$E119,Royalty!$AI$7:$AI$246,0),MATCH('Decline and Model'!BN$8,Royalty!$U$1:$Z$1,0))</f>
        <v>1.9392967776752382E-2</v>
      </c>
      <c r="BO119" s="127">
        <f t="array" ref="BO119">BI119*INDEX(Royalty!$U$7:$Z$246,MATCH('Decline and Model'!$E119,Royalty!$AI$7:$AI$246,0),MATCH('Decline and Model'!BO$8,Royalty!$U$1:$Z$1,0))</f>
        <v>5.5022038870300854E-3</v>
      </c>
      <c r="BP119" s="135">
        <f t="shared" si="70"/>
        <v>0.24759416916264615</v>
      </c>
      <c r="BQ119" s="7"/>
      <c r="BR119" s="7"/>
      <c r="BS119">
        <v>111</v>
      </c>
      <c r="BT119" s="120">
        <f t="shared" si="71"/>
        <v>27188.218992824335</v>
      </c>
      <c r="BU119" s="113">
        <f t="shared" si="72"/>
        <v>20348.833314701602</v>
      </c>
      <c r="BV119" s="113">
        <f t="shared" si="73"/>
        <v>6104.6499944104798</v>
      </c>
      <c r="BW119" s="113">
        <f t="shared" si="106"/>
        <v>1026485.6896005801</v>
      </c>
      <c r="BX119" s="113">
        <f t="shared" si="99"/>
        <v>22689.902210829747</v>
      </c>
      <c r="BY119" s="120">
        <f t="shared" si="100"/>
        <v>33478.00483616897</v>
      </c>
      <c r="BZ119" s="153">
        <f t="shared" si="107"/>
        <v>0</v>
      </c>
      <c r="CA119" s="120">
        <f t="shared" si="110"/>
        <v>33478.00483616897</v>
      </c>
      <c r="CB119" s="120">
        <f t="shared" si="101"/>
        <v>8369.5012090422424</v>
      </c>
      <c r="CC119" s="153">
        <f t="shared" si="102"/>
        <v>47798.405837956474</v>
      </c>
      <c r="CD119" s="7">
        <f t="shared" si="74"/>
        <v>20645.852009882987</v>
      </c>
      <c r="CE119" s="11">
        <f>SUM($CD$9:CD119)</f>
        <v>24606757.685655635</v>
      </c>
      <c r="CF119" s="11">
        <f t="shared" si="103"/>
        <v>12000000</v>
      </c>
      <c r="CG119">
        <f t="shared" si="104"/>
        <v>12606757.685655635</v>
      </c>
    </row>
    <row r="120" spans="1:85">
      <c r="A120">
        <f t="shared" si="75"/>
        <v>2026</v>
      </c>
      <c r="B120">
        <f t="shared" si="76"/>
        <v>30.416666666666668</v>
      </c>
      <c r="C120">
        <f t="shared" si="111"/>
        <v>10</v>
      </c>
      <c r="E120" s="97">
        <v>46204</v>
      </c>
      <c r="F120" s="2">
        <f>$F$6*EXP(-$F$3*COUNT($E$9:$E120))</f>
        <v>2.9637046456672742</v>
      </c>
      <c r="G120" s="260">
        <f>$F$6/(1+$F$5*$F$3*COUNT($E$9:$E120))^(1/$F$5)</f>
        <v>14.210741900049872</v>
      </c>
      <c r="H120" s="260">
        <f>$H$6/(1+$H$5*$H$3*COUNT($E$9:$E120))^(1/$H$5)</f>
        <v>178.30158452309709</v>
      </c>
      <c r="I120" s="260">
        <f t="shared" si="77"/>
        <v>33.962206575828013</v>
      </c>
      <c r="J120" s="260">
        <f t="shared" si="78"/>
        <v>14.141862818174785</v>
      </c>
      <c r="K120" s="260">
        <f t="shared" si="78"/>
        <v>9.6214931229320761</v>
      </c>
      <c r="L120" s="260">
        <f t="shared" si="78"/>
        <v>4.5882941083943649</v>
      </c>
      <c r="M120" s="260">
        <f t="shared" si="78"/>
        <v>5.6139527469843706</v>
      </c>
      <c r="N120" s="19">
        <f t="shared" si="79"/>
        <v>90.146016305712934</v>
      </c>
      <c r="O120" s="19">
        <f t="shared" si="80"/>
        <v>432.24339945985025</v>
      </c>
      <c r="P120" s="19">
        <f t="shared" si="81"/>
        <v>5423.3398625775371</v>
      </c>
      <c r="Q120" s="19">
        <f t="shared" si="82"/>
        <v>1033.0171166814355</v>
      </c>
      <c r="R120" s="19">
        <f t="shared" si="83"/>
        <v>430.14832738614973</v>
      </c>
      <c r="S120" s="19">
        <f t="shared" si="84"/>
        <v>292.65374915585068</v>
      </c>
      <c r="T120" s="19">
        <f t="shared" si="85"/>
        <v>139.56061246366193</v>
      </c>
      <c r="U120" s="19">
        <f t="shared" si="86"/>
        <v>170.75772938744129</v>
      </c>
      <c r="V120" s="261">
        <f t="shared" si="105"/>
        <v>2005.8995470494719</v>
      </c>
      <c r="W120" s="261">
        <f>SUM(O$9:O120)</f>
        <v>545914.47737512726</v>
      </c>
      <c r="X120" s="261">
        <f>SUM(P$9:P120)</f>
        <v>2137881.2990650176</v>
      </c>
      <c r="Y120" s="261">
        <f>SUM(Q$9:Q120)</f>
        <v>407215.48553619348</v>
      </c>
      <c r="Z120" s="261">
        <f>SUM($V$9:V120)</f>
        <v>1166249.9411923648</v>
      </c>
      <c r="AB120" s="257">
        <f t="array" ref="AB120">(INDEX(PriceDeck!$C$18:$O$77,MATCH('Decline and Model'!$A120,PriceDeck!$B$18:$B$77,0),MATCH('Decline and Model'!AB$8,PriceDeck!$C$13:$O$13,0))*(1+$AE$6))</f>
        <v>83.7</v>
      </c>
      <c r="AC120" s="257">
        <f t="array" ref="AC120">INDEX(PriceDeck!$C$18:$O$77,MATCH('Decline and Model'!$A120,PriceDeck!$B$18:$B$77,0),MATCH('Decline and Model'!AC$8,PriceDeck!$C$13:$O$13,0))*(1+$AE$6)</f>
        <v>95.6</v>
      </c>
      <c r="AD120" s="257">
        <f t="array" ref="AD120">INDEX(PriceDeck!$C$18:$O$77,MATCH('Decline and Model'!$A120,PriceDeck!$B$18:$B$77,0),MATCH('Decline and Model'!AD$8,PriceDeck!$C$13:$O$13,0))*(1+$AE$6)</f>
        <v>16.600000000000001</v>
      </c>
      <c r="AE120" s="257">
        <f t="array" ref="AE120">INDEX(PriceDeck!$C$18:$O$77,MATCH('Decline and Model'!$A120,PriceDeck!$B$18:$B$77,0),MATCH('Decline and Model'!AE$8,PriceDeck!$C$13:$O$13,0))*(1+$AE$6)</f>
        <v>33.6</v>
      </c>
      <c r="AF120" s="257">
        <f t="array" ref="AF120">INDEX(PriceDeck!$C$18:$O$77,MATCH('Decline and Model'!$A120,PriceDeck!$B$18:$B$77,0),MATCH('Decline and Model'!AF$8,PriceDeck!$C$13:$O$13,0))*(1+$AE$6)</f>
        <v>99.2</v>
      </c>
      <c r="AG120" s="257">
        <f t="array" ref="AG120">INDEX(PriceDeck!$C$18:$O$77,MATCH('Decline and Model'!$A120,PriceDeck!$B$18:$B$77,0),MATCH('Decline and Model'!AG$8,PriceDeck!$C$13:$O$13,0))*(1+$AE$6)</f>
        <v>70</v>
      </c>
      <c r="AH120" s="258">
        <f t="array" ref="AH120">INDEX(PriceDeck!$C$18:$O$77,MATCH('Decline and Model'!$A120,PriceDeck!$B$18:$B$77,0),MATCH('Decline and Model'!AH$8,PriceDeck!$C$13:$O$13,0))</f>
        <v>0.85</v>
      </c>
      <c r="AI120" s="258">
        <f t="shared" si="87"/>
        <v>4.4000000000000004</v>
      </c>
      <c r="AJ120" s="259">
        <f t="shared" si="62"/>
        <v>4.4000000000000004</v>
      </c>
      <c r="AK120" s="120">
        <v>4.4000000000000004</v>
      </c>
      <c r="AL120" s="120"/>
      <c r="AN120" s="7">
        <f t="shared" si="88"/>
        <v>41322.468988361681</v>
      </c>
      <c r="AO120" s="7">
        <f t="shared" si="89"/>
        <v>23862.695395341165</v>
      </c>
      <c r="AP120" s="7">
        <f t="shared" si="90"/>
        <v>7140.4622346100859</v>
      </c>
      <c r="AQ120" s="7">
        <f t="shared" si="91"/>
        <v>9833.165971636583</v>
      </c>
      <c r="AR120" s="7">
        <f t="shared" si="92"/>
        <v>13844.412756395264</v>
      </c>
      <c r="AS120" s="7">
        <f t="shared" si="93"/>
        <v>11953.04105712089</v>
      </c>
      <c r="AT120" s="7">
        <f t="shared" si="94"/>
        <v>107956.24640346567</v>
      </c>
      <c r="AU120">
        <f>SUM($AT$9:AT120)</f>
        <v>62267868.656424545</v>
      </c>
      <c r="AV120" s="7">
        <f>AT120/(1+$AR$5)^(COUNT($E$9:E120))</f>
        <v>46278.861201137406</v>
      </c>
      <c r="AW120" s="7">
        <f t="shared" si="109"/>
        <v>0</v>
      </c>
      <c r="AX120" s="7">
        <f t="shared" si="95"/>
        <v>0</v>
      </c>
      <c r="AY120" s="117">
        <f t="shared" si="96"/>
        <v>0</v>
      </c>
      <c r="AZ120" s="117">
        <f t="shared" si="97"/>
        <v>107956.24640346567</v>
      </c>
      <c r="BA120" s="120">
        <f t="shared" si="98"/>
        <v>26697.501390546058</v>
      </c>
      <c r="BB120" s="119">
        <f t="shared" si="63"/>
        <v>0</v>
      </c>
      <c r="BC120" s="17"/>
      <c r="BD120" s="126">
        <f t="shared" si="64"/>
        <v>0.38277052384654903</v>
      </c>
      <c r="BE120" s="127">
        <f t="shared" si="65"/>
        <v>0.22104043249298366</v>
      </c>
      <c r="BF120" s="127">
        <f t="shared" si="66"/>
        <v>6.6142186973822556E-2</v>
      </c>
      <c r="BG120" s="127">
        <f t="shared" si="67"/>
        <v>9.1084733854926922E-2</v>
      </c>
      <c r="BH120" s="127">
        <f t="shared" si="68"/>
        <v>0.12824096073750507</v>
      </c>
      <c r="BI120" s="128">
        <f t="shared" si="69"/>
        <v>0.11072116209421271</v>
      </c>
      <c r="BJ120" s="126">
        <f t="array" ref="BJ120">BD120*INDEX(Royalty!$U$7:$Z$246,MATCH('Decline and Model'!$E120,Royalty!$AI$7:$AI$246,0),MATCH('Decline and Model'!BJ$8,Royalty!$U$1:$Z$1,0))</f>
        <v>0.11311725209767892</v>
      </c>
      <c r="BK120" s="127">
        <f t="array" ref="BK120">BE120*INDEX(Royalty!$U$7:$Z$246,MATCH('Decline and Model'!$E120,Royalty!$AI$7:$AI$246,0),MATCH('Decline and Model'!BK$8,Royalty!$U$1:$Z$1,0))</f>
        <v>6.3370407855933467E-2</v>
      </c>
      <c r="BL120" s="127">
        <f t="array" ref="BL120">BF120*INDEX(Royalty!$U$7:$Z$246,MATCH('Decline and Model'!$E120,Royalty!$AI$7:$AI$246,0),MATCH('Decline and Model'!BL$8,Royalty!$U$1:$Z$1,0))</f>
        <v>1.9612685779891548E-2</v>
      </c>
      <c r="BM120" s="127">
        <f t="array" ref="BM120">BG120*INDEX(Royalty!$U$7:$Z$246,MATCH('Decline and Model'!$E120,Royalty!$AI$7:$AI$246,0),MATCH('Decline and Model'!BM$8,Royalty!$U$1:$Z$1,0))</f>
        <v>2.6150580713990321E-2</v>
      </c>
      <c r="BN120" s="127">
        <f t="array" ref="BN120">BH120*INDEX(Royalty!$U$7:$Z$246,MATCH('Decline and Model'!$E120,Royalty!$AI$7:$AI$246,0),MATCH('Decline and Model'!BN$8,Royalty!$U$1:$Z$1,0))</f>
        <v>1.9512289736837083E-2</v>
      </c>
      <c r="BO120" s="127">
        <f t="array" ref="BO120">BI120*INDEX(Royalty!$U$7:$Z$246,MATCH('Decline and Model'!$E120,Royalty!$AI$7:$AI$246,0),MATCH('Decline and Model'!BO$8,Royalty!$U$1:$Z$1,0))</f>
        <v>5.5360581047106359E-3</v>
      </c>
      <c r="BP120" s="135">
        <f t="shared" si="70"/>
        <v>0.24729927428904197</v>
      </c>
      <c r="BQ120" s="7"/>
      <c r="BR120" s="7"/>
      <c r="BS120">
        <v>112</v>
      </c>
      <c r="BT120" s="120">
        <f t="shared" si="71"/>
        <v>26697.501390546058</v>
      </c>
      <c r="BU120" s="113">
        <f t="shared" si="72"/>
        <v>20058.995470494719</v>
      </c>
      <c r="BV120" s="113">
        <f t="shared" si="73"/>
        <v>6017.6986411484158</v>
      </c>
      <c r="BW120" s="113">
        <f t="shared" si="106"/>
        <v>1003795.7873897504</v>
      </c>
      <c r="BX120" s="113">
        <f t="shared" si="99"/>
        <v>22188.354388436484</v>
      </c>
      <c r="BY120" s="120">
        <f t="shared" si="100"/>
        <v>32993.696512840004</v>
      </c>
      <c r="BZ120" s="153">
        <f t="shared" si="107"/>
        <v>0</v>
      </c>
      <c r="CA120" s="120">
        <f t="shared" si="110"/>
        <v>32993.696512840004</v>
      </c>
      <c r="CB120" s="120">
        <f t="shared" si="101"/>
        <v>8248.4241282100011</v>
      </c>
      <c r="CC120" s="153">
        <f t="shared" si="102"/>
        <v>46933.626773066484</v>
      </c>
      <c r="CD120" s="7">
        <f t="shared" si="74"/>
        <v>20119.584289538641</v>
      </c>
      <c r="CE120" s="11">
        <f>SUM($CD$9:CD120)</f>
        <v>24626877.269945174</v>
      </c>
      <c r="CF120" s="11">
        <f t="shared" si="103"/>
        <v>12000000</v>
      </c>
      <c r="CG120">
        <f t="shared" si="104"/>
        <v>12626877.269945174</v>
      </c>
    </row>
    <row r="121" spans="1:85">
      <c r="A121">
        <f t="shared" si="75"/>
        <v>2026</v>
      </c>
      <c r="B121">
        <f t="shared" si="76"/>
        <v>30.416666666666668</v>
      </c>
      <c r="C121">
        <f t="shared" si="111"/>
        <v>10</v>
      </c>
      <c r="E121" s="97">
        <v>46235</v>
      </c>
      <c r="F121" s="2">
        <f>$F$6*EXP(-$F$3*COUNT($E$9:$E121))</f>
        <v>2.8191630644881744</v>
      </c>
      <c r="G121" s="260">
        <f>$F$6/(1+$F$5*$F$3*COUNT($E$9:$E121))^(1/$F$5)</f>
        <v>13.836008249724763</v>
      </c>
      <c r="H121" s="260">
        <f>$H$6/(1+$H$5*$H$3*COUNT($E$9:$E121))^(1/$H$5)</f>
        <v>176.38558470817301</v>
      </c>
      <c r="I121" s="260">
        <f t="shared" si="77"/>
        <v>33.597254230128193</v>
      </c>
      <c r="J121" s="260">
        <f t="shared" si="78"/>
        <v>13.98989666142538</v>
      </c>
      <c r="K121" s="260">
        <f t="shared" si="78"/>
        <v>9.5181021233953178</v>
      </c>
      <c r="L121" s="260">
        <f t="shared" si="78"/>
        <v>4.5389890464903191</v>
      </c>
      <c r="M121" s="260">
        <f t="shared" si="78"/>
        <v>5.5536261242401901</v>
      </c>
      <c r="N121" s="19">
        <f t="shared" si="79"/>
        <v>85.749543211515302</v>
      </c>
      <c r="O121" s="19">
        <f t="shared" si="80"/>
        <v>420.84525092912821</v>
      </c>
      <c r="P121" s="19">
        <f t="shared" si="81"/>
        <v>5365.0615348735964</v>
      </c>
      <c r="Q121" s="19">
        <f t="shared" si="82"/>
        <v>1021.916482833066</v>
      </c>
      <c r="R121" s="19">
        <f t="shared" si="83"/>
        <v>425.52602345168867</v>
      </c>
      <c r="S121" s="19">
        <f t="shared" si="84"/>
        <v>289.5089395866076</v>
      </c>
      <c r="T121" s="19">
        <f t="shared" si="85"/>
        <v>138.0609168307472</v>
      </c>
      <c r="U121" s="19">
        <f t="shared" si="86"/>
        <v>168.92279461230578</v>
      </c>
      <c r="V121" s="261">
        <f t="shared" si="105"/>
        <v>1977.5911456143781</v>
      </c>
      <c r="W121" s="261">
        <f>SUM(O$9:O121)</f>
        <v>546335.32262605638</v>
      </c>
      <c r="X121" s="261">
        <f>SUM(P$9:P121)</f>
        <v>2143246.3605998913</v>
      </c>
      <c r="Y121" s="261">
        <f>SUM(Q$9:Q121)</f>
        <v>408237.40201902651</v>
      </c>
      <c r="Z121" s="261">
        <f>SUM($V$9:V121)</f>
        <v>1168227.5323379792</v>
      </c>
      <c r="AB121" s="257">
        <f t="array" ref="AB121">(INDEX(PriceDeck!$C$18:$O$77,MATCH('Decline and Model'!$A121,PriceDeck!$B$18:$B$77,0),MATCH('Decline and Model'!AB$8,PriceDeck!$C$13:$O$13,0))*(1+$AE$6))</f>
        <v>83.7</v>
      </c>
      <c r="AC121" s="257">
        <f t="array" ref="AC121">INDEX(PriceDeck!$C$18:$O$77,MATCH('Decline and Model'!$A121,PriceDeck!$B$18:$B$77,0),MATCH('Decline and Model'!AC$8,PriceDeck!$C$13:$O$13,0))*(1+$AE$6)</f>
        <v>95.6</v>
      </c>
      <c r="AD121" s="257">
        <f t="array" ref="AD121">INDEX(PriceDeck!$C$18:$O$77,MATCH('Decline and Model'!$A121,PriceDeck!$B$18:$B$77,0),MATCH('Decline and Model'!AD$8,PriceDeck!$C$13:$O$13,0))*(1+$AE$6)</f>
        <v>16.600000000000001</v>
      </c>
      <c r="AE121" s="257">
        <f t="array" ref="AE121">INDEX(PriceDeck!$C$18:$O$77,MATCH('Decline and Model'!$A121,PriceDeck!$B$18:$B$77,0),MATCH('Decline and Model'!AE$8,PriceDeck!$C$13:$O$13,0))*(1+$AE$6)</f>
        <v>33.6</v>
      </c>
      <c r="AF121" s="257">
        <f t="array" ref="AF121">INDEX(PriceDeck!$C$18:$O$77,MATCH('Decline and Model'!$A121,PriceDeck!$B$18:$B$77,0),MATCH('Decline and Model'!AF$8,PriceDeck!$C$13:$O$13,0))*(1+$AE$6)</f>
        <v>99.2</v>
      </c>
      <c r="AG121" s="257">
        <f t="array" ref="AG121">INDEX(PriceDeck!$C$18:$O$77,MATCH('Decline and Model'!$A121,PriceDeck!$B$18:$B$77,0),MATCH('Decline and Model'!AG$8,PriceDeck!$C$13:$O$13,0))*(1+$AE$6)</f>
        <v>70</v>
      </c>
      <c r="AH121" s="258">
        <f t="array" ref="AH121">INDEX(PriceDeck!$C$18:$O$77,MATCH('Decline and Model'!$A121,PriceDeck!$B$18:$B$77,0),MATCH('Decline and Model'!AH$8,PriceDeck!$C$13:$O$13,0))</f>
        <v>0.85</v>
      </c>
      <c r="AI121" s="258">
        <f t="shared" si="87"/>
        <v>4.4000000000000004</v>
      </c>
      <c r="AJ121" s="259">
        <f t="shared" si="62"/>
        <v>4.4000000000000004</v>
      </c>
      <c r="AK121" s="120">
        <v>4.4000000000000004</v>
      </c>
      <c r="AL121" s="120"/>
      <c r="AN121" s="7">
        <f t="shared" si="88"/>
        <v>40232.805988824657</v>
      </c>
      <c r="AO121" s="7">
        <f t="shared" si="89"/>
        <v>23606.270753443827</v>
      </c>
      <c r="AP121" s="7">
        <f t="shared" si="90"/>
        <v>7063.7319892980322</v>
      </c>
      <c r="AQ121" s="7">
        <f t="shared" si="91"/>
        <v>9727.5003701100159</v>
      </c>
      <c r="AR121" s="7">
        <f t="shared" si="92"/>
        <v>13695.642949610123</v>
      </c>
      <c r="AS121" s="7">
        <f t="shared" si="93"/>
        <v>11824.595622861405</v>
      </c>
      <c r="AT121" s="7">
        <f t="shared" si="94"/>
        <v>106150.54767414807</v>
      </c>
      <c r="AU121">
        <f>SUM($AT$9:AT121)</f>
        <v>62374019.204098694</v>
      </c>
      <c r="AV121" s="7">
        <f>AT121/(1+$AR$5)^(COUNT($E$9:E121))</f>
        <v>45161.942863194934</v>
      </c>
      <c r="AW121" s="7">
        <f t="shared" si="109"/>
        <v>0</v>
      </c>
      <c r="AX121" s="7">
        <f t="shared" si="95"/>
        <v>0</v>
      </c>
      <c r="AY121" s="117">
        <f t="shared" si="96"/>
        <v>0</v>
      </c>
      <c r="AZ121" s="117">
        <f t="shared" si="97"/>
        <v>106150.54767414807</v>
      </c>
      <c r="BA121" s="120">
        <f t="shared" si="98"/>
        <v>26219.81968431835</v>
      </c>
      <c r="BB121" s="119">
        <f t="shared" si="63"/>
        <v>0</v>
      </c>
      <c r="BC121" s="17"/>
      <c r="BD121" s="126">
        <f t="shared" si="64"/>
        <v>0.3790164711380285</v>
      </c>
      <c r="BE121" s="127">
        <f t="shared" si="65"/>
        <v>0.22238482297715836</v>
      </c>
      <c r="BF121" s="127">
        <f t="shared" si="66"/>
        <v>6.6544470509767667E-2</v>
      </c>
      <c r="BG121" s="127">
        <f t="shared" si="67"/>
        <v>9.1638720508260302E-2</v>
      </c>
      <c r="BH121" s="127">
        <f t="shared" si="68"/>
        <v>0.12902093535731765</v>
      </c>
      <c r="BI121" s="128">
        <f t="shared" si="69"/>
        <v>0.11139457950946748</v>
      </c>
      <c r="BJ121" s="126">
        <f t="array" ref="BJ121">BD121*INDEX(Royalty!$U$7:$Z$246,MATCH('Decline and Model'!$E121,Royalty!$AI$7:$AI$246,0),MATCH('Decline and Model'!BJ$8,Royalty!$U$1:$Z$1,0))</f>
        <v>0.11200784554685493</v>
      </c>
      <c r="BK121" s="127">
        <f t="array" ref="BK121">BE121*INDEX(Royalty!$U$7:$Z$246,MATCH('Decline and Model'!$E121,Royalty!$AI$7:$AI$246,0),MATCH('Decline and Model'!BK$8,Royalty!$U$1:$Z$1,0))</f>
        <v>6.3755833148215646E-2</v>
      </c>
      <c r="BL121" s="127">
        <f t="array" ref="BL121">BF121*INDEX(Royalty!$U$7:$Z$246,MATCH('Decline and Model'!$E121,Royalty!$AI$7:$AI$246,0),MATCH('Decline and Model'!BL$8,Royalty!$U$1:$Z$1,0))</f>
        <v>1.9731972137750228E-2</v>
      </c>
      <c r="BM121" s="127">
        <f t="array" ref="BM121">BG121*INDEX(Royalty!$U$7:$Z$246,MATCH('Decline and Model'!$E121,Royalty!$AI$7:$AI$246,0),MATCH('Decline and Model'!BM$8,Royalty!$U$1:$Z$1,0))</f>
        <v>2.6309631216520659E-2</v>
      </c>
      <c r="BN121" s="127">
        <f t="array" ref="BN121">BH121*INDEX(Royalty!$U$7:$Z$246,MATCH('Decline and Model'!$E121,Royalty!$AI$7:$AI$246,0),MATCH('Decline and Model'!BN$8,Royalty!$U$1:$Z$1,0))</f>
        <v>1.9630965475708955E-2</v>
      </c>
      <c r="BO121" s="127">
        <f t="array" ref="BO121">BI121*INDEX(Royalty!$U$7:$Z$246,MATCH('Decline and Model'!$E121,Royalty!$AI$7:$AI$246,0),MATCH('Decline and Model'!BO$8,Royalty!$U$1:$Z$1,0))</f>
        <v>5.5697289754733743E-3</v>
      </c>
      <c r="BP121" s="135">
        <f t="shared" si="70"/>
        <v>0.24700597650052381</v>
      </c>
      <c r="BQ121" s="7"/>
      <c r="BR121" s="7"/>
      <c r="BS121">
        <v>113</v>
      </c>
      <c r="BT121" s="120">
        <f t="shared" si="71"/>
        <v>26219.81968431835</v>
      </c>
      <c r="BU121" s="113">
        <f t="shared" si="72"/>
        <v>19775.911456143782</v>
      </c>
      <c r="BV121" s="113">
        <f t="shared" si="73"/>
        <v>5932.7734368431338</v>
      </c>
      <c r="BW121" s="113">
        <f t="shared" si="106"/>
        <v>981607.43300131382</v>
      </c>
      <c r="BX121" s="113">
        <f t="shared" si="99"/>
        <v>21697.893005103648</v>
      </c>
      <c r="BY121" s="120">
        <f t="shared" si="100"/>
        <v>32524.15009173915</v>
      </c>
      <c r="BZ121" s="153">
        <f t="shared" si="107"/>
        <v>0</v>
      </c>
      <c r="CA121" s="120">
        <f t="shared" si="110"/>
        <v>32524.15009173915</v>
      </c>
      <c r="CB121" s="120">
        <f t="shared" si="101"/>
        <v>8131.0375229347874</v>
      </c>
      <c r="CC121" s="153">
        <f t="shared" si="102"/>
        <v>46091.005573908013</v>
      </c>
      <c r="CD121" s="7">
        <f t="shared" si="74"/>
        <v>19609.501842852729</v>
      </c>
      <c r="CE121" s="11">
        <f>SUM($CD$9:CD121)</f>
        <v>24646486.771788027</v>
      </c>
      <c r="CF121" s="11">
        <f t="shared" si="103"/>
        <v>12000000</v>
      </c>
      <c r="CG121">
        <f t="shared" si="104"/>
        <v>12646486.771788027</v>
      </c>
    </row>
    <row r="122" spans="1:85">
      <c r="A122">
        <f t="shared" si="75"/>
        <v>2026</v>
      </c>
      <c r="B122">
        <f t="shared" si="76"/>
        <v>30.416666666666668</v>
      </c>
      <c r="C122">
        <f t="shared" si="111"/>
        <v>10</v>
      </c>
      <c r="E122" s="97">
        <v>46266</v>
      </c>
      <c r="F122" s="2">
        <f>$F$6*EXP(-$F$3*COUNT($E$9:$E122))</f>
        <v>2.6816708594067555</v>
      </c>
      <c r="G122" s="260">
        <f>$F$6/(1+$F$5*$F$3*COUNT($E$9:$E122))^(1/$F$5)</f>
        <v>13.472639859811256</v>
      </c>
      <c r="H122" s="260">
        <f>$H$6/(1+$H$5*$H$3*COUNT($E$9:$E122))^(1/$H$5)</f>
        <v>174.50461348970552</v>
      </c>
      <c r="I122" s="260">
        <f t="shared" si="77"/>
        <v>33.238973998039143</v>
      </c>
      <c r="J122" s="260">
        <f t="shared" si="78"/>
        <v>13.840708772783499</v>
      </c>
      <c r="K122" s="260">
        <f t="shared" si="78"/>
        <v>9.4166013336444898</v>
      </c>
      <c r="L122" s="260">
        <f t="shared" si="78"/>
        <v>4.4905853871350878</v>
      </c>
      <c r="M122" s="260">
        <f t="shared" si="78"/>
        <v>5.4944024018758704</v>
      </c>
      <c r="N122" s="19">
        <f t="shared" si="79"/>
        <v>81.567488640288815</v>
      </c>
      <c r="O122" s="19">
        <f t="shared" si="80"/>
        <v>409.79279573592572</v>
      </c>
      <c r="P122" s="19">
        <f t="shared" si="81"/>
        <v>5307.8486603118763</v>
      </c>
      <c r="Q122" s="19">
        <f t="shared" si="82"/>
        <v>1011.0187924403573</v>
      </c>
      <c r="R122" s="19">
        <f t="shared" si="83"/>
        <v>420.98822517216479</v>
      </c>
      <c r="S122" s="19">
        <f t="shared" si="84"/>
        <v>286.42162389835323</v>
      </c>
      <c r="T122" s="19">
        <f t="shared" si="85"/>
        <v>136.58863885869226</v>
      </c>
      <c r="U122" s="19">
        <f t="shared" si="86"/>
        <v>167.12140639039106</v>
      </c>
      <c r="V122" s="261">
        <f t="shared" si="105"/>
        <v>1949.9375933008241</v>
      </c>
      <c r="W122" s="261">
        <f>SUM(O$9:O122)</f>
        <v>546745.11542179226</v>
      </c>
      <c r="X122" s="261">
        <f>SUM(P$9:P122)</f>
        <v>2148554.2092602029</v>
      </c>
      <c r="Y122" s="261">
        <f>SUM(Q$9:Q122)</f>
        <v>409248.42081146687</v>
      </c>
      <c r="Z122" s="261">
        <f>SUM($V$9:V122)</f>
        <v>1170177.46993128</v>
      </c>
      <c r="AB122" s="257">
        <f t="array" ref="AB122">(INDEX(PriceDeck!$C$18:$O$77,MATCH('Decline and Model'!$A122,PriceDeck!$B$18:$B$77,0),MATCH('Decline and Model'!AB$8,PriceDeck!$C$13:$O$13,0))*(1+$AE$6))</f>
        <v>83.7</v>
      </c>
      <c r="AC122" s="257">
        <f t="array" ref="AC122">INDEX(PriceDeck!$C$18:$O$77,MATCH('Decline and Model'!$A122,PriceDeck!$B$18:$B$77,0),MATCH('Decline and Model'!AC$8,PriceDeck!$C$13:$O$13,0))*(1+$AE$6)</f>
        <v>95.6</v>
      </c>
      <c r="AD122" s="257">
        <f t="array" ref="AD122">INDEX(PriceDeck!$C$18:$O$77,MATCH('Decline and Model'!$A122,PriceDeck!$B$18:$B$77,0),MATCH('Decline and Model'!AD$8,PriceDeck!$C$13:$O$13,0))*(1+$AE$6)</f>
        <v>16.600000000000001</v>
      </c>
      <c r="AE122" s="257">
        <f t="array" ref="AE122">INDEX(PriceDeck!$C$18:$O$77,MATCH('Decline and Model'!$A122,PriceDeck!$B$18:$B$77,0),MATCH('Decline and Model'!AE$8,PriceDeck!$C$13:$O$13,0))*(1+$AE$6)</f>
        <v>33.6</v>
      </c>
      <c r="AF122" s="257">
        <f t="array" ref="AF122">INDEX(PriceDeck!$C$18:$O$77,MATCH('Decline and Model'!$A122,PriceDeck!$B$18:$B$77,0),MATCH('Decline and Model'!AF$8,PriceDeck!$C$13:$O$13,0))*(1+$AE$6)</f>
        <v>99.2</v>
      </c>
      <c r="AG122" s="257">
        <f t="array" ref="AG122">INDEX(PriceDeck!$C$18:$O$77,MATCH('Decline and Model'!$A122,PriceDeck!$B$18:$B$77,0),MATCH('Decline and Model'!AG$8,PriceDeck!$C$13:$O$13,0))*(1+$AE$6)</f>
        <v>70</v>
      </c>
      <c r="AH122" s="258">
        <f t="array" ref="AH122">INDEX(PriceDeck!$C$18:$O$77,MATCH('Decline and Model'!$A122,PriceDeck!$B$18:$B$77,0),MATCH('Decline and Model'!AH$8,PriceDeck!$C$13:$O$13,0))</f>
        <v>0.85</v>
      </c>
      <c r="AI122" s="258">
        <f t="shared" si="87"/>
        <v>4.4000000000000004</v>
      </c>
      <c r="AJ122" s="259">
        <f t="shared" si="62"/>
        <v>4.4000000000000004</v>
      </c>
      <c r="AK122" s="120">
        <v>4.4000000000000004</v>
      </c>
      <c r="AL122" s="120"/>
      <c r="AN122" s="7">
        <f t="shared" si="88"/>
        <v>39176.191272354496</v>
      </c>
      <c r="AO122" s="7">
        <f t="shared" si="89"/>
        <v>23354.534105372259</v>
      </c>
      <c r="AP122" s="7">
        <f t="shared" si="90"/>
        <v>6988.4045378579358</v>
      </c>
      <c r="AQ122" s="7">
        <f t="shared" si="91"/>
        <v>9623.7665629846688</v>
      </c>
      <c r="AR122" s="7">
        <f t="shared" si="92"/>
        <v>13549.592974782274</v>
      </c>
      <c r="AS122" s="7">
        <f t="shared" si="93"/>
        <v>11698.498447327374</v>
      </c>
      <c r="AT122" s="7">
        <f t="shared" si="94"/>
        <v>104390.98790067903</v>
      </c>
      <c r="AU122">
        <f>SUM($AT$9:AT122)</f>
        <v>62478410.191999376</v>
      </c>
      <c r="AV122" s="7">
        <f>AT122/(1+$AR$5)^(COUNT($E$9:E122))</f>
        <v>44078.709931150268</v>
      </c>
      <c r="AW122" s="7">
        <f t="shared" si="109"/>
        <v>0</v>
      </c>
      <c r="AX122" s="7">
        <f t="shared" si="95"/>
        <v>0</v>
      </c>
      <c r="AY122" s="117">
        <f t="shared" si="96"/>
        <v>0</v>
      </c>
      <c r="AZ122" s="117">
        <f t="shared" si="97"/>
        <v>104390.98790067903</v>
      </c>
      <c r="BA122" s="120">
        <f t="shared" si="98"/>
        <v>25754.750319516213</v>
      </c>
      <c r="BB122" s="119">
        <f t="shared" si="63"/>
        <v>0</v>
      </c>
      <c r="BC122" s="17"/>
      <c r="BD122" s="126">
        <f t="shared" si="64"/>
        <v>0.3752832697553164</v>
      </c>
      <c r="BE122" s="127">
        <f t="shared" si="65"/>
        <v>0.22372174624492031</v>
      </c>
      <c r="BF122" s="127">
        <f t="shared" si="66"/>
        <v>6.6944519621817647E-2</v>
      </c>
      <c r="BG122" s="127">
        <f t="shared" si="67"/>
        <v>9.2189630125361327E-2</v>
      </c>
      <c r="BH122" s="127">
        <f t="shared" si="68"/>
        <v>0.12979657772444683</v>
      </c>
      <c r="BI122" s="128">
        <f t="shared" si="69"/>
        <v>0.11206425652813733</v>
      </c>
      <c r="BJ122" s="126">
        <f t="array" ref="BJ122">BD122*INDEX(Royalty!$U$7:$Z$246,MATCH('Decline and Model'!$E122,Royalty!$AI$7:$AI$246,0),MATCH('Decline and Model'!BJ$8,Royalty!$U$1:$Z$1,0))</f>
        <v>0.11090460102923648</v>
      </c>
      <c r="BK122" s="127">
        <f t="array" ref="BK122">BE122*INDEX(Royalty!$U$7:$Z$246,MATCH('Decline and Model'!$E122,Royalty!$AI$7:$AI$246,0),MATCH('Decline and Model'!BK$8,Royalty!$U$1:$Z$1,0))</f>
        <v>6.4139117653202529E-2</v>
      </c>
      <c r="BL122" s="127">
        <f t="array" ref="BL122">BF122*INDEX(Royalty!$U$7:$Z$246,MATCH('Decline and Model'!$E122,Royalty!$AI$7:$AI$246,0),MATCH('Decline and Model'!BL$8,Royalty!$U$1:$Z$1,0))</f>
        <v>1.9850595937327135E-2</v>
      </c>
      <c r="BM122" s="127">
        <f t="array" ref="BM122">BG122*INDEX(Royalty!$U$7:$Z$246,MATCH('Decline and Model'!$E122,Royalty!$AI$7:$AI$246,0),MATCH('Decline and Model'!BM$8,Royalty!$U$1:$Z$1,0))</f>
        <v>2.6467798296758931E-2</v>
      </c>
      <c r="BN122" s="127">
        <f t="array" ref="BN122">BH122*INDEX(Royalty!$U$7:$Z$246,MATCH('Decline and Model'!$E122,Royalty!$AI$7:$AI$246,0),MATCH('Decline and Model'!BN$8,Royalty!$U$1:$Z$1,0))</f>
        <v>1.9748982047891141E-2</v>
      </c>
      <c r="BO122" s="127">
        <f t="array" ref="BO122">BI122*INDEX(Royalty!$U$7:$Z$246,MATCH('Decline and Model'!$E122,Royalty!$AI$7:$AI$246,0),MATCH('Decline and Model'!BO$8,Royalty!$U$1:$Z$1,0))</f>
        <v>5.6032128264068663E-3</v>
      </c>
      <c r="BP122" s="135">
        <f t="shared" si="70"/>
        <v>0.24671430779082307</v>
      </c>
      <c r="BQ122" s="7"/>
      <c r="BR122" s="7"/>
      <c r="BS122">
        <v>114</v>
      </c>
      <c r="BT122" s="120">
        <f t="shared" si="71"/>
        <v>25754.750319516213</v>
      </c>
      <c r="BU122" s="113">
        <f t="shared" si="72"/>
        <v>19499.375933008239</v>
      </c>
      <c r="BV122" s="113">
        <f t="shared" si="73"/>
        <v>5849.8127799024724</v>
      </c>
      <c r="BW122" s="113">
        <f t="shared" si="106"/>
        <v>959909.53999621014</v>
      </c>
      <c r="BX122" s="113">
        <f t="shared" si="99"/>
        <v>21218.273001186772</v>
      </c>
      <c r="BY122" s="120">
        <f t="shared" si="100"/>
        <v>32068.775867065331</v>
      </c>
      <c r="BZ122" s="153">
        <f t="shared" si="107"/>
        <v>0</v>
      </c>
      <c r="CA122" s="120">
        <f t="shared" si="110"/>
        <v>32068.775867065331</v>
      </c>
      <c r="CB122" s="120">
        <f t="shared" si="101"/>
        <v>8017.1939667663328</v>
      </c>
      <c r="CC122" s="153">
        <f t="shared" si="102"/>
        <v>45269.854901485771</v>
      </c>
      <c r="CD122" s="7">
        <f t="shared" si="74"/>
        <v>19115.02940010852</v>
      </c>
      <c r="CE122" s="11">
        <f>SUM($CD$9:CD122)</f>
        <v>24665601.801188137</v>
      </c>
      <c r="CF122" s="11">
        <f t="shared" si="103"/>
        <v>12000000</v>
      </c>
      <c r="CG122">
        <f t="shared" si="104"/>
        <v>12665601.801188137</v>
      </c>
    </row>
    <row r="123" spans="1:85">
      <c r="A123">
        <f t="shared" si="75"/>
        <v>2026</v>
      </c>
      <c r="B123">
        <f t="shared" si="76"/>
        <v>30.416666666666668</v>
      </c>
      <c r="C123">
        <f t="shared" si="111"/>
        <v>10</v>
      </c>
      <c r="E123" s="97">
        <v>46296</v>
      </c>
      <c r="F123" s="2">
        <f>$F$6*EXP(-$F$3*COUNT($E$9:$E123))</f>
        <v>2.5508842282938238</v>
      </c>
      <c r="G123" s="260">
        <f>$F$6/(1+$F$5*$F$3*COUNT($E$9:$E123))^(1/$F$5)</f>
        <v>13.120247402727276</v>
      </c>
      <c r="H123" s="260">
        <f>$H$6/(1+$H$5*$H$3*COUNT($E$9:$E123))^(1/$H$5)</f>
        <v>172.65777047595122</v>
      </c>
      <c r="I123" s="260">
        <f t="shared" si="77"/>
        <v>32.88719437637166</v>
      </c>
      <c r="J123" s="260">
        <f t="shared" si="78"/>
        <v>13.694227738321159</v>
      </c>
      <c r="K123" s="260">
        <f t="shared" si="78"/>
        <v>9.3169421668260917</v>
      </c>
      <c r="L123" s="260">
        <f t="shared" si="78"/>
        <v>4.4430599602478109</v>
      </c>
      <c r="M123" s="260">
        <f t="shared" si="78"/>
        <v>5.4362532304142359</v>
      </c>
      <c r="N123" s="19">
        <f t="shared" si="79"/>
        <v>77.589395277270469</v>
      </c>
      <c r="O123" s="19">
        <f t="shared" si="80"/>
        <v>399.07419183295468</v>
      </c>
      <c r="P123" s="19">
        <f t="shared" si="81"/>
        <v>5251.6738519768496</v>
      </c>
      <c r="Q123" s="19">
        <f t="shared" si="82"/>
        <v>1000.3188289479714</v>
      </c>
      <c r="R123" s="19">
        <f t="shared" si="83"/>
        <v>416.53276037393528</v>
      </c>
      <c r="S123" s="19">
        <f t="shared" si="84"/>
        <v>283.3903242409603</v>
      </c>
      <c r="T123" s="19">
        <f t="shared" si="85"/>
        <v>135.14307379087091</v>
      </c>
      <c r="U123" s="19">
        <f t="shared" si="86"/>
        <v>165.35270242509969</v>
      </c>
      <c r="V123" s="261">
        <f t="shared" si="105"/>
        <v>1922.9191013738578</v>
      </c>
      <c r="W123" s="261">
        <f>SUM(O$9:O123)</f>
        <v>547144.18961362517</v>
      </c>
      <c r="X123" s="261">
        <f>SUM(P$9:P123)</f>
        <v>2153805.8831121796</v>
      </c>
      <c r="Y123" s="261">
        <f>SUM(Q$9:Q123)</f>
        <v>410248.73964041483</v>
      </c>
      <c r="Z123" s="261">
        <f>SUM($V$9:V123)</f>
        <v>1172100.3890326538</v>
      </c>
      <c r="AB123" s="257">
        <f t="array" ref="AB123">(INDEX(PriceDeck!$C$18:$O$77,MATCH('Decline and Model'!$A123,PriceDeck!$B$18:$B$77,0),MATCH('Decline and Model'!AB$8,PriceDeck!$C$13:$O$13,0))*(1+$AE$6))</f>
        <v>83.7</v>
      </c>
      <c r="AC123" s="257">
        <f t="array" ref="AC123">INDEX(PriceDeck!$C$18:$O$77,MATCH('Decline and Model'!$A123,PriceDeck!$B$18:$B$77,0),MATCH('Decline and Model'!AC$8,PriceDeck!$C$13:$O$13,0))*(1+$AE$6)</f>
        <v>95.6</v>
      </c>
      <c r="AD123" s="257">
        <f t="array" ref="AD123">INDEX(PriceDeck!$C$18:$O$77,MATCH('Decline and Model'!$A123,PriceDeck!$B$18:$B$77,0),MATCH('Decline and Model'!AD$8,PriceDeck!$C$13:$O$13,0))*(1+$AE$6)</f>
        <v>16.600000000000001</v>
      </c>
      <c r="AE123" s="257">
        <f t="array" ref="AE123">INDEX(PriceDeck!$C$18:$O$77,MATCH('Decline and Model'!$A123,PriceDeck!$B$18:$B$77,0),MATCH('Decline and Model'!AE$8,PriceDeck!$C$13:$O$13,0))*(1+$AE$6)</f>
        <v>33.6</v>
      </c>
      <c r="AF123" s="257">
        <f t="array" ref="AF123">INDEX(PriceDeck!$C$18:$O$77,MATCH('Decline and Model'!$A123,PriceDeck!$B$18:$B$77,0),MATCH('Decline and Model'!AF$8,PriceDeck!$C$13:$O$13,0))*(1+$AE$6)</f>
        <v>99.2</v>
      </c>
      <c r="AG123" s="257">
        <f t="array" ref="AG123">INDEX(PriceDeck!$C$18:$O$77,MATCH('Decline and Model'!$A123,PriceDeck!$B$18:$B$77,0),MATCH('Decline and Model'!AG$8,PriceDeck!$C$13:$O$13,0))*(1+$AE$6)</f>
        <v>70</v>
      </c>
      <c r="AH123" s="258">
        <f t="array" ref="AH123">INDEX(PriceDeck!$C$18:$O$77,MATCH('Decline and Model'!$A123,PriceDeck!$B$18:$B$77,0),MATCH('Decline and Model'!AH$8,PriceDeck!$C$13:$O$13,0))</f>
        <v>0.85</v>
      </c>
      <c r="AI123" s="258">
        <f t="shared" si="87"/>
        <v>4.4000000000000004</v>
      </c>
      <c r="AJ123" s="259">
        <f t="shared" si="62"/>
        <v>4.4000000000000004</v>
      </c>
      <c r="AK123" s="120">
        <v>4.4000000000000004</v>
      </c>
      <c r="AL123" s="120"/>
      <c r="AN123" s="7">
        <f t="shared" si="88"/>
        <v>38151.492739230467</v>
      </c>
      <c r="AO123" s="7">
        <f t="shared" si="89"/>
        <v>23107.364948698141</v>
      </c>
      <c r="AP123" s="7">
        <f t="shared" si="90"/>
        <v>6914.4438222073259</v>
      </c>
      <c r="AQ123" s="7">
        <f t="shared" si="91"/>
        <v>9521.9148944962672</v>
      </c>
      <c r="AR123" s="7">
        <f t="shared" si="92"/>
        <v>13406.192920054395</v>
      </c>
      <c r="AS123" s="7">
        <f t="shared" si="93"/>
        <v>11574.689169756979</v>
      </c>
      <c r="AT123" s="7">
        <f t="shared" si="94"/>
        <v>102676.09849444358</v>
      </c>
      <c r="AU123">
        <f>SUM($AT$9:AT123)</f>
        <v>62581086.290493816</v>
      </c>
      <c r="AV123" s="7">
        <f>AT123/(1+$AR$5)^(COUNT($E$9:E123))</f>
        <v>43027.955995817261</v>
      </c>
      <c r="AW123" s="7">
        <f t="shared" si="109"/>
        <v>0</v>
      </c>
      <c r="AX123" s="7">
        <f t="shared" si="95"/>
        <v>0</v>
      </c>
      <c r="AY123" s="117">
        <f t="shared" si="96"/>
        <v>0</v>
      </c>
      <c r="AZ123" s="117">
        <f t="shared" si="97"/>
        <v>102676.09849444358</v>
      </c>
      <c r="BA123" s="120">
        <f t="shared" si="98"/>
        <v>25301.885584660846</v>
      </c>
      <c r="BB123" s="119">
        <f t="shared" si="63"/>
        <v>0</v>
      </c>
      <c r="BC123" s="17"/>
      <c r="BD123" s="126">
        <f t="shared" si="64"/>
        <v>0.37157131307725988</v>
      </c>
      <c r="BE123" s="127">
        <f t="shared" si="65"/>
        <v>0.2250510614205761</v>
      </c>
      <c r="BF123" s="127">
        <f t="shared" si="66"/>
        <v>6.7342292155574149E-2</v>
      </c>
      <c r="BG123" s="127">
        <f t="shared" si="67"/>
        <v>9.2737404655198849E-2</v>
      </c>
      <c r="BH123" s="127">
        <f t="shared" si="68"/>
        <v>0.13056780610708427</v>
      </c>
      <c r="BI123" s="128">
        <f t="shared" si="69"/>
        <v>0.11273012258430676</v>
      </c>
      <c r="BJ123" s="126">
        <f t="array" ref="BJ123">BD123*INDEX(Royalty!$U$7:$Z$246,MATCH('Decline and Model'!$E123,Royalty!$AI$7:$AI$246,0),MATCH('Decline and Model'!BJ$8,Royalty!$U$1:$Z$1,0))</f>
        <v>0.10980763479707249</v>
      </c>
      <c r="BK123" s="127">
        <f t="array" ref="BK123">BE123*INDEX(Royalty!$U$7:$Z$246,MATCH('Decline and Model'!$E123,Royalty!$AI$7:$AI$246,0),MATCH('Decline and Model'!BK$8,Royalty!$U$1:$Z$1,0))</f>
        <v>6.4520220983033658E-2</v>
      </c>
      <c r="BL123" s="127">
        <f t="array" ref="BL123">BF123*INDEX(Royalty!$U$7:$Z$246,MATCH('Decline and Model'!$E123,Royalty!$AI$7:$AI$246,0),MATCH('Decline and Model'!BL$8,Royalty!$U$1:$Z$1,0))</f>
        <v>1.9968544678869733E-2</v>
      </c>
      <c r="BM123" s="127">
        <f t="array" ref="BM123">BG123*INDEX(Royalty!$U$7:$Z$246,MATCH('Decline and Model'!$E123,Royalty!$AI$7:$AI$246,0),MATCH('Decline and Model'!BM$8,Royalty!$U$1:$Z$1,0))</f>
        <v>2.6625065288156186E-2</v>
      </c>
      <c r="BN123" s="127">
        <f t="array" ref="BN123">BH123*INDEX(Royalty!$U$7:$Z$246,MATCH('Decline and Model'!$E123,Royalty!$AI$7:$AI$246,0),MATCH('Decline and Model'!BN$8,Royalty!$U$1:$Z$1,0))</f>
        <v>1.9866327017616505E-2</v>
      </c>
      <c r="BO123" s="127">
        <f t="array" ref="BO123">BI123*INDEX(Royalty!$U$7:$Z$246,MATCH('Decline and Model'!$E123,Royalty!$AI$7:$AI$246,0),MATCH('Decline and Model'!BO$8,Royalty!$U$1:$Z$1,0))</f>
        <v>5.6365061292153384E-3</v>
      </c>
      <c r="BP123" s="135">
        <f t="shared" si="70"/>
        <v>0.24642429889396394</v>
      </c>
      <c r="BQ123" s="7"/>
      <c r="BR123" s="7"/>
      <c r="BS123">
        <v>115</v>
      </c>
      <c r="BT123" s="120">
        <f t="shared" si="71"/>
        <v>25301.885584660846</v>
      </c>
      <c r="BU123" s="113">
        <f t="shared" si="72"/>
        <v>19229.191013738578</v>
      </c>
      <c r="BV123" s="113">
        <f t="shared" si="73"/>
        <v>5768.7573041215728</v>
      </c>
      <c r="BW123" s="113">
        <f t="shared" si="106"/>
        <v>938691.26699502335</v>
      </c>
      <c r="BX123" s="113">
        <f t="shared" si="99"/>
        <v>20749.254733950183</v>
      </c>
      <c r="BY123" s="120">
        <f t="shared" si="100"/>
        <v>31627.009857972393</v>
      </c>
      <c r="BZ123" s="153">
        <f t="shared" si="107"/>
        <v>0</v>
      </c>
      <c r="CA123" s="120">
        <f t="shared" si="110"/>
        <v>31627.009857972393</v>
      </c>
      <c r="CB123" s="120">
        <f t="shared" si="101"/>
        <v>7906.7524644930982</v>
      </c>
      <c r="CC123" s="153">
        <f t="shared" si="102"/>
        <v>44469.51212742948</v>
      </c>
      <c r="CD123" s="7">
        <f t="shared" si="74"/>
        <v>18635.614705189106</v>
      </c>
      <c r="CE123" s="11">
        <f>SUM($CD$9:CD123)</f>
        <v>24684237.415893327</v>
      </c>
      <c r="CF123" s="11">
        <f t="shared" si="103"/>
        <v>12000000</v>
      </c>
      <c r="CG123">
        <f t="shared" si="104"/>
        <v>12684237.415893327</v>
      </c>
    </row>
    <row r="124" spans="1:85">
      <c r="A124">
        <f t="shared" si="75"/>
        <v>2026</v>
      </c>
      <c r="B124">
        <f t="shared" si="76"/>
        <v>30.416666666666668</v>
      </c>
      <c r="C124">
        <f t="shared" si="111"/>
        <v>10</v>
      </c>
      <c r="E124" s="97">
        <v>46327</v>
      </c>
      <c r="F124" s="2">
        <f>$F$6*EXP(-$F$3*COUNT($E$9:$E124))</f>
        <v>2.4264761364478806</v>
      </c>
      <c r="G124" s="260">
        <f>$F$6/(1+$F$5*$F$3*COUNT($E$9:$E124))^(1/$F$5)</f>
        <v>12.778456404213642</v>
      </c>
      <c r="H124" s="260">
        <f>$H$6/(1+$H$5*$H$3*COUNT($E$9:$E124))^(1/$H$5)</f>
        <v>170.84418500194562</v>
      </c>
      <c r="I124" s="260">
        <f t="shared" si="77"/>
        <v>32.541749524180119</v>
      </c>
      <c r="J124" s="260">
        <f t="shared" si="78"/>
        <v>13.550384501868601</v>
      </c>
      <c r="K124" s="260">
        <f t="shared" si="78"/>
        <v>9.2190776402002275</v>
      </c>
      <c r="L124" s="260">
        <f t="shared" si="78"/>
        <v>4.3963903607167341</v>
      </c>
      <c r="M124" s="260">
        <f t="shared" si="78"/>
        <v>5.3791511963469736</v>
      </c>
      <c r="N124" s="19">
        <f t="shared" si="79"/>
        <v>73.805315816956366</v>
      </c>
      <c r="O124" s="19">
        <f t="shared" si="80"/>
        <v>388.67804896149829</v>
      </c>
      <c r="P124" s="19">
        <f t="shared" si="81"/>
        <v>5196.5106271425129</v>
      </c>
      <c r="Q124" s="19">
        <f t="shared" si="82"/>
        <v>989.81154802714536</v>
      </c>
      <c r="R124" s="19">
        <f t="shared" si="83"/>
        <v>412.15752859850329</v>
      </c>
      <c r="S124" s="19">
        <f t="shared" si="84"/>
        <v>280.41361155609025</v>
      </c>
      <c r="T124" s="19">
        <f t="shared" si="85"/>
        <v>133.72354013846734</v>
      </c>
      <c r="U124" s="19">
        <f t="shared" si="86"/>
        <v>163.61584888888711</v>
      </c>
      <c r="V124" s="261">
        <f t="shared" si="105"/>
        <v>1896.5165952500408</v>
      </c>
      <c r="W124" s="261">
        <f>SUM(O$9:O124)</f>
        <v>547532.86766258662</v>
      </c>
      <c r="X124" s="261">
        <f>SUM(P$9:P124)</f>
        <v>2159002.3937393222</v>
      </c>
      <c r="Y124" s="261">
        <f>SUM(Q$9:Q124)</f>
        <v>411238.55118844198</v>
      </c>
      <c r="Z124" s="261">
        <f>SUM($V$9:V124)</f>
        <v>1173996.9056279038</v>
      </c>
      <c r="AB124" s="257">
        <f t="array" ref="AB124">(INDEX(PriceDeck!$C$18:$O$77,MATCH('Decline and Model'!$A124,PriceDeck!$B$18:$B$77,0),MATCH('Decline and Model'!AB$8,PriceDeck!$C$13:$O$13,0))*(1+$AE$6))</f>
        <v>83.7</v>
      </c>
      <c r="AC124" s="257">
        <f t="array" ref="AC124">INDEX(PriceDeck!$C$18:$O$77,MATCH('Decline and Model'!$A124,PriceDeck!$B$18:$B$77,0),MATCH('Decline and Model'!AC$8,PriceDeck!$C$13:$O$13,0))*(1+$AE$6)</f>
        <v>95.6</v>
      </c>
      <c r="AD124" s="257">
        <f t="array" ref="AD124">INDEX(PriceDeck!$C$18:$O$77,MATCH('Decline and Model'!$A124,PriceDeck!$B$18:$B$77,0),MATCH('Decline and Model'!AD$8,PriceDeck!$C$13:$O$13,0))*(1+$AE$6)</f>
        <v>16.600000000000001</v>
      </c>
      <c r="AE124" s="257">
        <f t="array" ref="AE124">INDEX(PriceDeck!$C$18:$O$77,MATCH('Decline and Model'!$A124,PriceDeck!$B$18:$B$77,0),MATCH('Decline and Model'!AE$8,PriceDeck!$C$13:$O$13,0))*(1+$AE$6)</f>
        <v>33.6</v>
      </c>
      <c r="AF124" s="257">
        <f t="array" ref="AF124">INDEX(PriceDeck!$C$18:$O$77,MATCH('Decline and Model'!$A124,PriceDeck!$B$18:$B$77,0),MATCH('Decline and Model'!AF$8,PriceDeck!$C$13:$O$13,0))*(1+$AE$6)</f>
        <v>99.2</v>
      </c>
      <c r="AG124" s="257">
        <f t="array" ref="AG124">INDEX(PriceDeck!$C$18:$O$77,MATCH('Decline and Model'!$A124,PriceDeck!$B$18:$B$77,0),MATCH('Decline and Model'!AG$8,PriceDeck!$C$13:$O$13,0))*(1+$AE$6)</f>
        <v>70</v>
      </c>
      <c r="AH124" s="258">
        <f t="array" ref="AH124">INDEX(PriceDeck!$C$18:$O$77,MATCH('Decline and Model'!$A124,PriceDeck!$B$18:$B$77,0),MATCH('Decline and Model'!AH$8,PriceDeck!$C$13:$O$13,0))</f>
        <v>0.85</v>
      </c>
      <c r="AI124" s="258">
        <f t="shared" si="87"/>
        <v>4.4000000000000004</v>
      </c>
      <c r="AJ124" s="259">
        <f t="shared" si="62"/>
        <v>4.4000000000000004</v>
      </c>
      <c r="AK124" s="120">
        <v>4.4000000000000004</v>
      </c>
      <c r="AL124" s="120"/>
      <c r="AN124" s="7">
        <f t="shared" si="88"/>
        <v>37157.621480719237</v>
      </c>
      <c r="AO124" s="7">
        <f t="shared" si="89"/>
        <v>22864.646759427058</v>
      </c>
      <c r="AP124" s="7">
        <f t="shared" si="90"/>
        <v>6841.8149747351554</v>
      </c>
      <c r="AQ124" s="7">
        <f t="shared" si="91"/>
        <v>9421.8973482846322</v>
      </c>
      <c r="AR124" s="7">
        <f t="shared" si="92"/>
        <v>13265.375181735961</v>
      </c>
      <c r="AS124" s="7">
        <f t="shared" si="93"/>
        <v>11453.109422222098</v>
      </c>
      <c r="AT124" s="7">
        <f t="shared" si="94"/>
        <v>101004.46516712414</v>
      </c>
      <c r="AU124">
        <f>SUM($AT$9:AT124)</f>
        <v>62682090.755660944</v>
      </c>
      <c r="AV124" s="7">
        <f>AT124/(1+$AR$5)^(COUNT($E$9:E124))</f>
        <v>42008.523878404216</v>
      </c>
      <c r="AW124" s="7">
        <f t="shared" si="109"/>
        <v>0</v>
      </c>
      <c r="AX124" s="7">
        <f t="shared" si="95"/>
        <v>0</v>
      </c>
      <c r="AY124" s="117">
        <f t="shared" si="96"/>
        <v>0</v>
      </c>
      <c r="AZ124" s="117">
        <f t="shared" si="97"/>
        <v>101004.46516712414</v>
      </c>
      <c r="BA124" s="120">
        <f t="shared" si="98"/>
        <v>24860.832947274339</v>
      </c>
      <c r="BB124" s="119">
        <f t="shared" si="63"/>
        <v>0</v>
      </c>
      <c r="BC124" s="17"/>
      <c r="BD124" s="126">
        <f t="shared" si="64"/>
        <v>0.36788097852146878</v>
      </c>
      <c r="BE124" s="127">
        <f t="shared" si="65"/>
        <v>0.22637263334442417</v>
      </c>
      <c r="BF124" s="127">
        <f t="shared" si="66"/>
        <v>6.7737747667041673E-2</v>
      </c>
      <c r="BG124" s="127">
        <f t="shared" si="67"/>
        <v>9.3281988402145979E-2</v>
      </c>
      <c r="BH124" s="127">
        <f t="shared" si="68"/>
        <v>0.13133454208966691</v>
      </c>
      <c r="BI124" s="128">
        <f t="shared" si="69"/>
        <v>0.11339210997525247</v>
      </c>
      <c r="BJ124" s="126">
        <f t="array" ref="BJ124">BD124*INDEX(Royalty!$U$7:$Z$246,MATCH('Decline and Model'!$E124,Royalty!$AI$7:$AI$246,0),MATCH('Decline and Model'!BJ$8,Royalty!$U$1:$Z$1,0))</f>
        <v>0.10871705838570926</v>
      </c>
      <c r="BK124" s="127">
        <f t="array" ref="BK124">BE124*INDEX(Royalty!$U$7:$Z$246,MATCH('Decline and Model'!$E124,Royalty!$AI$7:$AI$246,0),MATCH('Decline and Model'!BK$8,Royalty!$U$1:$Z$1,0))</f>
        <v>6.4899104388574685E-2</v>
      </c>
      <c r="BL124" s="127">
        <f t="array" ref="BL124">BF124*INDEX(Royalty!$U$7:$Z$246,MATCH('Decline and Model'!$E124,Royalty!$AI$7:$AI$246,0),MATCH('Decline and Model'!BL$8,Royalty!$U$1:$Z$1,0))</f>
        <v>2.0085806369799432E-2</v>
      </c>
      <c r="BM124" s="127">
        <f t="array" ref="BM124">BG124*INDEX(Royalty!$U$7:$Z$246,MATCH('Decline and Model'!$E124,Royalty!$AI$7:$AI$246,0),MATCH('Decline and Model'!BM$8,Royalty!$U$1:$Z$1,0))</f>
        <v>2.6781416200404012E-2</v>
      </c>
      <c r="BN124" s="127">
        <f t="array" ref="BN124">BH124*INDEX(Royalty!$U$7:$Z$246,MATCH('Decline and Model'!$E124,Royalty!$AI$7:$AI$246,0),MATCH('Decline and Model'!BN$8,Royalty!$U$1:$Z$1,0))</f>
        <v>1.9982988453695685E-2</v>
      </c>
      <c r="BO124" s="127">
        <f t="array" ref="BO124">BI124*INDEX(Royalty!$U$7:$Z$246,MATCH('Decline and Model'!$E124,Royalty!$AI$7:$AI$246,0),MATCH('Decline and Model'!BO$8,Royalty!$U$1:$Z$1,0))</f>
        <v>5.6696054987626235E-3</v>
      </c>
      <c r="BP124" s="135">
        <f t="shared" si="70"/>
        <v>0.24613597929694567</v>
      </c>
      <c r="BQ124" s="7"/>
      <c r="BR124" s="7"/>
      <c r="BS124">
        <v>116</v>
      </c>
      <c r="BT124" s="120">
        <f t="shared" si="71"/>
        <v>24860.832947274339</v>
      </c>
      <c r="BU124" s="113">
        <f t="shared" si="72"/>
        <v>18965.165952500407</v>
      </c>
      <c r="BV124" s="113">
        <f t="shared" si="73"/>
        <v>5689.5497857501223</v>
      </c>
      <c r="BW124" s="113">
        <f t="shared" si="106"/>
        <v>917942.01226107322</v>
      </c>
      <c r="BX124" s="113">
        <f t="shared" si="99"/>
        <v>20290.603857829232</v>
      </c>
      <c r="BY124" s="120">
        <f t="shared" si="100"/>
        <v>31198.312623770045</v>
      </c>
      <c r="BZ124" s="153">
        <f t="shared" si="107"/>
        <v>0</v>
      </c>
      <c r="CA124" s="120">
        <f t="shared" si="110"/>
        <v>31198.312623770045</v>
      </c>
      <c r="CB124" s="120">
        <f t="shared" si="101"/>
        <v>7799.5781559425113</v>
      </c>
      <c r="CC124" s="153">
        <f t="shared" si="102"/>
        <v>43689.338325656761</v>
      </c>
      <c r="CD124" s="7">
        <f t="shared" si="74"/>
        <v>18170.727494554478</v>
      </c>
      <c r="CE124" s="11">
        <f>SUM($CD$9:CD124)</f>
        <v>24702408.14338788</v>
      </c>
      <c r="CF124" s="11">
        <f t="shared" si="103"/>
        <v>12000000</v>
      </c>
      <c r="CG124">
        <f t="shared" si="104"/>
        <v>12702408.14338788</v>
      </c>
    </row>
    <row r="125" spans="1:85">
      <c r="A125">
        <f t="shared" si="75"/>
        <v>2026</v>
      </c>
      <c r="B125">
        <f t="shared" si="76"/>
        <v>30.416666666666668</v>
      </c>
      <c r="C125">
        <f t="shared" si="111"/>
        <v>10</v>
      </c>
      <c r="E125" s="97">
        <v>46357</v>
      </c>
      <c r="F125" s="2">
        <f>$F$6*EXP(-$F$3*COUNT($E$9:$E125))</f>
        <v>2.3081354988380336</v>
      </c>
      <c r="G125" s="260">
        <f>$F$6/(1+$F$5*$F$3*COUNT($E$9:$E125))^(1/$F$5)</f>
        <v>12.446906619269619</v>
      </c>
      <c r="H125" s="260">
        <f>$H$6/(1+$H$5*$H$3*COUNT($E$9:$E125))^(1/$H$5)</f>
        <v>169.06301493397063</v>
      </c>
      <c r="I125" s="260">
        <f t="shared" si="77"/>
        <v>32.202479035042025</v>
      </c>
      <c r="J125" s="260">
        <f t="shared" si="78"/>
        <v>13.409112270191498</v>
      </c>
      <c r="K125" s="260">
        <f t="shared" si="78"/>
        <v>9.1229623106274058</v>
      </c>
      <c r="L125" s="260">
        <f t="shared" si="78"/>
        <v>4.3505549176341773</v>
      </c>
      <c r="M125" s="260">
        <f t="shared" si="78"/>
        <v>5.3230697844924464</v>
      </c>
      <c r="N125" s="19">
        <f t="shared" si="79"/>
        <v>70.205788089656863</v>
      </c>
      <c r="O125" s="19">
        <f t="shared" si="80"/>
        <v>378.59340966945092</v>
      </c>
      <c r="P125" s="19">
        <f t="shared" si="81"/>
        <v>5142.3333709082735</v>
      </c>
      <c r="Q125" s="19">
        <f t="shared" si="82"/>
        <v>979.49207064919494</v>
      </c>
      <c r="R125" s="19">
        <f t="shared" si="83"/>
        <v>407.86049821832472</v>
      </c>
      <c r="S125" s="19">
        <f t="shared" si="84"/>
        <v>277.49010361491696</v>
      </c>
      <c r="T125" s="19">
        <f t="shared" si="85"/>
        <v>132.32937874470622</v>
      </c>
      <c r="U125" s="19">
        <f t="shared" si="86"/>
        <v>161.91003927831193</v>
      </c>
      <c r="V125" s="261">
        <f t="shared" si="105"/>
        <v>1870.711684963944</v>
      </c>
      <c r="W125" s="261">
        <f>SUM(O$9:O125)</f>
        <v>547911.46107225609</v>
      </c>
      <c r="X125" s="261">
        <f>SUM(P$9:P125)</f>
        <v>2164144.7271102304</v>
      </c>
      <c r="Y125" s="261">
        <f>SUM(Q$9:Q125)</f>
        <v>412218.04325909115</v>
      </c>
      <c r="Z125" s="261">
        <f>SUM($V$9:V125)</f>
        <v>1175867.6173128677</v>
      </c>
      <c r="AB125" s="257">
        <f t="array" ref="AB125">(INDEX(PriceDeck!$C$18:$O$77,MATCH('Decline and Model'!$A125,PriceDeck!$B$18:$B$77,0),MATCH('Decline and Model'!AB$8,PriceDeck!$C$13:$O$13,0))*(1+$AE$6))</f>
        <v>83.7</v>
      </c>
      <c r="AC125" s="257">
        <f t="array" ref="AC125">INDEX(PriceDeck!$C$18:$O$77,MATCH('Decline and Model'!$A125,PriceDeck!$B$18:$B$77,0),MATCH('Decline and Model'!AC$8,PriceDeck!$C$13:$O$13,0))*(1+$AE$6)</f>
        <v>95.6</v>
      </c>
      <c r="AD125" s="257">
        <f t="array" ref="AD125">INDEX(PriceDeck!$C$18:$O$77,MATCH('Decline and Model'!$A125,PriceDeck!$B$18:$B$77,0),MATCH('Decline and Model'!AD$8,PriceDeck!$C$13:$O$13,0))*(1+$AE$6)</f>
        <v>16.600000000000001</v>
      </c>
      <c r="AE125" s="257">
        <f t="array" ref="AE125">INDEX(PriceDeck!$C$18:$O$77,MATCH('Decline and Model'!$A125,PriceDeck!$B$18:$B$77,0),MATCH('Decline and Model'!AE$8,PriceDeck!$C$13:$O$13,0))*(1+$AE$6)</f>
        <v>33.6</v>
      </c>
      <c r="AF125" s="257">
        <f t="array" ref="AF125">INDEX(PriceDeck!$C$18:$O$77,MATCH('Decline and Model'!$A125,PriceDeck!$B$18:$B$77,0),MATCH('Decline and Model'!AF$8,PriceDeck!$C$13:$O$13,0))*(1+$AE$6)</f>
        <v>99.2</v>
      </c>
      <c r="AG125" s="257">
        <f t="array" ref="AG125">INDEX(PriceDeck!$C$18:$O$77,MATCH('Decline and Model'!$A125,PriceDeck!$B$18:$B$77,0),MATCH('Decline and Model'!AG$8,PriceDeck!$C$13:$O$13,0))*(1+$AE$6)</f>
        <v>70</v>
      </c>
      <c r="AH125" s="258">
        <f t="array" ref="AH125">INDEX(PriceDeck!$C$18:$O$77,MATCH('Decline and Model'!$A125,PriceDeck!$B$18:$B$77,0),MATCH('Decline and Model'!AH$8,PriceDeck!$C$13:$O$13,0))</f>
        <v>0.85</v>
      </c>
      <c r="AI125" s="258">
        <f t="shared" si="87"/>
        <v>4.4000000000000004</v>
      </c>
      <c r="AJ125" s="259">
        <f t="shared" si="62"/>
        <v>4.4000000000000004</v>
      </c>
      <c r="AK125" s="120">
        <v>4.4000000000000004</v>
      </c>
      <c r="AL125" s="120"/>
      <c r="AN125" s="7">
        <f t="shared" si="88"/>
        <v>36193.529964399509</v>
      </c>
      <c r="AO125" s="7">
        <f t="shared" si="89"/>
        <v>22626.266831996407</v>
      </c>
      <c r="AP125" s="7">
        <f t="shared" si="90"/>
        <v>6770.484270424191</v>
      </c>
      <c r="AQ125" s="7">
        <f t="shared" si="91"/>
        <v>9323.6674814612106</v>
      </c>
      <c r="AR125" s="7">
        <f t="shared" si="92"/>
        <v>13127.074371474857</v>
      </c>
      <c r="AS125" s="7">
        <f t="shared" si="93"/>
        <v>11333.702749481836</v>
      </c>
      <c r="AT125" s="7">
        <f t="shared" si="94"/>
        <v>99374.725669238003</v>
      </c>
      <c r="AU125">
        <f>SUM($AT$9:AT125)</f>
        <v>62781465.481330179</v>
      </c>
      <c r="AV125" s="7">
        <f>AT125/(1+$AR$5)^(COUNT($E$9:E125))</f>
        <v>41019.303400083023</v>
      </c>
      <c r="AW125" s="7">
        <f t="shared" si="109"/>
        <v>0</v>
      </c>
      <c r="AX125" s="7">
        <f t="shared" si="95"/>
        <v>0</v>
      </c>
      <c r="AY125" s="117">
        <f t="shared" si="96"/>
        <v>0</v>
      </c>
      <c r="AZ125" s="117">
        <f t="shared" si="97"/>
        <v>99374.725669238003</v>
      </c>
      <c r="BA125" s="120">
        <f t="shared" si="98"/>
        <v>24431.214420473727</v>
      </c>
      <c r="BB125" s="119">
        <f t="shared" si="63"/>
        <v>0</v>
      </c>
      <c r="BC125" s="17"/>
      <c r="BD125" s="126">
        <f t="shared" si="64"/>
        <v>0.36421262771448754</v>
      </c>
      <c r="BE125" s="127">
        <f t="shared" si="65"/>
        <v>0.22768633251181386</v>
      </c>
      <c r="BF125" s="127">
        <f t="shared" si="66"/>
        <v>6.8130847404392195E-2</v>
      </c>
      <c r="BG125" s="127">
        <f t="shared" si="67"/>
        <v>9.3823328000868164E-2</v>
      </c>
      <c r="BH125" s="127">
        <f t="shared" si="68"/>
        <v>0.13209671053752067</v>
      </c>
      <c r="BI125" s="128">
        <f t="shared" si="69"/>
        <v>0.11405015383091766</v>
      </c>
      <c r="BJ125" s="126">
        <f t="array" ref="BJ125">BD125*INDEX(Royalty!$U$7:$Z$246,MATCH('Decline and Model'!$E125,Royalty!$AI$7:$AI$246,0),MATCH('Decline and Model'!BJ$8,Royalty!$U$1:$Z$1,0))</f>
        <v>0.10763297866387996</v>
      </c>
      <c r="BK125" s="127">
        <f t="array" ref="BK125">BE125*INDEX(Royalty!$U$7:$Z$246,MATCH('Decline and Model'!$E125,Royalty!$AI$7:$AI$246,0),MATCH('Decline and Model'!BK$8,Royalty!$U$1:$Z$1,0))</f>
        <v>6.5275730741946161E-2</v>
      </c>
      <c r="BL125" s="127">
        <f t="array" ref="BL125">BF125*INDEX(Royalty!$U$7:$Z$246,MATCH('Decline and Model'!$E125,Royalty!$AI$7:$AI$246,0),MATCH('Decline and Model'!BL$8,Royalty!$U$1:$Z$1,0))</f>
        <v>2.0202369519304375E-2</v>
      </c>
      <c r="BM125" s="127">
        <f t="array" ref="BM125">BG125*INDEX(Royalty!$U$7:$Z$246,MATCH('Decline and Model'!$E125,Royalty!$AI$7:$AI$246,0),MATCH('Decline and Model'!BM$8,Royalty!$U$1:$Z$1,0))</f>
        <v>2.6936835712224848E-2</v>
      </c>
      <c r="BN125" s="127">
        <f t="array" ref="BN125">BH125*INDEX(Royalty!$U$7:$Z$246,MATCH('Decline and Model'!$E125,Royalty!$AI$7:$AI$246,0),MATCH('Decline and Model'!BN$8,Royalty!$U$1:$Z$1,0))</f>
        <v>2.0098954924137515E-2</v>
      </c>
      <c r="BO125" s="127">
        <f t="array" ref="BO125">BI125*INDEX(Royalty!$U$7:$Z$246,MATCH('Decline and Model'!$E125,Royalty!$AI$7:$AI$246,0),MATCH('Decline and Model'!BO$8,Royalty!$U$1:$Z$1,0))</f>
        <v>5.7025076915458829E-3</v>
      </c>
      <c r="BP125" s="135">
        <f t="shared" si="70"/>
        <v>0.24584937725303874</v>
      </c>
      <c r="BQ125" s="7"/>
      <c r="BR125" s="7"/>
      <c r="BS125">
        <v>117</v>
      </c>
      <c r="BT125" s="120">
        <f t="shared" si="71"/>
        <v>24431.214420473727</v>
      </c>
      <c r="BU125" s="113">
        <f t="shared" si="72"/>
        <v>18707.116849639438</v>
      </c>
      <c r="BV125" s="113">
        <f t="shared" si="73"/>
        <v>5612.1350548918317</v>
      </c>
      <c r="BW125" s="113">
        <f t="shared" si="106"/>
        <v>897651.40840324399</v>
      </c>
      <c r="BX125" s="113">
        <f t="shared" si="99"/>
        <v>19842.091207339214</v>
      </c>
      <c r="BY125" s="120">
        <f t="shared" si="100"/>
        <v>30782.16813689379</v>
      </c>
      <c r="BZ125" s="153">
        <f t="shared" si="107"/>
        <v>0</v>
      </c>
      <c r="CA125" s="120">
        <f t="shared" si="110"/>
        <v>30782.16813689379</v>
      </c>
      <c r="CB125" s="120">
        <f t="shared" si="101"/>
        <v>7695.5420342234474</v>
      </c>
      <c r="CC125" s="153">
        <f t="shared" si="102"/>
        <v>42928.717310009553</v>
      </c>
      <c r="CD125" s="7">
        <f t="shared" si="74"/>
        <v>17719.858525966989</v>
      </c>
      <c r="CE125" s="11">
        <f>SUM($CD$9:CD125)</f>
        <v>24720128.001913846</v>
      </c>
      <c r="CF125" s="11">
        <f t="shared" si="103"/>
        <v>12000000</v>
      </c>
      <c r="CG125">
        <f t="shared" si="104"/>
        <v>12720128.001913846</v>
      </c>
    </row>
    <row r="126" spans="1:85">
      <c r="A126">
        <f t="shared" si="75"/>
        <v>2027</v>
      </c>
      <c r="B126">
        <f t="shared" si="76"/>
        <v>30.416666666666668</v>
      </c>
      <c r="C126">
        <f t="shared" si="111"/>
        <v>10</v>
      </c>
      <c r="E126" s="97">
        <v>46388</v>
      </c>
      <c r="F126" s="2">
        <f>$F$6*EXP(-$F$3*COUNT($E$9:$E126))</f>
        <v>2.1955664022293719</v>
      </c>
      <c r="G126" s="260">
        <f>$F$6/(1+$F$5*$F$3*COUNT($E$9:$E126))^(1/$F$5)</f>
        <v>12.125251436700159</v>
      </c>
      <c r="H126" s="260">
        <f>$H$6/(1+$H$5*$H$3*COUNT($E$9:$E126))^(1/$H$5)</f>
        <v>167.31344553058614</v>
      </c>
      <c r="I126" s="260">
        <f t="shared" si="77"/>
        <v>31.869227720111642</v>
      </c>
      <c r="J126" s="260">
        <f t="shared" si="78"/>
        <v>13.270346422654487</v>
      </c>
      <c r="K126" s="260">
        <f t="shared" si="78"/>
        <v>9.0285522131076288</v>
      </c>
      <c r="L126" s="260">
        <f t="shared" si="78"/>
        <v>4.3055326649870826</v>
      </c>
      <c r="M126" s="260">
        <f t="shared" si="78"/>
        <v>5.2679833421344542</v>
      </c>
      <c r="N126" s="19">
        <f t="shared" si="79"/>
        <v>66.781811401143401</v>
      </c>
      <c r="O126" s="19">
        <f t="shared" si="80"/>
        <v>368.80973119962988</v>
      </c>
      <c r="P126" s="19">
        <f t="shared" si="81"/>
        <v>5089.1173015553286</v>
      </c>
      <c r="Q126" s="19">
        <f t="shared" si="82"/>
        <v>969.35567648672918</v>
      </c>
      <c r="R126" s="19">
        <f t="shared" si="83"/>
        <v>403.639703689074</v>
      </c>
      <c r="S126" s="19">
        <f t="shared" si="84"/>
        <v>274.61846314869041</v>
      </c>
      <c r="T126" s="19">
        <f t="shared" si="85"/>
        <v>130.9599518933571</v>
      </c>
      <c r="U126" s="19">
        <f t="shared" si="86"/>
        <v>160.23449332325632</v>
      </c>
      <c r="V126" s="261">
        <f t="shared" si="105"/>
        <v>1845.4866370041395</v>
      </c>
      <c r="W126" s="261">
        <f>SUM(O$9:O126)</f>
        <v>548280.27080345573</v>
      </c>
      <c r="X126" s="261">
        <f>SUM(P$9:P126)</f>
        <v>2169233.8444117857</v>
      </c>
      <c r="Y126" s="261">
        <f>SUM(Q$9:Q126)</f>
        <v>413187.39893557789</v>
      </c>
      <c r="Z126" s="261">
        <f>SUM($V$9:V126)</f>
        <v>1177713.1039498718</v>
      </c>
      <c r="AB126" s="257">
        <f t="array" ref="AB126">(INDEX(PriceDeck!$C$18:$O$77,MATCH('Decline and Model'!$A126,PriceDeck!$B$18:$B$77,0),MATCH('Decline and Model'!AB$8,PriceDeck!$C$13:$O$13,0))*(1+$AE$6))</f>
        <v>85.3</v>
      </c>
      <c r="AC126" s="257">
        <f t="array" ref="AC126">INDEX(PriceDeck!$C$18:$O$77,MATCH('Decline and Model'!$A126,PriceDeck!$B$18:$B$77,0),MATCH('Decline and Model'!AC$8,PriceDeck!$C$13:$O$13,0))*(1+$AE$6)</f>
        <v>97.4</v>
      </c>
      <c r="AD126" s="257">
        <f t="array" ref="AD126">INDEX(PriceDeck!$C$18:$O$77,MATCH('Decline and Model'!$A126,PriceDeck!$B$18:$B$77,0),MATCH('Decline and Model'!AD$8,PriceDeck!$C$13:$O$13,0))*(1+$AE$6)</f>
        <v>17</v>
      </c>
      <c r="AE126" s="257">
        <f t="array" ref="AE126">INDEX(PriceDeck!$C$18:$O$77,MATCH('Decline and Model'!$A126,PriceDeck!$B$18:$B$77,0),MATCH('Decline and Model'!AE$8,PriceDeck!$C$13:$O$13,0))*(1+$AE$6)</f>
        <v>34.200000000000003</v>
      </c>
      <c r="AF126" s="257">
        <f t="array" ref="AF126">INDEX(PriceDeck!$C$18:$O$77,MATCH('Decline and Model'!$A126,PriceDeck!$B$18:$B$77,0),MATCH('Decline and Model'!AF$8,PriceDeck!$C$13:$O$13,0))*(1+$AE$6)</f>
        <v>101.1</v>
      </c>
      <c r="AG126" s="257">
        <f t="array" ref="AG126">INDEX(PriceDeck!$C$18:$O$77,MATCH('Decline and Model'!$A126,PriceDeck!$B$18:$B$77,0),MATCH('Decline and Model'!AG$8,PriceDeck!$C$13:$O$13,0))*(1+$AE$6)</f>
        <v>71.400000000000006</v>
      </c>
      <c r="AH126" s="258">
        <f t="array" ref="AH126">INDEX(PriceDeck!$C$18:$O$77,MATCH('Decline and Model'!$A126,PriceDeck!$B$18:$B$77,0),MATCH('Decline and Model'!AH$8,PriceDeck!$C$13:$O$13,0))</f>
        <v>0.85</v>
      </c>
      <c r="AI126" s="258">
        <f t="shared" si="87"/>
        <v>4.5</v>
      </c>
      <c r="AJ126" s="259">
        <f t="shared" si="62"/>
        <v>4.5</v>
      </c>
      <c r="AK126" s="120">
        <v>4.5</v>
      </c>
      <c r="AL126" s="120"/>
      <c r="AN126" s="7">
        <f t="shared" si="88"/>
        <v>35922.067818843949</v>
      </c>
      <c r="AO126" s="7">
        <f t="shared" si="89"/>
        <v>22901.027856998979</v>
      </c>
      <c r="AP126" s="7">
        <f t="shared" si="90"/>
        <v>6861.8749627142579</v>
      </c>
      <c r="AQ126" s="7">
        <f t="shared" si="91"/>
        <v>9391.9514396852119</v>
      </c>
      <c r="AR126" s="7">
        <f t="shared" si="92"/>
        <v>13240.051136418402</v>
      </c>
      <c r="AS126" s="7">
        <f t="shared" si="93"/>
        <v>11440.742823280501</v>
      </c>
      <c r="AT126" s="7">
        <f t="shared" si="94"/>
        <v>99757.716037941296</v>
      </c>
      <c r="AU126">
        <f>SUM($AT$9:AT126)</f>
        <v>62881223.197368123</v>
      </c>
      <c r="AV126" s="7">
        <f>AT126/(1+$AR$5)^(COUNT($E$9:E126))</f>
        <v>40867.147516296194</v>
      </c>
      <c r="AW126" s="7">
        <f t="shared" si="109"/>
        <v>0</v>
      </c>
      <c r="AX126" s="7">
        <f t="shared" si="95"/>
        <v>0</v>
      </c>
      <c r="AY126" s="117">
        <f t="shared" si="96"/>
        <v>0</v>
      </c>
      <c r="AZ126" s="117">
        <f t="shared" si="97"/>
        <v>99757.716037941296</v>
      </c>
      <c r="BA126" s="120">
        <f t="shared" si="98"/>
        <v>24896.744999764454</v>
      </c>
      <c r="BB126" s="119">
        <f t="shared" si="63"/>
        <v>0</v>
      </c>
      <c r="BC126" s="17"/>
      <c r="BD126" s="126">
        <f t="shared" si="64"/>
        <v>0.36009312608141059</v>
      </c>
      <c r="BE126" s="127">
        <f t="shared" si="65"/>
        <v>0.22956648133653068</v>
      </c>
      <c r="BF126" s="127">
        <f t="shared" si="66"/>
        <v>6.8785405633228922E-2</v>
      </c>
      <c r="BG126" s="127">
        <f t="shared" si="67"/>
        <v>9.4147618978296668E-2</v>
      </c>
      <c r="BH126" s="127">
        <f t="shared" si="68"/>
        <v>0.13272207566763813</v>
      </c>
      <c r="BI126" s="128">
        <f t="shared" si="69"/>
        <v>0.11468529230289508</v>
      </c>
      <c r="BJ126" s="126">
        <f t="array" ref="BJ126">BD126*INDEX(Royalty!$U$7:$Z$246,MATCH('Decline and Model'!$E126,Royalty!$AI$7:$AI$246,0),MATCH('Decline and Model'!BJ$8,Royalty!$U$1:$Z$1,0))</f>
        <v>0.10809387753393059</v>
      </c>
      <c r="BK126" s="127">
        <f t="array" ref="BK126">BE126*INDEX(Royalty!$U$7:$Z$246,MATCH('Decline and Model'!$E126,Royalty!$AI$7:$AI$246,0),MATCH('Decline and Model'!BK$8,Royalty!$U$1:$Z$1,0))</f>
        <v>6.6828391927761785E-2</v>
      </c>
      <c r="BL126" s="127">
        <f t="array" ref="BL126">BF126*INDEX(Royalty!$U$7:$Z$246,MATCH('Decline and Model'!$E126,Royalty!$AI$7:$AI$246,0),MATCH('Decline and Model'!BL$8,Royalty!$U$1:$Z$1,0))</f>
        <v>2.0732022264821105E-2</v>
      </c>
      <c r="BM126" s="127">
        <f t="array" ref="BM126">BG126*INDEX(Royalty!$U$7:$Z$246,MATCH('Decline and Model'!$E126,Royalty!$AI$7:$AI$246,0),MATCH('Decline and Model'!BM$8,Royalty!$U$1:$Z$1,0))</f>
        <v>2.7425391749066951E-2</v>
      </c>
      <c r="BN126" s="127">
        <f t="array" ref="BN126">BH126*INDEX(Royalty!$U$7:$Z$246,MATCH('Decline and Model'!$E126,Royalty!$AI$7:$AI$246,0),MATCH('Decline and Model'!BN$8,Royalty!$U$1:$Z$1,0))</f>
        <v>2.0758175135265355E-2</v>
      </c>
      <c r="BO126" s="127">
        <f t="array" ref="BO126">BI126*INDEX(Royalty!$U$7:$Z$246,MATCH('Decline and Model'!$E126,Royalty!$AI$7:$AI$246,0),MATCH('Decline and Model'!BO$8,Royalty!$U$1:$Z$1,0))</f>
        <v>5.7342646151447539E-3</v>
      </c>
      <c r="BP126" s="135">
        <f t="shared" si="70"/>
        <v>0.24957212322599051</v>
      </c>
      <c r="BQ126" s="7"/>
      <c r="BR126" s="7"/>
      <c r="BS126">
        <v>118</v>
      </c>
      <c r="BT126" s="120">
        <f t="shared" si="71"/>
        <v>24896.744999764454</v>
      </c>
      <c r="BU126" s="113">
        <f t="shared" si="72"/>
        <v>18454.866370041396</v>
      </c>
      <c r="BV126" s="113">
        <f t="shared" si="73"/>
        <v>5536.4599110124182</v>
      </c>
      <c r="BW126" s="113">
        <f t="shared" si="106"/>
        <v>877809.31719590479</v>
      </c>
      <c r="BX126" s="113">
        <f t="shared" si="99"/>
        <v>19403.492682572563</v>
      </c>
      <c r="BY126" s="120">
        <f t="shared" si="100"/>
        <v>31466.15207455046</v>
      </c>
      <c r="BZ126" s="153">
        <f t="shared" si="107"/>
        <v>0</v>
      </c>
      <c r="CA126" s="120">
        <f t="shared" si="110"/>
        <v>31466.15207455046</v>
      </c>
      <c r="CB126" s="120">
        <f t="shared" si="101"/>
        <v>7866.5380186376151</v>
      </c>
      <c r="CC126" s="153">
        <f t="shared" si="102"/>
        <v>43003.10673848541</v>
      </c>
      <c r="CD126" s="7">
        <f t="shared" si="74"/>
        <v>17616.825810970942</v>
      </c>
      <c r="CE126" s="11">
        <f>SUM($CD$9:CD126)</f>
        <v>24737744.827724818</v>
      </c>
      <c r="CF126" s="11">
        <f t="shared" si="103"/>
        <v>12000000</v>
      </c>
      <c r="CG126">
        <f t="shared" si="104"/>
        <v>12737744.827724818</v>
      </c>
    </row>
    <row r="127" spans="1:85">
      <c r="A127">
        <f t="shared" si="75"/>
        <v>2027</v>
      </c>
      <c r="B127">
        <f t="shared" si="76"/>
        <v>30.416666666666668</v>
      </c>
      <c r="C127">
        <f t="shared" si="111"/>
        <v>10</v>
      </c>
      <c r="E127" s="97">
        <v>46419</v>
      </c>
      <c r="F127" s="2">
        <f>$F$6*EXP(-$F$3*COUNT($E$9:$E127))</f>
        <v>2.088487365245749</v>
      </c>
      <c r="G127" s="260">
        <f>$F$6/(1+$F$5*$F$3*COUNT($E$9:$E127))^(1/$F$5)</f>
        <v>11.81315731085515</v>
      </c>
      <c r="H127" s="260">
        <f>$H$6/(1+$H$5*$H$3*COUNT($E$9:$E127))^(1/$H$5)</f>
        <v>165.59468835715322</v>
      </c>
      <c r="I127" s="260">
        <f t="shared" si="77"/>
        <v>31.541845401362515</v>
      </c>
      <c r="J127" s="260">
        <f t="shared" si="78"/>
        <v>13.13402442512735</v>
      </c>
      <c r="K127" s="260">
        <f t="shared" si="78"/>
        <v>8.9358048022060004</v>
      </c>
      <c r="L127" s="260">
        <f t="shared" si="78"/>
        <v>4.2613033137240759</v>
      </c>
      <c r="M127" s="260">
        <f t="shared" si="78"/>
        <v>5.213867044845224</v>
      </c>
      <c r="N127" s="19">
        <f t="shared" si="79"/>
        <v>63.52482402622487</v>
      </c>
      <c r="O127" s="19">
        <f t="shared" si="80"/>
        <v>359.31686820517751</v>
      </c>
      <c r="P127" s="19">
        <f t="shared" si="81"/>
        <v>5036.8384375300775</v>
      </c>
      <c r="Q127" s="19">
        <f t="shared" si="82"/>
        <v>959.39779762477656</v>
      </c>
      <c r="R127" s="19">
        <f t="shared" si="83"/>
        <v>399.49324293095691</v>
      </c>
      <c r="S127" s="19">
        <f t="shared" si="84"/>
        <v>271.79739606709921</v>
      </c>
      <c r="T127" s="19">
        <f t="shared" si="85"/>
        <v>129.6146424591073</v>
      </c>
      <c r="U127" s="19">
        <f t="shared" si="86"/>
        <v>158.58845594737556</v>
      </c>
      <c r="V127" s="261">
        <f t="shared" si="105"/>
        <v>1820.824347448387</v>
      </c>
      <c r="W127" s="261">
        <f>SUM(O$9:O127)</f>
        <v>548639.58767166093</v>
      </c>
      <c r="X127" s="261">
        <f>SUM(P$9:P127)</f>
        <v>2174270.6828493159</v>
      </c>
      <c r="Y127" s="261">
        <f>SUM(Q$9:Q127)</f>
        <v>414146.79673320265</v>
      </c>
      <c r="Z127" s="261">
        <f>SUM($V$9:V127)</f>
        <v>1179533.9282973201</v>
      </c>
      <c r="AB127" s="257">
        <f t="array" ref="AB127">(INDEX(PriceDeck!$C$18:$O$77,MATCH('Decline and Model'!$A127,PriceDeck!$B$18:$B$77,0),MATCH('Decline and Model'!AB$8,PriceDeck!$C$13:$O$13,0))*(1+$AE$6))</f>
        <v>85.3</v>
      </c>
      <c r="AC127" s="257">
        <f t="array" ref="AC127">INDEX(PriceDeck!$C$18:$O$77,MATCH('Decline and Model'!$A127,PriceDeck!$B$18:$B$77,0),MATCH('Decline and Model'!AC$8,PriceDeck!$C$13:$O$13,0))*(1+$AE$6)</f>
        <v>97.4</v>
      </c>
      <c r="AD127" s="257">
        <f t="array" ref="AD127">INDEX(PriceDeck!$C$18:$O$77,MATCH('Decline and Model'!$A127,PriceDeck!$B$18:$B$77,0),MATCH('Decline and Model'!AD$8,PriceDeck!$C$13:$O$13,0))*(1+$AE$6)</f>
        <v>17</v>
      </c>
      <c r="AE127" s="257">
        <f t="array" ref="AE127">INDEX(PriceDeck!$C$18:$O$77,MATCH('Decline and Model'!$A127,PriceDeck!$B$18:$B$77,0),MATCH('Decline and Model'!AE$8,PriceDeck!$C$13:$O$13,0))*(1+$AE$6)</f>
        <v>34.200000000000003</v>
      </c>
      <c r="AF127" s="257">
        <f t="array" ref="AF127">INDEX(PriceDeck!$C$18:$O$77,MATCH('Decline and Model'!$A127,PriceDeck!$B$18:$B$77,0),MATCH('Decline and Model'!AF$8,PriceDeck!$C$13:$O$13,0))*(1+$AE$6)</f>
        <v>101.1</v>
      </c>
      <c r="AG127" s="257">
        <f t="array" ref="AG127">INDEX(PriceDeck!$C$18:$O$77,MATCH('Decline and Model'!$A127,PriceDeck!$B$18:$B$77,0),MATCH('Decline and Model'!AG$8,PriceDeck!$C$13:$O$13,0))*(1+$AE$6)</f>
        <v>71.400000000000006</v>
      </c>
      <c r="AH127" s="258">
        <f t="array" ref="AH127">INDEX(PriceDeck!$C$18:$O$77,MATCH('Decline and Model'!$A127,PriceDeck!$B$18:$B$77,0),MATCH('Decline and Model'!AH$8,PriceDeck!$C$13:$O$13,0))</f>
        <v>0.85</v>
      </c>
      <c r="AI127" s="258">
        <f t="shared" si="87"/>
        <v>4.5</v>
      </c>
      <c r="AJ127" s="259">
        <f t="shared" si="62"/>
        <v>4.5</v>
      </c>
      <c r="AK127" s="120">
        <v>4.5</v>
      </c>
      <c r="AL127" s="120"/>
      <c r="AN127" s="7">
        <f t="shared" si="88"/>
        <v>34997.462963184291</v>
      </c>
      <c r="AO127" s="7">
        <f t="shared" si="89"/>
        <v>22665.772968885351</v>
      </c>
      <c r="AP127" s="7">
        <f t="shared" si="90"/>
        <v>6791.3851298262671</v>
      </c>
      <c r="AQ127" s="7">
        <f t="shared" si="91"/>
        <v>9295.4709454947933</v>
      </c>
      <c r="AR127" s="7">
        <f t="shared" si="92"/>
        <v>13104.040352615748</v>
      </c>
      <c r="AS127" s="7">
        <f t="shared" si="93"/>
        <v>11323.215754642617</v>
      </c>
      <c r="AT127" s="7">
        <f t="shared" si="94"/>
        <v>98177.348114649067</v>
      </c>
      <c r="AU127">
        <f>SUM($AT$9:AT127)</f>
        <v>62979400.54548277</v>
      </c>
      <c r="AV127" s="7">
        <f>AT127/(1+$AR$5)^(COUNT($E$9:E127))</f>
        <v>39916.698644707314</v>
      </c>
      <c r="AW127" s="7">
        <f t="shared" si="109"/>
        <v>0</v>
      </c>
      <c r="AX127" s="7">
        <f t="shared" si="95"/>
        <v>0</v>
      </c>
      <c r="AY127" s="117">
        <f t="shared" si="96"/>
        <v>0</v>
      </c>
      <c r="AZ127" s="117">
        <f t="shared" si="97"/>
        <v>98177.348114649067</v>
      </c>
      <c r="BA127" s="120">
        <f t="shared" si="98"/>
        <v>24474.210308660859</v>
      </c>
      <c r="BB127" s="119">
        <f t="shared" si="63"/>
        <v>0</v>
      </c>
      <c r="BC127" s="17"/>
      <c r="BD127" s="126">
        <f t="shared" si="64"/>
        <v>0.35647187090768762</v>
      </c>
      <c r="BE127" s="127">
        <f t="shared" si="65"/>
        <v>0.23086560600941089</v>
      </c>
      <c r="BF127" s="127">
        <f t="shared" si="66"/>
        <v>6.9174664627276922E-2</v>
      </c>
      <c r="BG127" s="127">
        <f t="shared" si="67"/>
        <v>9.4680403616522357E-2</v>
      </c>
      <c r="BH127" s="127">
        <f t="shared" si="68"/>
        <v>0.13347315449296079</v>
      </c>
      <c r="BI127" s="128">
        <f t="shared" si="69"/>
        <v>0.11533430034614142</v>
      </c>
      <c r="BJ127" s="126">
        <f t="array" ref="BJ127">BD127*INDEX(Royalty!$U$7:$Z$246,MATCH('Decline and Model'!$E127,Royalty!$AI$7:$AI$246,0),MATCH('Decline and Model'!BJ$8,Royalty!$U$1:$Z$1,0))</f>
        <v>0.10700683786303437</v>
      </c>
      <c r="BK127" s="127">
        <f t="array" ref="BK127">BE127*INDEX(Royalty!$U$7:$Z$246,MATCH('Decline and Model'!$E127,Royalty!$AI$7:$AI$246,0),MATCH('Decline and Model'!BK$8,Royalty!$U$1:$Z$1,0))</f>
        <v>6.7206576113435612E-2</v>
      </c>
      <c r="BL127" s="127">
        <f t="array" ref="BL127">BF127*INDEX(Royalty!$U$7:$Z$246,MATCH('Decline and Model'!$E127,Royalty!$AI$7:$AI$246,0),MATCH('Decline and Model'!BL$8,Royalty!$U$1:$Z$1,0))</f>
        <v>2.0849345497229093E-2</v>
      </c>
      <c r="BM127" s="127">
        <f t="array" ref="BM127">BG127*INDEX(Royalty!$U$7:$Z$246,MATCH('Decline and Model'!$E127,Royalty!$AI$7:$AI$246,0),MATCH('Decline and Model'!BM$8,Royalty!$U$1:$Z$1,0))</f>
        <v>2.758059299132665E-2</v>
      </c>
      <c r="BN127" s="127">
        <f t="array" ref="BN127">BH127*INDEX(Royalty!$U$7:$Z$246,MATCH('Decline and Model'!$E127,Royalty!$AI$7:$AI$246,0),MATCH('Decline and Model'!BN$8,Royalty!$U$1:$Z$1,0))</f>
        <v>2.0875646367673441E-2</v>
      </c>
      <c r="BO127" s="127">
        <f t="array" ref="BO127">BI127*INDEX(Royalty!$U$7:$Z$246,MATCH('Decline and Model'!$E127,Royalty!$AI$7:$AI$246,0),MATCH('Decline and Model'!BO$8,Royalty!$U$1:$Z$1,0))</f>
        <v>5.7667150173070711E-3</v>
      </c>
      <c r="BP127" s="135">
        <f t="shared" si="70"/>
        <v>0.24928571385000625</v>
      </c>
      <c r="BQ127" s="7"/>
      <c r="BR127" s="7"/>
      <c r="BS127">
        <v>119</v>
      </c>
      <c r="BT127" s="120">
        <f t="shared" si="71"/>
        <v>24474.210308660859</v>
      </c>
      <c r="BU127" s="113">
        <f t="shared" si="72"/>
        <v>18208.243474483868</v>
      </c>
      <c r="BV127" s="113">
        <f t="shared" si="73"/>
        <v>5462.473042345161</v>
      </c>
      <c r="BW127" s="113">
        <f t="shared" si="106"/>
        <v>858405.82451333222</v>
      </c>
      <c r="BX127" s="113">
        <f t="shared" si="99"/>
        <v>18974.589137227053</v>
      </c>
      <c r="BY127" s="120">
        <f t="shared" si="100"/>
        <v>31057.832151932129</v>
      </c>
      <c r="BZ127" s="153">
        <f t="shared" si="107"/>
        <v>0</v>
      </c>
      <c r="CA127" s="120">
        <f t="shared" si="110"/>
        <v>31057.832151932129</v>
      </c>
      <c r="CB127" s="120">
        <f t="shared" si="101"/>
        <v>7764.4580379830322</v>
      </c>
      <c r="CC127" s="153">
        <f t="shared" si="102"/>
        <v>42267.963251176145</v>
      </c>
      <c r="CD127" s="7">
        <f t="shared" si="74"/>
        <v>17185.201921042866</v>
      </c>
      <c r="CE127" s="11">
        <f>SUM($CD$9:CD127)</f>
        <v>24754930.02964586</v>
      </c>
      <c r="CF127" s="11">
        <f t="shared" si="103"/>
        <v>12000000</v>
      </c>
      <c r="CG127">
        <f t="shared" si="104"/>
        <v>12754930.02964586</v>
      </c>
    </row>
    <row r="128" spans="1:85">
      <c r="A128">
        <f t="shared" si="75"/>
        <v>2027</v>
      </c>
      <c r="B128">
        <f t="shared" si="76"/>
        <v>30.416666666666668</v>
      </c>
      <c r="C128">
        <f t="shared" si="111"/>
        <v>10</v>
      </c>
      <c r="E128" s="97">
        <v>46447</v>
      </c>
      <c r="F128" s="2">
        <f>$F$6*EXP(-$F$3*COUNT($E$9:$E128))</f>
        <v>1.9866306345197264</v>
      </c>
      <c r="G128" s="260">
        <f>$F$6/(1+$F$5*$F$3*COUNT($E$9:$E128))^(1/$F$5)</f>
        <v>11.510303219215212</v>
      </c>
      <c r="H128" s="260">
        <f>$H$6/(1+$H$5*$H$3*COUNT($E$9:$E128))^(1/$H$5)</f>
        <v>163.90598025096716</v>
      </c>
      <c r="I128" s="260">
        <f t="shared" si="77"/>
        <v>31.220186714469932</v>
      </c>
      <c r="J128" s="260">
        <f t="shared" si="78"/>
        <v>13.000085747905279</v>
      </c>
      <c r="K128" s="260">
        <f t="shared" si="78"/>
        <v>8.8446788962093308</v>
      </c>
      <c r="L128" s="260">
        <f t="shared" si="78"/>
        <v>4.2178472251248875</v>
      </c>
      <c r="M128" s="260">
        <f t="shared" si="78"/>
        <v>5.1606968639018795</v>
      </c>
      <c r="N128" s="19">
        <f t="shared" si="79"/>
        <v>60.426681799975015</v>
      </c>
      <c r="O128" s="19">
        <f t="shared" si="80"/>
        <v>350.10505625112938</v>
      </c>
      <c r="P128" s="19">
        <f t="shared" si="81"/>
        <v>4985.4735659669177</v>
      </c>
      <c r="Q128" s="19">
        <f t="shared" si="82"/>
        <v>949.61401256512715</v>
      </c>
      <c r="R128" s="19">
        <f t="shared" si="83"/>
        <v>395.4192748321189</v>
      </c>
      <c r="S128" s="19">
        <f t="shared" si="84"/>
        <v>269.02564975970051</v>
      </c>
      <c r="T128" s="19">
        <f t="shared" si="85"/>
        <v>128.29285309754866</v>
      </c>
      <c r="U128" s="19">
        <f t="shared" si="86"/>
        <v>156.97119627701551</v>
      </c>
      <c r="V128" s="261">
        <f t="shared" si="105"/>
        <v>1796.7083163316661</v>
      </c>
      <c r="W128" s="261">
        <f>SUM(O$9:O128)</f>
        <v>548989.6927279121</v>
      </c>
      <c r="X128" s="261">
        <f>SUM(P$9:P128)</f>
        <v>2179256.1564152827</v>
      </c>
      <c r="Y128" s="261">
        <f>SUM(Q$9:Q128)</f>
        <v>415096.41074576776</v>
      </c>
      <c r="Z128" s="261">
        <f>SUM($V$9:V128)</f>
        <v>1181330.6366136519</v>
      </c>
      <c r="AB128" s="257">
        <f t="array" ref="AB128">(INDEX(PriceDeck!$C$18:$O$77,MATCH('Decline and Model'!$A128,PriceDeck!$B$18:$B$77,0),MATCH('Decline and Model'!AB$8,PriceDeck!$C$13:$O$13,0))*(1+$AE$6))</f>
        <v>85.3</v>
      </c>
      <c r="AC128" s="257">
        <f t="array" ref="AC128">INDEX(PriceDeck!$C$18:$O$77,MATCH('Decline and Model'!$A128,PriceDeck!$B$18:$B$77,0),MATCH('Decline and Model'!AC$8,PriceDeck!$C$13:$O$13,0))*(1+$AE$6)</f>
        <v>97.4</v>
      </c>
      <c r="AD128" s="257">
        <f t="array" ref="AD128">INDEX(PriceDeck!$C$18:$O$77,MATCH('Decline and Model'!$A128,PriceDeck!$B$18:$B$77,0),MATCH('Decline and Model'!AD$8,PriceDeck!$C$13:$O$13,0))*(1+$AE$6)</f>
        <v>17</v>
      </c>
      <c r="AE128" s="257">
        <f t="array" ref="AE128">INDEX(PriceDeck!$C$18:$O$77,MATCH('Decline and Model'!$A128,PriceDeck!$B$18:$B$77,0),MATCH('Decline and Model'!AE$8,PriceDeck!$C$13:$O$13,0))*(1+$AE$6)</f>
        <v>34.200000000000003</v>
      </c>
      <c r="AF128" s="257">
        <f t="array" ref="AF128">INDEX(PriceDeck!$C$18:$O$77,MATCH('Decline and Model'!$A128,PriceDeck!$B$18:$B$77,0),MATCH('Decline and Model'!AF$8,PriceDeck!$C$13:$O$13,0))*(1+$AE$6)</f>
        <v>101.1</v>
      </c>
      <c r="AG128" s="257">
        <f t="array" ref="AG128">INDEX(PriceDeck!$C$18:$O$77,MATCH('Decline and Model'!$A128,PriceDeck!$B$18:$B$77,0),MATCH('Decline and Model'!AG$8,PriceDeck!$C$13:$O$13,0))*(1+$AE$6)</f>
        <v>71.400000000000006</v>
      </c>
      <c r="AH128" s="258">
        <f t="array" ref="AH128">INDEX(PriceDeck!$C$18:$O$77,MATCH('Decline and Model'!$A128,PriceDeck!$B$18:$B$77,0),MATCH('Decline and Model'!AH$8,PriceDeck!$C$13:$O$13,0))</f>
        <v>0.85</v>
      </c>
      <c r="AI128" s="258">
        <f t="shared" si="87"/>
        <v>4.5</v>
      </c>
      <c r="AJ128" s="259">
        <f t="shared" si="62"/>
        <v>4.5</v>
      </c>
      <c r="AK128" s="120">
        <v>4.5</v>
      </c>
      <c r="AL128" s="120"/>
      <c r="AN128" s="7">
        <f t="shared" si="88"/>
        <v>34100.232478860002</v>
      </c>
      <c r="AO128" s="7">
        <f t="shared" si="89"/>
        <v>22434.631046851129</v>
      </c>
      <c r="AP128" s="7">
        <f t="shared" si="90"/>
        <v>6722.1276721460217</v>
      </c>
      <c r="AQ128" s="7">
        <f t="shared" si="91"/>
        <v>9200.6772217817579</v>
      </c>
      <c r="AR128" s="7">
        <f t="shared" si="92"/>
        <v>12970.407448162168</v>
      </c>
      <c r="AS128" s="7">
        <f t="shared" si="93"/>
        <v>11207.743414178909</v>
      </c>
      <c r="AT128" s="7">
        <f t="shared" si="94"/>
        <v>96635.819281979988</v>
      </c>
      <c r="AU128">
        <f>SUM($AT$9:AT128)</f>
        <v>63076036.36476475</v>
      </c>
      <c r="AV128" s="7">
        <f>AT128/(1+$AR$5)^(COUNT($E$9:E128))</f>
        <v>38993.924027468514</v>
      </c>
      <c r="AW128" s="7">
        <f t="shared" si="109"/>
        <v>0</v>
      </c>
      <c r="AX128" s="7">
        <f t="shared" si="95"/>
        <v>0</v>
      </c>
      <c r="AY128" s="117">
        <f t="shared" si="96"/>
        <v>0</v>
      </c>
      <c r="AZ128" s="117">
        <f t="shared" si="97"/>
        <v>96635.819281979988</v>
      </c>
      <c r="BA128" s="120">
        <f t="shared" si="98"/>
        <v>24062.427698624175</v>
      </c>
      <c r="BB128" s="119">
        <f t="shared" si="63"/>
        <v>0</v>
      </c>
      <c r="BC128" s="17"/>
      <c r="BD128" s="126">
        <f t="shared" si="64"/>
        <v>0.35287363145705525</v>
      </c>
      <c r="BE128" s="127">
        <f t="shared" si="65"/>
        <v>0.23215647379557727</v>
      </c>
      <c r="BF128" s="127">
        <f t="shared" si="66"/>
        <v>6.9561449595942113E-2</v>
      </c>
      <c r="BG128" s="127">
        <f t="shared" si="67"/>
        <v>9.5209802019006001E-2</v>
      </c>
      <c r="BH128" s="127">
        <f t="shared" si="68"/>
        <v>0.13421945966345011</v>
      </c>
      <c r="BI128" s="128">
        <f t="shared" si="69"/>
        <v>0.11597918346896921</v>
      </c>
      <c r="BJ128" s="126">
        <f t="array" ref="BJ128">BD128*INDEX(Royalty!$U$7:$Z$246,MATCH('Decline and Model'!$E128,Royalty!$AI$7:$AI$246,0),MATCH('Decline and Model'!BJ$8,Royalty!$U$1:$Z$1,0))</f>
        <v>0.10592670712366981</v>
      </c>
      <c r="BK128" s="127">
        <f t="array" ref="BK128">BE128*INDEX(Royalty!$U$7:$Z$246,MATCH('Decline and Model'!$E128,Royalty!$AI$7:$AI$246,0),MATCH('Decline and Model'!BK$8,Royalty!$U$1:$Z$1,0))</f>
        <v>6.7582356662227436E-2</v>
      </c>
      <c r="BL128" s="127">
        <f t="array" ref="BL128">BF128*INDEX(Royalty!$U$7:$Z$246,MATCH('Decline and Model'!$E128,Royalty!$AI$7:$AI$246,0),MATCH('Decline and Model'!BL$8,Royalty!$U$1:$Z$1,0))</f>
        <v>2.0965923054753755E-2</v>
      </c>
      <c r="BM128" s="127">
        <f t="array" ref="BM128">BG128*INDEX(Royalty!$U$7:$Z$246,MATCH('Decline and Model'!$E128,Royalty!$AI$7:$AI$246,0),MATCH('Decline and Model'!BM$8,Royalty!$U$1:$Z$1,0))</f>
        <v>2.773480781626865E-2</v>
      </c>
      <c r="BN128" s="127">
        <f t="array" ref="BN128">BH128*INDEX(Royalty!$U$7:$Z$246,MATCH('Decline and Model'!$E128,Royalty!$AI$7:$AI$246,0),MATCH('Decline and Model'!BN$8,Royalty!$U$1:$Z$1,0))</f>
        <v>2.0992370984550035E-2</v>
      </c>
      <c r="BO128" s="127">
        <f t="array" ref="BO128">BI128*INDEX(Royalty!$U$7:$Z$246,MATCH('Decline and Model'!$E128,Royalty!$AI$7:$AI$246,0),MATCH('Decline and Model'!BO$8,Royalty!$U$1:$Z$1,0))</f>
        <v>5.7989591734484607E-3</v>
      </c>
      <c r="BP128" s="135">
        <f t="shared" si="70"/>
        <v>0.24900112481491815</v>
      </c>
      <c r="BQ128" s="7"/>
      <c r="BR128" s="7"/>
      <c r="BS128">
        <v>120</v>
      </c>
      <c r="BT128" s="120">
        <f t="shared" si="71"/>
        <v>24062.427698624175</v>
      </c>
      <c r="BU128" s="113">
        <f t="shared" si="72"/>
        <v>17967.08316331666</v>
      </c>
      <c r="BV128" s="113">
        <f t="shared" si="73"/>
        <v>5390.1249489949987</v>
      </c>
      <c r="BW128" s="113">
        <f t="shared" si="106"/>
        <v>839431.23537610518</v>
      </c>
      <c r="BX128" s="113">
        <f t="shared" si="99"/>
        <v>18555.166269109057</v>
      </c>
      <c r="BY128" s="120">
        <f t="shared" si="100"/>
        <v>30661.017201935098</v>
      </c>
      <c r="BZ128" s="153">
        <f t="shared" si="107"/>
        <v>0</v>
      </c>
      <c r="CA128" s="120">
        <f t="shared" si="110"/>
        <v>30661.017201935098</v>
      </c>
      <c r="CB128" s="120">
        <f t="shared" si="101"/>
        <v>7665.2543004837744</v>
      </c>
      <c r="CC128" s="153">
        <f t="shared" si="102"/>
        <v>41550.929170560383</v>
      </c>
      <c r="CD128" s="7">
        <f t="shared" si="74"/>
        <v>16766.389392527119</v>
      </c>
      <c r="CE128" s="11">
        <f>SUM($CD$9:CD128)</f>
        <v>24771696.419038389</v>
      </c>
      <c r="CF128" s="11">
        <f t="shared" si="103"/>
        <v>12000000</v>
      </c>
      <c r="CG128">
        <f t="shared" si="104"/>
        <v>12771696.419038389</v>
      </c>
    </row>
    <row r="129" spans="1:85">
      <c r="A129">
        <f t="shared" si="75"/>
        <v>2027</v>
      </c>
      <c r="B129">
        <f t="shared" si="76"/>
        <v>30.416666666666668</v>
      </c>
      <c r="C129">
        <f t="shared" si="111"/>
        <v>11</v>
      </c>
      <c r="E129" s="97">
        <v>46478</v>
      </c>
      <c r="F129" s="2">
        <f>$F$6*EXP(-$F$3*COUNT($E$9:$E129))</f>
        <v>1.8897415151696864</v>
      </c>
      <c r="G129" s="260">
        <f>$F$6/(1+$F$5*$F$3*COUNT($E$9:$E129))^(1/$F$5)</f>
        <v>11.216380144551431</v>
      </c>
      <c r="H129" s="260">
        <f>$H$6/(1+$H$5*$H$3*COUNT($E$9:$E129))^(1/$H$5)</f>
        <v>162.24658233428985</v>
      </c>
      <c r="I129" s="260">
        <f t="shared" si="77"/>
        <v>30.904110920817114</v>
      </c>
      <c r="J129" s="260">
        <f t="shared" si="78"/>
        <v>12.868471787428247</v>
      </c>
      <c r="K129" s="260">
        <f t="shared" si="78"/>
        <v>8.7551346238674892</v>
      </c>
      <c r="L129" s="260">
        <f t="shared" si="78"/>
        <v>4.1751453854023923</v>
      </c>
      <c r="M129" s="260">
        <f t="shared" si="78"/>
        <v>5.1084495352110695</v>
      </c>
      <c r="N129" s="19">
        <f t="shared" si="79"/>
        <v>57.479637753077959</v>
      </c>
      <c r="O129" s="19">
        <f t="shared" si="80"/>
        <v>341.16489606343936</v>
      </c>
      <c r="P129" s="19">
        <f t="shared" si="81"/>
        <v>4935.0002126679829</v>
      </c>
      <c r="Q129" s="19">
        <f t="shared" si="82"/>
        <v>940.00004050818723</v>
      </c>
      <c r="R129" s="19">
        <f t="shared" si="83"/>
        <v>391.41601686760919</v>
      </c>
      <c r="S129" s="19">
        <f t="shared" si="84"/>
        <v>266.30201147596949</v>
      </c>
      <c r="T129" s="19">
        <f t="shared" si="85"/>
        <v>126.9940054726561</v>
      </c>
      <c r="U129" s="19">
        <f t="shared" si="86"/>
        <v>155.38200669600337</v>
      </c>
      <c r="V129" s="261">
        <f t="shared" si="105"/>
        <v>1773.1226231844055</v>
      </c>
      <c r="W129" s="261">
        <f>SUM(O$9:O129)</f>
        <v>549330.85762397549</v>
      </c>
      <c r="X129" s="261">
        <f>SUM(P$9:P129)</f>
        <v>2184191.1566279507</v>
      </c>
      <c r="Y129" s="261">
        <f>SUM(Q$9:Q129)</f>
        <v>416036.41078627593</v>
      </c>
      <c r="Z129" s="261">
        <f>SUM($V$9:V129)</f>
        <v>1183103.7592368363</v>
      </c>
      <c r="AB129" s="257">
        <f t="array" ref="AB129">(INDEX(PriceDeck!$C$18:$O$77,MATCH('Decline and Model'!$A129,PriceDeck!$B$18:$B$77,0),MATCH('Decline and Model'!AB$8,PriceDeck!$C$13:$O$13,0))*(1+$AE$6))</f>
        <v>85.3</v>
      </c>
      <c r="AC129" s="257">
        <f t="array" ref="AC129">INDEX(PriceDeck!$C$18:$O$77,MATCH('Decline and Model'!$A129,PriceDeck!$B$18:$B$77,0),MATCH('Decline and Model'!AC$8,PriceDeck!$C$13:$O$13,0))*(1+$AE$6)</f>
        <v>97.4</v>
      </c>
      <c r="AD129" s="257">
        <f t="array" ref="AD129">INDEX(PriceDeck!$C$18:$O$77,MATCH('Decline and Model'!$A129,PriceDeck!$B$18:$B$77,0),MATCH('Decline and Model'!AD$8,PriceDeck!$C$13:$O$13,0))*(1+$AE$6)</f>
        <v>17</v>
      </c>
      <c r="AE129" s="257">
        <f t="array" ref="AE129">INDEX(PriceDeck!$C$18:$O$77,MATCH('Decline and Model'!$A129,PriceDeck!$B$18:$B$77,0),MATCH('Decline and Model'!AE$8,PriceDeck!$C$13:$O$13,0))*(1+$AE$6)</f>
        <v>34.200000000000003</v>
      </c>
      <c r="AF129" s="257">
        <f t="array" ref="AF129">INDEX(PriceDeck!$C$18:$O$77,MATCH('Decline and Model'!$A129,PriceDeck!$B$18:$B$77,0),MATCH('Decline and Model'!AF$8,PriceDeck!$C$13:$O$13,0))*(1+$AE$6)</f>
        <v>101.1</v>
      </c>
      <c r="AG129" s="257">
        <f t="array" ref="AG129">INDEX(PriceDeck!$C$18:$O$77,MATCH('Decline and Model'!$A129,PriceDeck!$B$18:$B$77,0),MATCH('Decline and Model'!AG$8,PriceDeck!$C$13:$O$13,0))*(1+$AE$6)</f>
        <v>71.400000000000006</v>
      </c>
      <c r="AH129" s="258">
        <f t="array" ref="AH129">INDEX(PriceDeck!$C$18:$O$77,MATCH('Decline and Model'!$A129,PriceDeck!$B$18:$B$77,0),MATCH('Decline and Model'!AH$8,PriceDeck!$C$13:$O$13,0))</f>
        <v>0.85</v>
      </c>
      <c r="AI129" s="258">
        <f t="shared" si="87"/>
        <v>4.5</v>
      </c>
      <c r="AJ129" s="259">
        <f t="shared" si="62"/>
        <v>4.5</v>
      </c>
      <c r="AK129" s="120">
        <v>4.5</v>
      </c>
      <c r="AL129" s="120"/>
      <c r="AN129" s="7">
        <f t="shared" si="88"/>
        <v>33229.460876578996</v>
      </c>
      <c r="AO129" s="7">
        <f t="shared" si="89"/>
        <v>22207.500957005923</v>
      </c>
      <c r="AP129" s="7">
        <f t="shared" si="90"/>
        <v>6654.072286749356</v>
      </c>
      <c r="AQ129" s="7">
        <f t="shared" si="91"/>
        <v>9107.5287924781569</v>
      </c>
      <c r="AR129" s="7">
        <f t="shared" si="92"/>
        <v>12839.09395328553</v>
      </c>
      <c r="AS129" s="7">
        <f t="shared" si="93"/>
        <v>11094.275278094641</v>
      </c>
      <c r="AT129" s="7">
        <f t="shared" si="94"/>
        <v>95131.9321441926</v>
      </c>
      <c r="AU129">
        <f>SUM($AT$9:AT129)</f>
        <v>63171168.296908945</v>
      </c>
      <c r="AV129" s="7">
        <f>AT129/(1+$AR$5)^(COUNT($E$9:E129))</f>
        <v>38097.862998763281</v>
      </c>
      <c r="AW129" s="7">
        <f t="shared" si="109"/>
        <v>0</v>
      </c>
      <c r="AX129" s="7">
        <f t="shared" si="95"/>
        <v>0</v>
      </c>
      <c r="AY129" s="117">
        <f t="shared" si="96"/>
        <v>0</v>
      </c>
      <c r="AZ129" s="117">
        <f t="shared" si="97"/>
        <v>95131.9321441926</v>
      </c>
      <c r="BA129" s="120">
        <f t="shared" si="98"/>
        <v>23661.060027982825</v>
      </c>
      <c r="BB129" s="119">
        <f t="shared" si="63"/>
        <v>0</v>
      </c>
      <c r="BC129" s="17"/>
      <c r="BD129" s="126">
        <f t="shared" si="64"/>
        <v>0.34929870683392311</v>
      </c>
      <c r="BE129" s="127">
        <f t="shared" si="65"/>
        <v>0.23343897739137423</v>
      </c>
      <c r="BF129" s="127">
        <f t="shared" si="66"/>
        <v>6.994572838764275E-2</v>
      </c>
      <c r="BG129" s="127">
        <f t="shared" si="67"/>
        <v>9.5735770179394303E-2</v>
      </c>
      <c r="BH129" s="127">
        <f t="shared" si="68"/>
        <v>0.13496092914233218</v>
      </c>
      <c r="BI129" s="128">
        <f t="shared" si="69"/>
        <v>0.11661988806533348</v>
      </c>
      <c r="BJ129" s="126">
        <f t="array" ref="BJ129">BD129*INDEX(Royalty!$U$7:$Z$246,MATCH('Decline and Model'!$E129,Royalty!$AI$7:$AI$246,0),MATCH('Decline and Model'!BJ$8,Royalty!$U$1:$Z$1,0))</f>
        <v>0.10485357510193132</v>
      </c>
      <c r="BK129" s="127">
        <f t="array" ref="BK129">BE129*INDEX(Royalty!$U$7:$Z$246,MATCH('Decline and Model'!$E129,Royalty!$AI$7:$AI$246,0),MATCH('Decline and Model'!BK$8,Royalty!$U$1:$Z$1,0))</f>
        <v>6.7955702337300278E-2</v>
      </c>
      <c r="BL129" s="127">
        <f t="array" ref="BL129">BF129*INDEX(Royalty!$U$7:$Z$246,MATCH('Decline and Model'!$E129,Royalty!$AI$7:$AI$246,0),MATCH('Decline and Model'!BL$8,Royalty!$U$1:$Z$1,0))</f>
        <v>2.1081745246861138E-2</v>
      </c>
      <c r="BM129" s="127">
        <f t="array" ref="BM129">BG129*INDEX(Royalty!$U$7:$Z$246,MATCH('Decline and Model'!$E129,Royalty!$AI$7:$AI$246,0),MATCH('Decline and Model'!BM$8,Royalty!$U$1:$Z$1,0))</f>
        <v>2.7888023404753267E-2</v>
      </c>
      <c r="BN129" s="127">
        <f t="array" ref="BN129">BH129*INDEX(Royalty!$U$7:$Z$246,MATCH('Decline and Model'!$E129,Royalty!$AI$7:$AI$246,0),MATCH('Decline and Model'!BN$8,Royalty!$U$1:$Z$1,0))</f>
        <v>2.1108339283136861E-2</v>
      </c>
      <c r="BO129" s="127">
        <f t="array" ref="BO129">BI129*INDEX(Royalty!$U$7:$Z$246,MATCH('Decline and Model'!$E129,Royalty!$AI$7:$AI$246,0),MATCH('Decline and Model'!BO$8,Royalty!$U$1:$Z$1,0))</f>
        <v>5.8309944032666743E-3</v>
      </c>
      <c r="BP129" s="135">
        <f t="shared" si="70"/>
        <v>0.2487183797772495</v>
      </c>
      <c r="BQ129" s="7"/>
      <c r="BR129" s="7"/>
      <c r="BS129">
        <v>121</v>
      </c>
      <c r="BT129" s="120">
        <f t="shared" si="71"/>
        <v>23661.060027982825</v>
      </c>
      <c r="BU129" s="113">
        <f t="shared" si="72"/>
        <v>17731.226231844055</v>
      </c>
      <c r="BV129" s="113">
        <f t="shared" si="73"/>
        <v>5319.3678695532162</v>
      </c>
      <c r="BW129" s="113">
        <f t="shared" si="106"/>
        <v>820876.06910699618</v>
      </c>
      <c r="BX129" s="113">
        <f t="shared" si="99"/>
        <v>18145.014513057209</v>
      </c>
      <c r="BY129" s="120">
        <f t="shared" si="100"/>
        <v>30275.2635017553</v>
      </c>
      <c r="BZ129" s="153">
        <f t="shared" si="107"/>
        <v>0</v>
      </c>
      <c r="CA129" s="120">
        <f t="shared" si="110"/>
        <v>30275.2635017553</v>
      </c>
      <c r="CB129" s="120">
        <f t="shared" si="101"/>
        <v>7568.8158754388251</v>
      </c>
      <c r="CC129" s="153">
        <f t="shared" si="102"/>
        <v>40851.462139373689</v>
      </c>
      <c r="CD129" s="7">
        <f t="shared" si="74"/>
        <v>16359.947420452267</v>
      </c>
      <c r="CE129" s="11">
        <f>SUM($CD$9:CD129)</f>
        <v>24788056.366458841</v>
      </c>
      <c r="CF129" s="11">
        <f t="shared" si="103"/>
        <v>12000000</v>
      </c>
      <c r="CG129">
        <f t="shared" si="104"/>
        <v>12788056.366458841</v>
      </c>
    </row>
    <row r="130" spans="1:85">
      <c r="A130">
        <f t="shared" si="75"/>
        <v>2027</v>
      </c>
      <c r="B130">
        <f t="shared" si="76"/>
        <v>30.416666666666668</v>
      </c>
      <c r="C130">
        <f t="shared" si="111"/>
        <v>11</v>
      </c>
      <c r="E130" s="97">
        <v>46508</v>
      </c>
      <c r="F130" s="2">
        <f>$F$6*EXP(-$F$3*COUNT($E$9:$E130))</f>
        <v>1.7975777339299683</v>
      </c>
      <c r="G130" s="260">
        <f>$F$6/(1+$F$5*$F$3*COUNT($E$9:$E130))^(1/$F$5)</f>
        <v>10.93109058045297</v>
      </c>
      <c r="H130" s="260">
        <f>$H$6/(1+$H$5*$H$3*COUNT($E$9:$E130))^(1/$H$5)</f>
        <v>160.61577907273738</v>
      </c>
      <c r="I130" s="260">
        <f t="shared" si="77"/>
        <v>30.593481728140453</v>
      </c>
      <c r="J130" s="260">
        <f t="shared" si="78"/>
        <v>12.739125791597685</v>
      </c>
      <c r="K130" s="260">
        <f t="shared" si="78"/>
        <v>8.6671333735821907</v>
      </c>
      <c r="L130" s="260">
        <f t="shared" si="78"/>
        <v>4.1331793814717752</v>
      </c>
      <c r="M130" s="260">
        <f t="shared" si="78"/>
        <v>5.0571025296616172</v>
      </c>
      <c r="N130" s="19">
        <f t="shared" si="79"/>
        <v>54.676322740369869</v>
      </c>
      <c r="O130" s="19">
        <f t="shared" si="80"/>
        <v>332.48733848877788</v>
      </c>
      <c r="P130" s="19">
        <f t="shared" si="81"/>
        <v>4885.3966134624288</v>
      </c>
      <c r="Q130" s="19">
        <f t="shared" si="82"/>
        <v>930.55173589760545</v>
      </c>
      <c r="R130" s="19">
        <f t="shared" si="83"/>
        <v>387.4817428277629</v>
      </c>
      <c r="S130" s="19">
        <f t="shared" si="84"/>
        <v>263.62530677979163</v>
      </c>
      <c r="T130" s="19">
        <f t="shared" si="85"/>
        <v>125.7175395197665</v>
      </c>
      <c r="U130" s="19">
        <f t="shared" si="86"/>
        <v>153.8202019438742</v>
      </c>
      <c r="V130" s="261">
        <f t="shared" si="105"/>
        <v>1750.0519036817927</v>
      </c>
      <c r="W130" s="261">
        <f>SUM(O$9:O130)</f>
        <v>549663.3449624643</v>
      </c>
      <c r="X130" s="261">
        <f>SUM(P$9:P130)</f>
        <v>2189076.5532414131</v>
      </c>
      <c r="Y130" s="261">
        <f>SUM(Q$9:Q130)</f>
        <v>416966.96252217353</v>
      </c>
      <c r="Z130" s="261">
        <f>SUM($V$9:V130)</f>
        <v>1184853.8111405182</v>
      </c>
      <c r="AB130" s="257">
        <f t="array" ref="AB130">(INDEX(PriceDeck!$C$18:$O$77,MATCH('Decline and Model'!$A130,PriceDeck!$B$18:$B$77,0),MATCH('Decline and Model'!AB$8,PriceDeck!$C$13:$O$13,0))*(1+$AE$6))</f>
        <v>85.3</v>
      </c>
      <c r="AC130" s="257">
        <f t="array" ref="AC130">INDEX(PriceDeck!$C$18:$O$77,MATCH('Decline and Model'!$A130,PriceDeck!$B$18:$B$77,0),MATCH('Decline and Model'!AC$8,PriceDeck!$C$13:$O$13,0))*(1+$AE$6)</f>
        <v>97.4</v>
      </c>
      <c r="AD130" s="257">
        <f t="array" ref="AD130">INDEX(PriceDeck!$C$18:$O$77,MATCH('Decline and Model'!$A130,PriceDeck!$B$18:$B$77,0),MATCH('Decline and Model'!AD$8,PriceDeck!$C$13:$O$13,0))*(1+$AE$6)</f>
        <v>17</v>
      </c>
      <c r="AE130" s="257">
        <f t="array" ref="AE130">INDEX(PriceDeck!$C$18:$O$77,MATCH('Decline and Model'!$A130,PriceDeck!$B$18:$B$77,0),MATCH('Decline and Model'!AE$8,PriceDeck!$C$13:$O$13,0))*(1+$AE$6)</f>
        <v>34.200000000000003</v>
      </c>
      <c r="AF130" s="257">
        <f t="array" ref="AF130">INDEX(PriceDeck!$C$18:$O$77,MATCH('Decline and Model'!$A130,PriceDeck!$B$18:$B$77,0),MATCH('Decline and Model'!AF$8,PriceDeck!$C$13:$O$13,0))*(1+$AE$6)</f>
        <v>101.1</v>
      </c>
      <c r="AG130" s="257">
        <f t="array" ref="AG130">INDEX(PriceDeck!$C$18:$O$77,MATCH('Decline and Model'!$A130,PriceDeck!$B$18:$B$77,0),MATCH('Decline and Model'!AG$8,PriceDeck!$C$13:$O$13,0))*(1+$AE$6)</f>
        <v>71.400000000000006</v>
      </c>
      <c r="AH130" s="258">
        <f t="array" ref="AH130">INDEX(PriceDeck!$C$18:$O$77,MATCH('Decline and Model'!$A130,PriceDeck!$B$18:$B$77,0),MATCH('Decline and Model'!AH$8,PriceDeck!$C$13:$O$13,0))</f>
        <v>0.85</v>
      </c>
      <c r="AI130" s="258">
        <f t="shared" si="87"/>
        <v>4.5</v>
      </c>
      <c r="AJ130" s="259">
        <f t="shared" si="62"/>
        <v>4.5</v>
      </c>
      <c r="AK130" s="120">
        <v>4.5</v>
      </c>
      <c r="AL130" s="120"/>
      <c r="AN130" s="7">
        <f t="shared" si="88"/>
        <v>32384.266768806967</v>
      </c>
      <c r="AO130" s="7">
        <f t="shared" si="89"/>
        <v>21984.284760580929</v>
      </c>
      <c r="AP130" s="7">
        <f t="shared" si="90"/>
        <v>6587.1896280719693</v>
      </c>
      <c r="AQ130" s="7">
        <f t="shared" si="91"/>
        <v>9015.9854918688743</v>
      </c>
      <c r="AR130" s="7">
        <f t="shared" si="92"/>
        <v>12710.043245448393</v>
      </c>
      <c r="AS130" s="7">
        <f t="shared" si="93"/>
        <v>10982.762418792618</v>
      </c>
      <c r="AT130" s="7">
        <f t="shared" si="94"/>
        <v>93664.532313569754</v>
      </c>
      <c r="AU130">
        <f>SUM($AT$9:AT130)</f>
        <v>63264832.829222515</v>
      </c>
      <c r="AV130" s="7">
        <f>AT130/(1+$AR$5)^(COUNT($E$9:E130))</f>
        <v>37227.593007064213</v>
      </c>
      <c r="AW130" s="7">
        <f t="shared" si="109"/>
        <v>0</v>
      </c>
      <c r="AX130" s="7">
        <f t="shared" si="95"/>
        <v>0</v>
      </c>
      <c r="AY130" s="117">
        <f t="shared" si="96"/>
        <v>0</v>
      </c>
      <c r="AZ130" s="117">
        <f t="shared" si="97"/>
        <v>93664.532313569754</v>
      </c>
      <c r="BA130" s="120">
        <f t="shared" si="98"/>
        <v>23269.782360940888</v>
      </c>
      <c r="BB130" s="119">
        <f t="shared" si="63"/>
        <v>0</v>
      </c>
      <c r="BC130" s="17"/>
      <c r="BD130" s="126">
        <f t="shared" si="64"/>
        <v>0.34574738130748411</v>
      </c>
      <c r="BE130" s="127">
        <f t="shared" si="65"/>
        <v>0.23471301481527743</v>
      </c>
      <c r="BF130" s="127">
        <f t="shared" si="66"/>
        <v>7.0327470445476645E-2</v>
      </c>
      <c r="BG130" s="127">
        <f t="shared" si="67"/>
        <v>9.6258266273995724E-2</v>
      </c>
      <c r="BH130" s="127">
        <f t="shared" si="68"/>
        <v>0.13569750396978186</v>
      </c>
      <c r="BI130" s="128">
        <f t="shared" si="69"/>
        <v>0.1172563631879842</v>
      </c>
      <c r="BJ130" s="126">
        <f t="array" ref="BJ130">BD130*INDEX(Royalty!$U$7:$Z$246,MATCH('Decline and Model'!$E130,Royalty!$AI$7:$AI$246,0),MATCH('Decline and Model'!BJ$8,Royalty!$U$1:$Z$1,0))</f>
        <v>0.10378752713063172</v>
      </c>
      <c r="BK130" s="127">
        <f t="array" ref="BK130">BE130*INDEX(Royalty!$U$7:$Z$246,MATCH('Decline and Model'!$E130,Royalty!$AI$7:$AI$246,0),MATCH('Decline and Model'!BK$8,Royalty!$U$1:$Z$1,0))</f>
        <v>6.832658345112641E-2</v>
      </c>
      <c r="BL130" s="127">
        <f t="array" ref="BL130">BF130*INDEX(Royalty!$U$7:$Z$246,MATCH('Decline and Model'!$E130,Royalty!$AI$7:$AI$246,0),MATCH('Decline and Model'!BL$8,Royalty!$U$1:$Z$1,0))</f>
        <v>2.1196802863656054E-2</v>
      </c>
      <c r="BM130" s="127">
        <f t="array" ref="BM130">BG130*INDEX(Royalty!$U$7:$Z$246,MATCH('Decline and Model'!$E130,Royalty!$AI$7:$AI$246,0),MATCH('Decline and Model'!BM$8,Royalty!$U$1:$Z$1,0))</f>
        <v>2.8040227573454601E-2</v>
      </c>
      <c r="BN130" s="127">
        <f t="array" ref="BN130">BH130*INDEX(Royalty!$U$7:$Z$246,MATCH('Decline and Model'!$E130,Royalty!$AI$7:$AI$246,0),MATCH('Decline and Model'!BN$8,Royalty!$U$1:$Z$1,0))</f>
        <v>2.1223542041920694E-2</v>
      </c>
      <c r="BO130" s="127">
        <f t="array" ref="BO130">BI130*INDEX(Royalty!$U$7:$Z$246,MATCH('Decline and Model'!$E130,Royalty!$AI$7:$AI$246,0),MATCH('Decline and Model'!BO$8,Royalty!$U$1:$Z$1,0))</f>
        <v>5.8628181593992105E-3</v>
      </c>
      <c r="BP130" s="135">
        <f t="shared" si="70"/>
        <v>0.24843750122018868</v>
      </c>
      <c r="BQ130" s="7"/>
      <c r="BR130" s="7"/>
      <c r="BS130">
        <v>122</v>
      </c>
      <c r="BT130" s="120">
        <f t="shared" si="71"/>
        <v>23269.782360940888</v>
      </c>
      <c r="BU130" s="113">
        <f t="shared" si="72"/>
        <v>17500.519036817928</v>
      </c>
      <c r="BV130" s="113">
        <f t="shared" si="73"/>
        <v>5250.1557110453778</v>
      </c>
      <c r="BW130" s="113">
        <f t="shared" si="106"/>
        <v>802731.05459393898</v>
      </c>
      <c r="BX130" s="113">
        <f t="shared" si="99"/>
        <v>17743.928936232893</v>
      </c>
      <c r="BY130" s="120">
        <f t="shared" si="100"/>
        <v>29900.146268532655</v>
      </c>
      <c r="BZ130" s="153">
        <f t="shared" si="107"/>
        <v>0</v>
      </c>
      <c r="CA130" s="120">
        <f t="shared" si="110"/>
        <v>29900.146268532655</v>
      </c>
      <c r="CB130" s="120">
        <f t="shared" si="101"/>
        <v>7475.0365671331638</v>
      </c>
      <c r="CC130" s="153">
        <f t="shared" si="102"/>
        <v>40169.038637632388</v>
      </c>
      <c r="CD130" s="7">
        <f t="shared" si="74"/>
        <v>15965.452289672816</v>
      </c>
      <c r="CE130" s="11">
        <f>SUM($CD$9:CD130)</f>
        <v>24804021.818748515</v>
      </c>
      <c r="CF130" s="11">
        <f t="shared" si="103"/>
        <v>12000000</v>
      </c>
      <c r="CG130">
        <f t="shared" si="104"/>
        <v>12804021.818748515</v>
      </c>
    </row>
    <row r="131" spans="1:85">
      <c r="A131">
        <f t="shared" si="75"/>
        <v>2027</v>
      </c>
      <c r="B131">
        <f t="shared" si="76"/>
        <v>30.416666666666668</v>
      </c>
      <c r="C131">
        <f t="shared" si="111"/>
        <v>11</v>
      </c>
      <c r="E131" s="97">
        <v>46539</v>
      </c>
      <c r="F131" s="2">
        <f>$F$6*EXP(-$F$3*COUNT($E$9:$E131))</f>
        <v>1.7099088333415018</v>
      </c>
      <c r="G131" s="260">
        <f>$F$6/(1+$F$5*$F$3*COUNT($E$9:$E131))^(1/$F$5)</f>
        <v>10.654148059080699</v>
      </c>
      <c r="H131" s="260">
        <f>$H$6/(1+$H$5*$H$3*COUNT($E$9:$E131))^(1/$H$5)</f>
        <v>159.01287737663</v>
      </c>
      <c r="I131" s="260">
        <f t="shared" si="77"/>
        <v>30.288167119358093</v>
      </c>
      <c r="J131" s="260">
        <f t="shared" si="78"/>
        <v>12.611992788500709</v>
      </c>
      <c r="K131" s="260">
        <f t="shared" si="78"/>
        <v>8.5806377449141475</v>
      </c>
      <c r="L131" s="260">
        <f t="shared" si="78"/>
        <v>4.0919313778252784</v>
      </c>
      <c r="M131" s="260">
        <f t="shared" si="78"/>
        <v>5.0066340248298928</v>
      </c>
      <c r="N131" s="19">
        <f t="shared" si="79"/>
        <v>52.009727014137347</v>
      </c>
      <c r="O131" s="19">
        <f t="shared" si="80"/>
        <v>324.06367013037129</v>
      </c>
      <c r="P131" s="19">
        <f t="shared" si="81"/>
        <v>4836.6416868724964</v>
      </c>
      <c r="Q131" s="19">
        <f t="shared" si="82"/>
        <v>921.26508321380868</v>
      </c>
      <c r="R131" s="19">
        <f t="shared" si="83"/>
        <v>383.61478065022993</v>
      </c>
      <c r="S131" s="19">
        <f t="shared" si="84"/>
        <v>260.99439807447197</v>
      </c>
      <c r="T131" s="19">
        <f t="shared" si="85"/>
        <v>124.46291274218555</v>
      </c>
      <c r="U131" s="19">
        <f t="shared" si="86"/>
        <v>152.28511825524259</v>
      </c>
      <c r="V131" s="261">
        <f t="shared" si="105"/>
        <v>1727.4813273482951</v>
      </c>
      <c r="W131" s="261">
        <f>SUM(O$9:O131)</f>
        <v>549987.40863259463</v>
      </c>
      <c r="X131" s="261">
        <f>SUM(P$9:P131)</f>
        <v>2193913.1949282857</v>
      </c>
      <c r="Y131" s="261">
        <f>SUM(Q$9:Q131)</f>
        <v>417888.22760538734</v>
      </c>
      <c r="Z131" s="261">
        <f>SUM($V$9:V131)</f>
        <v>1186581.2924678666</v>
      </c>
      <c r="AB131" s="257">
        <f t="array" ref="AB131">(INDEX(PriceDeck!$C$18:$O$77,MATCH('Decline and Model'!$A131,PriceDeck!$B$18:$B$77,0),MATCH('Decline and Model'!AB$8,PriceDeck!$C$13:$O$13,0))*(1+$AE$6))</f>
        <v>85.3</v>
      </c>
      <c r="AC131" s="257">
        <f t="array" ref="AC131">INDEX(PriceDeck!$C$18:$O$77,MATCH('Decline and Model'!$A131,PriceDeck!$B$18:$B$77,0),MATCH('Decline and Model'!AC$8,PriceDeck!$C$13:$O$13,0))*(1+$AE$6)</f>
        <v>97.4</v>
      </c>
      <c r="AD131" s="257">
        <f t="array" ref="AD131">INDEX(PriceDeck!$C$18:$O$77,MATCH('Decline and Model'!$A131,PriceDeck!$B$18:$B$77,0),MATCH('Decline and Model'!AD$8,PriceDeck!$C$13:$O$13,0))*(1+$AE$6)</f>
        <v>17</v>
      </c>
      <c r="AE131" s="257">
        <f t="array" ref="AE131">INDEX(PriceDeck!$C$18:$O$77,MATCH('Decline and Model'!$A131,PriceDeck!$B$18:$B$77,0),MATCH('Decline and Model'!AE$8,PriceDeck!$C$13:$O$13,0))*(1+$AE$6)</f>
        <v>34.200000000000003</v>
      </c>
      <c r="AF131" s="257">
        <f t="array" ref="AF131">INDEX(PriceDeck!$C$18:$O$77,MATCH('Decline and Model'!$A131,PriceDeck!$B$18:$B$77,0),MATCH('Decline and Model'!AF$8,PriceDeck!$C$13:$O$13,0))*(1+$AE$6)</f>
        <v>101.1</v>
      </c>
      <c r="AG131" s="257">
        <f t="array" ref="AG131">INDEX(PriceDeck!$C$18:$O$77,MATCH('Decline and Model'!$A131,PriceDeck!$B$18:$B$77,0),MATCH('Decline and Model'!AG$8,PriceDeck!$C$13:$O$13,0))*(1+$AE$6)</f>
        <v>71.400000000000006</v>
      </c>
      <c r="AH131" s="258">
        <f t="array" ref="AH131">INDEX(PriceDeck!$C$18:$O$77,MATCH('Decline and Model'!$A131,PriceDeck!$B$18:$B$77,0),MATCH('Decline and Model'!AH$8,PriceDeck!$C$13:$O$13,0))</f>
        <v>0.85</v>
      </c>
      <c r="AI131" s="258">
        <f t="shared" si="87"/>
        <v>4.5</v>
      </c>
      <c r="AJ131" s="259">
        <f t="shared" si="62"/>
        <v>4.5</v>
      </c>
      <c r="AK131" s="120">
        <v>4.5</v>
      </c>
      <c r="AL131" s="120"/>
      <c r="AN131" s="7">
        <f t="shared" si="88"/>
        <v>31563.801470698167</v>
      </c>
      <c r="AO131" s="7">
        <f t="shared" si="89"/>
        <v>21764.887590926235</v>
      </c>
      <c r="AP131" s="7">
        <f t="shared" si="90"/>
        <v>6521.4512710539093</v>
      </c>
      <c r="AQ131" s="7">
        <f t="shared" si="91"/>
        <v>8926.0084141469415</v>
      </c>
      <c r="AR131" s="7">
        <f t="shared" si="92"/>
        <v>12583.200478234958</v>
      </c>
      <c r="AS131" s="7">
        <f t="shared" si="93"/>
        <v>10873.157443424321</v>
      </c>
      <c r="AT131" s="7">
        <f t="shared" si="94"/>
        <v>92232.506668484537</v>
      </c>
      <c r="AU131">
        <f>SUM($AT$9:AT131)</f>
        <v>63357065.335891001</v>
      </c>
      <c r="AV131" s="7">
        <f>AT131/(1+$AR$5)^(COUNT($E$9:E131))</f>
        <v>36382.227933470094</v>
      </c>
      <c r="AW131" s="7">
        <f t="shared" si="109"/>
        <v>0</v>
      </c>
      <c r="AX131" s="7">
        <f t="shared" si="95"/>
        <v>0</v>
      </c>
      <c r="AY131" s="117">
        <f t="shared" si="96"/>
        <v>0</v>
      </c>
      <c r="AZ131" s="117">
        <f t="shared" si="97"/>
        <v>92232.506668484537</v>
      </c>
      <c r="BA131" s="120">
        <f t="shared" si="98"/>
        <v>22888.281471796472</v>
      </c>
      <c r="BB131" s="119">
        <f t="shared" si="63"/>
        <v>0</v>
      </c>
      <c r="BC131" s="17"/>
      <c r="BD131" s="126">
        <f t="shared" si="64"/>
        <v>0.34221992452345856</v>
      </c>
      <c r="BE131" s="127">
        <f t="shared" si="65"/>
        <v>0.23597848933193102</v>
      </c>
      <c r="BF131" s="127">
        <f t="shared" si="66"/>
        <v>7.0706646784460231E-2</v>
      </c>
      <c r="BG131" s="127">
        <f t="shared" si="67"/>
        <v>9.6777250630627407E-2</v>
      </c>
      <c r="BH131" s="127">
        <f t="shared" si="68"/>
        <v>0.13642912821900552</v>
      </c>
      <c r="BI131" s="128">
        <f t="shared" si="69"/>
        <v>0.1178885605105172</v>
      </c>
      <c r="BJ131" s="126">
        <f t="array" ref="BJ131">BD131*INDEX(Royalty!$U$7:$Z$246,MATCH('Decline and Model'!$E131,Royalty!$AI$7:$AI$246,0),MATCH('Decline and Model'!BJ$8,Royalty!$U$1:$Z$1,0))</f>
        <v>0.10272864415286423</v>
      </c>
      <c r="BK131" s="127">
        <f t="array" ref="BK131">BE131*INDEX(Royalty!$U$7:$Z$246,MATCH('Decline and Model'!$E131,Royalty!$AI$7:$AI$246,0),MATCH('Decline and Model'!BK$8,Royalty!$U$1:$Z$1,0))</f>
        <v>6.8694971843374086E-2</v>
      </c>
      <c r="BL131" s="127">
        <f t="array" ref="BL131">BF131*INDEX(Royalty!$U$7:$Z$246,MATCH('Decline and Model'!$E131,Royalty!$AI$7:$AI$246,0),MATCH('Decline and Model'!BL$8,Royalty!$U$1:$Z$1,0))</f>
        <v>2.1311087169021893E-2</v>
      </c>
      <c r="BM131" s="127">
        <f t="array" ref="BM131">BG131*INDEX(Royalty!$U$7:$Z$246,MATCH('Decline and Model'!$E131,Royalty!$AI$7:$AI$246,0),MATCH('Decline and Model'!BM$8,Royalty!$U$1:$Z$1,0))</f>
        <v>2.8191408765785578E-2</v>
      </c>
      <c r="BN131" s="127">
        <f t="array" ref="BN131">BH131*INDEX(Royalty!$U$7:$Z$246,MATCH('Decline and Model'!$E131,Royalty!$AI$7:$AI$246,0),MATCH('Decline and Model'!BN$8,Royalty!$U$1:$Z$1,0))</f>
        <v>2.1337970513764543E-2</v>
      </c>
      <c r="BO131" s="127">
        <f t="array" ref="BO131">BI131*INDEX(Royalty!$U$7:$Z$246,MATCH('Decline and Model'!$E131,Royalty!$AI$7:$AI$246,0),MATCH('Decline and Model'!BO$8,Royalty!$U$1:$Z$1,0))</f>
        <v>5.8944280255258602E-3</v>
      </c>
      <c r="BP131" s="135">
        <f t="shared" si="70"/>
        <v>0.24815851047033619</v>
      </c>
      <c r="BQ131" s="7"/>
      <c r="BR131" s="7"/>
      <c r="BS131">
        <v>123</v>
      </c>
      <c r="BT131" s="120">
        <f t="shared" si="71"/>
        <v>22888.281471796472</v>
      </c>
      <c r="BU131" s="113">
        <f t="shared" si="72"/>
        <v>17274.813273482949</v>
      </c>
      <c r="BV131" s="113">
        <f t="shared" si="73"/>
        <v>5182.4439820448852</v>
      </c>
      <c r="BW131" s="113">
        <f t="shared" si="106"/>
        <v>784987.12565770606</v>
      </c>
      <c r="BX131" s="113">
        <f t="shared" si="99"/>
        <v>17351.709135725301</v>
      </c>
      <c r="BY131" s="120">
        <f t="shared" si="100"/>
        <v>29535.258805434925</v>
      </c>
      <c r="BZ131" s="153">
        <f t="shared" si="107"/>
        <v>0</v>
      </c>
      <c r="CA131" s="120">
        <f t="shared" si="110"/>
        <v>29535.258805434925</v>
      </c>
      <c r="CB131" s="120">
        <f t="shared" si="101"/>
        <v>7383.8147013587313</v>
      </c>
      <c r="CC131" s="153">
        <f t="shared" si="102"/>
        <v>39503.153239801497</v>
      </c>
      <c r="CD131" s="7">
        <f t="shared" si="74"/>
        <v>15582.496640008867</v>
      </c>
      <c r="CE131" s="11">
        <f>SUM($CD$9:CD131)</f>
        <v>24819604.315388523</v>
      </c>
      <c r="CF131" s="11">
        <f t="shared" si="103"/>
        <v>12000000</v>
      </c>
      <c r="CG131">
        <f t="shared" si="104"/>
        <v>12819604.315388523</v>
      </c>
    </row>
    <row r="132" spans="1:85">
      <c r="A132">
        <f t="shared" si="75"/>
        <v>2027</v>
      </c>
      <c r="B132">
        <f t="shared" si="76"/>
        <v>30.416666666666668</v>
      </c>
      <c r="C132">
        <f t="shared" si="111"/>
        <v>11</v>
      </c>
      <c r="E132" s="97">
        <v>46569</v>
      </c>
      <c r="F132" s="2">
        <f>$F$6*EXP(-$F$3*COUNT($E$9:$E132))</f>
        <v>1.6265155954881243</v>
      </c>
      <c r="G132" s="260">
        <f>$F$6/(1+$F$5*$F$3*COUNT($E$9:$E132))^(1/$F$5)</f>
        <v>10.385276700064908</v>
      </c>
      <c r="H132" s="260">
        <f>$H$6/(1+$H$5*$H$3*COUNT($E$9:$E132))^(1/$H$5)</f>
        <v>157.43720574305388</v>
      </c>
      <c r="I132" s="260">
        <f t="shared" si="77"/>
        <v>29.988039189153117</v>
      </c>
      <c r="J132" s="260">
        <f t="shared" si="78"/>
        <v>12.487019518363358</v>
      </c>
      <c r="K132" s="260">
        <f t="shared" si="78"/>
        <v>8.495611502287078</v>
      </c>
      <c r="L132" s="260">
        <f t="shared" si="78"/>
        <v>4.051384094454586</v>
      </c>
      <c r="M132" s="260">
        <f t="shared" si="78"/>
        <v>4.9570228779670105</v>
      </c>
      <c r="N132" s="19">
        <f t="shared" si="79"/>
        <v>49.473182696097119</v>
      </c>
      <c r="O132" s="19">
        <f t="shared" si="80"/>
        <v>315.88549962697431</v>
      </c>
      <c r="P132" s="19">
        <f t="shared" si="81"/>
        <v>4788.715008017889</v>
      </c>
      <c r="Q132" s="19">
        <f t="shared" si="82"/>
        <v>912.13619200340736</v>
      </c>
      <c r="R132" s="19">
        <f t="shared" si="83"/>
        <v>379.81351035021879</v>
      </c>
      <c r="S132" s="19">
        <f t="shared" si="84"/>
        <v>258.40818319456531</v>
      </c>
      <c r="T132" s="19">
        <f t="shared" si="85"/>
        <v>123.22959953966033</v>
      </c>
      <c r="U132" s="19">
        <f t="shared" si="86"/>
        <v>150.77611253816323</v>
      </c>
      <c r="V132" s="261">
        <f t="shared" si="105"/>
        <v>1705.3965762646312</v>
      </c>
      <c r="W132" s="261">
        <f>SUM(O$9:O132)</f>
        <v>550303.29413222161</v>
      </c>
      <c r="X132" s="261">
        <f>SUM(P$9:P132)</f>
        <v>2198701.9099363037</v>
      </c>
      <c r="Y132" s="261">
        <f>SUM(Q$9:Q132)</f>
        <v>418800.36379739072</v>
      </c>
      <c r="Z132" s="261">
        <f>SUM($V$9:V132)</f>
        <v>1188286.6890441312</v>
      </c>
      <c r="AB132" s="257">
        <f t="array" ref="AB132">(INDEX(PriceDeck!$C$18:$O$77,MATCH('Decline and Model'!$A132,PriceDeck!$B$18:$B$77,0),MATCH('Decline and Model'!AB$8,PriceDeck!$C$13:$O$13,0))*(1+$AE$6))</f>
        <v>85.3</v>
      </c>
      <c r="AC132" s="257">
        <f t="array" ref="AC132">INDEX(PriceDeck!$C$18:$O$77,MATCH('Decline and Model'!$A132,PriceDeck!$B$18:$B$77,0),MATCH('Decline and Model'!AC$8,PriceDeck!$C$13:$O$13,0))*(1+$AE$6)</f>
        <v>97.4</v>
      </c>
      <c r="AD132" s="257">
        <f t="array" ref="AD132">INDEX(PriceDeck!$C$18:$O$77,MATCH('Decline and Model'!$A132,PriceDeck!$B$18:$B$77,0),MATCH('Decline and Model'!AD$8,PriceDeck!$C$13:$O$13,0))*(1+$AE$6)</f>
        <v>17</v>
      </c>
      <c r="AE132" s="257">
        <f t="array" ref="AE132">INDEX(PriceDeck!$C$18:$O$77,MATCH('Decline and Model'!$A132,PriceDeck!$B$18:$B$77,0),MATCH('Decline and Model'!AE$8,PriceDeck!$C$13:$O$13,0))*(1+$AE$6)</f>
        <v>34.200000000000003</v>
      </c>
      <c r="AF132" s="257">
        <f t="array" ref="AF132">INDEX(PriceDeck!$C$18:$O$77,MATCH('Decline and Model'!$A132,PriceDeck!$B$18:$B$77,0),MATCH('Decline and Model'!AF$8,PriceDeck!$C$13:$O$13,0))*(1+$AE$6)</f>
        <v>101.1</v>
      </c>
      <c r="AG132" s="257">
        <f t="array" ref="AG132">INDEX(PriceDeck!$C$18:$O$77,MATCH('Decline and Model'!$A132,PriceDeck!$B$18:$B$77,0),MATCH('Decline and Model'!AG$8,PriceDeck!$C$13:$O$13,0))*(1+$AE$6)</f>
        <v>71.400000000000006</v>
      </c>
      <c r="AH132" s="258">
        <f t="array" ref="AH132">INDEX(PriceDeck!$C$18:$O$77,MATCH('Decline and Model'!$A132,PriceDeck!$B$18:$B$77,0),MATCH('Decline and Model'!AH$8,PriceDeck!$C$13:$O$13,0))</f>
        <v>0.85</v>
      </c>
      <c r="AI132" s="258">
        <f t="shared" si="87"/>
        <v>4.5</v>
      </c>
      <c r="AJ132" s="259">
        <f t="shared" si="62"/>
        <v>4.5</v>
      </c>
      <c r="AK132" s="120">
        <v>4.5</v>
      </c>
      <c r="AL132" s="120"/>
      <c r="AN132" s="7">
        <f t="shared" si="88"/>
        <v>30767.247663667298</v>
      </c>
      <c r="AO132" s="7">
        <f t="shared" si="89"/>
        <v>21549.217536080501</v>
      </c>
      <c r="AP132" s="7">
        <f t="shared" si="90"/>
        <v>6456.8296759537197</v>
      </c>
      <c r="AQ132" s="7">
        <f t="shared" si="91"/>
        <v>8837.5598652541339</v>
      </c>
      <c r="AR132" s="7">
        <f t="shared" si="92"/>
        <v>12458.512513459658</v>
      </c>
      <c r="AS132" s="7">
        <f t="shared" si="93"/>
        <v>10765.414435224855</v>
      </c>
      <c r="AT132" s="7">
        <f t="shared" si="94"/>
        <v>90834.781689640164</v>
      </c>
      <c r="AU132">
        <f>SUM($AT$9:AT132)</f>
        <v>63447900.117580645</v>
      </c>
      <c r="AV132" s="7">
        <f>AT132/(1+$AR$5)^(COUNT($E$9:E132))</f>
        <v>35560.916491225427</v>
      </c>
      <c r="AW132" s="7">
        <f t="shared" si="109"/>
        <v>0</v>
      </c>
      <c r="AX132" s="7">
        <f t="shared" si="95"/>
        <v>0</v>
      </c>
      <c r="AY132" s="117">
        <f t="shared" si="96"/>
        <v>0</v>
      </c>
      <c r="AZ132" s="117">
        <f t="shared" si="97"/>
        <v>90834.781689640164</v>
      </c>
      <c r="BA132" s="120">
        <f t="shared" si="98"/>
        <v>22516.255371398107</v>
      </c>
      <c r="BB132" s="119">
        <f t="shared" si="63"/>
        <v>0</v>
      </c>
      <c r="BC132" s="17"/>
      <c r="BD132" s="126">
        <f t="shared" si="64"/>
        <v>0.33871659172134438</v>
      </c>
      <c r="BE132" s="127">
        <f t="shared" si="65"/>
        <v>0.23723530937420881</v>
      </c>
      <c r="BF132" s="127">
        <f t="shared" si="66"/>
        <v>7.1083229968175621E-2</v>
      </c>
      <c r="BG132" s="127">
        <f t="shared" si="67"/>
        <v>9.7292685696651712E-2</v>
      </c>
      <c r="BH132" s="127">
        <f t="shared" si="68"/>
        <v>0.13715574895118143</v>
      </c>
      <c r="BI132" s="128">
        <f t="shared" si="69"/>
        <v>0.11851643428843806</v>
      </c>
      <c r="BJ132" s="126">
        <f t="array" ref="BJ132">BD132*INDEX(Royalty!$U$7:$Z$246,MATCH('Decline and Model'!$E132,Royalty!$AI$7:$AI$246,0),MATCH('Decline and Model'!BJ$8,Royalty!$U$1:$Z$1,0))</f>
        <v>0.10167700278721728</v>
      </c>
      <c r="BK132" s="127">
        <f t="array" ref="BK132">BE132*INDEX(Royalty!$U$7:$Z$246,MATCH('Decline and Model'!$E132,Royalty!$AI$7:$AI$246,0),MATCH('Decline and Model'!BK$8,Royalty!$U$1:$Z$1,0))</f>
        <v>6.906084085821898E-2</v>
      </c>
      <c r="BL132" s="127">
        <f t="array" ref="BL132">BF132*INDEX(Royalty!$U$7:$Z$246,MATCH('Decline and Model'!$E132,Royalty!$AI$7:$AI$246,0),MATCH('Decline and Model'!BL$8,Royalty!$U$1:$Z$1,0))</f>
        <v>2.1424589893582015E-2</v>
      </c>
      <c r="BM132" s="127">
        <f t="array" ref="BM132">BG132*INDEX(Royalty!$U$7:$Z$246,MATCH('Decline and Model'!$E132,Royalty!$AI$7:$AI$246,0),MATCH('Decline and Model'!BM$8,Royalty!$U$1:$Z$1,0))</f>
        <v>2.8341556042586931E-2</v>
      </c>
      <c r="BN132" s="127">
        <f t="array" ref="BN132">BH132*INDEX(Royalty!$U$7:$Z$246,MATCH('Decline and Model'!$E132,Royalty!$AI$7:$AI$246,0),MATCH('Decline and Model'!BN$8,Royalty!$U$1:$Z$1,0))</f>
        <v>2.1451616418860196E-2</v>
      </c>
      <c r="BO132" s="127">
        <f t="array" ref="BO132">BI132*INDEX(Royalty!$U$7:$Z$246,MATCH('Decline and Model'!$E132,Royalty!$AI$7:$AI$246,0),MATCH('Decline and Model'!BO$8,Royalty!$U$1:$Z$1,0))</f>
        <v>5.9258217144219031E-3</v>
      </c>
      <c r="BP132" s="135">
        <f t="shared" si="70"/>
        <v>0.2478814277148873</v>
      </c>
      <c r="BQ132" s="7"/>
      <c r="BR132" s="7"/>
      <c r="BS132">
        <v>124</v>
      </c>
      <c r="BT132" s="120">
        <f t="shared" si="71"/>
        <v>22516.255371398107</v>
      </c>
      <c r="BU132" s="113">
        <f t="shared" si="72"/>
        <v>17053.965762646312</v>
      </c>
      <c r="BV132" s="113">
        <f t="shared" si="73"/>
        <v>5116.1897287938937</v>
      </c>
      <c r="BW132" s="113">
        <f t="shared" si="106"/>
        <v>767635.41652198078</v>
      </c>
      <c r="BX132" s="113">
        <f t="shared" si="99"/>
        <v>16968.159138419869</v>
      </c>
      <c r="BY132" s="120">
        <f t="shared" si="100"/>
        <v>29180.211688381984</v>
      </c>
      <c r="BZ132" s="153">
        <f t="shared" si="107"/>
        <v>0</v>
      </c>
      <c r="CA132" s="120">
        <f t="shared" si="110"/>
        <v>29180.211688381984</v>
      </c>
      <c r="CB132" s="120">
        <f t="shared" si="101"/>
        <v>7295.0529220954959</v>
      </c>
      <c r="CC132" s="153">
        <f t="shared" si="102"/>
        <v>38853.31790470636</v>
      </c>
      <c r="CD132" s="7">
        <f t="shared" si="74"/>
        <v>15210.688766083938</v>
      </c>
      <c r="CE132" s="11">
        <f>SUM($CD$9:CD132)</f>
        <v>24834815.004154608</v>
      </c>
      <c r="CF132" s="11">
        <f t="shared" si="103"/>
        <v>12000000</v>
      </c>
      <c r="CG132">
        <f t="shared" si="104"/>
        <v>12834815.004154608</v>
      </c>
    </row>
    <row r="133" spans="1:85">
      <c r="A133">
        <f t="shared" si="75"/>
        <v>2027</v>
      </c>
      <c r="B133">
        <f t="shared" si="76"/>
        <v>30.416666666666668</v>
      </c>
      <c r="C133">
        <f t="shared" si="111"/>
        <v>11</v>
      </c>
      <c r="E133" s="97">
        <v>46600</v>
      </c>
      <c r="F133" s="2">
        <f>$F$6*EXP(-$F$3*COUNT($E$9:$E133))</f>
        <v>1.547189493837605</v>
      </c>
      <c r="G133" s="260">
        <f>$F$6/(1+$F$5*$F$3*COUNT($E$9:$E133))^(1/$F$5)</f>
        <v>10.124210779521679</v>
      </c>
      <c r="H133" s="260">
        <f>$H$6/(1+$H$5*$H$3*COUNT($E$9:$E133))^(1/$H$5)</f>
        <v>155.88811343651727</v>
      </c>
      <c r="I133" s="260">
        <f t="shared" si="77"/>
        <v>29.692973987908051</v>
      </c>
      <c r="J133" s="260">
        <f t="shared" si="78"/>
        <v>12.364154368564913</v>
      </c>
      <c r="K133" s="260">
        <f t="shared" si="78"/>
        <v>8.4120195307743515</v>
      </c>
      <c r="L133" s="260">
        <f t="shared" si="78"/>
        <v>4.0115207857663773</v>
      </c>
      <c r="M133" s="260">
        <f t="shared" si="78"/>
        <v>4.9082486002012011</v>
      </c>
      <c r="N133" s="19">
        <f t="shared" si="79"/>
        <v>47.060347104227155</v>
      </c>
      <c r="O133" s="19">
        <f t="shared" si="80"/>
        <v>307.9447445437844</v>
      </c>
      <c r="P133" s="19">
        <f t="shared" si="81"/>
        <v>4741.5967836940672</v>
      </c>
      <c r="Q133" s="19">
        <f t="shared" si="82"/>
        <v>903.16129213220324</v>
      </c>
      <c r="R133" s="19">
        <f t="shared" si="83"/>
        <v>376.07636204384943</v>
      </c>
      <c r="S133" s="19">
        <f t="shared" si="84"/>
        <v>255.8655940610532</v>
      </c>
      <c r="T133" s="19">
        <f t="shared" si="85"/>
        <v>122.01709056706065</v>
      </c>
      <c r="U133" s="19">
        <f t="shared" si="86"/>
        <v>149.29256158945321</v>
      </c>
      <c r="V133" s="261">
        <f t="shared" si="105"/>
        <v>1683.7838247273139</v>
      </c>
      <c r="W133" s="261">
        <f>SUM(O$9:O133)</f>
        <v>550611.23887676536</v>
      </c>
      <c r="X133" s="261">
        <f>SUM(P$9:P133)</f>
        <v>2203443.5067199976</v>
      </c>
      <c r="Y133" s="261">
        <f>SUM(Q$9:Q133)</f>
        <v>419703.52508952294</v>
      </c>
      <c r="Z133" s="261">
        <f>SUM($V$9:V133)</f>
        <v>1189970.4728688586</v>
      </c>
      <c r="AB133" s="257">
        <f t="array" ref="AB133">(INDEX(PriceDeck!$C$18:$O$77,MATCH('Decline and Model'!$A133,PriceDeck!$B$18:$B$77,0),MATCH('Decline and Model'!AB$8,PriceDeck!$C$13:$O$13,0))*(1+$AE$6))</f>
        <v>85.3</v>
      </c>
      <c r="AC133" s="257">
        <f t="array" ref="AC133">INDEX(PriceDeck!$C$18:$O$77,MATCH('Decline and Model'!$A133,PriceDeck!$B$18:$B$77,0),MATCH('Decline and Model'!AC$8,PriceDeck!$C$13:$O$13,0))*(1+$AE$6)</f>
        <v>97.4</v>
      </c>
      <c r="AD133" s="257">
        <f t="array" ref="AD133">INDEX(PriceDeck!$C$18:$O$77,MATCH('Decline and Model'!$A133,PriceDeck!$B$18:$B$77,0),MATCH('Decline and Model'!AD$8,PriceDeck!$C$13:$O$13,0))*(1+$AE$6)</f>
        <v>17</v>
      </c>
      <c r="AE133" s="257">
        <f t="array" ref="AE133">INDEX(PriceDeck!$C$18:$O$77,MATCH('Decline and Model'!$A133,PriceDeck!$B$18:$B$77,0),MATCH('Decline and Model'!AE$8,PriceDeck!$C$13:$O$13,0))*(1+$AE$6)</f>
        <v>34.200000000000003</v>
      </c>
      <c r="AF133" s="257">
        <f t="array" ref="AF133">INDEX(PriceDeck!$C$18:$O$77,MATCH('Decline and Model'!$A133,PriceDeck!$B$18:$B$77,0),MATCH('Decline and Model'!AF$8,PriceDeck!$C$13:$O$13,0))*(1+$AE$6)</f>
        <v>101.1</v>
      </c>
      <c r="AG133" s="257">
        <f t="array" ref="AG133">INDEX(PriceDeck!$C$18:$O$77,MATCH('Decline and Model'!$A133,PriceDeck!$B$18:$B$77,0),MATCH('Decline and Model'!AG$8,PriceDeck!$C$13:$O$13,0))*(1+$AE$6)</f>
        <v>71.400000000000006</v>
      </c>
      <c r="AH133" s="258">
        <f t="array" ref="AH133">INDEX(PriceDeck!$C$18:$O$77,MATCH('Decline and Model'!$A133,PriceDeck!$B$18:$B$77,0),MATCH('Decline and Model'!AH$8,PriceDeck!$C$13:$O$13,0))</f>
        <v>0.85</v>
      </c>
      <c r="AI133" s="258">
        <f t="shared" si="87"/>
        <v>4.5</v>
      </c>
      <c r="AJ133" s="259">
        <f t="shared" si="62"/>
        <v>4.5</v>
      </c>
      <c r="AK133" s="120">
        <v>4.5</v>
      </c>
      <c r="AL133" s="120"/>
      <c r="AN133" s="7">
        <f t="shared" si="88"/>
        <v>29993.818118564603</v>
      </c>
      <c r="AO133" s="7">
        <f t="shared" si="89"/>
        <v>21337.185526623303</v>
      </c>
      <c r="AP133" s="7">
        <f t="shared" si="90"/>
        <v>6393.2981547454401</v>
      </c>
      <c r="AQ133" s="7">
        <f t="shared" si="91"/>
        <v>8750.6033168880203</v>
      </c>
      <c r="AR133" s="7">
        <f t="shared" si="92"/>
        <v>12335.92785632983</v>
      </c>
      <c r="AS133" s="7">
        <f t="shared" si="93"/>
        <v>10659.488897486961</v>
      </c>
      <c r="AT133" s="7">
        <f t="shared" si="94"/>
        <v>89470.321870638145</v>
      </c>
      <c r="AU133">
        <f>SUM($AT$9:AT133)</f>
        <v>63537370.439451285</v>
      </c>
      <c r="AV133" s="7">
        <f>AT133/(1+$AR$5)^(COUNT($E$9:E133))</f>
        <v>34762.84070217589</v>
      </c>
      <c r="AW133" s="7">
        <f t="shared" si="109"/>
        <v>0</v>
      </c>
      <c r="AX133" s="7">
        <f t="shared" si="95"/>
        <v>0</v>
      </c>
      <c r="AY133" s="117">
        <f t="shared" si="96"/>
        <v>0</v>
      </c>
      <c r="AZ133" s="117">
        <f t="shared" si="97"/>
        <v>89470.321870638145</v>
      </c>
      <c r="BA133" s="120">
        <f t="shared" si="98"/>
        <v>22153.412854748589</v>
      </c>
      <c r="BB133" s="119">
        <f t="shared" si="63"/>
        <v>0</v>
      </c>
      <c r="BC133" s="17"/>
      <c r="BD133" s="126">
        <f t="shared" si="64"/>
        <v>0.33523762395681961</v>
      </c>
      <c r="BE133" s="127">
        <f t="shared" si="65"/>
        <v>0.23848338846342765</v>
      </c>
      <c r="BF133" s="127">
        <f t="shared" si="66"/>
        <v>7.1457194084863979E-2</v>
      </c>
      <c r="BG133" s="127">
        <f t="shared" si="67"/>
        <v>9.7804536006254633E-2</v>
      </c>
      <c r="BH133" s="127">
        <f t="shared" si="68"/>
        <v>0.13787731616933149</v>
      </c>
      <c r="BI133" s="128">
        <f t="shared" si="69"/>
        <v>0.11913994131930278</v>
      </c>
      <c r="BJ133" s="126">
        <f t="array" ref="BJ133">BD133*INDEX(Royalty!$U$7:$Z$246,MATCH('Decline and Model'!$E133,Royalty!$AI$7:$AI$246,0),MATCH('Decline and Model'!BJ$8,Royalty!$U$1:$Z$1,0))</f>
        <v>0.10063267539453605</v>
      </c>
      <c r="BK133" s="127">
        <f t="array" ref="BK133">BE133*INDEX(Royalty!$U$7:$Z$246,MATCH('Decline and Model'!$E133,Royalty!$AI$7:$AI$246,0),MATCH('Decline and Model'!BK$8,Royalty!$U$1:$Z$1,0))</f>
        <v>6.9424165321117781E-2</v>
      </c>
      <c r="BL133" s="127">
        <f t="array" ref="BL133">BF133*INDEX(Royalty!$U$7:$Z$246,MATCH('Decline and Model'!$E133,Royalty!$AI$7:$AI$246,0),MATCH('Decline and Model'!BL$8,Royalty!$U$1:$Z$1,0))</f>
        <v>2.1537303227494257E-2</v>
      </c>
      <c r="BM133" s="127">
        <f t="array" ref="BM133">BG133*INDEX(Royalty!$U$7:$Z$246,MATCH('Decline and Model'!$E133,Royalty!$AI$7:$AI$246,0),MATCH('Decline and Model'!BM$8,Royalty!$U$1:$Z$1,0))</f>
        <v>2.8490659072595341E-2</v>
      </c>
      <c r="BN133" s="127">
        <f t="array" ref="BN133">BH133*INDEX(Royalty!$U$7:$Z$246,MATCH('Decline and Model'!$E133,Royalty!$AI$7:$AI$246,0),MATCH('Decline and Model'!BN$8,Royalty!$U$1:$Z$1,0))</f>
        <v>2.1564471937513582E-2</v>
      </c>
      <c r="BO133" s="127">
        <f t="array" ref="BO133">BI133*INDEX(Royalty!$U$7:$Z$246,MATCH('Decline and Model'!$E133,Royalty!$AI$7:$AI$246,0),MATCH('Decline and Model'!BO$8,Royalty!$U$1:$Z$1,0))</f>
        <v>5.9569970659651391E-3</v>
      </c>
      <c r="BP133" s="135">
        <f t="shared" si="70"/>
        <v>0.24760627201922214</v>
      </c>
      <c r="BQ133" s="7"/>
      <c r="BR133" s="7"/>
      <c r="BS133">
        <v>125</v>
      </c>
      <c r="BT133" s="120">
        <f t="shared" si="71"/>
        <v>22153.412854748589</v>
      </c>
      <c r="BU133" s="113">
        <f t="shared" si="72"/>
        <v>16837.838247273139</v>
      </c>
      <c r="BV133" s="113">
        <f t="shared" si="73"/>
        <v>5051.3514741819417</v>
      </c>
      <c r="BW133" s="113">
        <f t="shared" si="106"/>
        <v>750667.25738356088</v>
      </c>
      <c r="BX133" s="113">
        <f t="shared" si="99"/>
        <v>16593.087303080054</v>
      </c>
      <c r="BY133" s="120">
        <f t="shared" si="100"/>
        <v>28834.631991354418</v>
      </c>
      <c r="BZ133" s="153">
        <f t="shared" si="107"/>
        <v>0</v>
      </c>
      <c r="CA133" s="120">
        <f t="shared" si="110"/>
        <v>28834.631991354418</v>
      </c>
      <c r="CB133" s="120">
        <f t="shared" si="101"/>
        <v>7208.6579978386044</v>
      </c>
      <c r="CC133" s="153">
        <f t="shared" si="102"/>
        <v>38219.061296595872</v>
      </c>
      <c r="CD133" s="7">
        <f t="shared" si="74"/>
        <v>14849.651950076101</v>
      </c>
      <c r="CE133" s="11">
        <f>SUM($CD$9:CD133)</f>
        <v>24849664.656104684</v>
      </c>
      <c r="CF133" s="11">
        <f t="shared" si="103"/>
        <v>12000000</v>
      </c>
      <c r="CG133">
        <f t="shared" si="104"/>
        <v>12849664.656104684</v>
      </c>
    </row>
    <row r="134" spans="1:85">
      <c r="A134">
        <f t="shared" si="75"/>
        <v>2027</v>
      </c>
      <c r="B134">
        <f t="shared" si="76"/>
        <v>30.416666666666668</v>
      </c>
      <c r="C134">
        <f t="shared" si="111"/>
        <v>11</v>
      </c>
      <c r="E134" s="97">
        <v>46631</v>
      </c>
      <c r="F134" s="2">
        <f>$F$6*EXP(-$F$3*COUNT($E$9:$E134))</f>
        <v>1.4717321718166949</v>
      </c>
      <c r="G134" s="260">
        <f>$F$6/(1+$F$5*$F$3*COUNT($E$9:$E134))^(1/$F$5)</f>
        <v>9.8706943182161986</v>
      </c>
      <c r="H134" s="260">
        <f>$H$6/(1+$H$5*$H$3*COUNT($E$9:$E134))^(1/$H$5)</f>
        <v>154.36496970620706</v>
      </c>
      <c r="I134" s="260">
        <f t="shared" si="77"/>
        <v>29.402851372610868</v>
      </c>
      <c r="J134" s="260">
        <f t="shared" si="78"/>
        <v>12.243347311555166</v>
      </c>
      <c r="K134" s="260">
        <f t="shared" si="78"/>
        <v>8.3298277938606589</v>
      </c>
      <c r="L134" s="260">
        <f t="shared" si="78"/>
        <v>3.9723252204397284</v>
      </c>
      <c r="M134" s="260">
        <f t="shared" si="78"/>
        <v>4.8602913318925767</v>
      </c>
      <c r="N134" s="19">
        <f t="shared" si="79"/>
        <v>44.765186892757804</v>
      </c>
      <c r="O134" s="19">
        <f t="shared" si="80"/>
        <v>300.23361884574274</v>
      </c>
      <c r="P134" s="19">
        <f t="shared" si="81"/>
        <v>4695.2678285637985</v>
      </c>
      <c r="Q134" s="19">
        <f t="shared" si="82"/>
        <v>894.33672925024723</v>
      </c>
      <c r="R134" s="19">
        <f t="shared" si="83"/>
        <v>372.40181405980297</v>
      </c>
      <c r="S134" s="19">
        <f t="shared" si="84"/>
        <v>253.36559539659504</v>
      </c>
      <c r="T134" s="19">
        <f t="shared" si="85"/>
        <v>120.8248921217084</v>
      </c>
      <c r="U134" s="19">
        <f t="shared" si="86"/>
        <v>147.83386134506588</v>
      </c>
      <c r="V134" s="261">
        <f t="shared" si="105"/>
        <v>1662.6297198136008</v>
      </c>
      <c r="W134" s="261">
        <f>SUM(O$9:O134)</f>
        <v>550911.47249561106</v>
      </c>
      <c r="X134" s="261">
        <f>SUM(P$9:P134)</f>
        <v>2208138.7745485613</v>
      </c>
      <c r="Y134" s="261">
        <f>SUM(Q$9:Q134)</f>
        <v>420597.86181877321</v>
      </c>
      <c r="Z134" s="261">
        <f>SUM($V$9:V134)</f>
        <v>1191633.1025886722</v>
      </c>
      <c r="AB134" s="257">
        <f t="array" ref="AB134">(INDEX(PriceDeck!$C$18:$O$77,MATCH('Decline and Model'!$A134,PriceDeck!$B$18:$B$77,0),MATCH('Decline and Model'!AB$8,PriceDeck!$C$13:$O$13,0))*(1+$AE$6))</f>
        <v>85.3</v>
      </c>
      <c r="AC134" s="257">
        <f t="array" ref="AC134">INDEX(PriceDeck!$C$18:$O$77,MATCH('Decline and Model'!$A134,PriceDeck!$B$18:$B$77,0),MATCH('Decline and Model'!AC$8,PriceDeck!$C$13:$O$13,0))*(1+$AE$6)</f>
        <v>97.4</v>
      </c>
      <c r="AD134" s="257">
        <f t="array" ref="AD134">INDEX(PriceDeck!$C$18:$O$77,MATCH('Decline and Model'!$A134,PriceDeck!$B$18:$B$77,0),MATCH('Decline and Model'!AD$8,PriceDeck!$C$13:$O$13,0))*(1+$AE$6)</f>
        <v>17</v>
      </c>
      <c r="AE134" s="257">
        <f t="array" ref="AE134">INDEX(PriceDeck!$C$18:$O$77,MATCH('Decline and Model'!$A134,PriceDeck!$B$18:$B$77,0),MATCH('Decline and Model'!AE$8,PriceDeck!$C$13:$O$13,0))*(1+$AE$6)</f>
        <v>34.200000000000003</v>
      </c>
      <c r="AF134" s="257">
        <f t="array" ref="AF134">INDEX(PriceDeck!$C$18:$O$77,MATCH('Decline and Model'!$A134,PriceDeck!$B$18:$B$77,0),MATCH('Decline and Model'!AF$8,PriceDeck!$C$13:$O$13,0))*(1+$AE$6)</f>
        <v>101.1</v>
      </c>
      <c r="AG134" s="257">
        <f t="array" ref="AG134">INDEX(PriceDeck!$C$18:$O$77,MATCH('Decline and Model'!$A134,PriceDeck!$B$18:$B$77,0),MATCH('Decline and Model'!AG$8,PriceDeck!$C$13:$O$13,0))*(1+$AE$6)</f>
        <v>71.400000000000006</v>
      </c>
      <c r="AH134" s="258">
        <f t="array" ref="AH134">INDEX(PriceDeck!$C$18:$O$77,MATCH('Decline and Model'!$A134,PriceDeck!$B$18:$B$77,0),MATCH('Decline and Model'!AH$8,PriceDeck!$C$13:$O$13,0))</f>
        <v>0.85</v>
      </c>
      <c r="AI134" s="258">
        <f t="shared" si="87"/>
        <v>4.5</v>
      </c>
      <c r="AJ134" s="259">
        <f t="shared" si="62"/>
        <v>4.5</v>
      </c>
      <c r="AK134" s="120">
        <v>4.5</v>
      </c>
      <c r="AL134" s="120"/>
      <c r="AN134" s="7">
        <f t="shared" si="88"/>
        <v>29242.754475575344</v>
      </c>
      <c r="AO134" s="7">
        <f t="shared" si="89"/>
        <v>21128.705228537092</v>
      </c>
      <c r="AP134" s="7">
        <f t="shared" si="90"/>
        <v>6330.8308390166503</v>
      </c>
      <c r="AQ134" s="7">
        <f t="shared" si="91"/>
        <v>8665.1033625635519</v>
      </c>
      <c r="AR134" s="7">
        <f t="shared" si="92"/>
        <v>12215.396593504718</v>
      </c>
      <c r="AS134" s="7">
        <f t="shared" si="93"/>
        <v>10555.337700037704</v>
      </c>
      <c r="AT134" s="7">
        <f t="shared" si="94"/>
        <v>88138.12819923507</v>
      </c>
      <c r="AU134">
        <f>SUM($AT$9:AT134)</f>
        <v>63625508.567650519</v>
      </c>
      <c r="AV134" s="7">
        <f>AT134/(1+$AR$5)^(COUNT($E$9:E134))</f>
        <v>33987.214446152982</v>
      </c>
      <c r="AW134" s="7">
        <f t="shared" si="109"/>
        <v>0</v>
      </c>
      <c r="AX134" s="7">
        <f t="shared" si="95"/>
        <v>0</v>
      </c>
      <c r="AY134" s="117">
        <f t="shared" si="96"/>
        <v>0</v>
      </c>
      <c r="AZ134" s="117">
        <f t="shared" si="97"/>
        <v>88138.12819923507</v>
      </c>
      <c r="BA134" s="120">
        <f t="shared" si="98"/>
        <v>21799.473068723899</v>
      </c>
      <c r="BB134" s="119">
        <f t="shared" si="63"/>
        <v>0</v>
      </c>
      <c r="BC134" s="17"/>
      <c r="BD134" s="126">
        <f t="shared" si="64"/>
        <v>0.33178324832894662</v>
      </c>
      <c r="BE134" s="127">
        <f t="shared" si="65"/>
        <v>0.23972264512783767</v>
      </c>
      <c r="BF134" s="127">
        <f t="shared" si="66"/>
        <v>7.182851472300264E-2</v>
      </c>
      <c r="BG134" s="127">
        <f t="shared" si="67"/>
        <v>9.8312768147018059E-2</v>
      </c>
      <c r="BH134" s="127">
        <f t="shared" si="68"/>
        <v>0.13859378277119722</v>
      </c>
      <c r="BI134" s="128">
        <f t="shared" si="69"/>
        <v>0.11975904090199764</v>
      </c>
      <c r="BJ134" s="126">
        <f t="array" ref="BJ134">BD134*INDEX(Royalty!$U$7:$Z$246,MATCH('Decline and Model'!$E134,Royalty!$AI$7:$AI$246,0),MATCH('Decline and Model'!BJ$8,Royalty!$U$1:$Z$1,0))</f>
        <v>9.9595730146125286E-2</v>
      </c>
      <c r="BK134" s="127">
        <f t="array" ref="BK134">BE134*INDEX(Royalty!$U$7:$Z$246,MATCH('Decline and Model'!$E134,Royalty!$AI$7:$AI$246,0),MATCH('Decline and Model'!BK$8,Royalty!$U$1:$Z$1,0))</f>
        <v>6.9784921515080076E-2</v>
      </c>
      <c r="BL134" s="127">
        <f t="array" ref="BL134">BF134*INDEX(Royalty!$U$7:$Z$246,MATCH('Decline and Model'!$E134,Royalty!$AI$7:$AI$246,0),MATCH('Decline and Model'!BL$8,Royalty!$U$1:$Z$1,0))</f>
        <v>2.1649219813089843E-2</v>
      </c>
      <c r="BM134" s="127">
        <f t="array" ref="BM134">BG134*INDEX(Royalty!$U$7:$Z$246,MATCH('Decline and Model'!$E134,Royalty!$AI$7:$AI$246,0),MATCH('Decline and Model'!BM$8,Royalty!$U$1:$Z$1,0))</f>
        <v>2.8638708122705862E-2</v>
      </c>
      <c r="BN134" s="127">
        <f t="array" ref="BN134">BH134*INDEX(Royalty!$U$7:$Z$246,MATCH('Decline and Model'!$E134,Royalty!$AI$7:$AI$246,0),MATCH('Decline and Model'!BN$8,Royalty!$U$1:$Z$1,0))</f>
        <v>2.1676529702774432E-2</v>
      </c>
      <c r="BO134" s="127">
        <f t="array" ref="BO134">BI134*INDEX(Royalty!$U$7:$Z$246,MATCH('Decline and Model'!$E134,Royalty!$AI$7:$AI$246,0),MATCH('Decline and Model'!BO$8,Royalty!$U$1:$Z$1,0))</f>
        <v>5.9879520450998825E-3</v>
      </c>
      <c r="BP134" s="135">
        <f t="shared" si="70"/>
        <v>0.24733306134487537</v>
      </c>
      <c r="BQ134" s="7"/>
      <c r="BR134" s="7"/>
      <c r="BS134">
        <v>126</v>
      </c>
      <c r="BT134" s="120">
        <f t="shared" si="71"/>
        <v>21799.473068723899</v>
      </c>
      <c r="BU134" s="113">
        <f t="shared" si="72"/>
        <v>16626.29719813601</v>
      </c>
      <c r="BV134" s="113">
        <f t="shared" si="73"/>
        <v>4987.8891594408024</v>
      </c>
      <c r="BW134" s="113">
        <f t="shared" si="106"/>
        <v>734074.17008048086</v>
      </c>
      <c r="BX134" s="113">
        <f t="shared" si="99"/>
        <v>16226.306224593567</v>
      </c>
      <c r="BY134" s="120">
        <f t="shared" si="100"/>
        <v>28498.162548340799</v>
      </c>
      <c r="BZ134" s="153">
        <f t="shared" si="107"/>
        <v>0</v>
      </c>
      <c r="CA134" s="120">
        <f t="shared" si="110"/>
        <v>28498.162548340799</v>
      </c>
      <c r="CB134" s="120">
        <f t="shared" si="101"/>
        <v>7124.5406370851997</v>
      </c>
      <c r="CC134" s="153">
        <f t="shared" si="102"/>
        <v>37599.928135849164</v>
      </c>
      <c r="CD134" s="7">
        <f t="shared" si="74"/>
        <v>14499.023825697008</v>
      </c>
      <c r="CE134" s="11">
        <f>SUM($CD$9:CD134)</f>
        <v>24864163.679930381</v>
      </c>
      <c r="CF134" s="11">
        <f t="shared" si="103"/>
        <v>12000000</v>
      </c>
      <c r="CG134">
        <f t="shared" si="104"/>
        <v>12864163.679930381</v>
      </c>
    </row>
    <row r="135" spans="1:85">
      <c r="A135">
        <f t="shared" si="75"/>
        <v>2027</v>
      </c>
      <c r="B135">
        <f t="shared" si="76"/>
        <v>30.416666666666668</v>
      </c>
      <c r="C135">
        <f t="shared" si="111"/>
        <v>11</v>
      </c>
      <c r="E135" s="97">
        <v>46661</v>
      </c>
      <c r="F135" s="2">
        <f>$F$6*EXP(-$F$3*COUNT($E$9:$E135))</f>
        <v>1.399954946816381</v>
      </c>
      <c r="G135" s="260">
        <f>$F$6/(1+$F$5*$F$3*COUNT($E$9:$E135))^(1/$F$5)</f>
        <v>9.6244806879517899</v>
      </c>
      <c r="H135" s="260">
        <f>$H$6/(1+$H$5*$H$3*COUNT($E$9:$E135))^(1/$H$5)</f>
        <v>152.86716303796919</v>
      </c>
      <c r="I135" s="260">
        <f t="shared" si="77"/>
        <v>29.117554864375084</v>
      </c>
      <c r="J135" s="260">
        <f t="shared" si="78"/>
        <v>12.124549845525785</v>
      </c>
      <c r="K135" s="260">
        <f t="shared" si="78"/>
        <v>8.2490032930774611</v>
      </c>
      <c r="L135" s="260">
        <f t="shared" si="78"/>
        <v>3.9337816621770738</v>
      </c>
      <c r="M135" s="260">
        <f t="shared" si="78"/>
        <v>4.8131318190812014</v>
      </c>
      <c r="N135" s="19">
        <f t="shared" si="79"/>
        <v>42.581962965664921</v>
      </c>
      <c r="O135" s="19">
        <f t="shared" si="80"/>
        <v>292.74462092520031</v>
      </c>
      <c r="P135" s="19">
        <f t="shared" si="81"/>
        <v>4649.7095424048966</v>
      </c>
      <c r="Q135" s="19">
        <f t="shared" si="82"/>
        <v>885.65896045807551</v>
      </c>
      <c r="R135" s="19">
        <f t="shared" si="83"/>
        <v>368.78839113474265</v>
      </c>
      <c r="S135" s="19">
        <f t="shared" si="84"/>
        <v>250.90718349777279</v>
      </c>
      <c r="T135" s="19">
        <f t="shared" si="85"/>
        <v>119.65252555788599</v>
      </c>
      <c r="U135" s="19">
        <f t="shared" si="86"/>
        <v>146.39942616371988</v>
      </c>
      <c r="V135" s="261">
        <f t="shared" si="105"/>
        <v>1641.9213628072848</v>
      </c>
      <c r="W135" s="261">
        <f>SUM(O$9:O135)</f>
        <v>551204.21711653622</v>
      </c>
      <c r="X135" s="261">
        <f>SUM(P$9:P135)</f>
        <v>2212788.4840909662</v>
      </c>
      <c r="Y135" s="261">
        <f>SUM(Q$9:Q135)</f>
        <v>421483.52077923127</v>
      </c>
      <c r="Z135" s="261">
        <f>SUM($V$9:V135)</f>
        <v>1193275.0239514795</v>
      </c>
      <c r="AB135" s="257">
        <f t="array" ref="AB135">(INDEX(PriceDeck!$C$18:$O$77,MATCH('Decline and Model'!$A135,PriceDeck!$B$18:$B$77,0),MATCH('Decline and Model'!AB$8,PriceDeck!$C$13:$O$13,0))*(1+$AE$6))</f>
        <v>85.3</v>
      </c>
      <c r="AC135" s="257">
        <f t="array" ref="AC135">INDEX(PriceDeck!$C$18:$O$77,MATCH('Decline and Model'!$A135,PriceDeck!$B$18:$B$77,0),MATCH('Decline and Model'!AC$8,PriceDeck!$C$13:$O$13,0))*(1+$AE$6)</f>
        <v>97.4</v>
      </c>
      <c r="AD135" s="257">
        <f t="array" ref="AD135">INDEX(PriceDeck!$C$18:$O$77,MATCH('Decline and Model'!$A135,PriceDeck!$B$18:$B$77,0),MATCH('Decline and Model'!AD$8,PriceDeck!$C$13:$O$13,0))*(1+$AE$6)</f>
        <v>17</v>
      </c>
      <c r="AE135" s="257">
        <f t="array" ref="AE135">INDEX(PriceDeck!$C$18:$O$77,MATCH('Decline and Model'!$A135,PriceDeck!$B$18:$B$77,0),MATCH('Decline and Model'!AE$8,PriceDeck!$C$13:$O$13,0))*(1+$AE$6)</f>
        <v>34.200000000000003</v>
      </c>
      <c r="AF135" s="257">
        <f t="array" ref="AF135">INDEX(PriceDeck!$C$18:$O$77,MATCH('Decline and Model'!$A135,PriceDeck!$B$18:$B$77,0),MATCH('Decline and Model'!AF$8,PriceDeck!$C$13:$O$13,0))*(1+$AE$6)</f>
        <v>101.1</v>
      </c>
      <c r="AG135" s="257">
        <f t="array" ref="AG135">INDEX(PriceDeck!$C$18:$O$77,MATCH('Decline and Model'!$A135,PriceDeck!$B$18:$B$77,0),MATCH('Decline and Model'!AG$8,PriceDeck!$C$13:$O$13,0))*(1+$AE$6)</f>
        <v>71.400000000000006</v>
      </c>
      <c r="AH135" s="258">
        <f t="array" ref="AH135">INDEX(PriceDeck!$C$18:$O$77,MATCH('Decline and Model'!$A135,PriceDeck!$B$18:$B$77,0),MATCH('Decline and Model'!AH$8,PriceDeck!$C$13:$O$13,0))</f>
        <v>0.85</v>
      </c>
      <c r="AI135" s="258">
        <f t="shared" si="87"/>
        <v>4.5</v>
      </c>
      <c r="AJ135" s="259">
        <f t="shared" si="62"/>
        <v>4.5</v>
      </c>
      <c r="AK135" s="120">
        <v>4.5</v>
      </c>
      <c r="AL135" s="120"/>
      <c r="AN135" s="7">
        <f t="shared" si="88"/>
        <v>28513.326078114511</v>
      </c>
      <c r="AO135" s="7">
        <f t="shared" si="89"/>
        <v>20923.692940822035</v>
      </c>
      <c r="AP135" s="7">
        <f t="shared" si="90"/>
        <v>6269.402649290625</v>
      </c>
      <c r="AQ135" s="7">
        <f t="shared" si="91"/>
        <v>8581.0256756238305</v>
      </c>
      <c r="AR135" s="7">
        <f t="shared" si="92"/>
        <v>12096.870333902274</v>
      </c>
      <c r="AS135" s="7">
        <f t="shared" si="93"/>
        <v>10452.9190280896</v>
      </c>
      <c r="AT135" s="7">
        <f t="shared" si="94"/>
        <v>86837.236705842879</v>
      </c>
      <c r="AU135">
        <f>SUM($AT$9:AT135)</f>
        <v>63712345.804356359</v>
      </c>
      <c r="AV135" s="7">
        <f>AT135/(1+$AR$5)^(COUNT($E$9:E135))</f>
        <v>33233.282079505479</v>
      </c>
      <c r="AW135" s="7">
        <f t="shared" si="109"/>
        <v>0</v>
      </c>
      <c r="AX135" s="7">
        <f t="shared" si="95"/>
        <v>0</v>
      </c>
      <c r="AY135" s="117">
        <f t="shared" si="96"/>
        <v>0</v>
      </c>
      <c r="AZ135" s="117">
        <f t="shared" si="97"/>
        <v>86837.236705842879</v>
      </c>
      <c r="BA135" s="120">
        <f t="shared" si="98"/>
        <v>21454.165098929705</v>
      </c>
      <c r="BB135" s="119">
        <f t="shared" si="63"/>
        <v>0</v>
      </c>
      <c r="BC135" s="17"/>
      <c r="BD135" s="126">
        <f t="shared" si="64"/>
        <v>0.32835367821182615</v>
      </c>
      <c r="BE135" s="127">
        <f t="shared" si="65"/>
        <v>0.24095300281951712</v>
      </c>
      <c r="BF135" s="127">
        <f t="shared" si="66"/>
        <v>7.2197168946404142E-2</v>
      </c>
      <c r="BG135" s="127">
        <f t="shared" si="67"/>
        <v>9.8817350725837319E-2</v>
      </c>
      <c r="BH135" s="127">
        <f t="shared" si="68"/>
        <v>0.13930510450119299</v>
      </c>
      <c r="BI135" s="128">
        <f t="shared" si="69"/>
        <v>0.12037369479522224</v>
      </c>
      <c r="BJ135" s="126">
        <f t="array" ref="BJ135">BD135*INDEX(Royalty!$U$7:$Z$246,MATCH('Decline and Model'!$E135,Royalty!$AI$7:$AI$246,0),MATCH('Decline and Model'!BJ$8,Royalty!$U$1:$Z$1,0))</f>
        <v>9.8566231093287951E-2</v>
      </c>
      <c r="BK135" s="127">
        <f t="array" ref="BK135">BE135*INDEX(Royalty!$U$7:$Z$246,MATCH('Decline and Model'!$E135,Royalty!$AI$7:$AI$246,0),MATCH('Decline and Model'!BK$8,Royalty!$U$1:$Z$1,0))</f>
        <v>7.0143087156475936E-2</v>
      </c>
      <c r="BL135" s="127">
        <f t="array" ref="BL135">BF135*INDEX(Royalty!$U$7:$Z$246,MATCH('Decline and Model'!$E135,Royalty!$AI$7:$AI$246,0),MATCH('Decline and Model'!BL$8,Royalty!$U$1:$Z$1,0))</f>
        <v>2.1760332737368188E-2</v>
      </c>
      <c r="BM135" s="127">
        <f t="array" ref="BM135">BG135*INDEX(Royalty!$U$7:$Z$246,MATCH('Decline and Model'!$E135,Royalty!$AI$7:$AI$246,0),MATCH('Decline and Model'!BM$8,Royalty!$U$1:$Z$1,0))</f>
        <v>2.8785694048043632E-2</v>
      </c>
      <c r="BN135" s="127">
        <f t="array" ref="BN135">BH135*INDEX(Royalty!$U$7:$Z$246,MATCH('Decline and Model'!$E135,Royalty!$AI$7:$AI$246,0),MATCH('Decline and Model'!BN$8,Royalty!$U$1:$Z$1,0))</f>
        <v>2.1787782792921609E-2</v>
      </c>
      <c r="BO135" s="127">
        <f t="array" ref="BO135">BI135*INDEX(Royalty!$U$7:$Z$246,MATCH('Decline and Model'!$E135,Royalty!$AI$7:$AI$246,0),MATCH('Decline and Model'!BO$8,Royalty!$U$1:$Z$1,0))</f>
        <v>6.0186847397611124E-3</v>
      </c>
      <c r="BP135" s="135">
        <f t="shared" si="70"/>
        <v>0.24706181256785839</v>
      </c>
      <c r="BQ135" s="7"/>
      <c r="BR135" s="7"/>
      <c r="BS135">
        <v>127</v>
      </c>
      <c r="BT135" s="120">
        <f t="shared" si="71"/>
        <v>21454.165098929705</v>
      </c>
      <c r="BU135" s="113">
        <f t="shared" si="72"/>
        <v>16419.213628072848</v>
      </c>
      <c r="BV135" s="113">
        <f t="shared" si="73"/>
        <v>4925.7640884218545</v>
      </c>
      <c r="BW135" s="113">
        <f t="shared" si="106"/>
        <v>717847.86385588732</v>
      </c>
      <c r="BX135" s="113">
        <f t="shared" si="99"/>
        <v>15867.632640335158</v>
      </c>
      <c r="BY135" s="120">
        <f t="shared" si="100"/>
        <v>28170.461250083317</v>
      </c>
      <c r="BZ135" s="153">
        <f t="shared" si="107"/>
        <v>0</v>
      </c>
      <c r="CA135" s="120">
        <f t="shared" si="110"/>
        <v>28170.461250083317</v>
      </c>
      <c r="CB135" s="120">
        <f t="shared" si="101"/>
        <v>7042.6153125208293</v>
      </c>
      <c r="CC135" s="153">
        <f t="shared" si="102"/>
        <v>36995.478577897644</v>
      </c>
      <c r="CD135" s="7">
        <f t="shared" si="74"/>
        <v>14158.455771806573</v>
      </c>
      <c r="CE135" s="11">
        <f>SUM($CD$9:CD135)</f>
        <v>24878322.135702189</v>
      </c>
      <c r="CF135" s="11">
        <f t="shared" si="103"/>
        <v>12000000</v>
      </c>
      <c r="CG135">
        <f t="shared" si="104"/>
        <v>12878322.135702189</v>
      </c>
    </row>
    <row r="136" spans="1:85">
      <c r="A136">
        <f t="shared" si="75"/>
        <v>2027</v>
      </c>
      <c r="B136">
        <f t="shared" si="76"/>
        <v>30.416666666666668</v>
      </c>
      <c r="C136">
        <f t="shared" si="111"/>
        <v>11</v>
      </c>
      <c r="E136" s="97">
        <v>46692</v>
      </c>
      <c r="F136" s="2">
        <f>$F$6*EXP(-$F$3*COUNT($E$9:$E136))</f>
        <v>1.3316783383870738</v>
      </c>
      <c r="G136" s="260">
        <f>$F$6/(1+$F$5*$F$3*COUNT($E$9:$E136))^(1/$F$5)</f>
        <v>9.3853322353108677</v>
      </c>
      <c r="H136" s="260">
        <f>$H$6/(1+$H$5*$H$3*COUNT($E$9:$E136))^(1/$H$5)</f>
        <v>151.39410043924406</v>
      </c>
      <c r="I136" s="260">
        <f t="shared" si="77"/>
        <v>28.836971512236961</v>
      </c>
      <c r="J136" s="260">
        <f t="shared" si="78"/>
        <v>12.00771493769547</v>
      </c>
      <c r="K136" s="260">
        <f t="shared" si="78"/>
        <v>8.1695140294167317</v>
      </c>
      <c r="L136" s="260">
        <f t="shared" si="78"/>
        <v>3.8958748513032133</v>
      </c>
      <c r="M136" s="260">
        <f t="shared" si="78"/>
        <v>4.7667513909727699</v>
      </c>
      <c r="N136" s="19">
        <f t="shared" si="79"/>
        <v>40.505216125940166</v>
      </c>
      <c r="O136" s="19">
        <f t="shared" si="80"/>
        <v>285.47052215737222</v>
      </c>
      <c r="P136" s="19">
        <f t="shared" si="81"/>
        <v>4604.9038883603398</v>
      </c>
      <c r="Q136" s="19">
        <f t="shared" si="82"/>
        <v>877.12455016387423</v>
      </c>
      <c r="R136" s="19">
        <f t="shared" si="83"/>
        <v>365.23466268823722</v>
      </c>
      <c r="S136" s="19">
        <f t="shared" si="84"/>
        <v>248.48938506142559</v>
      </c>
      <c r="T136" s="19">
        <f t="shared" si="85"/>
        <v>118.49952672713941</v>
      </c>
      <c r="U136" s="19">
        <f t="shared" si="86"/>
        <v>144.98868814208842</v>
      </c>
      <c r="V136" s="261">
        <f t="shared" si="105"/>
        <v>1621.6462914431199</v>
      </c>
      <c r="W136" s="261">
        <f>SUM(O$9:O136)</f>
        <v>551489.68763869361</v>
      </c>
      <c r="X136" s="261">
        <f>SUM(P$9:P136)</f>
        <v>2217393.3879793263</v>
      </c>
      <c r="Y136" s="261">
        <f>SUM(Q$9:Q136)</f>
        <v>422360.64532939513</v>
      </c>
      <c r="Z136" s="261">
        <f>SUM($V$9:V136)</f>
        <v>1194896.6702429226</v>
      </c>
      <c r="AB136" s="257">
        <f t="array" ref="AB136">(INDEX(PriceDeck!$C$18:$O$77,MATCH('Decline and Model'!$A136,PriceDeck!$B$18:$B$77,0),MATCH('Decline and Model'!AB$8,PriceDeck!$C$13:$O$13,0))*(1+$AE$6))</f>
        <v>85.3</v>
      </c>
      <c r="AC136" s="257">
        <f t="array" ref="AC136">INDEX(PriceDeck!$C$18:$O$77,MATCH('Decline and Model'!$A136,PriceDeck!$B$18:$B$77,0),MATCH('Decline and Model'!AC$8,PriceDeck!$C$13:$O$13,0))*(1+$AE$6)</f>
        <v>97.4</v>
      </c>
      <c r="AD136" s="257">
        <f t="array" ref="AD136">INDEX(PriceDeck!$C$18:$O$77,MATCH('Decline and Model'!$A136,PriceDeck!$B$18:$B$77,0),MATCH('Decline and Model'!AD$8,PriceDeck!$C$13:$O$13,0))*(1+$AE$6)</f>
        <v>17</v>
      </c>
      <c r="AE136" s="257">
        <f t="array" ref="AE136">INDEX(PriceDeck!$C$18:$O$77,MATCH('Decline and Model'!$A136,PriceDeck!$B$18:$B$77,0),MATCH('Decline and Model'!AE$8,PriceDeck!$C$13:$O$13,0))*(1+$AE$6)</f>
        <v>34.200000000000003</v>
      </c>
      <c r="AF136" s="257">
        <f t="array" ref="AF136">INDEX(PriceDeck!$C$18:$O$77,MATCH('Decline and Model'!$A136,PriceDeck!$B$18:$B$77,0),MATCH('Decline and Model'!AF$8,PriceDeck!$C$13:$O$13,0))*(1+$AE$6)</f>
        <v>101.1</v>
      </c>
      <c r="AG136" s="257">
        <f t="array" ref="AG136">INDEX(PriceDeck!$C$18:$O$77,MATCH('Decline and Model'!$A136,PriceDeck!$B$18:$B$77,0),MATCH('Decline and Model'!AG$8,PriceDeck!$C$13:$O$13,0))*(1+$AE$6)</f>
        <v>71.400000000000006</v>
      </c>
      <c r="AH136" s="258">
        <f t="array" ref="AH136">INDEX(PriceDeck!$C$18:$O$77,MATCH('Decline and Model'!$A136,PriceDeck!$B$18:$B$77,0),MATCH('Decline and Model'!AH$8,PriceDeck!$C$13:$O$13,0))</f>
        <v>0.85</v>
      </c>
      <c r="AI136" s="258">
        <f t="shared" si="87"/>
        <v>4.5</v>
      </c>
      <c r="AJ136" s="259">
        <f t="shared" si="62"/>
        <v>4.5</v>
      </c>
      <c r="AK136" s="120">
        <v>4.5</v>
      </c>
      <c r="AL136" s="120"/>
      <c r="AN136" s="7">
        <f t="shared" si="88"/>
        <v>27804.828858128054</v>
      </c>
      <c r="AO136" s="7">
        <f t="shared" si="89"/>
        <v>20722.06749762153</v>
      </c>
      <c r="AP136" s="7">
        <f t="shared" si="90"/>
        <v>6208.9892657000328</v>
      </c>
      <c r="AQ136" s="7">
        <f t="shared" si="91"/>
        <v>8498.3369691007556</v>
      </c>
      <c r="AR136" s="7">
        <f t="shared" si="92"/>
        <v>11980.302152113794</v>
      </c>
      <c r="AS136" s="7">
        <f t="shared" si="93"/>
        <v>10352.192333345114</v>
      </c>
      <c r="AT136" s="7">
        <f t="shared" si="94"/>
        <v>85566.717076009285</v>
      </c>
      <c r="AU136">
        <f>SUM($AT$9:AT136)</f>
        <v>63797912.52143237</v>
      </c>
      <c r="AV136" s="7">
        <f>AT136/(1+$AR$5)^(COUNT($E$9:E136))</f>
        <v>32500.31711920664</v>
      </c>
      <c r="AW136" s="7">
        <f t="shared" si="109"/>
        <v>0</v>
      </c>
      <c r="AX136" s="7">
        <f t="shared" si="95"/>
        <v>0</v>
      </c>
      <c r="AY136" s="117">
        <f t="shared" si="96"/>
        <v>0</v>
      </c>
      <c r="AZ136" s="117">
        <f t="shared" si="97"/>
        <v>85566.717076009285</v>
      </c>
      <c r="BA136" s="120">
        <f t="shared" si="98"/>
        <v>21117.227574769106</v>
      </c>
      <c r="BB136" s="119">
        <f t="shared" si="63"/>
        <v>0</v>
      </c>
      <c r="BC136" s="17"/>
      <c r="BD136" s="126">
        <f t="shared" si="64"/>
        <v>0.32494911349034117</v>
      </c>
      <c r="BE136" s="127">
        <f t="shared" si="65"/>
        <v>0.24217438982979828</v>
      </c>
      <c r="BF136" s="127">
        <f t="shared" si="66"/>
        <v>7.2563135268875173E-2</v>
      </c>
      <c r="BG136" s="127">
        <f t="shared" si="67"/>
        <v>9.9318254334236591E-2</v>
      </c>
      <c r="BH136" s="127">
        <f t="shared" si="68"/>
        <v>0.14001123990151029</v>
      </c>
      <c r="BI136" s="128">
        <f t="shared" si="69"/>
        <v>0.12098386717523844</v>
      </c>
      <c r="BJ136" s="126">
        <f t="array" ref="BJ136">BD136*INDEX(Royalty!$U$7:$Z$246,MATCH('Decline and Model'!$E136,Royalty!$AI$7:$AI$246,0),MATCH('Decline and Model'!BJ$8,Royalty!$U$1:$Z$1,0))</f>
        <v>9.7544238238091538E-2</v>
      </c>
      <c r="BK136" s="127">
        <f t="array" ref="BK136">BE136*INDEX(Royalty!$U$7:$Z$246,MATCH('Decline and Model'!$E136,Royalty!$AI$7:$AI$246,0),MATCH('Decline and Model'!BK$8,Royalty!$U$1:$Z$1,0))</f>
        <v>7.0498641370415782E-2</v>
      </c>
      <c r="BL136" s="127">
        <f t="array" ref="BL136">BF136*INDEX(Royalty!$U$7:$Z$246,MATCH('Decline and Model'!$E136,Royalty!$AI$7:$AI$246,0),MATCH('Decline and Model'!BL$8,Royalty!$U$1:$Z$1,0))</f>
        <v>2.187063552435908E-2</v>
      </c>
      <c r="BM136" s="127">
        <f t="array" ref="BM136">BG136*INDEX(Royalty!$U$7:$Z$246,MATCH('Decline and Model'!$E136,Royalty!$AI$7:$AI$246,0),MATCH('Decline and Model'!BM$8,Royalty!$U$1:$Z$1,0))</f>
        <v>2.8931608281860186E-2</v>
      </c>
      <c r="BN136" s="127">
        <f t="array" ref="BN136">BH136*INDEX(Royalty!$U$7:$Z$246,MATCH('Decline and Model'!$E136,Royalty!$AI$7:$AI$246,0),MATCH('Decline and Model'!BN$8,Royalty!$U$1:$Z$1,0))</f>
        <v>2.1898224723815637E-2</v>
      </c>
      <c r="BO136" s="127">
        <f t="array" ref="BO136">BI136*INDEX(Royalty!$U$7:$Z$246,MATCH('Decline and Model'!$E136,Royalty!$AI$7:$AI$246,0),MATCH('Decline and Model'!BO$8,Royalty!$U$1:$Z$1,0))</f>
        <v>6.0491933587619225E-3</v>
      </c>
      <c r="BP136" s="135">
        <f t="shared" si="70"/>
        <v>0.24679254149730417</v>
      </c>
      <c r="BQ136" s="7"/>
      <c r="BR136" s="7"/>
      <c r="BS136">
        <v>128</v>
      </c>
      <c r="BT136" s="120">
        <f t="shared" si="71"/>
        <v>21117.227574769106</v>
      </c>
      <c r="BU136" s="113">
        <f t="shared" si="72"/>
        <v>16216.462914431198</v>
      </c>
      <c r="BV136" s="113">
        <f t="shared" si="73"/>
        <v>4864.9388743293603</v>
      </c>
      <c r="BW136" s="113">
        <f t="shared" si="106"/>
        <v>701980.23121555219</v>
      </c>
      <c r="BX136" s="113">
        <f t="shared" si="99"/>
        <v>15516.887338599223</v>
      </c>
      <c r="BY136" s="120">
        <f t="shared" si="100"/>
        <v>27851.200373880401</v>
      </c>
      <c r="BZ136" s="153">
        <f t="shared" si="107"/>
        <v>0</v>
      </c>
      <c r="CA136" s="120">
        <f t="shared" si="110"/>
        <v>27851.200373880401</v>
      </c>
      <c r="CB136" s="120">
        <f t="shared" si="101"/>
        <v>6962.8000934701004</v>
      </c>
      <c r="CC136" s="153">
        <f t="shared" si="102"/>
        <v>36405.287619009527</v>
      </c>
      <c r="CD136" s="7">
        <f t="shared" si="74"/>
        <v>13827.612334159203</v>
      </c>
      <c r="CE136" s="11">
        <f>SUM($CD$9:CD136)</f>
        <v>24892149.748036347</v>
      </c>
      <c r="CF136" s="11">
        <f t="shared" si="103"/>
        <v>12000000</v>
      </c>
      <c r="CG136">
        <f t="shared" si="104"/>
        <v>12892149.748036347</v>
      </c>
    </row>
    <row r="137" spans="1:85">
      <c r="A137">
        <f t="shared" si="75"/>
        <v>2027</v>
      </c>
      <c r="B137">
        <f t="shared" si="76"/>
        <v>30.416666666666668</v>
      </c>
      <c r="C137">
        <f t="shared" si="111"/>
        <v>11</v>
      </c>
      <c r="E137" s="97">
        <v>46722</v>
      </c>
      <c r="F137" s="2">
        <f>$F$6*EXP(-$F$3*COUNT($E$9:$E137))</f>
        <v>1.2667316194440035</v>
      </c>
      <c r="G137" s="260">
        <f>$F$6/(1+$F$5*$F$3*COUNT($E$9:$E137))^(1/$F$5)</f>
        <v>9.1530199219195651</v>
      </c>
      <c r="H137" s="260">
        <f>$H$6/(1+$H$5*$H$3*COUNT($E$9:$E137))^(1/$H$5)</f>
        <v>149.94520675528858</v>
      </c>
      <c r="I137" s="260">
        <f t="shared" si="77"/>
        <v>28.56099176291211</v>
      </c>
      <c r="J137" s="260">
        <f t="shared" si="78"/>
        <v>11.892796970076603</v>
      </c>
      <c r="K137" s="260">
        <f t="shared" si="78"/>
        <v>8.0913289664330001</v>
      </c>
      <c r="L137" s="260">
        <f t="shared" si="78"/>
        <v>3.858589987169426</v>
      </c>
      <c r="M137" s="260">
        <f t="shared" ref="M137:M200" si="112">$I137*M$7</f>
        <v>4.7211319384093722</v>
      </c>
      <c r="N137" s="19">
        <f t="shared" si="79"/>
        <v>38.529753424755107</v>
      </c>
      <c r="O137" s="19">
        <f t="shared" si="80"/>
        <v>278.40435595838676</v>
      </c>
      <c r="P137" s="19">
        <f t="shared" si="81"/>
        <v>4560.8333721400277</v>
      </c>
      <c r="Q137" s="19">
        <f t="shared" si="82"/>
        <v>868.73016612191009</v>
      </c>
      <c r="R137" s="19">
        <f t="shared" si="83"/>
        <v>361.73924117316335</v>
      </c>
      <c r="S137" s="19">
        <f t="shared" si="84"/>
        <v>246.11125606233711</v>
      </c>
      <c r="T137" s="19">
        <f t="shared" si="85"/>
        <v>117.36544544307004</v>
      </c>
      <c r="U137" s="19">
        <f t="shared" si="86"/>
        <v>143.60109645995175</v>
      </c>
      <c r="V137" s="261">
        <f t="shared" si="105"/>
        <v>1601.7924629299787</v>
      </c>
      <c r="W137" s="261">
        <f>SUM(O$9:O137)</f>
        <v>551768.09199465194</v>
      </c>
      <c r="X137" s="261">
        <f>SUM(P$9:P137)</f>
        <v>2221954.2213514661</v>
      </c>
      <c r="Y137" s="261">
        <f>SUM(Q$9:Q137)</f>
        <v>423229.37549551704</v>
      </c>
      <c r="Z137" s="261">
        <f>SUM($V$9:V137)</f>
        <v>1196498.4627058527</v>
      </c>
      <c r="AB137" s="257">
        <f t="array" ref="AB137">(INDEX(PriceDeck!$C$18:$O$77,MATCH('Decline and Model'!$A137,PriceDeck!$B$18:$B$77,0),MATCH('Decline and Model'!AB$8,PriceDeck!$C$13:$O$13,0))*(1+$AE$6))</f>
        <v>85.3</v>
      </c>
      <c r="AC137" s="257">
        <f t="array" ref="AC137">INDEX(PriceDeck!$C$18:$O$77,MATCH('Decline and Model'!$A137,PriceDeck!$B$18:$B$77,0),MATCH('Decline and Model'!AC$8,PriceDeck!$C$13:$O$13,0))*(1+$AE$6)</f>
        <v>97.4</v>
      </c>
      <c r="AD137" s="257">
        <f t="array" ref="AD137">INDEX(PriceDeck!$C$18:$O$77,MATCH('Decline and Model'!$A137,PriceDeck!$B$18:$B$77,0),MATCH('Decline and Model'!AD$8,PriceDeck!$C$13:$O$13,0))*(1+$AE$6)</f>
        <v>17</v>
      </c>
      <c r="AE137" s="257">
        <f t="array" ref="AE137">INDEX(PriceDeck!$C$18:$O$77,MATCH('Decline and Model'!$A137,PriceDeck!$B$18:$B$77,0),MATCH('Decline and Model'!AE$8,PriceDeck!$C$13:$O$13,0))*(1+$AE$6)</f>
        <v>34.200000000000003</v>
      </c>
      <c r="AF137" s="257">
        <f t="array" ref="AF137">INDEX(PriceDeck!$C$18:$O$77,MATCH('Decline and Model'!$A137,PriceDeck!$B$18:$B$77,0),MATCH('Decline and Model'!AF$8,PriceDeck!$C$13:$O$13,0))*(1+$AE$6)</f>
        <v>101.1</v>
      </c>
      <c r="AG137" s="257">
        <f t="array" ref="AG137">INDEX(PriceDeck!$C$18:$O$77,MATCH('Decline and Model'!$A137,PriceDeck!$B$18:$B$77,0),MATCH('Decline and Model'!AG$8,PriceDeck!$C$13:$O$13,0))*(1+$AE$6)</f>
        <v>71.400000000000006</v>
      </c>
      <c r="AH137" s="258">
        <f t="array" ref="AH137">INDEX(PriceDeck!$C$18:$O$77,MATCH('Decline and Model'!$A137,PriceDeck!$B$18:$B$77,0),MATCH('Decline and Model'!AH$8,PriceDeck!$C$13:$O$13,0))</f>
        <v>0.85</v>
      </c>
      <c r="AI137" s="258">
        <f t="shared" si="87"/>
        <v>4.5</v>
      </c>
      <c r="AJ137" s="259">
        <f t="shared" ref="AJ137:AJ200" si="113">AI137/$AJ$6</f>
        <v>4.5</v>
      </c>
      <c r="AK137" s="120">
        <v>4.5</v>
      </c>
      <c r="AL137" s="120"/>
      <c r="AN137" s="7">
        <f t="shared" si="88"/>
        <v>27116.584270346873</v>
      </c>
      <c r="AO137" s="7">
        <f t="shared" si="89"/>
        <v>20523.750174630124</v>
      </c>
      <c r="AP137" s="7">
        <f t="shared" si="90"/>
        <v>6149.5670999437771</v>
      </c>
      <c r="AQ137" s="7">
        <f t="shared" si="91"/>
        <v>8417.0049573319302</v>
      </c>
      <c r="AR137" s="7">
        <f t="shared" si="92"/>
        <v>11865.646534294381</v>
      </c>
      <c r="AS137" s="7">
        <f t="shared" si="93"/>
        <v>10253.118287240555</v>
      </c>
      <c r="AT137" s="7">
        <f t="shared" si="94"/>
        <v>84325.671323787654</v>
      </c>
      <c r="AU137">
        <f>SUM($AT$9:AT137)</f>
        <v>63882238.192756161</v>
      </c>
      <c r="AV137" s="7">
        <f>AT137/(1+$AR$5)^(COUNT($E$9:E137))</f>
        <v>31787.620989164334</v>
      </c>
      <c r="AW137" s="7">
        <f t="shared" si="109"/>
        <v>0</v>
      </c>
      <c r="AX137" s="7">
        <f t="shared" si="95"/>
        <v>0</v>
      </c>
      <c r="AY137" s="117">
        <f t="shared" si="96"/>
        <v>0</v>
      </c>
      <c r="AZ137" s="117">
        <f t="shared" si="97"/>
        <v>84325.671323787654</v>
      </c>
      <c r="BA137" s="120">
        <f t="shared" si="98"/>
        <v>20788.408291844287</v>
      </c>
      <c r="BB137" s="119">
        <f t="shared" ref="BB137:BB200" si="114">MAX($BA$7-V137,0)</f>
        <v>0</v>
      </c>
      <c r="BC137" s="17"/>
      <c r="BD137" s="126">
        <f t="shared" ref="BD137:BD200" si="115">AN137/$AT137</f>
        <v>0.32156974079965001</v>
      </c>
      <c r="BE137" s="127">
        <f t="shared" ref="BE137:BE200" si="116">AO137/$AT137</f>
        <v>0.24338673920335011</v>
      </c>
      <c r="BF137" s="127">
        <f t="shared" ref="BF137:BF200" si="117">AP137/$AT137</f>
        <v>7.2926393628473002E-2</v>
      </c>
      <c r="BG137" s="127">
        <f t="shared" ref="BG137:BG200" si="118">AQ137/$AT137</f>
        <v>9.981545151313316E-2</v>
      </c>
      <c r="BH137" s="127">
        <f t="shared" ref="BH137:BH200" si="119">AR137/$AT137</f>
        <v>0.14071215026244527</v>
      </c>
      <c r="BI137" s="128">
        <f t="shared" ref="BI137:BI200" si="120">AS137/$AT137</f>
        <v>0.12158952459294831</v>
      </c>
      <c r="BJ137" s="126">
        <f t="array" ref="BJ137">BD137*INDEX(Royalty!$U$7:$Z$246,MATCH('Decline and Model'!$E137,Royalty!$AI$7:$AI$246,0),MATCH('Decline and Model'!BJ$8,Royalty!$U$1:$Z$1,0))</f>
        <v>9.6529807605259935E-2</v>
      </c>
      <c r="BK137" s="127">
        <f t="array" ref="BK137">BE137*INDEX(Royalty!$U$7:$Z$246,MATCH('Decline and Model'!$E137,Royalty!$AI$7:$AI$246,0),MATCH('Decline and Model'!BK$8,Royalty!$U$1:$Z$1,0))</f>
        <v>7.0851564665739233E-2</v>
      </c>
      <c r="BL137" s="127">
        <f t="array" ref="BL137">BF137*INDEX(Royalty!$U$7:$Z$246,MATCH('Decline and Model'!$E137,Royalty!$AI$7:$AI$246,0),MATCH('Decline and Model'!BL$8,Royalty!$U$1:$Z$1,0))</f>
        <v>2.1980122127363517E-2</v>
      </c>
      <c r="BM137" s="127">
        <f t="array" ref="BM137">BG137*INDEX(Royalty!$U$7:$Z$246,MATCH('Decline and Model'!$E137,Royalty!$AI$7:$AI$246,0),MATCH('Decline and Model'!BM$8,Royalty!$U$1:$Z$1,0))</f>
        <v>2.9076442825269222E-2</v>
      </c>
      <c r="BN137" s="127">
        <f t="array" ref="BN137">BH137*INDEX(Royalty!$U$7:$Z$246,MATCH('Decline and Model'!$E137,Royalty!$AI$7:$AI$246,0),MATCH('Decline and Model'!BN$8,Royalty!$U$1:$Z$1,0))</f>
        <v>2.2007849441129775E-2</v>
      </c>
      <c r="BO137" s="127">
        <f t="array" ref="BO137">BI137*INDEX(Royalty!$U$7:$Z$246,MATCH('Decline and Model'!$E137,Royalty!$AI$7:$AI$246,0),MATCH('Decline and Model'!BO$8,Royalty!$U$1:$Z$1,0))</f>
        <v>6.079476229647416E-3</v>
      </c>
      <c r="BP137" s="135">
        <f t="shared" ref="BP137:BP200" si="121">MAX(SUM(BJ137:BO137)-BB137*$BA$5,$BA$4)</f>
        <v>0.2465252628944091</v>
      </c>
      <c r="BQ137" s="7"/>
      <c r="BR137" s="7"/>
      <c r="BS137">
        <v>129</v>
      </c>
      <c r="BT137" s="120">
        <f t="shared" ref="BT137:BT200" si="122">AY137+BA137</f>
        <v>20788.408291844287</v>
      </c>
      <c r="BU137" s="113">
        <f t="shared" ref="BU137:BU200" si="123">V137*$AP$3</f>
        <v>16017.924629299787</v>
      </c>
      <c r="BV137" s="113">
        <f t="shared" ref="BV137:BV200" si="124">V137*$AP$2</f>
        <v>4805.377388789936</v>
      </c>
      <c r="BW137" s="113">
        <f t="shared" si="106"/>
        <v>686463.343876953</v>
      </c>
      <c r="BX137" s="113">
        <f t="shared" si="99"/>
        <v>15173.895069056452</v>
      </c>
      <c r="BY137" s="120">
        <f t="shared" si="100"/>
        <v>27540.065944797192</v>
      </c>
      <c r="BZ137" s="153">
        <f t="shared" si="107"/>
        <v>0</v>
      </c>
      <c r="CA137" s="120">
        <f t="shared" si="110"/>
        <v>27540.065944797192</v>
      </c>
      <c r="CB137" s="120">
        <f t="shared" si="101"/>
        <v>6885.016486199298</v>
      </c>
      <c r="CC137" s="153">
        <f t="shared" si="102"/>
        <v>35828.944527654348</v>
      </c>
      <c r="CD137" s="7">
        <f t="shared" ref="CD137:CD200" si="125">CC137/(1+$AR$5)^$BS137</f>
        <v>13506.170673859668</v>
      </c>
      <c r="CE137" s="11">
        <f>SUM($CD$9:CD137)</f>
        <v>24905655.918710206</v>
      </c>
      <c r="CF137" s="11">
        <f t="shared" si="103"/>
        <v>12000000</v>
      </c>
      <c r="CG137">
        <f t="shared" si="104"/>
        <v>12905655.918710206</v>
      </c>
    </row>
    <row r="138" spans="1:85">
      <c r="A138">
        <f t="shared" ref="A138:A201" si="126">YEAR(E138)</f>
        <v>2028</v>
      </c>
      <c r="B138">
        <f t="shared" ref="B138:B201" si="127">$B$4</f>
        <v>30.416666666666668</v>
      </c>
      <c r="C138">
        <f t="shared" si="111"/>
        <v>11</v>
      </c>
      <c r="E138" s="97">
        <v>46753</v>
      </c>
      <c r="F138" s="2">
        <f>$F$6*EXP(-$F$3*COUNT($E$9:$E138))</f>
        <v>1.2049523893605771</v>
      </c>
      <c r="G138" s="260">
        <f>$F$6/(1+$F$5*$F$3*COUNT($E$9:$E138))^(1/$F$5)</f>
        <v>8.9273229804499135</v>
      </c>
      <c r="H138" s="260">
        <f>$H$6/(1+$H$5*$H$3*COUNT($E$9:$E138))^(1/$H$5)</f>
        <v>148.5199240151135</v>
      </c>
      <c r="I138" s="260">
        <f t="shared" ref="I138:I201" si="128">H138*$F$7</f>
        <v>28.289509336212095</v>
      </c>
      <c r="J138" s="260">
        <f t="shared" ref="J138:M201" si="129">$I138*J$7</f>
        <v>11.779751687598717</v>
      </c>
      <c r="K138" s="260">
        <f t="shared" si="129"/>
        <v>8.0144179949488858</v>
      </c>
      <c r="L138" s="260">
        <f t="shared" si="129"/>
        <v>3.8219127113222542</v>
      </c>
      <c r="M138" s="260">
        <f t="shared" si="112"/>
        <v>4.6762558932758598</v>
      </c>
      <c r="N138" s="19">
        <f t="shared" ref="N138:N201" si="130">(F138*$B138)*(1+$Q$6)</f>
        <v>36.65063517638422</v>
      </c>
      <c r="O138" s="19">
        <f t="shared" ref="O138:O201" si="131">(G138*$B138)*(1+$Q$6)</f>
        <v>271.53940732201823</v>
      </c>
      <c r="P138" s="19">
        <f t="shared" ref="P138:P201" si="132">(H138*$B138)*(1+$Q$6)</f>
        <v>4517.4810221263688</v>
      </c>
      <c r="Q138" s="19">
        <f t="shared" ref="Q138:Q201" si="133">(I138*$B138)*(1+$Q$6)</f>
        <v>860.47257564311792</v>
      </c>
      <c r="R138" s="19">
        <f t="shared" ref="R138:R201" si="134">(J138*$B138)*(1+$Q$6)</f>
        <v>358.30078049779434</v>
      </c>
      <c r="S138" s="19">
        <f t="shared" ref="S138:S201" si="135">(K138*$B138)*(1+$Q$6)</f>
        <v>243.7718806796953</v>
      </c>
      <c r="T138" s="19">
        <f t="shared" ref="T138:T201" si="136">(L138*$B138)*(1+$Q$6)</f>
        <v>116.24984496938524</v>
      </c>
      <c r="U138" s="19">
        <f t="shared" ref="U138:U201" si="137">(M138*$B138)*(1+$Q$6)</f>
        <v>142.23611675380741</v>
      </c>
      <c r="V138" s="261">
        <f t="shared" si="105"/>
        <v>1582.3482377149473</v>
      </c>
      <c r="W138" s="261">
        <f>SUM(O$9:O138)</f>
        <v>552039.63140197401</v>
      </c>
      <c r="X138" s="261">
        <f>SUM(P$9:P138)</f>
        <v>2226471.7023735926</v>
      </c>
      <c r="Y138" s="261">
        <f>SUM(Q$9:Q138)</f>
        <v>424089.84807116014</v>
      </c>
      <c r="Z138" s="261">
        <f>SUM($V$9:V138)</f>
        <v>1198080.8109435677</v>
      </c>
      <c r="AB138" s="257">
        <f t="array" ref="AB138">(INDEX(PriceDeck!$C$18:$O$77,MATCH('Decline and Model'!$A138,PriceDeck!$B$18:$B$77,0),MATCH('Decline and Model'!AB$8,PriceDeck!$C$13:$O$13,0))*(1+$AE$6))</f>
        <v>87</v>
      </c>
      <c r="AC138" s="257">
        <f t="array" ref="AC138">INDEX(PriceDeck!$C$18:$O$77,MATCH('Decline and Model'!$A138,PriceDeck!$B$18:$B$77,0),MATCH('Decline and Model'!AC$8,PriceDeck!$C$13:$O$13,0))*(1+$AE$6)</f>
        <v>99.4</v>
      </c>
      <c r="AD138" s="257">
        <f t="array" ref="AD138">INDEX(PriceDeck!$C$18:$O$77,MATCH('Decline and Model'!$A138,PriceDeck!$B$18:$B$77,0),MATCH('Decline and Model'!AD$8,PriceDeck!$C$13:$O$13,0))*(1+$AE$6)</f>
        <v>17.399999999999999</v>
      </c>
      <c r="AE138" s="257">
        <f t="array" ref="AE138">INDEX(PriceDeck!$C$18:$O$77,MATCH('Decline and Model'!$A138,PriceDeck!$B$18:$B$77,0),MATCH('Decline and Model'!AE$8,PriceDeck!$C$13:$O$13,0))*(1+$AE$6)</f>
        <v>34.9</v>
      </c>
      <c r="AF138" s="257">
        <f t="array" ref="AF138">INDEX(PriceDeck!$C$18:$O$77,MATCH('Decline and Model'!$A138,PriceDeck!$B$18:$B$77,0),MATCH('Decline and Model'!AF$8,PriceDeck!$C$13:$O$13,0))*(1+$AE$6)</f>
        <v>103.1</v>
      </c>
      <c r="AG138" s="257">
        <f t="array" ref="AG138">INDEX(PriceDeck!$C$18:$O$77,MATCH('Decline and Model'!$A138,PriceDeck!$B$18:$B$77,0),MATCH('Decline and Model'!AG$8,PriceDeck!$C$13:$O$13,0))*(1+$AE$6)</f>
        <v>72.8</v>
      </c>
      <c r="AH138" s="258">
        <f t="array" ref="AH138">INDEX(PriceDeck!$C$18:$O$77,MATCH('Decline and Model'!$A138,PriceDeck!$B$18:$B$77,0),MATCH('Decline and Model'!AH$8,PriceDeck!$C$13:$O$13,0))</f>
        <v>0.85</v>
      </c>
      <c r="AI138" s="258">
        <f t="shared" ref="AI138:AI201" si="138">AK138*(1+$AE$6)</f>
        <v>4.5999999999999996</v>
      </c>
      <c r="AJ138" s="259">
        <f t="shared" si="113"/>
        <v>4.5999999999999996</v>
      </c>
      <c r="AK138" s="120">
        <v>4.5999999999999996</v>
      </c>
      <c r="AL138" s="120"/>
      <c r="AN138" s="7">
        <f t="shared" ref="AN138:AN201" si="139">O138*AC138</f>
        <v>26991.017087808614</v>
      </c>
      <c r="AO138" s="7">
        <f t="shared" ref="AO138:AO201" si="140">P138*AJ138</f>
        <v>20780.412701781293</v>
      </c>
      <c r="AP138" s="7">
        <f t="shared" ref="AP138:AP201" si="141">R138*AD138</f>
        <v>6234.4335806616209</v>
      </c>
      <c r="AQ138" s="7">
        <f t="shared" ref="AQ138:AQ201" si="142">S138*AE138</f>
        <v>8507.6386357213651</v>
      </c>
      <c r="AR138" s="7">
        <f t="shared" ref="AR138:AR201" si="143">T138*AF138</f>
        <v>11985.359016343617</v>
      </c>
      <c r="AS138" s="7">
        <f t="shared" ref="AS138:AS201" si="144">U138*AG138</f>
        <v>10354.789299677179</v>
      </c>
      <c r="AT138" s="7">
        <f t="shared" ref="AT138:AT201" si="145">SUM(AN138:AS138)</f>
        <v>84853.650321993686</v>
      </c>
      <c r="AU138">
        <f>SUM($AT$9:AT138)</f>
        <v>63967091.843078151</v>
      </c>
      <c r="AV138" s="7">
        <f>AT138/(1+$AR$5)^(COUNT($E$9:E138))</f>
        <v>31745.651105344514</v>
      </c>
      <c r="AW138" s="7">
        <f t="shared" si="109"/>
        <v>0</v>
      </c>
      <c r="AX138" s="7">
        <f t="shared" ref="AX138:AX201" si="146">MIN(AT138,AW138)</f>
        <v>0</v>
      </c>
      <c r="AY138" s="117">
        <f t="shared" ref="AY138:AY201" si="147">AX138*$AX$7</f>
        <v>0</v>
      </c>
      <c r="AZ138" s="117">
        <f t="shared" ref="AZ138:AZ201" si="148">AT138-AX138</f>
        <v>84853.650321993686</v>
      </c>
      <c r="BA138" s="120">
        <f t="shared" ref="BA138:BA201" si="149">AZ138*BP138</f>
        <v>21258.630575053245</v>
      </c>
      <c r="BB138" s="119">
        <f t="shared" si="114"/>
        <v>0</v>
      </c>
      <c r="BC138" s="17"/>
      <c r="BD138" s="126">
        <f t="shared" si="115"/>
        <v>0.31808905079965266</v>
      </c>
      <c r="BE138" s="127">
        <f t="shared" si="116"/>
        <v>0.2448970978022274</v>
      </c>
      <c r="BF138" s="127">
        <f t="shared" si="117"/>
        <v>7.3472779980635478E-2</v>
      </c>
      <c r="BG138" s="127">
        <f t="shared" si="118"/>
        <v>0.10026249434688402</v>
      </c>
      <c r="BH138" s="127">
        <f t="shared" si="119"/>
        <v>0.14124741800574095</v>
      </c>
      <c r="BI138" s="128">
        <f t="shared" si="120"/>
        <v>0.12203115906485951</v>
      </c>
      <c r="BJ138" s="126">
        <f t="array" ref="BJ138">BD138*INDEX(Royalty!$U$7:$Z$246,MATCH('Decline and Model'!$E138,Royalty!$AI$7:$AI$246,0),MATCH('Decline and Model'!BJ$8,Royalty!$U$1:$Z$1,0))</f>
        <v>9.70455245867997E-2</v>
      </c>
      <c r="BK138" s="127">
        <f t="array" ref="BK138">BE138*INDEX(Royalty!$U$7:$Z$246,MATCH('Decline and Model'!$E138,Royalty!$AI$7:$AI$246,0),MATCH('Decline and Model'!BK$8,Royalty!$U$1:$Z$1,0))</f>
        <v>7.2492718357058866E-2</v>
      </c>
      <c r="BL138" s="127">
        <f t="array" ref="BL138">BF138*INDEX(Royalty!$U$7:$Z$246,MATCH('Decline and Model'!$E138,Royalty!$AI$7:$AI$246,0),MATCH('Decline and Model'!BL$8,Royalty!$U$1:$Z$1,0))</f>
        <v>2.250323166947818E-2</v>
      </c>
      <c r="BM138" s="127">
        <f t="array" ref="BM138">BG138*INDEX(Royalty!$U$7:$Z$246,MATCH('Decline and Model'!$E138,Royalty!$AI$7:$AI$246,0),MATCH('Decline and Model'!BM$8,Royalty!$U$1:$Z$1,0))</f>
        <v>2.9697992728566366E-2</v>
      </c>
      <c r="BN138" s="127">
        <f t="array" ref="BN138">BH138*INDEX(Royalty!$U$7:$Z$246,MATCH('Decline and Model'!$E138,Royalty!$AI$7:$AI$246,0),MATCH('Decline and Model'!BN$8,Royalty!$U$1:$Z$1,0))</f>
        <v>2.2691868627310235E-2</v>
      </c>
      <c r="BO138" s="127">
        <f t="array" ref="BO138">BI138*INDEX(Royalty!$U$7:$Z$246,MATCH('Decline and Model'!$E138,Royalty!$AI$7:$AI$246,0),MATCH('Decline and Model'!BO$8,Royalty!$U$1:$Z$1,0))</f>
        <v>6.1015579532429755E-3</v>
      </c>
      <c r="BP138" s="135">
        <f t="shared" si="121"/>
        <v>0.25053289392245631</v>
      </c>
      <c r="BQ138" s="7"/>
      <c r="BR138" s="7"/>
      <c r="BS138">
        <v>130</v>
      </c>
      <c r="BT138" s="120">
        <f t="shared" si="122"/>
        <v>21258.630575053245</v>
      </c>
      <c r="BU138" s="113">
        <f t="shared" si="123"/>
        <v>15823.482377149474</v>
      </c>
      <c r="BV138" s="113">
        <f t="shared" si="124"/>
        <v>4747.0447131448418</v>
      </c>
      <c r="BW138" s="113">
        <f t="shared" si="106"/>
        <v>671289.44880789658</v>
      </c>
      <c r="BX138" s="113">
        <f t="shared" ref="BX138:BX201" si="150">BW138*$BW$5</f>
        <v>14838.484455189784</v>
      </c>
      <c r="BY138" s="120">
        <f t="shared" ref="BY138:BY201" si="151">AT138-BT138-BU138-BV138-BX138</f>
        <v>28186.008201456338</v>
      </c>
      <c r="BZ138" s="153">
        <f t="shared" si="107"/>
        <v>0</v>
      </c>
      <c r="CA138" s="120">
        <f t="shared" si="110"/>
        <v>28186.008201456338</v>
      </c>
      <c r="CB138" s="120">
        <f t="shared" ref="CB138:CB201" si="152">CA138*$AP$4</f>
        <v>7046.5020503640844</v>
      </c>
      <c r="CC138" s="153">
        <f t="shared" ref="CC138:CC201" si="153">CA138-CB138+BX138</f>
        <v>35977.990606282037</v>
      </c>
      <c r="CD138" s="7">
        <f t="shared" si="125"/>
        <v>13460.172107202241</v>
      </c>
      <c r="CE138" s="11">
        <f>SUM($CD$9:CD138)</f>
        <v>24919116.090817407</v>
      </c>
      <c r="CF138" s="11">
        <f t="shared" ref="CF138:CF201" si="154">$CD$6</f>
        <v>12000000</v>
      </c>
      <c r="CG138">
        <f t="shared" ref="CG138:CG201" si="155">IF(CE138&gt;CF138,CE138-CF138,0)</f>
        <v>12919116.090817407</v>
      </c>
    </row>
    <row r="139" spans="1:85">
      <c r="A139">
        <f t="shared" si="126"/>
        <v>2028</v>
      </c>
      <c r="B139">
        <f t="shared" si="127"/>
        <v>30.416666666666668</v>
      </c>
      <c r="C139">
        <f t="shared" si="111"/>
        <v>11</v>
      </c>
      <c r="E139" s="97">
        <v>46784</v>
      </c>
      <c r="F139" s="2">
        <f>$F$6*EXP(-$F$3*COUNT($E$9:$E139))</f>
        <v>1.1461861678822214</v>
      </c>
      <c r="G139" s="260">
        <f>$F$6/(1+$F$5*$F$3*COUNT($E$9:$E139))^(1/$F$5)</f>
        <v>8.7080285856138495</v>
      </c>
      <c r="H139" s="260">
        <f>$H$6/(1+$H$5*$H$3*COUNT($E$9:$E139))^(1/$H$5)</f>
        <v>147.11771080565438</v>
      </c>
      <c r="I139" s="260">
        <f t="shared" si="128"/>
        <v>28.02242110583893</v>
      </c>
      <c r="J139" s="260">
        <f t="shared" si="129"/>
        <v>11.668536148471331</v>
      </c>
      <c r="K139" s="260">
        <f t="shared" si="129"/>
        <v>7.9387518992841688</v>
      </c>
      <c r="L139" s="260">
        <f t="shared" si="129"/>
        <v>3.7858290913988393</v>
      </c>
      <c r="M139" s="260">
        <f t="shared" si="112"/>
        <v>4.6321062087951752</v>
      </c>
      <c r="N139" s="19">
        <f t="shared" si="130"/>
        <v>34.863162606417568</v>
      </c>
      <c r="O139" s="19">
        <f t="shared" si="131"/>
        <v>264.86920281242129</v>
      </c>
      <c r="P139" s="19">
        <f t="shared" si="132"/>
        <v>4474.8303703386546</v>
      </c>
      <c r="Q139" s="19">
        <f t="shared" si="133"/>
        <v>852.34864196926753</v>
      </c>
      <c r="R139" s="19">
        <f t="shared" si="134"/>
        <v>354.91797451600297</v>
      </c>
      <c r="S139" s="19">
        <f t="shared" si="135"/>
        <v>241.47037026989346</v>
      </c>
      <c r="T139" s="19">
        <f t="shared" si="136"/>
        <v>115.15230153004804</v>
      </c>
      <c r="U139" s="19">
        <f t="shared" si="137"/>
        <v>140.89323051751992</v>
      </c>
      <c r="V139" s="261">
        <f t="shared" ref="V139:V202" si="156">SUM(O139,R139:U139)+P139/$AX$3</f>
        <v>1563.3023639526136</v>
      </c>
      <c r="W139" s="261">
        <f>SUM(O$9:O139)</f>
        <v>552304.50060478644</v>
      </c>
      <c r="X139" s="261">
        <f>SUM(P$9:P139)</f>
        <v>2230946.5327439313</v>
      </c>
      <c r="Y139" s="261">
        <f>SUM(Q$9:Q139)</f>
        <v>424942.19671312941</v>
      </c>
      <c r="Z139" s="261">
        <f>SUM($V$9:V139)</f>
        <v>1199644.1133075203</v>
      </c>
      <c r="AB139" s="257">
        <f t="array" ref="AB139">(INDEX(PriceDeck!$C$18:$O$77,MATCH('Decline and Model'!$A139,PriceDeck!$B$18:$B$77,0),MATCH('Decline and Model'!AB$8,PriceDeck!$C$13:$O$13,0))*(1+$AE$6))</f>
        <v>87</v>
      </c>
      <c r="AC139" s="257">
        <f t="array" ref="AC139">INDEX(PriceDeck!$C$18:$O$77,MATCH('Decline and Model'!$A139,PriceDeck!$B$18:$B$77,0),MATCH('Decline and Model'!AC$8,PriceDeck!$C$13:$O$13,0))*(1+$AE$6)</f>
        <v>99.4</v>
      </c>
      <c r="AD139" s="257">
        <f t="array" ref="AD139">INDEX(PriceDeck!$C$18:$O$77,MATCH('Decline and Model'!$A139,PriceDeck!$B$18:$B$77,0),MATCH('Decline and Model'!AD$8,PriceDeck!$C$13:$O$13,0))*(1+$AE$6)</f>
        <v>17.399999999999999</v>
      </c>
      <c r="AE139" s="257">
        <f t="array" ref="AE139">INDEX(PriceDeck!$C$18:$O$77,MATCH('Decline and Model'!$A139,PriceDeck!$B$18:$B$77,0),MATCH('Decline and Model'!AE$8,PriceDeck!$C$13:$O$13,0))*(1+$AE$6)</f>
        <v>34.9</v>
      </c>
      <c r="AF139" s="257">
        <f t="array" ref="AF139">INDEX(PriceDeck!$C$18:$O$77,MATCH('Decline and Model'!$A139,PriceDeck!$B$18:$B$77,0),MATCH('Decline and Model'!AF$8,PriceDeck!$C$13:$O$13,0))*(1+$AE$6)</f>
        <v>103.1</v>
      </c>
      <c r="AG139" s="257">
        <f t="array" ref="AG139">INDEX(PriceDeck!$C$18:$O$77,MATCH('Decline and Model'!$A139,PriceDeck!$B$18:$B$77,0),MATCH('Decline and Model'!AG$8,PriceDeck!$C$13:$O$13,0))*(1+$AE$6)</f>
        <v>72.8</v>
      </c>
      <c r="AH139" s="258">
        <f t="array" ref="AH139">INDEX(PriceDeck!$C$18:$O$77,MATCH('Decline and Model'!$A139,PriceDeck!$B$18:$B$77,0),MATCH('Decline and Model'!AH$8,PriceDeck!$C$13:$O$13,0))</f>
        <v>0.85</v>
      </c>
      <c r="AI139" s="258">
        <f t="shared" si="138"/>
        <v>4.5999999999999996</v>
      </c>
      <c r="AJ139" s="259">
        <f t="shared" si="113"/>
        <v>4.5999999999999996</v>
      </c>
      <c r="AK139" s="120">
        <v>4.5999999999999996</v>
      </c>
      <c r="AL139" s="120"/>
      <c r="AN139" s="7">
        <f t="shared" si="139"/>
        <v>26327.998759554677</v>
      </c>
      <c r="AO139" s="7">
        <f t="shared" si="140"/>
        <v>20584.21970355781</v>
      </c>
      <c r="AP139" s="7">
        <f t="shared" si="141"/>
        <v>6175.5727565784509</v>
      </c>
      <c r="AQ139" s="7">
        <f t="shared" si="142"/>
        <v>8427.3159224192823</v>
      </c>
      <c r="AR139" s="7">
        <f t="shared" si="143"/>
        <v>11872.202287747952</v>
      </c>
      <c r="AS139" s="7">
        <f t="shared" si="144"/>
        <v>10257.02718167545</v>
      </c>
      <c r="AT139" s="7">
        <f t="shared" si="145"/>
        <v>83644.33661153361</v>
      </c>
      <c r="AU139">
        <f>SUM($AT$9:AT139)</f>
        <v>64050736.179689683</v>
      </c>
      <c r="AV139" s="7">
        <f>AT139/(1+$AR$5)^(COUNT($E$9:E139))</f>
        <v>31057.446093514598</v>
      </c>
      <c r="AW139" s="7">
        <f t="shared" si="109"/>
        <v>0</v>
      </c>
      <c r="AX139" s="7">
        <f t="shared" si="146"/>
        <v>0</v>
      </c>
      <c r="AY139" s="117">
        <f t="shared" si="147"/>
        <v>0</v>
      </c>
      <c r="AZ139" s="117">
        <f t="shared" si="148"/>
        <v>83644.33661153361</v>
      </c>
      <c r="BA139" s="120">
        <f t="shared" si="149"/>
        <v>20933.388413253226</v>
      </c>
      <c r="BB139" s="119">
        <f t="shared" si="114"/>
        <v>0</v>
      </c>
      <c r="BC139" s="17"/>
      <c r="BD139" s="126">
        <f t="shared" si="115"/>
        <v>0.31476128362197259</v>
      </c>
      <c r="BE139" s="127">
        <f t="shared" si="116"/>
        <v>0.24609221063174141</v>
      </c>
      <c r="BF139" s="127">
        <f t="shared" si="117"/>
        <v>7.3831331644836184E-2</v>
      </c>
      <c r="BG139" s="127">
        <f t="shared" si="118"/>
        <v>0.10075178145721883</v>
      </c>
      <c r="BH139" s="127">
        <f t="shared" si="119"/>
        <v>0.14193671405256755</v>
      </c>
      <c r="BI139" s="128">
        <f t="shared" si="120"/>
        <v>0.12262667859166357</v>
      </c>
      <c r="BJ139" s="126">
        <f t="array" ref="BJ139">BD139*INDEX(Royalty!$U$7:$Z$246,MATCH('Decline and Model'!$E139,Royalty!$AI$7:$AI$246,0),MATCH('Decline and Model'!BJ$8,Royalty!$U$1:$Z$1,0))</f>
        <v>9.6030258859643003E-2</v>
      </c>
      <c r="BK139" s="127">
        <f t="array" ref="BK139">BE139*INDEX(Royalty!$U$7:$Z$246,MATCH('Decline and Model'!$E139,Royalty!$AI$7:$AI$246,0),MATCH('Decline and Model'!BK$8,Royalty!$U$1:$Z$1,0))</f>
        <v>7.284648726053862E-2</v>
      </c>
      <c r="BL139" s="127">
        <f t="array" ref="BL139">BF139*INDEX(Royalty!$U$7:$Z$246,MATCH('Decline and Model'!$E139,Royalty!$AI$7:$AI$246,0),MATCH('Decline and Model'!BL$8,Royalty!$U$1:$Z$1,0))</f>
        <v>2.261304881763988E-2</v>
      </c>
      <c r="BM139" s="127">
        <f t="array" ref="BM139">BG139*INDEX(Royalty!$U$7:$Z$246,MATCH('Decline and Model'!$E139,Royalty!$AI$7:$AI$246,0),MATCH('Decline and Model'!BM$8,Royalty!$U$1:$Z$1,0))</f>
        <v>2.9842920751149082E-2</v>
      </c>
      <c r="BN139" s="127">
        <f t="array" ref="BN139">BH139*INDEX(Royalty!$U$7:$Z$246,MATCH('Decline and Model'!$E139,Royalty!$AI$7:$AI$246,0),MATCH('Decline and Model'!BN$8,Royalty!$U$1:$Z$1,0))</f>
        <v>2.2802606335374235E-2</v>
      </c>
      <c r="BO139" s="127">
        <f t="array" ref="BO139">BI139*INDEX(Royalty!$U$7:$Z$246,MATCH('Decline and Model'!$E139,Royalty!$AI$7:$AI$246,0),MATCH('Decline and Model'!BO$8,Royalty!$U$1:$Z$1,0))</f>
        <v>6.1313339295831788E-3</v>
      </c>
      <c r="BP139" s="135">
        <f t="shared" si="121"/>
        <v>0.250266655953928</v>
      </c>
      <c r="BQ139" s="7"/>
      <c r="BR139" s="7"/>
      <c r="BS139">
        <v>131</v>
      </c>
      <c r="BT139" s="120">
        <f t="shared" si="122"/>
        <v>20933.388413253226</v>
      </c>
      <c r="BU139" s="113">
        <f t="shared" si="123"/>
        <v>15633.023639526136</v>
      </c>
      <c r="BV139" s="113">
        <f t="shared" si="124"/>
        <v>4689.9070918578409</v>
      </c>
      <c r="BW139" s="113">
        <f t="shared" ref="BW139:BW202" si="157">BW138-BX138</f>
        <v>656450.9643527068</v>
      </c>
      <c r="BX139" s="113">
        <f t="shared" si="150"/>
        <v>14510.487908665904</v>
      </c>
      <c r="BY139" s="120">
        <f t="shared" si="151"/>
        <v>27877.529558230497</v>
      </c>
      <c r="BZ139" s="153">
        <f t="shared" ref="BZ139:BZ202" si="158">MIN(BZ138+BY139,0)</f>
        <v>0</v>
      </c>
      <c r="CA139" s="120">
        <f t="shared" si="110"/>
        <v>27877.529558230497</v>
      </c>
      <c r="CB139" s="120">
        <f t="shared" si="152"/>
        <v>6969.3823895576243</v>
      </c>
      <c r="CC139" s="153">
        <f t="shared" si="153"/>
        <v>35418.635077338775</v>
      </c>
      <c r="CD139" s="7">
        <f t="shared" si="125"/>
        <v>13151.067892726103</v>
      </c>
      <c r="CE139" s="11">
        <f>SUM($CD$9:CD139)</f>
        <v>24932267.158710133</v>
      </c>
      <c r="CF139" s="11">
        <f t="shared" si="154"/>
        <v>12000000</v>
      </c>
      <c r="CG139">
        <f t="shared" si="155"/>
        <v>12932267.158710133</v>
      </c>
    </row>
    <row r="140" spans="1:85">
      <c r="A140">
        <f t="shared" si="126"/>
        <v>2028</v>
      </c>
      <c r="B140">
        <f t="shared" si="127"/>
        <v>30.416666666666668</v>
      </c>
      <c r="C140">
        <f t="shared" si="111"/>
        <v>11</v>
      </c>
      <c r="E140" s="97">
        <v>46813</v>
      </c>
      <c r="F140" s="2">
        <f>$F$6*EXP(-$F$3*COUNT($E$9:$E140))</f>
        <v>1.0902860088452844</v>
      </c>
      <c r="G140" s="260">
        <f>$F$6/(1+$F$5*$F$3*COUNT($E$9:$E140))^(1/$F$5)</f>
        <v>8.4949315394415148</v>
      </c>
      <c r="H140" s="260">
        <f>$H$6/(1+$H$5*$H$3*COUNT($E$9:$E140))^(1/$H$5)</f>
        <v>145.73804167277331</v>
      </c>
      <c r="I140" s="260">
        <f t="shared" si="128"/>
        <v>27.759626985290151</v>
      </c>
      <c r="J140" s="260">
        <f t="shared" si="129"/>
        <v>11.559108676674818</v>
      </c>
      <c r="K140" s="260">
        <f t="shared" si="129"/>
        <v>7.8643023249326998</v>
      </c>
      <c r="L140" s="260">
        <f t="shared" si="129"/>
        <v>3.7503256057126992</v>
      </c>
      <c r="M140" s="260">
        <f t="shared" si="112"/>
        <v>4.5886663406684622</v>
      </c>
      <c r="N140" s="19">
        <f t="shared" si="130"/>
        <v>33.1628661023774</v>
      </c>
      <c r="O140" s="19">
        <f t="shared" si="131"/>
        <v>258.38750099134609</v>
      </c>
      <c r="P140" s="19">
        <f t="shared" si="132"/>
        <v>4432.8654342135214</v>
      </c>
      <c r="Q140" s="19">
        <f t="shared" si="133"/>
        <v>844.35532080257542</v>
      </c>
      <c r="R140" s="19">
        <f t="shared" si="134"/>
        <v>351.58955558219236</v>
      </c>
      <c r="S140" s="19">
        <f t="shared" si="135"/>
        <v>239.20586238336963</v>
      </c>
      <c r="T140" s="19">
        <f t="shared" si="136"/>
        <v>114.07240384042794</v>
      </c>
      <c r="U140" s="19">
        <f t="shared" si="137"/>
        <v>139.57193452866574</v>
      </c>
      <c r="V140" s="261">
        <f t="shared" si="156"/>
        <v>1544.6439626456361</v>
      </c>
      <c r="W140" s="261">
        <f>SUM(O$9:O140)</f>
        <v>552562.88810577779</v>
      </c>
      <c r="X140" s="261">
        <f>SUM(P$9:P140)</f>
        <v>2235379.3981781448</v>
      </c>
      <c r="Y140" s="261">
        <f>SUM(Q$9:Q140)</f>
        <v>425786.55203393201</v>
      </c>
      <c r="Z140" s="261">
        <f>SUM($V$9:V140)</f>
        <v>1201188.757270166</v>
      </c>
      <c r="AB140" s="257">
        <f t="array" ref="AB140">(INDEX(PriceDeck!$C$18:$O$77,MATCH('Decline and Model'!$A140,PriceDeck!$B$18:$B$77,0),MATCH('Decline and Model'!AB$8,PriceDeck!$C$13:$O$13,0))*(1+$AE$6))</f>
        <v>87</v>
      </c>
      <c r="AC140" s="257">
        <f t="array" ref="AC140">INDEX(PriceDeck!$C$18:$O$77,MATCH('Decline and Model'!$A140,PriceDeck!$B$18:$B$77,0),MATCH('Decline and Model'!AC$8,PriceDeck!$C$13:$O$13,0))*(1+$AE$6)</f>
        <v>99.4</v>
      </c>
      <c r="AD140" s="257">
        <f t="array" ref="AD140">INDEX(PriceDeck!$C$18:$O$77,MATCH('Decline and Model'!$A140,PriceDeck!$B$18:$B$77,0),MATCH('Decline and Model'!AD$8,PriceDeck!$C$13:$O$13,0))*(1+$AE$6)</f>
        <v>17.399999999999999</v>
      </c>
      <c r="AE140" s="257">
        <f t="array" ref="AE140">INDEX(PriceDeck!$C$18:$O$77,MATCH('Decline and Model'!$A140,PriceDeck!$B$18:$B$77,0),MATCH('Decline and Model'!AE$8,PriceDeck!$C$13:$O$13,0))*(1+$AE$6)</f>
        <v>34.9</v>
      </c>
      <c r="AF140" s="257">
        <f t="array" ref="AF140">INDEX(PriceDeck!$C$18:$O$77,MATCH('Decline and Model'!$A140,PriceDeck!$B$18:$B$77,0),MATCH('Decline and Model'!AF$8,PriceDeck!$C$13:$O$13,0))*(1+$AE$6)</f>
        <v>103.1</v>
      </c>
      <c r="AG140" s="257">
        <f t="array" ref="AG140">INDEX(PriceDeck!$C$18:$O$77,MATCH('Decline and Model'!$A140,PriceDeck!$B$18:$B$77,0),MATCH('Decline and Model'!AG$8,PriceDeck!$C$13:$O$13,0))*(1+$AE$6)</f>
        <v>72.8</v>
      </c>
      <c r="AH140" s="258">
        <f t="array" ref="AH140">INDEX(PriceDeck!$C$18:$O$77,MATCH('Decline and Model'!$A140,PriceDeck!$B$18:$B$77,0),MATCH('Decline and Model'!AH$8,PriceDeck!$C$13:$O$13,0))</f>
        <v>0.85</v>
      </c>
      <c r="AI140" s="258">
        <f t="shared" si="138"/>
        <v>4.5999999999999996</v>
      </c>
      <c r="AJ140" s="259">
        <f t="shared" si="113"/>
        <v>4.5999999999999996</v>
      </c>
      <c r="AK140" s="120">
        <v>4.5999999999999996</v>
      </c>
      <c r="AL140" s="120"/>
      <c r="AN140" s="7">
        <f t="shared" si="139"/>
        <v>25683.717598539803</v>
      </c>
      <c r="AO140" s="7">
        <f t="shared" si="140"/>
        <v>20391.180997382198</v>
      </c>
      <c r="AP140" s="7">
        <f t="shared" si="141"/>
        <v>6117.6582671301467</v>
      </c>
      <c r="AQ140" s="7">
        <f t="shared" si="142"/>
        <v>8348.2845971795996</v>
      </c>
      <c r="AR140" s="7">
        <f t="shared" si="143"/>
        <v>11760.864835948119</v>
      </c>
      <c r="AS140" s="7">
        <f t="shared" si="144"/>
        <v>10160.836833686864</v>
      </c>
      <c r="AT140" s="7">
        <f t="shared" si="145"/>
        <v>82462.543129866724</v>
      </c>
      <c r="AU140">
        <f>SUM($AT$9:AT140)</f>
        <v>64133198.722819552</v>
      </c>
      <c r="AV140" s="7">
        <f>AT140/(1+$AR$5)^(COUNT($E$9:E140))</f>
        <v>30387.950710059304</v>
      </c>
      <c r="AW140" s="7">
        <f t="shared" si="109"/>
        <v>0</v>
      </c>
      <c r="AX140" s="7">
        <f t="shared" si="146"/>
        <v>0</v>
      </c>
      <c r="AY140" s="117">
        <f t="shared" si="147"/>
        <v>0</v>
      </c>
      <c r="AZ140" s="117">
        <f t="shared" si="148"/>
        <v>82462.543129866724</v>
      </c>
      <c r="BA140" s="120">
        <f t="shared" si="149"/>
        <v>20615.839686499778</v>
      </c>
      <c r="BB140" s="119">
        <f t="shared" si="114"/>
        <v>0</v>
      </c>
      <c r="BC140" s="17"/>
      <c r="BD140" s="126">
        <f t="shared" si="115"/>
        <v>0.31145919860962346</v>
      </c>
      <c r="BE140" s="127">
        <f t="shared" si="116"/>
        <v>0.24727810013413001</v>
      </c>
      <c r="BF140" s="127">
        <f t="shared" si="117"/>
        <v>7.4187116173408688E-2</v>
      </c>
      <c r="BG140" s="127">
        <f t="shared" si="118"/>
        <v>0.10123729247632157</v>
      </c>
      <c r="BH140" s="127">
        <f t="shared" si="119"/>
        <v>0.14262069043185385</v>
      </c>
      <c r="BI140" s="128">
        <f t="shared" si="120"/>
        <v>0.12321760217466247</v>
      </c>
      <c r="BJ140" s="126">
        <f t="array" ref="BJ140">BD140*INDEX(Royalty!$U$7:$Z$246,MATCH('Decline and Model'!$E140,Royalty!$AI$7:$AI$246,0),MATCH('Decline and Model'!BJ$8,Royalty!$U$1:$Z$1,0))</f>
        <v>9.5022828482998353E-2</v>
      </c>
      <c r="BK140" s="127">
        <f t="array" ref="BK140">BE140*INDEX(Royalty!$U$7:$Z$246,MATCH('Decline and Model'!$E140,Royalty!$AI$7:$AI$246,0),MATCH('Decline and Model'!BK$8,Royalty!$U$1:$Z$1,0))</f>
        <v>7.3197525939521557E-2</v>
      </c>
      <c r="BL140" s="127">
        <f t="array" ref="BL140">BF140*INDEX(Royalty!$U$7:$Z$246,MATCH('Decline and Model'!$E140,Royalty!$AI$7:$AI$246,0),MATCH('Decline and Model'!BL$8,Royalty!$U$1:$Z$1,0))</f>
        <v>2.2722018447930079E-2</v>
      </c>
      <c r="BM140" s="127">
        <f t="array" ref="BM140">BG140*INDEX(Royalty!$U$7:$Z$246,MATCH('Decline and Model'!$E140,Royalty!$AI$7:$AI$246,0),MATCH('Decline and Model'!BM$8,Royalty!$U$1:$Z$1,0))</f>
        <v>2.9986730286398294E-2</v>
      </c>
      <c r="BN140" s="127">
        <f t="array" ref="BN140">BH140*INDEX(Royalty!$U$7:$Z$246,MATCH('Decline and Model'!$E140,Royalty!$AI$7:$AI$246,0),MATCH('Decline and Model'!BN$8,Royalty!$U$1:$Z$1,0))</f>
        <v>2.2912489421111897E-2</v>
      </c>
      <c r="BO140" s="127">
        <f t="array" ref="BO140">BI140*INDEX(Royalty!$U$7:$Z$246,MATCH('Decline and Model'!$E140,Royalty!$AI$7:$AI$246,0),MATCH('Decline and Model'!BO$8,Royalty!$U$1:$Z$1,0))</f>
        <v>6.1608801087331237E-3</v>
      </c>
      <c r="BP140" s="135">
        <f t="shared" si="121"/>
        <v>0.25000247268669334</v>
      </c>
      <c r="BQ140" s="7"/>
      <c r="BR140" s="7"/>
      <c r="BS140">
        <v>132</v>
      </c>
      <c r="BT140" s="120">
        <f t="shared" si="122"/>
        <v>20615.839686499778</v>
      </c>
      <c r="BU140" s="113">
        <f t="shared" si="123"/>
        <v>15446.43962645636</v>
      </c>
      <c r="BV140" s="113">
        <f t="shared" si="124"/>
        <v>4633.9318879369084</v>
      </c>
      <c r="BW140" s="113">
        <f t="shared" si="157"/>
        <v>641940.47644404089</v>
      </c>
      <c r="BX140" s="113">
        <f t="shared" si="150"/>
        <v>14189.741545599538</v>
      </c>
      <c r="BY140" s="120">
        <f t="shared" si="151"/>
        <v>27576.590383374139</v>
      </c>
      <c r="BZ140" s="153">
        <f t="shared" si="158"/>
        <v>0</v>
      </c>
      <c r="CA140" s="120">
        <f t="shared" si="110"/>
        <v>27576.590383374139</v>
      </c>
      <c r="CB140" s="120">
        <f t="shared" si="152"/>
        <v>6894.1475958435349</v>
      </c>
      <c r="CC140" s="153">
        <f t="shared" si="153"/>
        <v>34872.184333130142</v>
      </c>
      <c r="CD140" s="7">
        <f t="shared" si="125"/>
        <v>12850.612877635778</v>
      </c>
      <c r="CE140" s="11">
        <f>SUM($CD$9:CD140)</f>
        <v>24945117.77158777</v>
      </c>
      <c r="CF140" s="11">
        <f t="shared" si="154"/>
        <v>12000000</v>
      </c>
      <c r="CG140">
        <f t="shared" si="155"/>
        <v>12945117.77158777</v>
      </c>
    </row>
    <row r="141" spans="1:85">
      <c r="A141">
        <f t="shared" si="126"/>
        <v>2028</v>
      </c>
      <c r="B141">
        <f t="shared" si="127"/>
        <v>30.416666666666668</v>
      </c>
      <c r="C141">
        <f t="shared" si="111"/>
        <v>12</v>
      </c>
      <c r="E141" s="97">
        <v>46844</v>
      </c>
      <c r="F141" s="2">
        <f>$F$6*EXP(-$F$3*COUNT($E$9:$E141))</f>
        <v>1.0371121327350805</v>
      </c>
      <c r="G141" s="260">
        <f>$F$6/(1+$F$5*$F$3*COUNT($E$9:$E141))^(1/$F$5)</f>
        <v>8.2878339701718549</v>
      </c>
      <c r="H141" s="260">
        <f>$H$6/(1+$H$5*$H$3*COUNT($E$9:$E141))^(1/$H$5)</f>
        <v>144.38040654777359</v>
      </c>
      <c r="I141" s="260">
        <f t="shared" si="128"/>
        <v>27.50102981862354</v>
      </c>
      <c r="J141" s="260">
        <f t="shared" si="129"/>
        <v>11.451428816474841</v>
      </c>
      <c r="K141" s="260">
        <f t="shared" si="129"/>
        <v>7.791041747616049</v>
      </c>
      <c r="L141" s="260">
        <f t="shared" si="129"/>
        <v>3.7153891284960401</v>
      </c>
      <c r="M141" s="260">
        <f t="shared" si="112"/>
        <v>4.5459202290184715</v>
      </c>
      <c r="N141" s="19">
        <f t="shared" si="130"/>
        <v>31.545494037358701</v>
      </c>
      <c r="O141" s="19">
        <f t="shared" si="131"/>
        <v>252.08828325939393</v>
      </c>
      <c r="P141" s="19">
        <f t="shared" si="132"/>
        <v>4391.570699161447</v>
      </c>
      <c r="Q141" s="19">
        <f t="shared" si="133"/>
        <v>836.4896569831327</v>
      </c>
      <c r="R141" s="19">
        <f t="shared" si="134"/>
        <v>348.31429316777644</v>
      </c>
      <c r="S141" s="19">
        <f t="shared" si="135"/>
        <v>236.9775198233215</v>
      </c>
      <c r="T141" s="19">
        <f t="shared" si="136"/>
        <v>113.00975265842122</v>
      </c>
      <c r="U141" s="19">
        <f t="shared" si="137"/>
        <v>138.27174029931186</v>
      </c>
      <c r="V141" s="261">
        <f t="shared" si="156"/>
        <v>1526.3625134245262</v>
      </c>
      <c r="W141" s="261">
        <f>SUM(O$9:O141)</f>
        <v>552814.97638903721</v>
      </c>
      <c r="X141" s="261">
        <f>SUM(P$9:P141)</f>
        <v>2239770.9688773062</v>
      </c>
      <c r="Y141" s="261">
        <f>SUM(Q$9:Q141)</f>
        <v>426623.04169091512</v>
      </c>
      <c r="Z141" s="261">
        <f>SUM($V$9:V141)</f>
        <v>1202715.1197835905</v>
      </c>
      <c r="AB141" s="257">
        <f t="array" ref="AB141">(INDEX(PriceDeck!$C$18:$O$77,MATCH('Decline and Model'!$A141,PriceDeck!$B$18:$B$77,0),MATCH('Decline and Model'!AB$8,PriceDeck!$C$13:$O$13,0))*(1+$AE$6))</f>
        <v>87</v>
      </c>
      <c r="AC141" s="257">
        <f t="array" ref="AC141">INDEX(PriceDeck!$C$18:$O$77,MATCH('Decline and Model'!$A141,PriceDeck!$B$18:$B$77,0),MATCH('Decline and Model'!AC$8,PriceDeck!$C$13:$O$13,0))*(1+$AE$6)</f>
        <v>99.4</v>
      </c>
      <c r="AD141" s="257">
        <f t="array" ref="AD141">INDEX(PriceDeck!$C$18:$O$77,MATCH('Decline and Model'!$A141,PriceDeck!$B$18:$B$77,0),MATCH('Decline and Model'!AD$8,PriceDeck!$C$13:$O$13,0))*(1+$AE$6)</f>
        <v>17.399999999999999</v>
      </c>
      <c r="AE141" s="257">
        <f t="array" ref="AE141">INDEX(PriceDeck!$C$18:$O$77,MATCH('Decline and Model'!$A141,PriceDeck!$B$18:$B$77,0),MATCH('Decline and Model'!AE$8,PriceDeck!$C$13:$O$13,0))*(1+$AE$6)</f>
        <v>34.9</v>
      </c>
      <c r="AF141" s="257">
        <f t="array" ref="AF141">INDEX(PriceDeck!$C$18:$O$77,MATCH('Decline and Model'!$A141,PriceDeck!$B$18:$B$77,0),MATCH('Decline and Model'!AF$8,PriceDeck!$C$13:$O$13,0))*(1+$AE$6)</f>
        <v>103.1</v>
      </c>
      <c r="AG141" s="257">
        <f t="array" ref="AG141">INDEX(PriceDeck!$C$18:$O$77,MATCH('Decline and Model'!$A141,PriceDeck!$B$18:$B$77,0),MATCH('Decline and Model'!AG$8,PriceDeck!$C$13:$O$13,0))*(1+$AE$6)</f>
        <v>72.8</v>
      </c>
      <c r="AH141" s="258">
        <f t="array" ref="AH141">INDEX(PriceDeck!$C$18:$O$77,MATCH('Decline and Model'!$A141,PriceDeck!$B$18:$B$77,0),MATCH('Decline and Model'!AH$8,PriceDeck!$C$13:$O$13,0))</f>
        <v>0.85</v>
      </c>
      <c r="AI141" s="258">
        <f t="shared" si="138"/>
        <v>4.5999999999999996</v>
      </c>
      <c r="AJ141" s="259">
        <f t="shared" si="113"/>
        <v>4.5999999999999996</v>
      </c>
      <c r="AK141" s="120">
        <v>4.5999999999999996</v>
      </c>
      <c r="AL141" s="120"/>
      <c r="AN141" s="7">
        <f t="shared" si="139"/>
        <v>25057.575355983758</v>
      </c>
      <c r="AO141" s="7">
        <f t="shared" si="140"/>
        <v>20201.225216142655</v>
      </c>
      <c r="AP141" s="7">
        <f t="shared" si="141"/>
        <v>6060.6687011193098</v>
      </c>
      <c r="AQ141" s="7">
        <f t="shared" si="142"/>
        <v>8270.5154418339207</v>
      </c>
      <c r="AR141" s="7">
        <f t="shared" si="143"/>
        <v>11651.305499083228</v>
      </c>
      <c r="AS141" s="7">
        <f t="shared" si="144"/>
        <v>10066.182693789902</v>
      </c>
      <c r="AT141" s="7">
        <f t="shared" si="145"/>
        <v>81307.472907952775</v>
      </c>
      <c r="AU141">
        <f>SUM($AT$9:AT141)</f>
        <v>64214506.195727505</v>
      </c>
      <c r="AV141" s="7">
        <f>AT141/(1+$AR$5)^(COUNT($E$9:E141))</f>
        <v>29736.554208759495</v>
      </c>
      <c r="AW141" s="7">
        <f t="shared" ref="AW141:AW204" si="159">AW140-AX140</f>
        <v>0</v>
      </c>
      <c r="AX141" s="7">
        <f t="shared" si="146"/>
        <v>0</v>
      </c>
      <c r="AY141" s="117">
        <f t="shared" si="147"/>
        <v>0</v>
      </c>
      <c r="AZ141" s="117">
        <f t="shared" si="148"/>
        <v>81307.472907952775</v>
      </c>
      <c r="BA141" s="120">
        <f t="shared" si="149"/>
        <v>20305.757146781405</v>
      </c>
      <c r="BB141" s="119">
        <f t="shared" si="114"/>
        <v>0</v>
      </c>
      <c r="BC141" s="17"/>
      <c r="BD141" s="126">
        <f t="shared" si="115"/>
        <v>0.30818293152895232</v>
      </c>
      <c r="BE141" s="127">
        <f t="shared" si="116"/>
        <v>0.24845471755114346</v>
      </c>
      <c r="BF141" s="127">
        <f t="shared" si="117"/>
        <v>7.454011893815124E-2</v>
      </c>
      <c r="BG141" s="127">
        <f t="shared" si="118"/>
        <v>0.10171900744224179</v>
      </c>
      <c r="BH141" s="127">
        <f t="shared" si="119"/>
        <v>0.14329931902167878</v>
      </c>
      <c r="BI141" s="128">
        <f t="shared" si="120"/>
        <v>0.12380390551783239</v>
      </c>
      <c r="BJ141" s="126">
        <f t="array" ref="BJ141">BD141*INDEX(Royalty!$U$7:$Z$246,MATCH('Decline and Model'!$E141,Royalty!$AI$7:$AI$246,0),MATCH('Decline and Model'!BJ$8,Royalty!$U$1:$Z$1,0))</f>
        <v>9.4023274877707952E-2</v>
      </c>
      <c r="BK141" s="127">
        <f t="array" ref="BK141">BE141*INDEX(Royalty!$U$7:$Z$246,MATCH('Decline and Model'!$E141,Royalty!$AI$7:$AI$246,0),MATCH('Decline and Model'!BK$8,Royalty!$U$1:$Z$1,0))</f>
        <v>7.3545819960933151E-2</v>
      </c>
      <c r="BL141" s="127">
        <f t="array" ref="BL141">BF141*INDEX(Royalty!$U$7:$Z$246,MATCH('Decline and Model'!$E141,Royalty!$AI$7:$AI$246,0),MATCH('Decline and Model'!BL$8,Royalty!$U$1:$Z$1,0))</f>
        <v>2.2830136080025414E-2</v>
      </c>
      <c r="BM141" s="127">
        <f t="array" ref="BM141">BG141*INDEX(Royalty!$U$7:$Z$246,MATCH('Decline and Model'!$E141,Royalty!$AI$7:$AI$246,0),MATCH('Decline and Model'!BM$8,Royalty!$U$1:$Z$1,0))</f>
        <v>3.0129415421536115E-2</v>
      </c>
      <c r="BN141" s="127">
        <f t="array" ref="BN141">BH141*INDEX(Royalty!$U$7:$Z$246,MATCH('Decline and Model'!$E141,Royalty!$AI$7:$AI$246,0),MATCH('Decline and Model'!BN$8,Royalty!$U$1:$Z$1,0))</f>
        <v>2.3021513366642838E-2</v>
      </c>
      <c r="BO141" s="127">
        <f t="array" ref="BO141">BI141*INDEX(Royalty!$U$7:$Z$246,MATCH('Decline and Model'!$E141,Royalty!$AI$7:$AI$246,0),MATCH('Decline and Model'!BO$8,Royalty!$U$1:$Z$1,0))</f>
        <v>6.1901952758916202E-3</v>
      </c>
      <c r="BP141" s="135">
        <f t="shared" si="121"/>
        <v>0.24974035498273708</v>
      </c>
      <c r="BQ141" s="7"/>
      <c r="BR141" s="7"/>
      <c r="BS141">
        <v>133</v>
      </c>
      <c r="BT141" s="120">
        <f t="shared" si="122"/>
        <v>20305.757146781405</v>
      </c>
      <c r="BU141" s="113">
        <f t="shared" si="123"/>
        <v>15263.625134245263</v>
      </c>
      <c r="BV141" s="113">
        <f t="shared" si="124"/>
        <v>4579.0875402735783</v>
      </c>
      <c r="BW141" s="113">
        <f t="shared" si="157"/>
        <v>627750.73489844135</v>
      </c>
      <c r="BX141" s="113">
        <f t="shared" si="150"/>
        <v>13876.085104668655</v>
      </c>
      <c r="BY141" s="120">
        <f t="shared" si="151"/>
        <v>27282.917981983872</v>
      </c>
      <c r="BZ141" s="153">
        <f t="shared" si="158"/>
        <v>0</v>
      </c>
      <c r="CA141" s="120">
        <f t="shared" si="110"/>
        <v>27282.917981983872</v>
      </c>
      <c r="CB141" s="120">
        <f t="shared" si="152"/>
        <v>6820.729495495968</v>
      </c>
      <c r="CC141" s="153">
        <f t="shared" si="153"/>
        <v>34338.273591156554</v>
      </c>
      <c r="CD141" s="7">
        <f t="shared" si="125"/>
        <v>12558.525035387816</v>
      </c>
      <c r="CE141" s="11">
        <f>SUM($CD$9:CD141)</f>
        <v>24957676.296623159</v>
      </c>
      <c r="CF141" s="11">
        <f t="shared" si="154"/>
        <v>12000000</v>
      </c>
      <c r="CG141">
        <f t="shared" si="155"/>
        <v>12957676.296623159</v>
      </c>
    </row>
    <row r="142" spans="1:85">
      <c r="A142">
        <f t="shared" si="126"/>
        <v>2028</v>
      </c>
      <c r="B142">
        <f t="shared" si="127"/>
        <v>30.416666666666668</v>
      </c>
      <c r="C142">
        <f t="shared" si="111"/>
        <v>12</v>
      </c>
      <c r="E142" s="97">
        <v>46874</v>
      </c>
      <c r="F142" s="2">
        <f>$F$6*EXP(-$F$3*COUNT($E$9:$E142))</f>
        <v>0.98653157716429885</v>
      </c>
      <c r="G142" s="260">
        <f>$F$6/(1+$F$5*$F$3*COUNT($E$9:$E142))^(1/$F$5)</f>
        <v>8.08654504411804</v>
      </c>
      <c r="H142" s="260">
        <f>$H$6/(1+$H$5*$H$3*COUNT($E$9:$E142))^(1/$H$5)</f>
        <v>143.04431019817628</v>
      </c>
      <c r="I142" s="260">
        <f t="shared" si="128"/>
        <v>27.246535275843097</v>
      </c>
      <c r="J142" s="260">
        <f t="shared" si="129"/>
        <v>11.345457288861066</v>
      </c>
      <c r="K142" s="260">
        <f t="shared" si="129"/>
        <v>7.7189434436463493</v>
      </c>
      <c r="L142" s="260">
        <f t="shared" si="129"/>
        <v>3.6810069157664023</v>
      </c>
      <c r="M142" s="260">
        <f t="shared" si="112"/>
        <v>4.5038522810968642</v>
      </c>
      <c r="N142" s="19">
        <f t="shared" si="130"/>
        <v>30.007002138747424</v>
      </c>
      <c r="O142" s="19">
        <f t="shared" si="131"/>
        <v>245.96574509192374</v>
      </c>
      <c r="P142" s="19">
        <f t="shared" si="132"/>
        <v>4350.9311018611952</v>
      </c>
      <c r="Q142" s="19">
        <f t="shared" si="133"/>
        <v>828.74878130689422</v>
      </c>
      <c r="R142" s="19">
        <f t="shared" si="134"/>
        <v>345.09099253619075</v>
      </c>
      <c r="S142" s="19">
        <f t="shared" si="135"/>
        <v>234.78452974424314</v>
      </c>
      <c r="T142" s="19">
        <f t="shared" si="136"/>
        <v>111.96396035456141</v>
      </c>
      <c r="U142" s="19">
        <f t="shared" si="137"/>
        <v>136.99217355002963</v>
      </c>
      <c r="V142" s="261">
        <f t="shared" si="156"/>
        <v>1508.4478409362109</v>
      </c>
      <c r="W142" s="261">
        <f>SUM(O$9:O142)</f>
        <v>553060.94213412912</v>
      </c>
      <c r="X142" s="261">
        <f>SUM(P$9:P142)</f>
        <v>2244121.8999791676</v>
      </c>
      <c r="Y142" s="261">
        <f>SUM(Q$9:Q142)</f>
        <v>427451.79047222203</v>
      </c>
      <c r="Z142" s="261">
        <f>SUM($V$9:V142)</f>
        <v>1204223.5676245268</v>
      </c>
      <c r="AB142" s="257">
        <f t="array" ref="AB142">(INDEX(PriceDeck!$C$18:$O$77,MATCH('Decline and Model'!$A142,PriceDeck!$B$18:$B$77,0),MATCH('Decline and Model'!AB$8,PriceDeck!$C$13:$O$13,0))*(1+$AE$6))</f>
        <v>87</v>
      </c>
      <c r="AC142" s="257">
        <f t="array" ref="AC142">INDEX(PriceDeck!$C$18:$O$77,MATCH('Decline and Model'!$A142,PriceDeck!$B$18:$B$77,0),MATCH('Decline and Model'!AC$8,PriceDeck!$C$13:$O$13,0))*(1+$AE$6)</f>
        <v>99.4</v>
      </c>
      <c r="AD142" s="257">
        <f t="array" ref="AD142">INDEX(PriceDeck!$C$18:$O$77,MATCH('Decline and Model'!$A142,PriceDeck!$B$18:$B$77,0),MATCH('Decline and Model'!AD$8,PriceDeck!$C$13:$O$13,0))*(1+$AE$6)</f>
        <v>17.399999999999999</v>
      </c>
      <c r="AE142" s="257">
        <f t="array" ref="AE142">INDEX(PriceDeck!$C$18:$O$77,MATCH('Decline and Model'!$A142,PriceDeck!$B$18:$B$77,0),MATCH('Decline and Model'!AE$8,PriceDeck!$C$13:$O$13,0))*(1+$AE$6)</f>
        <v>34.9</v>
      </c>
      <c r="AF142" s="257">
        <f t="array" ref="AF142">INDEX(PriceDeck!$C$18:$O$77,MATCH('Decline and Model'!$A142,PriceDeck!$B$18:$B$77,0),MATCH('Decline and Model'!AF$8,PriceDeck!$C$13:$O$13,0))*(1+$AE$6)</f>
        <v>103.1</v>
      </c>
      <c r="AG142" s="257">
        <f t="array" ref="AG142">INDEX(PriceDeck!$C$18:$O$77,MATCH('Decline and Model'!$A142,PriceDeck!$B$18:$B$77,0),MATCH('Decline and Model'!AG$8,PriceDeck!$C$13:$O$13,0))*(1+$AE$6)</f>
        <v>72.8</v>
      </c>
      <c r="AH142" s="258">
        <f t="array" ref="AH142">INDEX(PriceDeck!$C$18:$O$77,MATCH('Decline and Model'!$A142,PriceDeck!$B$18:$B$77,0),MATCH('Decline and Model'!AH$8,PriceDeck!$C$13:$O$13,0))</f>
        <v>0.85</v>
      </c>
      <c r="AI142" s="258">
        <f t="shared" si="138"/>
        <v>4.5999999999999996</v>
      </c>
      <c r="AJ142" s="259">
        <f t="shared" si="113"/>
        <v>4.5999999999999996</v>
      </c>
      <c r="AK142" s="120">
        <v>4.5999999999999996</v>
      </c>
      <c r="AL142" s="120"/>
      <c r="AN142" s="7">
        <f t="shared" si="139"/>
        <v>24448.995062137219</v>
      </c>
      <c r="AO142" s="7">
        <f t="shared" si="140"/>
        <v>20014.283068561497</v>
      </c>
      <c r="AP142" s="7">
        <f t="shared" si="141"/>
        <v>6004.5832701297186</v>
      </c>
      <c r="AQ142" s="7">
        <f t="shared" si="142"/>
        <v>8193.9800880740859</v>
      </c>
      <c r="AR142" s="7">
        <f t="shared" si="143"/>
        <v>11543.48431255528</v>
      </c>
      <c r="AS142" s="7">
        <f t="shared" si="144"/>
        <v>9973.0302344421561</v>
      </c>
      <c r="AT142" s="7">
        <f t="shared" si="145"/>
        <v>80178.356035899953</v>
      </c>
      <c r="AU142">
        <f>SUM($AT$9:AT142)</f>
        <v>64294684.551763408</v>
      </c>
      <c r="AV142" s="7">
        <f>AT142/(1+$AR$5)^(COUNT($E$9:E142))</f>
        <v>29102.668774060061</v>
      </c>
      <c r="AW142" s="7">
        <f t="shared" si="159"/>
        <v>0</v>
      </c>
      <c r="AX142" s="7">
        <f t="shared" si="146"/>
        <v>0</v>
      </c>
      <c r="AY142" s="117">
        <f t="shared" si="147"/>
        <v>0</v>
      </c>
      <c r="AZ142" s="117">
        <f t="shared" si="148"/>
        <v>80178.356035899953</v>
      </c>
      <c r="BA142" s="120">
        <f t="shared" si="149"/>
        <v>20002.921339101547</v>
      </c>
      <c r="BB142" s="119">
        <f t="shared" si="114"/>
        <v>0</v>
      </c>
      <c r="BC142" s="17"/>
      <c r="BD142" s="126">
        <f t="shared" si="115"/>
        <v>0.30493260614111561</v>
      </c>
      <c r="BE142" s="127">
        <f t="shared" si="116"/>
        <v>0.24962201843599885</v>
      </c>
      <c r="BF142" s="127">
        <f t="shared" si="117"/>
        <v>7.4890326604366383E-2</v>
      </c>
      <c r="BG142" s="127">
        <f t="shared" si="118"/>
        <v>0.10219690815817203</v>
      </c>
      <c r="BH142" s="127">
        <f t="shared" si="119"/>
        <v>0.14397257418681261</v>
      </c>
      <c r="BI142" s="128">
        <f t="shared" si="120"/>
        <v>0.12438556647353458</v>
      </c>
      <c r="BJ142" s="126">
        <f t="array" ref="BJ142">BD142*INDEX(Royalty!$U$7:$Z$246,MATCH('Decline and Model'!$E142,Royalty!$AI$7:$AI$246,0),MATCH('Decline and Model'!BJ$8,Royalty!$U$1:$Z$1,0))</f>
        <v>9.3031635801960333E-2</v>
      </c>
      <c r="BK142" s="127">
        <f t="array" ref="BK142">BE142*INDEX(Royalty!$U$7:$Z$246,MATCH('Decline and Model'!$E142,Royalty!$AI$7:$AI$246,0),MATCH('Decline and Model'!BK$8,Royalty!$U$1:$Z$1,0))</f>
        <v>7.3891356167948979E-2</v>
      </c>
      <c r="BL142" s="127">
        <f t="array" ref="BL142">BF142*INDEX(Royalty!$U$7:$Z$246,MATCH('Decline and Model'!$E142,Royalty!$AI$7:$AI$246,0),MATCH('Decline and Model'!BL$8,Royalty!$U$1:$Z$1,0))</f>
        <v>2.2937397629776816E-2</v>
      </c>
      <c r="BM142" s="127">
        <f t="array" ref="BM142">BG142*INDEX(Royalty!$U$7:$Z$246,MATCH('Decline and Model'!$E142,Royalty!$AI$7:$AI$246,0),MATCH('Decline and Model'!BM$8,Royalty!$U$1:$Z$1,0))</f>
        <v>3.0270970766624276E-2</v>
      </c>
      <c r="BN142" s="127">
        <f t="array" ref="BN142">BH142*INDEX(Royalty!$U$7:$Z$246,MATCH('Decline and Model'!$E142,Royalty!$AI$7:$AI$246,0),MATCH('Decline and Model'!BN$8,Royalty!$U$1:$Z$1,0))</f>
        <v>2.3129674053581937E-2</v>
      </c>
      <c r="BO142" s="127">
        <f t="array" ref="BO142">BI142*INDEX(Royalty!$U$7:$Z$246,MATCH('Decline and Model'!$E142,Royalty!$AI$7:$AI$246,0),MATCH('Decline and Model'!BO$8,Royalty!$U$1:$Z$1,0))</f>
        <v>6.2192783236767295E-3</v>
      </c>
      <c r="BP142" s="135">
        <f t="shared" si="121"/>
        <v>0.24948031274356905</v>
      </c>
      <c r="BQ142" s="7"/>
      <c r="BR142" s="7"/>
      <c r="BS142">
        <v>134</v>
      </c>
      <c r="BT142" s="120">
        <f t="shared" si="122"/>
        <v>20002.921339101547</v>
      </c>
      <c r="BU142" s="113">
        <f t="shared" si="123"/>
        <v>15084.478409362109</v>
      </c>
      <c r="BV142" s="113">
        <f t="shared" si="124"/>
        <v>4525.3435228086328</v>
      </c>
      <c r="BW142" s="113">
        <f t="shared" si="157"/>
        <v>613874.64979377273</v>
      </c>
      <c r="BX142" s="113">
        <f t="shared" si="150"/>
        <v>13569.361867039697</v>
      </c>
      <c r="BY142" s="120">
        <f t="shared" si="151"/>
        <v>26996.250897587961</v>
      </c>
      <c r="BZ142" s="153">
        <f t="shared" si="158"/>
        <v>0</v>
      </c>
      <c r="CA142" s="120">
        <f t="shared" si="110"/>
        <v>26996.250897587961</v>
      </c>
      <c r="CB142" s="120">
        <f t="shared" si="152"/>
        <v>6749.0627243969902</v>
      </c>
      <c r="CC142" s="153">
        <f t="shared" si="153"/>
        <v>33816.550040230664</v>
      </c>
      <c r="CD142" s="7">
        <f t="shared" si="125"/>
        <v>12274.532723789014</v>
      </c>
      <c r="CE142" s="11">
        <f>SUM($CD$9:CD142)</f>
        <v>24969950.829346947</v>
      </c>
      <c r="CF142" s="11">
        <f t="shared" si="154"/>
        <v>12000000</v>
      </c>
      <c r="CG142">
        <f t="shared" si="155"/>
        <v>12969950.829346947</v>
      </c>
    </row>
    <row r="143" spans="1:85">
      <c r="A143">
        <f t="shared" si="126"/>
        <v>2028</v>
      </c>
      <c r="B143">
        <f t="shared" si="127"/>
        <v>30.416666666666668</v>
      </c>
      <c r="C143">
        <f t="shared" si="111"/>
        <v>12</v>
      </c>
      <c r="E143" s="97">
        <v>46905</v>
      </c>
      <c r="F143" s="2">
        <f>$F$6*EXP(-$F$3*COUNT($E$9:$E143))</f>
        <v>0.93841786439777786</v>
      </c>
      <c r="G143" s="260">
        <f>$F$6/(1+$F$5*$F$3*COUNT($E$9:$E143))^(1/$F$5)</f>
        <v>7.8908806899019828</v>
      </c>
      <c r="H143" s="260">
        <f>$H$6/(1+$H$5*$H$3*COUNT($E$9:$E143))^(1/$H$5)</f>
        <v>141.72927170158184</v>
      </c>
      <c r="I143" s="260">
        <f t="shared" si="128"/>
        <v>26.996051752682252</v>
      </c>
      <c r="J143" s="260">
        <f t="shared" si="129"/>
        <v>11.241155949816889</v>
      </c>
      <c r="K143" s="260">
        <f t="shared" si="129"/>
        <v>7.647981461534882</v>
      </c>
      <c r="L143" s="260">
        <f t="shared" si="129"/>
        <v>3.6471665917873723</v>
      </c>
      <c r="M143" s="260">
        <f t="shared" si="112"/>
        <v>4.4624473547183765</v>
      </c>
      <c r="N143" s="19">
        <f t="shared" si="130"/>
        <v>28.54354337543241</v>
      </c>
      <c r="O143" s="19">
        <f t="shared" si="131"/>
        <v>240.01428765118533</v>
      </c>
      <c r="P143" s="19">
        <f t="shared" si="132"/>
        <v>4310.9320142564475</v>
      </c>
      <c r="Q143" s="19">
        <f t="shared" si="133"/>
        <v>821.12990747741856</v>
      </c>
      <c r="R143" s="19">
        <f t="shared" si="134"/>
        <v>341.91849347359704</v>
      </c>
      <c r="S143" s="19">
        <f t="shared" si="135"/>
        <v>232.62610278835268</v>
      </c>
      <c r="T143" s="19">
        <f t="shared" si="136"/>
        <v>110.93465050019924</v>
      </c>
      <c r="U143" s="19">
        <f t="shared" si="137"/>
        <v>135.7327737060173</v>
      </c>
      <c r="V143" s="261">
        <f t="shared" si="156"/>
        <v>1490.8901018125703</v>
      </c>
      <c r="W143" s="261">
        <f>SUM(O$9:O143)</f>
        <v>553300.95642178028</v>
      </c>
      <c r="X143" s="261">
        <f>SUM(P$9:P143)</f>
        <v>2248432.8319934239</v>
      </c>
      <c r="Y143" s="261">
        <f>SUM(Q$9:Q143)</f>
        <v>428272.92037969944</v>
      </c>
      <c r="Z143" s="261">
        <f>SUM($V$9:V143)</f>
        <v>1205714.4577263393</v>
      </c>
      <c r="AB143" s="257">
        <f t="array" ref="AB143">(INDEX(PriceDeck!$C$18:$O$77,MATCH('Decline and Model'!$A143,PriceDeck!$B$18:$B$77,0),MATCH('Decline and Model'!AB$8,PriceDeck!$C$13:$O$13,0))*(1+$AE$6))</f>
        <v>87</v>
      </c>
      <c r="AC143" s="257">
        <f t="array" ref="AC143">INDEX(PriceDeck!$C$18:$O$77,MATCH('Decline and Model'!$A143,PriceDeck!$B$18:$B$77,0),MATCH('Decline and Model'!AC$8,PriceDeck!$C$13:$O$13,0))*(1+$AE$6)</f>
        <v>99.4</v>
      </c>
      <c r="AD143" s="257">
        <f t="array" ref="AD143">INDEX(PriceDeck!$C$18:$O$77,MATCH('Decline and Model'!$A143,PriceDeck!$B$18:$B$77,0),MATCH('Decline and Model'!AD$8,PriceDeck!$C$13:$O$13,0))*(1+$AE$6)</f>
        <v>17.399999999999999</v>
      </c>
      <c r="AE143" s="257">
        <f t="array" ref="AE143">INDEX(PriceDeck!$C$18:$O$77,MATCH('Decline and Model'!$A143,PriceDeck!$B$18:$B$77,0),MATCH('Decline and Model'!AE$8,PriceDeck!$C$13:$O$13,0))*(1+$AE$6)</f>
        <v>34.9</v>
      </c>
      <c r="AF143" s="257">
        <f t="array" ref="AF143">INDEX(PriceDeck!$C$18:$O$77,MATCH('Decline and Model'!$A143,PriceDeck!$B$18:$B$77,0),MATCH('Decline and Model'!AF$8,PriceDeck!$C$13:$O$13,0))*(1+$AE$6)</f>
        <v>103.1</v>
      </c>
      <c r="AG143" s="257">
        <f t="array" ref="AG143">INDEX(PriceDeck!$C$18:$O$77,MATCH('Decline and Model'!$A143,PriceDeck!$B$18:$B$77,0),MATCH('Decline and Model'!AG$8,PriceDeck!$C$13:$O$13,0))*(1+$AE$6)</f>
        <v>72.8</v>
      </c>
      <c r="AH143" s="258">
        <f t="array" ref="AH143">INDEX(PriceDeck!$C$18:$O$77,MATCH('Decline and Model'!$A143,PriceDeck!$B$18:$B$77,0),MATCH('Decline and Model'!AH$8,PriceDeck!$C$13:$O$13,0))</f>
        <v>0.85</v>
      </c>
      <c r="AI143" s="258">
        <f t="shared" si="138"/>
        <v>4.5999999999999996</v>
      </c>
      <c r="AJ143" s="259">
        <f t="shared" si="113"/>
        <v>4.5999999999999996</v>
      </c>
      <c r="AK143" s="120">
        <v>4.5999999999999996</v>
      </c>
      <c r="AL143" s="120"/>
      <c r="AN143" s="7">
        <f t="shared" si="139"/>
        <v>23857.420192527821</v>
      </c>
      <c r="AO143" s="7">
        <f t="shared" si="140"/>
        <v>19830.287265579656</v>
      </c>
      <c r="AP143" s="7">
        <f t="shared" si="141"/>
        <v>5949.3817864405883</v>
      </c>
      <c r="AQ143" s="7">
        <f t="shared" si="142"/>
        <v>8118.6509873135083</v>
      </c>
      <c r="AR143" s="7">
        <f t="shared" si="143"/>
        <v>11437.362466570541</v>
      </c>
      <c r="AS143" s="7">
        <f t="shared" si="144"/>
        <v>9881.3459257980594</v>
      </c>
      <c r="AT143" s="7">
        <f t="shared" si="145"/>
        <v>79074.448624230165</v>
      </c>
      <c r="AU143">
        <f>SUM($AT$9:AT143)</f>
        <v>64373759.000387639</v>
      </c>
      <c r="AV143" s="7">
        <f>AT143/(1+$AR$5)^(COUNT($E$9:E143))</f>
        <v>28485.728560034913</v>
      </c>
      <c r="AW143" s="7">
        <f t="shared" si="159"/>
        <v>0</v>
      </c>
      <c r="AX143" s="7">
        <f t="shared" si="146"/>
        <v>0</v>
      </c>
      <c r="AY143" s="117">
        <f t="shared" si="147"/>
        <v>0</v>
      </c>
      <c r="AZ143" s="117">
        <f t="shared" si="148"/>
        <v>79074.448624230165</v>
      </c>
      <c r="BA143" s="120">
        <f t="shared" si="149"/>
        <v>19707.120300971321</v>
      </c>
      <c r="BB143" s="119">
        <f t="shared" si="114"/>
        <v>0</v>
      </c>
      <c r="BC143" s="17"/>
      <c r="BD143" s="126">
        <f t="shared" si="115"/>
        <v>0.3017083344570724</v>
      </c>
      <c r="BE143" s="127">
        <f t="shared" si="116"/>
        <v>0.25077996256180302</v>
      </c>
      <c r="BF143" s="127">
        <f t="shared" si="117"/>
        <v>7.523772710338654E-2</v>
      </c>
      <c r="BG143" s="127">
        <f t="shared" si="118"/>
        <v>0.10267097815495578</v>
      </c>
      <c r="BH143" s="127">
        <f t="shared" si="119"/>
        <v>0.14464043272589927</v>
      </c>
      <c r="BI143" s="128">
        <f t="shared" si="120"/>
        <v>0.12496256499688316</v>
      </c>
      <c r="BJ143" s="126">
        <f t="array" ref="BJ143">BD143*INDEX(Royalty!$U$7:$Z$246,MATCH('Decline and Model'!$E143,Royalty!$AI$7:$AI$246,0),MATCH('Decline and Model'!BJ$8,Royalty!$U$1:$Z$1,0))</f>
        <v>9.204794542908605E-2</v>
      </c>
      <c r="BK143" s="127">
        <f t="array" ref="BK143">BE143*INDEX(Royalty!$U$7:$Z$246,MATCH('Decline and Model'!$E143,Royalty!$AI$7:$AI$246,0),MATCH('Decline and Model'!BK$8,Royalty!$U$1:$Z$1,0))</f>
        <v>7.4234122652886758E-2</v>
      </c>
      <c r="BL143" s="127">
        <f t="array" ref="BL143">BF143*INDEX(Royalty!$U$7:$Z$246,MATCH('Decline and Model'!$E143,Royalty!$AI$7:$AI$246,0),MATCH('Decline and Model'!BL$8,Royalty!$U$1:$Z$1,0))</f>
        <v>2.3043799400794644E-2</v>
      </c>
      <c r="BM143" s="127">
        <f t="array" ref="BM143">BG143*INDEX(Royalty!$U$7:$Z$246,MATCH('Decline and Model'!$E143,Royalty!$AI$7:$AI$246,0),MATCH('Decline and Model'!BM$8,Royalty!$U$1:$Z$1,0))</f>
        <v>3.0411391443458884E-2</v>
      </c>
      <c r="BN143" s="127">
        <f t="array" ref="BN143">BH143*INDEX(Royalty!$U$7:$Z$246,MATCH('Decline and Model'!$E143,Royalty!$AI$7:$AI$246,0),MATCH('Decline and Model'!BN$8,Royalty!$U$1:$Z$1,0))</f>
        <v>2.3236967754553986E-2</v>
      </c>
      <c r="BO143" s="127">
        <f t="array" ref="BO143">BI143*INDEX(Royalty!$U$7:$Z$246,MATCH('Decline and Model'!$E143,Royalty!$AI$7:$AI$246,0),MATCH('Decline and Model'!BO$8,Royalty!$U$1:$Z$1,0))</f>
        <v>6.2481282498441579E-3</v>
      </c>
      <c r="BP143" s="135">
        <f t="shared" si="121"/>
        <v>0.2492223549306245</v>
      </c>
      <c r="BQ143" s="7"/>
      <c r="BR143" s="7"/>
      <c r="BS143">
        <v>135</v>
      </c>
      <c r="BT143" s="120">
        <f t="shared" si="122"/>
        <v>19707.120300971321</v>
      </c>
      <c r="BU143" s="113">
        <f t="shared" si="123"/>
        <v>14908.901018125704</v>
      </c>
      <c r="BV143" s="113">
        <f t="shared" si="124"/>
        <v>4472.6703054377103</v>
      </c>
      <c r="BW143" s="113">
        <f t="shared" si="157"/>
        <v>600305.28792673303</v>
      </c>
      <c r="BX143" s="113">
        <f t="shared" si="150"/>
        <v>13269.418578062823</v>
      </c>
      <c r="BY143" s="120">
        <f t="shared" si="151"/>
        <v>26716.338421632601</v>
      </c>
      <c r="BZ143" s="153">
        <f t="shared" si="158"/>
        <v>0</v>
      </c>
      <c r="CA143" s="120">
        <f t="shared" si="110"/>
        <v>26716.338421632601</v>
      </c>
      <c r="CB143" s="120">
        <f t="shared" si="152"/>
        <v>6679.0846054081503</v>
      </c>
      <c r="CC143" s="153">
        <f t="shared" si="153"/>
        <v>33306.672394287278</v>
      </c>
      <c r="CD143" s="7">
        <f t="shared" si="125"/>
        <v>11998.374260822262</v>
      </c>
      <c r="CE143" s="11">
        <f>SUM($CD$9:CD143)</f>
        <v>24981949.203607768</v>
      </c>
      <c r="CF143" s="11">
        <f t="shared" si="154"/>
        <v>12000000</v>
      </c>
      <c r="CG143">
        <f t="shared" si="155"/>
        <v>12981949.203607768</v>
      </c>
    </row>
    <row r="144" spans="1:85">
      <c r="A144">
        <f t="shared" si="126"/>
        <v>2028</v>
      </c>
      <c r="B144">
        <f t="shared" si="127"/>
        <v>30.416666666666668</v>
      </c>
      <c r="C144">
        <f t="shared" si="111"/>
        <v>12</v>
      </c>
      <c r="E144" s="97">
        <v>46935</v>
      </c>
      <c r="F144" s="2">
        <f>$F$6*EXP(-$F$3*COUNT($E$9:$E144))</f>
        <v>0.89265068509228673</v>
      </c>
      <c r="G144" s="260">
        <f>$F$6/(1+$F$5*$F$3*COUNT($E$9:$E144))^(1/$F$5)</f>
        <v>7.7006633344827637</v>
      </c>
      <c r="H144" s="260">
        <f>$H$6/(1+$H$5*$H$3*COUNT($E$9:$E144))^(1/$H$5)</f>
        <v>140.43482394150095</v>
      </c>
      <c r="I144" s="260">
        <f t="shared" si="128"/>
        <v>26.74949027457161</v>
      </c>
      <c r="J144" s="260">
        <f t="shared" si="129"/>
        <v>11.138487750331619</v>
      </c>
      <c r="K144" s="260">
        <f t="shared" si="129"/>
        <v>7.5781305947861366</v>
      </c>
      <c r="L144" s="260">
        <f t="shared" si="129"/>
        <v>3.6138561360946242</v>
      </c>
      <c r="M144" s="260">
        <f t="shared" si="112"/>
        <v>4.4216907423866871</v>
      </c>
      <c r="N144" s="19">
        <f t="shared" si="130"/>
        <v>27.151458338223723</v>
      </c>
      <c r="O144" s="19">
        <f t="shared" si="131"/>
        <v>234.22850975718407</v>
      </c>
      <c r="P144" s="19">
        <f t="shared" si="132"/>
        <v>4271.5592282206544</v>
      </c>
      <c r="Q144" s="19">
        <f t="shared" si="133"/>
        <v>813.63032918488648</v>
      </c>
      <c r="R144" s="19">
        <f t="shared" si="134"/>
        <v>338.79566907258675</v>
      </c>
      <c r="S144" s="19">
        <f t="shared" si="135"/>
        <v>230.50147225807834</v>
      </c>
      <c r="T144" s="19">
        <f t="shared" si="136"/>
        <v>109.92145747287816</v>
      </c>
      <c r="U144" s="19">
        <f t="shared" si="137"/>
        <v>134.49309341426175</v>
      </c>
      <c r="V144" s="261">
        <f t="shared" si="156"/>
        <v>1473.6797721915989</v>
      </c>
      <c r="W144" s="261">
        <f>SUM(O$9:O144)</f>
        <v>553535.18493153749</v>
      </c>
      <c r="X144" s="261">
        <f>SUM(P$9:P144)</f>
        <v>2252704.3912216444</v>
      </c>
      <c r="Y144" s="261">
        <f>SUM(Q$9:Q144)</f>
        <v>429086.55070888432</v>
      </c>
      <c r="Z144" s="261">
        <f>SUM($V$9:V144)</f>
        <v>1207188.137498531</v>
      </c>
      <c r="AB144" s="257">
        <f t="array" ref="AB144">(INDEX(PriceDeck!$C$18:$O$77,MATCH('Decline and Model'!$A144,PriceDeck!$B$18:$B$77,0),MATCH('Decline and Model'!AB$8,PriceDeck!$C$13:$O$13,0))*(1+$AE$6))</f>
        <v>87</v>
      </c>
      <c r="AC144" s="257">
        <f t="array" ref="AC144">INDEX(PriceDeck!$C$18:$O$77,MATCH('Decline and Model'!$A144,PriceDeck!$B$18:$B$77,0),MATCH('Decline and Model'!AC$8,PriceDeck!$C$13:$O$13,0))*(1+$AE$6)</f>
        <v>99.4</v>
      </c>
      <c r="AD144" s="257">
        <f t="array" ref="AD144">INDEX(PriceDeck!$C$18:$O$77,MATCH('Decline and Model'!$A144,PriceDeck!$B$18:$B$77,0),MATCH('Decline and Model'!AD$8,PriceDeck!$C$13:$O$13,0))*(1+$AE$6)</f>
        <v>17.399999999999999</v>
      </c>
      <c r="AE144" s="257">
        <f t="array" ref="AE144">INDEX(PriceDeck!$C$18:$O$77,MATCH('Decline and Model'!$A144,PriceDeck!$B$18:$B$77,0),MATCH('Decline and Model'!AE$8,PriceDeck!$C$13:$O$13,0))*(1+$AE$6)</f>
        <v>34.9</v>
      </c>
      <c r="AF144" s="257">
        <f t="array" ref="AF144">INDEX(PriceDeck!$C$18:$O$77,MATCH('Decline and Model'!$A144,PriceDeck!$B$18:$B$77,0),MATCH('Decline and Model'!AF$8,PriceDeck!$C$13:$O$13,0))*(1+$AE$6)</f>
        <v>103.1</v>
      </c>
      <c r="AG144" s="257">
        <f t="array" ref="AG144">INDEX(PriceDeck!$C$18:$O$77,MATCH('Decline and Model'!$A144,PriceDeck!$B$18:$B$77,0),MATCH('Decline and Model'!AG$8,PriceDeck!$C$13:$O$13,0))*(1+$AE$6)</f>
        <v>72.8</v>
      </c>
      <c r="AH144" s="258">
        <f t="array" ref="AH144">INDEX(PriceDeck!$C$18:$O$77,MATCH('Decline and Model'!$A144,PriceDeck!$B$18:$B$77,0),MATCH('Decline and Model'!AH$8,PriceDeck!$C$13:$O$13,0))</f>
        <v>0.85</v>
      </c>
      <c r="AI144" s="258">
        <f t="shared" si="138"/>
        <v>4.5999999999999996</v>
      </c>
      <c r="AJ144" s="259">
        <f t="shared" si="113"/>
        <v>4.5999999999999996</v>
      </c>
      <c r="AK144" s="120">
        <v>4.5999999999999996</v>
      </c>
      <c r="AL144" s="120"/>
      <c r="AN144" s="7">
        <f t="shared" si="139"/>
        <v>23282.313869864098</v>
      </c>
      <c r="AO144" s="7">
        <f t="shared" si="140"/>
        <v>19649.172449815007</v>
      </c>
      <c r="AP144" s="7">
        <f t="shared" si="141"/>
        <v>5895.044641863009</v>
      </c>
      <c r="AQ144" s="7">
        <f t="shared" si="142"/>
        <v>8044.5013818069338</v>
      </c>
      <c r="AR144" s="7">
        <f t="shared" si="143"/>
        <v>11332.902265453738</v>
      </c>
      <c r="AS144" s="7">
        <f t="shared" si="144"/>
        <v>9791.0972005582553</v>
      </c>
      <c r="AT144" s="7">
        <f t="shared" si="145"/>
        <v>77995.03180936104</v>
      </c>
      <c r="AU144">
        <f>SUM($AT$9:AT144)</f>
        <v>64451754.032196999</v>
      </c>
      <c r="AV144" s="7">
        <f>AT144/(1+$AR$5)^(COUNT($E$9:E144))</f>
        <v>27885.188773494305</v>
      </c>
      <c r="AW144" s="7">
        <f t="shared" si="159"/>
        <v>0</v>
      </c>
      <c r="AX144" s="7">
        <f t="shared" si="146"/>
        <v>0</v>
      </c>
      <c r="AY144" s="117">
        <f t="shared" si="147"/>
        <v>0</v>
      </c>
      <c r="AZ144" s="117">
        <f t="shared" si="148"/>
        <v>77995.03180936104</v>
      </c>
      <c r="BA144" s="120">
        <f t="shared" si="149"/>
        <v>19418.149274707586</v>
      </c>
      <c r="BB144" s="119">
        <f t="shared" si="114"/>
        <v>0</v>
      </c>
      <c r="BC144" s="17"/>
      <c r="BD144" s="126">
        <f t="shared" si="115"/>
        <v>0.29851021699397179</v>
      </c>
      <c r="BE144" s="127">
        <f t="shared" si="116"/>
        <v>0.25192851382947568</v>
      </c>
      <c r="BF144" s="127">
        <f t="shared" si="117"/>
        <v>7.558230960494948E-2</v>
      </c>
      <c r="BG144" s="127">
        <f t="shared" si="118"/>
        <v>0.10314120265339036</v>
      </c>
      <c r="BH144" s="127">
        <f t="shared" si="119"/>
        <v>0.14530287381834944</v>
      </c>
      <c r="BI144" s="128">
        <f t="shared" si="120"/>
        <v>0.12553488309986327</v>
      </c>
      <c r="BJ144" s="126">
        <f t="array" ref="BJ144">BD144*INDEX(Royalty!$U$7:$Z$246,MATCH('Decline and Model'!$E144,Royalty!$AI$7:$AI$246,0),MATCH('Decline and Model'!BJ$8,Royalty!$U$1:$Z$1,0))</f>
        <v>9.107223442577872E-2</v>
      </c>
      <c r="BK144" s="127">
        <f t="array" ref="BK144">BE144*INDEX(Royalty!$U$7:$Z$246,MATCH('Decline and Model'!$E144,Royalty!$AI$7:$AI$246,0),MATCH('Decline and Model'!BK$8,Royalty!$U$1:$Z$1,0))</f>
        <v>7.457410872995035E-2</v>
      </c>
      <c r="BL144" s="127">
        <f t="array" ref="BL144">BF144*INDEX(Royalty!$U$7:$Z$246,MATCH('Decline and Model'!$E144,Royalty!$AI$7:$AI$246,0),MATCH('Decline and Model'!BL$8,Royalty!$U$1:$Z$1,0))</f>
        <v>2.3149338075987864E-2</v>
      </c>
      <c r="BM144" s="127">
        <f t="array" ref="BM144">BG144*INDEX(Royalty!$U$7:$Z$246,MATCH('Decline and Model'!$E144,Royalty!$AI$7:$AI$246,0),MATCH('Decline and Model'!BM$8,Royalty!$U$1:$Z$1,0))</f>
        <v>3.0550673074404441E-2</v>
      </c>
      <c r="BN144" s="127">
        <f t="array" ref="BN144">BH144*INDEX(Royalty!$U$7:$Z$246,MATCH('Decline and Model'!$E144,Royalty!$AI$7:$AI$246,0),MATCH('Decline and Model'!BN$8,Royalty!$U$1:$Z$1,0))</f>
        <v>2.3343391124661893E-2</v>
      </c>
      <c r="BO144" s="127">
        <f t="array" ref="BO144">BI144*INDEX(Royalty!$U$7:$Z$246,MATCH('Decline and Model'!$E144,Royalty!$AI$7:$AI$246,0),MATCH('Decline and Model'!BO$8,Royalty!$U$1:$Z$1,0))</f>
        <v>6.276744154993164E-3</v>
      </c>
      <c r="BP144" s="135">
        <f t="shared" si="121"/>
        <v>0.24896648958577641</v>
      </c>
      <c r="BQ144" s="7"/>
      <c r="BR144" s="7"/>
      <c r="BS144">
        <v>136</v>
      </c>
      <c r="BT144" s="120">
        <f t="shared" si="122"/>
        <v>19418.149274707586</v>
      </c>
      <c r="BU144" s="113">
        <f t="shared" si="123"/>
        <v>14736.797721915989</v>
      </c>
      <c r="BV144" s="113">
        <f t="shared" si="124"/>
        <v>4421.0393165747964</v>
      </c>
      <c r="BW144" s="113">
        <f t="shared" si="157"/>
        <v>587035.86934867024</v>
      </c>
      <c r="BX144" s="113">
        <f t="shared" si="150"/>
        <v>12976.105370698026</v>
      </c>
      <c r="BY144" s="120">
        <f t="shared" si="151"/>
        <v>26442.940125464651</v>
      </c>
      <c r="BZ144" s="153">
        <f t="shared" si="158"/>
        <v>0</v>
      </c>
      <c r="CA144" s="120">
        <f t="shared" si="110"/>
        <v>26442.940125464651</v>
      </c>
      <c r="CB144" s="120">
        <f t="shared" si="152"/>
        <v>6610.7350313661627</v>
      </c>
      <c r="CC144" s="153">
        <f t="shared" si="153"/>
        <v>32808.310464796516</v>
      </c>
      <c r="CD144" s="7">
        <f t="shared" si="125"/>
        <v>11729.797519493497</v>
      </c>
      <c r="CE144" s="11">
        <f>SUM($CD$9:CD144)</f>
        <v>24993679.001127262</v>
      </c>
      <c r="CF144" s="11">
        <f t="shared" si="154"/>
        <v>12000000</v>
      </c>
      <c r="CG144">
        <f t="shared" si="155"/>
        <v>12993679.001127262</v>
      </c>
    </row>
    <row r="145" spans="1:85">
      <c r="A145">
        <f t="shared" si="126"/>
        <v>2028</v>
      </c>
      <c r="B145">
        <f t="shared" si="127"/>
        <v>30.416666666666668</v>
      </c>
      <c r="C145">
        <f t="shared" si="111"/>
        <v>12</v>
      </c>
      <c r="E145" s="97">
        <v>46966</v>
      </c>
      <c r="F145" s="2">
        <f>$F$6*EXP(-$F$3*COUNT($E$9:$E145))</f>
        <v>0.84911559746050402</v>
      </c>
      <c r="G145" s="260">
        <f>$F$6/(1+$F$5*$F$3*COUNT($E$9:$E145))^(1/$F$5)</f>
        <v>7.5157216504325666</v>
      </c>
      <c r="H145" s="260">
        <f>$H$6/(1+$H$5*$H$3*COUNT($E$9:$E145))^(1/$H$5)</f>
        <v>139.16051312410161</v>
      </c>
      <c r="I145" s="260">
        <f t="shared" si="128"/>
        <v>26.506764404590783</v>
      </c>
      <c r="J145" s="260">
        <f t="shared" si="129"/>
        <v>11.037416698071601</v>
      </c>
      <c r="K145" s="260">
        <f t="shared" si="129"/>
        <v>7.5093663558205686</v>
      </c>
      <c r="L145" s="260">
        <f t="shared" si="129"/>
        <v>3.5810638710602145</v>
      </c>
      <c r="M145" s="260">
        <f t="shared" si="112"/>
        <v>4.3815681560788562</v>
      </c>
      <c r="N145" s="19">
        <f t="shared" si="130"/>
        <v>25.827266089423667</v>
      </c>
      <c r="O145" s="19">
        <f t="shared" si="131"/>
        <v>228.60320020065726</v>
      </c>
      <c r="P145" s="19">
        <f t="shared" si="132"/>
        <v>4232.7989408580906</v>
      </c>
      <c r="Q145" s="19">
        <f t="shared" si="133"/>
        <v>806.24741730630296</v>
      </c>
      <c r="R145" s="19">
        <f t="shared" si="134"/>
        <v>335.72142456634452</v>
      </c>
      <c r="S145" s="19">
        <f t="shared" si="135"/>
        <v>228.40989332287563</v>
      </c>
      <c r="T145" s="19">
        <f t="shared" si="136"/>
        <v>108.92402607808152</v>
      </c>
      <c r="U145" s="19">
        <f t="shared" si="137"/>
        <v>133.27269808073189</v>
      </c>
      <c r="V145" s="261">
        <f t="shared" si="156"/>
        <v>1456.8076357652822</v>
      </c>
      <c r="W145" s="261">
        <f>SUM(O$9:O145)</f>
        <v>553763.7881317382</v>
      </c>
      <c r="X145" s="261">
        <f>SUM(P$9:P145)</f>
        <v>2256937.1901625022</v>
      </c>
      <c r="Y145" s="261">
        <f>SUM(Q$9:Q145)</f>
        <v>429892.79812619061</v>
      </c>
      <c r="Z145" s="261">
        <f>SUM($V$9:V145)</f>
        <v>1208644.9451342963</v>
      </c>
      <c r="AB145" s="257">
        <f t="array" ref="AB145">(INDEX(PriceDeck!$C$18:$O$77,MATCH('Decline and Model'!$A145,PriceDeck!$B$18:$B$77,0),MATCH('Decline and Model'!AB$8,PriceDeck!$C$13:$O$13,0))*(1+$AE$6))</f>
        <v>87</v>
      </c>
      <c r="AC145" s="257">
        <f t="array" ref="AC145">INDEX(PriceDeck!$C$18:$O$77,MATCH('Decline and Model'!$A145,PriceDeck!$B$18:$B$77,0),MATCH('Decline and Model'!AC$8,PriceDeck!$C$13:$O$13,0))*(1+$AE$6)</f>
        <v>99.4</v>
      </c>
      <c r="AD145" s="257">
        <f t="array" ref="AD145">INDEX(PriceDeck!$C$18:$O$77,MATCH('Decline and Model'!$A145,PriceDeck!$B$18:$B$77,0),MATCH('Decline and Model'!AD$8,PriceDeck!$C$13:$O$13,0))*(1+$AE$6)</f>
        <v>17.399999999999999</v>
      </c>
      <c r="AE145" s="257">
        <f t="array" ref="AE145">INDEX(PriceDeck!$C$18:$O$77,MATCH('Decline and Model'!$A145,PriceDeck!$B$18:$B$77,0),MATCH('Decline and Model'!AE$8,PriceDeck!$C$13:$O$13,0))*(1+$AE$6)</f>
        <v>34.9</v>
      </c>
      <c r="AF145" s="257">
        <f t="array" ref="AF145">INDEX(PriceDeck!$C$18:$O$77,MATCH('Decline and Model'!$A145,PriceDeck!$B$18:$B$77,0),MATCH('Decline and Model'!AF$8,PriceDeck!$C$13:$O$13,0))*(1+$AE$6)</f>
        <v>103.1</v>
      </c>
      <c r="AG145" s="257">
        <f t="array" ref="AG145">INDEX(PriceDeck!$C$18:$O$77,MATCH('Decline and Model'!$A145,PriceDeck!$B$18:$B$77,0),MATCH('Decline and Model'!AG$8,PriceDeck!$C$13:$O$13,0))*(1+$AE$6)</f>
        <v>72.8</v>
      </c>
      <c r="AH145" s="258">
        <f t="array" ref="AH145">INDEX(PriceDeck!$C$18:$O$77,MATCH('Decline and Model'!$A145,PriceDeck!$B$18:$B$77,0),MATCH('Decline and Model'!AH$8,PriceDeck!$C$13:$O$13,0))</f>
        <v>0.85</v>
      </c>
      <c r="AI145" s="258">
        <f t="shared" si="138"/>
        <v>4.5999999999999996</v>
      </c>
      <c r="AJ145" s="259">
        <f t="shared" si="113"/>
        <v>4.5999999999999996</v>
      </c>
      <c r="AK145" s="120">
        <v>4.5999999999999996</v>
      </c>
      <c r="AL145" s="120"/>
      <c r="AN145" s="7">
        <f t="shared" si="139"/>
        <v>22723.158099945333</v>
      </c>
      <c r="AO145" s="7">
        <f t="shared" si="140"/>
        <v>19470.875127947216</v>
      </c>
      <c r="AP145" s="7">
        <f t="shared" si="141"/>
        <v>5841.5527874543941</v>
      </c>
      <c r="AQ145" s="7">
        <f t="shared" si="142"/>
        <v>7971.5052769683589</v>
      </c>
      <c r="AR145" s="7">
        <f t="shared" si="143"/>
        <v>11230.067088650205</v>
      </c>
      <c r="AS145" s="7">
        <f t="shared" si="144"/>
        <v>9702.2524202772802</v>
      </c>
      <c r="AT145" s="7">
        <f t="shared" si="145"/>
        <v>76939.410801242775</v>
      </c>
      <c r="AU145">
        <f>SUM($AT$9:AT145)</f>
        <v>64528693.442998238</v>
      </c>
      <c r="AV145" s="7">
        <f>AT145/(1+$AR$5)^(COUNT($E$9:E145))</f>
        <v>27300.524799037157</v>
      </c>
      <c r="AW145" s="7">
        <f t="shared" si="159"/>
        <v>0</v>
      </c>
      <c r="AX145" s="7">
        <f t="shared" si="146"/>
        <v>0</v>
      </c>
      <c r="AY145" s="117">
        <f t="shared" si="147"/>
        <v>0</v>
      </c>
      <c r="AZ145" s="117">
        <f t="shared" si="148"/>
        <v>76939.410801242775</v>
      </c>
      <c r="BA145" s="120">
        <f t="shared" si="149"/>
        <v>19135.810431940077</v>
      </c>
      <c r="BB145" s="119">
        <f t="shared" si="114"/>
        <v>0</v>
      </c>
      <c r="BC145" s="17"/>
      <c r="BD145" s="126">
        <f t="shared" si="115"/>
        <v>0.29533834303262291</v>
      </c>
      <c r="BE145" s="127">
        <f t="shared" si="116"/>
        <v>0.25306764017528338</v>
      </c>
      <c r="BF145" s="127">
        <f t="shared" si="117"/>
        <v>7.5924064489457169E-2</v>
      </c>
      <c r="BG145" s="127">
        <f t="shared" si="118"/>
        <v>0.10360756852637086</v>
      </c>
      <c r="BH145" s="127">
        <f t="shared" si="119"/>
        <v>0.14595987897100987</v>
      </c>
      <c r="BI145" s="128">
        <f t="shared" si="120"/>
        <v>0.12610250480525598</v>
      </c>
      <c r="BJ145" s="126">
        <f t="array" ref="BJ145">BD145*INDEX(Royalty!$U$7:$Z$246,MATCH('Decline and Model'!$E145,Royalty!$AI$7:$AI$246,0),MATCH('Decline and Model'!BJ$8,Royalty!$U$1:$Z$1,0))</f>
        <v>9.0104530030646335E-2</v>
      </c>
      <c r="BK145" s="127">
        <f t="array" ref="BK145">BE145*INDEX(Royalty!$U$7:$Z$246,MATCH('Decline and Model'!$E145,Royalty!$AI$7:$AI$246,0),MATCH('Decline and Model'!BK$8,Royalty!$U$1:$Z$1,0))</f>
        <v>7.4911304907858633E-2</v>
      </c>
      <c r="BL145" s="127">
        <f t="array" ref="BL145">BF145*INDEX(Royalty!$U$7:$Z$246,MATCH('Decline and Model'!$E145,Royalty!$AI$7:$AI$246,0),MATCH('Decline and Model'!BL$8,Royalty!$U$1:$Z$1,0))</f>
        <v>2.325401070906748E-2</v>
      </c>
      <c r="BM145" s="127">
        <f t="array" ref="BM145">BG145*INDEX(Royalty!$U$7:$Z$246,MATCH('Decline and Model'!$E145,Royalty!$AI$7:$AI$246,0),MATCH('Decline and Model'!BM$8,Royalty!$U$1:$Z$1,0))</f>
        <v>3.0688811771180807E-2</v>
      </c>
      <c r="BN145" s="127">
        <f t="array" ref="BN145">BH145*INDEX(Royalty!$U$7:$Z$246,MATCH('Decline and Model'!$E145,Royalty!$AI$7:$AI$246,0),MATCH('Decline and Model'!BN$8,Royalty!$U$1:$Z$1,0))</f>
        <v>2.3448941192918932E-2</v>
      </c>
      <c r="BO145" s="127">
        <f t="array" ref="BO145">BI145*INDEX(Royalty!$U$7:$Z$246,MATCH('Decline and Model'!$E145,Royalty!$AI$7:$AI$246,0),MATCH('Decline and Model'!BO$8,Royalty!$U$1:$Z$1,0))</f>
        <v>6.3051252402627992E-3</v>
      </c>
      <c r="BP145" s="135">
        <f t="shared" si="121"/>
        <v>0.24871272385193499</v>
      </c>
      <c r="BQ145" s="7"/>
      <c r="BR145" s="7"/>
      <c r="BS145">
        <v>137</v>
      </c>
      <c r="BT145" s="120">
        <f t="shared" si="122"/>
        <v>19135.810431940077</v>
      </c>
      <c r="BU145" s="113">
        <f t="shared" si="123"/>
        <v>14568.076357652822</v>
      </c>
      <c r="BV145" s="113">
        <f t="shared" si="124"/>
        <v>4370.422907295846</v>
      </c>
      <c r="BW145" s="113">
        <f t="shared" si="157"/>
        <v>574059.76397797221</v>
      </c>
      <c r="BX145" s="113">
        <f t="shared" si="150"/>
        <v>12689.275690633878</v>
      </c>
      <c r="BY145" s="120">
        <f t="shared" si="151"/>
        <v>26175.825413720151</v>
      </c>
      <c r="BZ145" s="153">
        <f t="shared" si="158"/>
        <v>0</v>
      </c>
      <c r="CA145" s="120">
        <f t="shared" si="110"/>
        <v>26175.825413720151</v>
      </c>
      <c r="CB145" s="120">
        <f t="shared" si="152"/>
        <v>6543.9563534300378</v>
      </c>
      <c r="CC145" s="153">
        <f t="shared" si="153"/>
        <v>32321.144750923988</v>
      </c>
      <c r="CD145" s="7">
        <f t="shared" si="125"/>
        <v>11468.559540770711</v>
      </c>
      <c r="CE145" s="11">
        <f>SUM($CD$9:CD145)</f>
        <v>25005147.560668033</v>
      </c>
      <c r="CF145" s="11">
        <f t="shared" si="154"/>
        <v>12000000</v>
      </c>
      <c r="CG145">
        <f t="shared" si="155"/>
        <v>13005147.560668033</v>
      </c>
    </row>
    <row r="146" spans="1:85">
      <c r="A146">
        <f t="shared" si="126"/>
        <v>2028</v>
      </c>
      <c r="B146">
        <f t="shared" si="127"/>
        <v>30.416666666666668</v>
      </c>
      <c r="C146">
        <f t="shared" si="111"/>
        <v>12</v>
      </c>
      <c r="E146" s="97">
        <v>46997</v>
      </c>
      <c r="F146" s="2">
        <f>$F$6*EXP(-$F$3*COUNT($E$9:$E146))</f>
        <v>0.80770374110693544</v>
      </c>
      <c r="G146" s="260">
        <f>$F$6/(1+$F$5*$F$3*COUNT($E$9:$E146))^(1/$F$5)</f>
        <v>7.3358903139411886</v>
      </c>
      <c r="H146" s="260">
        <f>$H$6/(1+$H$5*$H$3*COUNT($E$9:$E146))^(1/$H$5)</f>
        <v>137.90589831487409</v>
      </c>
      <c r="I146" s="260">
        <f t="shared" si="128"/>
        <v>26.267790155214112</v>
      </c>
      <c r="J146" s="260">
        <f t="shared" si="129"/>
        <v>10.937907820631155</v>
      </c>
      <c r="K146" s="260">
        <f t="shared" si="129"/>
        <v>7.4416649509721573</v>
      </c>
      <c r="L146" s="260">
        <f t="shared" si="129"/>
        <v>3.5487784499694266</v>
      </c>
      <c r="M146" s="260">
        <f t="shared" si="112"/>
        <v>4.3420657126568925</v>
      </c>
      <c r="N146" s="19">
        <f t="shared" si="130"/>
        <v>24.567655458669286</v>
      </c>
      <c r="O146" s="19">
        <f t="shared" si="131"/>
        <v>223.13333038237784</v>
      </c>
      <c r="P146" s="19">
        <f t="shared" si="132"/>
        <v>4194.6377404107534</v>
      </c>
      <c r="Q146" s="19">
        <f t="shared" si="133"/>
        <v>798.97861722109587</v>
      </c>
      <c r="R146" s="19">
        <f t="shared" si="134"/>
        <v>332.69469621086432</v>
      </c>
      <c r="S146" s="19">
        <f t="shared" si="135"/>
        <v>226.35064225873646</v>
      </c>
      <c r="T146" s="19">
        <f t="shared" si="136"/>
        <v>107.94201118657006</v>
      </c>
      <c r="U146" s="19">
        <f t="shared" si="137"/>
        <v>132.07116542664716</v>
      </c>
      <c r="V146" s="261">
        <f t="shared" si="156"/>
        <v>1440.2647723295956</v>
      </c>
      <c r="W146" s="261">
        <f>SUM(O$9:O146)</f>
        <v>553986.9214621206</v>
      </c>
      <c r="X146" s="261">
        <f>SUM(P$9:P146)</f>
        <v>2261131.8279029131</v>
      </c>
      <c r="Y146" s="261">
        <f>SUM(Q$9:Q146)</f>
        <v>430691.77674341173</v>
      </c>
      <c r="Z146" s="261">
        <f>SUM($V$9:V146)</f>
        <v>1210085.2099066258</v>
      </c>
      <c r="AB146" s="257">
        <f t="array" ref="AB146">(INDEX(PriceDeck!$C$18:$O$77,MATCH('Decline and Model'!$A146,PriceDeck!$B$18:$B$77,0),MATCH('Decline and Model'!AB$8,PriceDeck!$C$13:$O$13,0))*(1+$AE$6))</f>
        <v>87</v>
      </c>
      <c r="AC146" s="257">
        <f t="array" ref="AC146">INDEX(PriceDeck!$C$18:$O$77,MATCH('Decline and Model'!$A146,PriceDeck!$B$18:$B$77,0),MATCH('Decline and Model'!AC$8,PriceDeck!$C$13:$O$13,0))*(1+$AE$6)</f>
        <v>99.4</v>
      </c>
      <c r="AD146" s="257">
        <f t="array" ref="AD146">INDEX(PriceDeck!$C$18:$O$77,MATCH('Decline and Model'!$A146,PriceDeck!$B$18:$B$77,0),MATCH('Decline and Model'!AD$8,PriceDeck!$C$13:$O$13,0))*(1+$AE$6)</f>
        <v>17.399999999999999</v>
      </c>
      <c r="AE146" s="257">
        <f t="array" ref="AE146">INDEX(PriceDeck!$C$18:$O$77,MATCH('Decline and Model'!$A146,PriceDeck!$B$18:$B$77,0),MATCH('Decline and Model'!AE$8,PriceDeck!$C$13:$O$13,0))*(1+$AE$6)</f>
        <v>34.9</v>
      </c>
      <c r="AF146" s="257">
        <f t="array" ref="AF146">INDEX(PriceDeck!$C$18:$O$77,MATCH('Decline and Model'!$A146,PriceDeck!$B$18:$B$77,0),MATCH('Decline and Model'!AF$8,PriceDeck!$C$13:$O$13,0))*(1+$AE$6)</f>
        <v>103.1</v>
      </c>
      <c r="AG146" s="257">
        <f t="array" ref="AG146">INDEX(PriceDeck!$C$18:$O$77,MATCH('Decline and Model'!$A146,PriceDeck!$B$18:$B$77,0),MATCH('Decline and Model'!AG$8,PriceDeck!$C$13:$O$13,0))*(1+$AE$6)</f>
        <v>72.8</v>
      </c>
      <c r="AH146" s="258">
        <f t="array" ref="AH146">INDEX(PriceDeck!$C$18:$O$77,MATCH('Decline and Model'!$A146,PriceDeck!$B$18:$B$77,0),MATCH('Decline and Model'!AH$8,PriceDeck!$C$13:$O$13,0))</f>
        <v>0.85</v>
      </c>
      <c r="AI146" s="258">
        <f t="shared" si="138"/>
        <v>4.5999999999999996</v>
      </c>
      <c r="AJ146" s="259">
        <f t="shared" si="113"/>
        <v>4.5999999999999996</v>
      </c>
      <c r="AK146" s="120">
        <v>4.5999999999999996</v>
      </c>
      <c r="AL146" s="120"/>
      <c r="AN146" s="7">
        <f t="shared" si="139"/>
        <v>22179.453040008357</v>
      </c>
      <c r="AO146" s="7">
        <f t="shared" si="140"/>
        <v>19295.333605889464</v>
      </c>
      <c r="AP146" s="7">
        <f t="shared" si="141"/>
        <v>5788.8877140690383</v>
      </c>
      <c r="AQ146" s="7">
        <f t="shared" si="142"/>
        <v>7899.6374148299019</v>
      </c>
      <c r="AR146" s="7">
        <f t="shared" si="143"/>
        <v>11128.821353335372</v>
      </c>
      <c r="AS146" s="7">
        <f t="shared" si="144"/>
        <v>9614.7808430599125</v>
      </c>
      <c r="AT146" s="7">
        <f t="shared" si="145"/>
        <v>75906.913971192043</v>
      </c>
      <c r="AU146">
        <f>SUM($AT$9:AT146)</f>
        <v>64604600.356969431</v>
      </c>
      <c r="AV146" s="7">
        <f>AT146/(1+$AR$5)^(COUNT($E$9:E146))</f>
        <v>26731.231363968927</v>
      </c>
      <c r="AW146" s="7">
        <f t="shared" si="159"/>
        <v>0</v>
      </c>
      <c r="AX146" s="7">
        <f t="shared" si="146"/>
        <v>0</v>
      </c>
      <c r="AY146" s="117">
        <f t="shared" si="147"/>
        <v>0</v>
      </c>
      <c r="AZ146" s="117">
        <f t="shared" si="148"/>
        <v>75906.913971192043</v>
      </c>
      <c r="BA146" s="120">
        <f t="shared" si="149"/>
        <v>18859.91260976129</v>
      </c>
      <c r="BB146" s="119">
        <f t="shared" si="114"/>
        <v>0</v>
      </c>
      <c r="BC146" s="17"/>
      <c r="BD146" s="126">
        <f t="shared" si="115"/>
        <v>0.29219279087575389</v>
      </c>
      <c r="BE146" s="127">
        <f t="shared" si="116"/>
        <v>0.25419731347808933</v>
      </c>
      <c r="BF146" s="127">
        <f t="shared" si="117"/>
        <v>7.6262983320149455E-2</v>
      </c>
      <c r="BG146" s="127">
        <f t="shared" si="118"/>
        <v>0.10407006426091762</v>
      </c>
      <c r="BH146" s="127">
        <f t="shared" si="119"/>
        <v>0.14661143196466855</v>
      </c>
      <c r="BI146" s="128">
        <f t="shared" si="120"/>
        <v>0.12666541610042115</v>
      </c>
      <c r="BJ146" s="126">
        <f t="array" ref="BJ146">BD146*INDEX(Royalty!$U$7:$Z$246,MATCH('Decline and Model'!$E146,Royalty!$AI$7:$AI$246,0),MATCH('Decline and Model'!BJ$8,Royalty!$U$1:$Z$1,0))</f>
        <v>8.9144856133003256E-2</v>
      </c>
      <c r="BK146" s="127">
        <f t="array" ref="BK146">BE146*INDEX(Royalty!$U$7:$Z$246,MATCH('Decline and Model'!$E146,Royalty!$AI$7:$AI$246,0),MATCH('Decline and Model'!BK$8,Royalty!$U$1:$Z$1,0))</f>
        <v>7.5245702862390282E-2</v>
      </c>
      <c r="BL146" s="127">
        <f t="array" ref="BL146">BF146*INDEX(Royalty!$U$7:$Z$246,MATCH('Decline and Model'!$E146,Royalty!$AI$7:$AI$246,0),MATCH('Decline and Model'!BL$8,Royalty!$U$1:$Z$1,0))</f>
        <v>2.3357814716023897E-2</v>
      </c>
      <c r="BM146" s="127">
        <f t="array" ref="BM146">BG146*INDEX(Royalty!$U$7:$Z$246,MATCH('Decline and Model'!$E146,Royalty!$AI$7:$AI$246,0),MATCH('Decline and Model'!BM$8,Royalty!$U$1:$Z$1,0))</f>
        <v>3.082580412361563E-2</v>
      </c>
      <c r="BN146" s="127">
        <f t="array" ref="BN146">BH146*INDEX(Royalty!$U$7:$Z$246,MATCH('Decline and Model'!$E146,Royalty!$AI$7:$AI$246,0),MATCH('Decline and Model'!BN$8,Royalty!$U$1:$Z$1,0))</f>
        <v>2.3553615353654616E-2</v>
      </c>
      <c r="BO146" s="127">
        <f t="array" ref="BO146">BI146*INDEX(Royalty!$U$7:$Z$246,MATCH('Decline and Model'!$E146,Royalty!$AI$7:$AI$246,0),MATCH('Decline and Model'!BO$8,Royalty!$U$1:$Z$1,0))</f>
        <v>6.3332708050210578E-3</v>
      </c>
      <c r="BP146" s="135">
        <f t="shared" si="121"/>
        <v>0.24846106399370874</v>
      </c>
      <c r="BQ146" s="7"/>
      <c r="BR146" s="7"/>
      <c r="BS146">
        <v>138</v>
      </c>
      <c r="BT146" s="120">
        <f t="shared" si="122"/>
        <v>18859.91260976129</v>
      </c>
      <c r="BU146" s="113">
        <f t="shared" si="123"/>
        <v>14402.647723295957</v>
      </c>
      <c r="BV146" s="113">
        <f t="shared" si="124"/>
        <v>4320.7943169887867</v>
      </c>
      <c r="BW146" s="113">
        <f t="shared" si="157"/>
        <v>561370.48828733829</v>
      </c>
      <c r="BX146" s="113">
        <f t="shared" si="150"/>
        <v>12408.78622306149</v>
      </c>
      <c r="BY146" s="120">
        <f t="shared" si="151"/>
        <v>25914.773098084515</v>
      </c>
      <c r="BZ146" s="153">
        <f t="shared" si="158"/>
        <v>0</v>
      </c>
      <c r="CA146" s="120">
        <f t="shared" ref="CA146:CA209" si="160">IF(BY146&gt;0,MAX(BY146+BZ145,0),0)</f>
        <v>25914.773098084515</v>
      </c>
      <c r="CB146" s="120">
        <f t="shared" si="152"/>
        <v>6478.6932745211288</v>
      </c>
      <c r="CC146" s="153">
        <f t="shared" si="153"/>
        <v>31844.866046624877</v>
      </c>
      <c r="CD146" s="7">
        <f t="shared" si="125"/>
        <v>11214.426163735134</v>
      </c>
      <c r="CE146" s="11">
        <f>SUM($CD$9:CD146)</f>
        <v>25016361.986831769</v>
      </c>
      <c r="CF146" s="11">
        <f t="shared" si="154"/>
        <v>12000000</v>
      </c>
      <c r="CG146">
        <f t="shared" si="155"/>
        <v>13016361.986831769</v>
      </c>
    </row>
    <row r="147" spans="1:85">
      <c r="A147">
        <f t="shared" si="126"/>
        <v>2028</v>
      </c>
      <c r="B147">
        <f t="shared" si="127"/>
        <v>30.416666666666668</v>
      </c>
      <c r="C147">
        <f t="shared" si="111"/>
        <v>12</v>
      </c>
      <c r="E147" s="97">
        <v>47027</v>
      </c>
      <c r="F147" s="2">
        <f>$F$6*EXP(-$F$3*COUNT($E$9:$E147))</f>
        <v>0.768311564820224</v>
      </c>
      <c r="G147" s="260">
        <f>$F$6/(1+$F$5*$F$3*COUNT($E$9:$E147))^(1/$F$5)</f>
        <v>7.161009773055536</v>
      </c>
      <c r="H147" s="260">
        <f>$H$6/(1+$H$5*$H$3*COUNT($E$9:$E147))^(1/$H$5)</f>
        <v>136.67055099427301</v>
      </c>
      <c r="I147" s="260">
        <f t="shared" si="128"/>
        <v>26.032485903671049</v>
      </c>
      <c r="J147" s="260">
        <f t="shared" si="129"/>
        <v>10.839927130288624</v>
      </c>
      <c r="K147" s="260">
        <f t="shared" si="129"/>
        <v>7.3750032565100083</v>
      </c>
      <c r="L147" s="260">
        <f t="shared" si="129"/>
        <v>3.5169888455859586</v>
      </c>
      <c r="M147" s="260">
        <f t="shared" si="112"/>
        <v>4.3031699198768241</v>
      </c>
      <c r="N147" s="19">
        <f t="shared" si="130"/>
        <v>23.369476763281813</v>
      </c>
      <c r="O147" s="19">
        <f t="shared" si="131"/>
        <v>217.81404726377255</v>
      </c>
      <c r="P147" s="19">
        <f t="shared" si="132"/>
        <v>4157.0625927424708</v>
      </c>
      <c r="Q147" s="19">
        <f t="shared" si="133"/>
        <v>791.82144623666113</v>
      </c>
      <c r="R147" s="19">
        <f t="shared" si="134"/>
        <v>329.71445021294568</v>
      </c>
      <c r="S147" s="19">
        <f t="shared" si="135"/>
        <v>224.32301571884611</v>
      </c>
      <c r="T147" s="19">
        <f t="shared" si="136"/>
        <v>106.97507738657291</v>
      </c>
      <c r="U147" s="19">
        <f t="shared" si="137"/>
        <v>130.88808506292008</v>
      </c>
      <c r="V147" s="261">
        <f t="shared" si="156"/>
        <v>1424.0425468133001</v>
      </c>
      <c r="W147" s="261">
        <f>SUM(O$9:O147)</f>
        <v>554204.73550938442</v>
      </c>
      <c r="X147" s="261">
        <f>SUM(P$9:P147)</f>
        <v>2265288.8904956556</v>
      </c>
      <c r="Y147" s="261">
        <f>SUM(Q$9:Q147)</f>
        <v>431483.59818964842</v>
      </c>
      <c r="Z147" s="261">
        <f>SUM($V$9:V147)</f>
        <v>1211509.2524534392</v>
      </c>
      <c r="AB147" s="257">
        <f t="array" ref="AB147">(INDEX(PriceDeck!$C$18:$O$77,MATCH('Decline and Model'!$A147,PriceDeck!$B$18:$B$77,0),MATCH('Decline and Model'!AB$8,PriceDeck!$C$13:$O$13,0))*(1+$AE$6))</f>
        <v>87</v>
      </c>
      <c r="AC147" s="257">
        <f t="array" ref="AC147">INDEX(PriceDeck!$C$18:$O$77,MATCH('Decline and Model'!$A147,PriceDeck!$B$18:$B$77,0),MATCH('Decline and Model'!AC$8,PriceDeck!$C$13:$O$13,0))*(1+$AE$6)</f>
        <v>99.4</v>
      </c>
      <c r="AD147" s="257">
        <f t="array" ref="AD147">INDEX(PriceDeck!$C$18:$O$77,MATCH('Decline and Model'!$A147,PriceDeck!$B$18:$B$77,0),MATCH('Decline and Model'!AD$8,PriceDeck!$C$13:$O$13,0))*(1+$AE$6)</f>
        <v>17.399999999999999</v>
      </c>
      <c r="AE147" s="257">
        <f t="array" ref="AE147">INDEX(PriceDeck!$C$18:$O$77,MATCH('Decline and Model'!$A147,PriceDeck!$B$18:$B$77,0),MATCH('Decline and Model'!AE$8,PriceDeck!$C$13:$O$13,0))*(1+$AE$6)</f>
        <v>34.9</v>
      </c>
      <c r="AF147" s="257">
        <f t="array" ref="AF147">INDEX(PriceDeck!$C$18:$O$77,MATCH('Decline and Model'!$A147,PriceDeck!$B$18:$B$77,0),MATCH('Decline and Model'!AF$8,PriceDeck!$C$13:$O$13,0))*(1+$AE$6)</f>
        <v>103.1</v>
      </c>
      <c r="AG147" s="257">
        <f t="array" ref="AG147">INDEX(PriceDeck!$C$18:$O$77,MATCH('Decline and Model'!$A147,PriceDeck!$B$18:$B$77,0),MATCH('Decline and Model'!AG$8,PriceDeck!$C$13:$O$13,0))*(1+$AE$6)</f>
        <v>72.8</v>
      </c>
      <c r="AH147" s="258">
        <f t="array" ref="AH147">INDEX(PriceDeck!$C$18:$O$77,MATCH('Decline and Model'!$A147,PriceDeck!$B$18:$B$77,0),MATCH('Decline and Model'!AH$8,PriceDeck!$C$13:$O$13,0))</f>
        <v>0.85</v>
      </c>
      <c r="AI147" s="258">
        <f t="shared" si="138"/>
        <v>4.5999999999999996</v>
      </c>
      <c r="AJ147" s="259">
        <f t="shared" si="113"/>
        <v>4.5999999999999996</v>
      </c>
      <c r="AK147" s="120">
        <v>4.5999999999999996</v>
      </c>
      <c r="AL147" s="120"/>
      <c r="AN147" s="7">
        <f t="shared" si="139"/>
        <v>21650.716298018993</v>
      </c>
      <c r="AO147" s="7">
        <f t="shared" si="140"/>
        <v>19122.487926615366</v>
      </c>
      <c r="AP147" s="7">
        <f t="shared" si="141"/>
        <v>5737.0314337052541</v>
      </c>
      <c r="AQ147" s="7">
        <f t="shared" si="142"/>
        <v>7828.873248587729</v>
      </c>
      <c r="AR147" s="7">
        <f t="shared" si="143"/>
        <v>11029.130478555666</v>
      </c>
      <c r="AS147" s="7">
        <f t="shared" si="144"/>
        <v>9528.6525925805818</v>
      </c>
      <c r="AT147" s="7">
        <f t="shared" si="145"/>
        <v>74896.891978063592</v>
      </c>
      <c r="AU147">
        <f>SUM($AT$9:AT147)</f>
        <v>64679497.248947494</v>
      </c>
      <c r="AV147" s="7">
        <f>AT147/(1+$AR$5)^(COUNT($E$9:E147))</f>
        <v>26176.821741116022</v>
      </c>
      <c r="AW147" s="7">
        <f t="shared" si="159"/>
        <v>0</v>
      </c>
      <c r="AX147" s="7">
        <f t="shared" si="146"/>
        <v>0</v>
      </c>
      <c r="AY147" s="117">
        <f t="shared" si="147"/>
        <v>0</v>
      </c>
      <c r="AZ147" s="117">
        <f t="shared" si="148"/>
        <v>74896.891978063592</v>
      </c>
      <c r="BA147" s="120">
        <f t="shared" si="149"/>
        <v>18590.271057981387</v>
      </c>
      <c r="BB147" s="119">
        <f t="shared" si="114"/>
        <v>0</v>
      </c>
      <c r="BC147" s="17"/>
      <c r="BD147" s="126">
        <f t="shared" si="115"/>
        <v>0.28907362810676085</v>
      </c>
      <c r="BE147" s="127">
        <f t="shared" si="116"/>
        <v>0.25531750946642906</v>
      </c>
      <c r="BF147" s="127">
        <f t="shared" si="117"/>
        <v>7.6599058815225107E-2</v>
      </c>
      <c r="BG147" s="127">
        <f t="shared" si="118"/>
        <v>0.10452867992013223</v>
      </c>
      <c r="BH147" s="127">
        <f t="shared" si="119"/>
        <v>0.14725751880045926</v>
      </c>
      <c r="BI147" s="128">
        <f t="shared" si="120"/>
        <v>0.12722360489099349</v>
      </c>
      <c r="BJ147" s="126">
        <f t="array" ref="BJ147">BD147*INDEX(Royalty!$U$7:$Z$246,MATCH('Decline and Model'!$E147,Royalty!$AI$7:$AI$246,0),MATCH('Decline and Model'!BJ$8,Royalty!$U$1:$Z$1,0))</f>
        <v>8.8193233351811701E-2</v>
      </c>
      <c r="BK147" s="127">
        <f t="array" ref="BK147">BE147*INDEX(Royalty!$U$7:$Z$246,MATCH('Decline and Model'!$E147,Royalty!$AI$7:$AI$246,0),MATCH('Decline and Model'!BK$8,Royalty!$U$1:$Z$1,0))</f>
        <v>7.5577295408876879E-2</v>
      </c>
      <c r="BL147" s="127">
        <f t="array" ref="BL147">BF147*INDEX(Royalty!$U$7:$Z$246,MATCH('Decline and Model'!$E147,Royalty!$AI$7:$AI$246,0),MATCH('Decline and Model'!BL$8,Royalty!$U$1:$Z$1,0))</f>
        <v>2.3460747866588163E-2</v>
      </c>
      <c r="BM147" s="127">
        <f t="array" ref="BM147">BG147*INDEX(Royalty!$U$7:$Z$246,MATCH('Decline and Model'!$E147,Royalty!$AI$7:$AI$246,0),MATCH('Decline and Model'!BM$8,Royalty!$U$1:$Z$1,0))</f>
        <v>3.0961647188375623E-2</v>
      </c>
      <c r="BN147" s="127">
        <f t="array" ref="BN147">BH147*INDEX(Royalty!$U$7:$Z$246,MATCH('Decline and Model'!$E147,Royalty!$AI$7:$AI$246,0),MATCH('Decline and Model'!BN$8,Royalty!$U$1:$Z$1,0))</f>
        <v>2.3657411357904418E-2</v>
      </c>
      <c r="BO147" s="127">
        <f t="array" ref="BO147">BI147*INDEX(Royalty!$U$7:$Z$246,MATCH('Decline and Model'!$E147,Royalty!$AI$7:$AI$246,0),MATCH('Decline and Model'!BO$8,Royalty!$U$1:$Z$1,0))</f>
        <v>6.3611802445496749E-3</v>
      </c>
      <c r="BP147" s="135">
        <f t="shared" si="121"/>
        <v>0.24821151541810649</v>
      </c>
      <c r="BQ147" s="7"/>
      <c r="BR147" s="7"/>
      <c r="BS147">
        <v>139</v>
      </c>
      <c r="BT147" s="120">
        <f t="shared" si="122"/>
        <v>18590.271057981387</v>
      </c>
      <c r="BU147" s="113">
        <f t="shared" si="123"/>
        <v>14240.425468133</v>
      </c>
      <c r="BV147" s="113">
        <f t="shared" si="124"/>
        <v>4272.1276404399005</v>
      </c>
      <c r="BW147" s="113">
        <f t="shared" si="157"/>
        <v>548961.70206427679</v>
      </c>
      <c r="BX147" s="113">
        <f t="shared" si="150"/>
        <v>12134.496821067085</v>
      </c>
      <c r="BY147" s="120">
        <f t="shared" si="151"/>
        <v>25659.570990442218</v>
      </c>
      <c r="BZ147" s="153">
        <f t="shared" si="158"/>
        <v>0</v>
      </c>
      <c r="CA147" s="120">
        <f t="shared" si="160"/>
        <v>25659.570990442218</v>
      </c>
      <c r="CB147" s="120">
        <f t="shared" si="152"/>
        <v>6414.8927476105546</v>
      </c>
      <c r="CC147" s="153">
        <f t="shared" si="153"/>
        <v>31379.175063898751</v>
      </c>
      <c r="CD147" s="7">
        <f t="shared" si="125"/>
        <v>10967.171672110651</v>
      </c>
      <c r="CE147" s="11">
        <f>SUM($CD$9:CD147)</f>
        <v>25027329.158503879</v>
      </c>
      <c r="CF147" s="11">
        <f t="shared" si="154"/>
        <v>12000000</v>
      </c>
      <c r="CG147">
        <f t="shared" si="155"/>
        <v>13027329.158503879</v>
      </c>
    </row>
    <row r="148" spans="1:85">
      <c r="A148">
        <f t="shared" si="126"/>
        <v>2028</v>
      </c>
      <c r="B148">
        <f t="shared" si="127"/>
        <v>30.416666666666668</v>
      </c>
      <c r="C148">
        <f t="shared" si="111"/>
        <v>12</v>
      </c>
      <c r="E148" s="97">
        <v>47058</v>
      </c>
      <c r="F148" s="2">
        <f>$F$6*EXP(-$F$3*COUNT($E$9:$E148))</f>
        <v>0.73084056764118488</v>
      </c>
      <c r="G148" s="260">
        <f>$F$6/(1+$F$5*$F$3*COUNT($E$9:$E148))^(1/$F$5)</f>
        <v>6.9909260256852193</v>
      </c>
      <c r="H148" s="260">
        <f>$H$6/(1+$H$5*$H$3*COUNT($E$9:$E148))^(1/$H$5)</f>
        <v>135.45405463144132</v>
      </c>
      <c r="I148" s="260">
        <f t="shared" si="128"/>
        <v>25.800772310750727</v>
      </c>
      <c r="J148" s="260">
        <f t="shared" si="129"/>
        <v>10.743441590196602</v>
      </c>
      <c r="K148" s="260">
        <f t="shared" si="129"/>
        <v>7.3093587956356805</v>
      </c>
      <c r="L148" s="260">
        <f t="shared" si="129"/>
        <v>3.485684339182423</v>
      </c>
      <c r="M148" s="260">
        <f t="shared" si="112"/>
        <v>4.2648676629670952</v>
      </c>
      <c r="N148" s="19">
        <f t="shared" si="130"/>
        <v>22.229733932419375</v>
      </c>
      <c r="O148" s="19">
        <f t="shared" si="131"/>
        <v>212.64066661459211</v>
      </c>
      <c r="P148" s="19">
        <f t="shared" si="132"/>
        <v>4120.0608283730071</v>
      </c>
      <c r="Q148" s="19">
        <f t="shared" si="133"/>
        <v>784.77349111866795</v>
      </c>
      <c r="R148" s="19">
        <f t="shared" si="134"/>
        <v>326.77968170181333</v>
      </c>
      <c r="S148" s="19">
        <f t="shared" si="135"/>
        <v>222.32633003391862</v>
      </c>
      <c r="T148" s="19">
        <f t="shared" si="136"/>
        <v>106.02289865013203</v>
      </c>
      <c r="U148" s="19">
        <f t="shared" si="137"/>
        <v>129.72305808191581</v>
      </c>
      <c r="V148" s="261">
        <f t="shared" si="156"/>
        <v>1408.1325987633822</v>
      </c>
      <c r="W148" s="261">
        <f>SUM(O$9:O148)</f>
        <v>554417.37617599906</v>
      </c>
      <c r="X148" s="261">
        <f>SUM(P$9:P148)</f>
        <v>2269408.9513240284</v>
      </c>
      <c r="Y148" s="261">
        <f>SUM(Q$9:Q148)</f>
        <v>432268.3716807671</v>
      </c>
      <c r="Z148" s="261">
        <f>SUM($V$9:V148)</f>
        <v>1212917.3850522025</v>
      </c>
      <c r="AB148" s="257">
        <f t="array" ref="AB148">(INDEX(PriceDeck!$C$18:$O$77,MATCH('Decline and Model'!$A148,PriceDeck!$B$18:$B$77,0),MATCH('Decline and Model'!AB$8,PriceDeck!$C$13:$O$13,0))*(1+$AE$6))</f>
        <v>87</v>
      </c>
      <c r="AC148" s="257">
        <f t="array" ref="AC148">INDEX(PriceDeck!$C$18:$O$77,MATCH('Decline and Model'!$A148,PriceDeck!$B$18:$B$77,0),MATCH('Decline and Model'!AC$8,PriceDeck!$C$13:$O$13,0))*(1+$AE$6)</f>
        <v>99.4</v>
      </c>
      <c r="AD148" s="257">
        <f t="array" ref="AD148">INDEX(PriceDeck!$C$18:$O$77,MATCH('Decline and Model'!$A148,PriceDeck!$B$18:$B$77,0),MATCH('Decline and Model'!AD$8,PriceDeck!$C$13:$O$13,0))*(1+$AE$6)</f>
        <v>17.399999999999999</v>
      </c>
      <c r="AE148" s="257">
        <f t="array" ref="AE148">INDEX(PriceDeck!$C$18:$O$77,MATCH('Decline and Model'!$A148,PriceDeck!$B$18:$B$77,0),MATCH('Decline and Model'!AE$8,PriceDeck!$C$13:$O$13,0))*(1+$AE$6)</f>
        <v>34.9</v>
      </c>
      <c r="AF148" s="257">
        <f t="array" ref="AF148">INDEX(PriceDeck!$C$18:$O$77,MATCH('Decline and Model'!$A148,PriceDeck!$B$18:$B$77,0),MATCH('Decline and Model'!AF$8,PriceDeck!$C$13:$O$13,0))*(1+$AE$6)</f>
        <v>103.1</v>
      </c>
      <c r="AG148" s="257">
        <f t="array" ref="AG148">INDEX(PriceDeck!$C$18:$O$77,MATCH('Decline and Model'!$A148,PriceDeck!$B$18:$B$77,0),MATCH('Decline and Model'!AG$8,PriceDeck!$C$13:$O$13,0))*(1+$AE$6)</f>
        <v>72.8</v>
      </c>
      <c r="AH148" s="258">
        <f t="array" ref="AH148">INDEX(PriceDeck!$C$18:$O$77,MATCH('Decline and Model'!$A148,PriceDeck!$B$18:$B$77,0),MATCH('Decline and Model'!AH$8,PriceDeck!$C$13:$O$13,0))</f>
        <v>0.85</v>
      </c>
      <c r="AI148" s="258">
        <f t="shared" si="138"/>
        <v>4.5999999999999996</v>
      </c>
      <c r="AJ148" s="259">
        <f t="shared" si="113"/>
        <v>4.5999999999999996</v>
      </c>
      <c r="AK148" s="120">
        <v>4.5999999999999996</v>
      </c>
      <c r="AL148" s="120"/>
      <c r="AN148" s="7">
        <f t="shared" si="139"/>
        <v>21136.482261490455</v>
      </c>
      <c r="AO148" s="7">
        <f t="shared" si="140"/>
        <v>18952.279810515833</v>
      </c>
      <c r="AP148" s="7">
        <f t="shared" si="141"/>
        <v>5685.9664616115515</v>
      </c>
      <c r="AQ148" s="7">
        <f t="shared" si="142"/>
        <v>7759.1889181837596</v>
      </c>
      <c r="AR148" s="7">
        <f t="shared" si="143"/>
        <v>10930.960850828613</v>
      </c>
      <c r="AS148" s="7">
        <f t="shared" si="144"/>
        <v>9443.83862836347</v>
      </c>
      <c r="AT148" s="7">
        <f t="shared" si="145"/>
        <v>73908.716930993673</v>
      </c>
      <c r="AU148">
        <f>SUM($AT$9:AT148)</f>
        <v>64753405.965878487</v>
      </c>
      <c r="AV148" s="7">
        <f>AT148/(1+$AR$5)^(COUNT($E$9:E148))</f>
        <v>25636.826987672801</v>
      </c>
      <c r="AW148" s="7">
        <f t="shared" si="159"/>
        <v>0</v>
      </c>
      <c r="AX148" s="7">
        <f t="shared" si="146"/>
        <v>0</v>
      </c>
      <c r="AY148" s="117">
        <f t="shared" si="147"/>
        <v>0</v>
      </c>
      <c r="AZ148" s="117">
        <f t="shared" si="148"/>
        <v>73908.716930993673</v>
      </c>
      <c r="BA148" s="120">
        <f t="shared" si="149"/>
        <v>18326.707196977088</v>
      </c>
      <c r="BB148" s="119">
        <f t="shared" si="114"/>
        <v>0</v>
      </c>
      <c r="BC148" s="17"/>
      <c r="BD148" s="126">
        <f t="shared" si="115"/>
        <v>0.28598091184866525</v>
      </c>
      <c r="BE148" s="127">
        <f t="shared" si="116"/>
        <v>0.25642820762550922</v>
      </c>
      <c r="BF148" s="127">
        <f t="shared" si="117"/>
        <v>7.6932284819940328E-2</v>
      </c>
      <c r="BG148" s="127">
        <f t="shared" si="118"/>
        <v>0.10498340710512237</v>
      </c>
      <c r="BH148" s="127">
        <f t="shared" si="119"/>
        <v>0.14789812764622229</v>
      </c>
      <c r="BI148" s="128">
        <f t="shared" si="120"/>
        <v>0.12777706095454067</v>
      </c>
      <c r="BJ148" s="126">
        <f t="array" ref="BJ148">BD148*INDEX(Royalty!$U$7:$Z$246,MATCH('Decline and Model'!$E148,Royalty!$AI$7:$AI$246,0),MATCH('Decline and Model'!BJ$8,Royalty!$U$1:$Z$1,0))</f>
        <v>8.7249679114686923E-2</v>
      </c>
      <c r="BK148" s="127">
        <f t="array" ref="BK148">BE148*INDEX(Royalty!$U$7:$Z$246,MATCH('Decline and Model'!$E148,Royalty!$AI$7:$AI$246,0),MATCH('Decline and Model'!BK$8,Royalty!$U$1:$Z$1,0))</f>
        <v>7.5906076474673442E-2</v>
      </c>
      <c r="BL148" s="127">
        <f t="array" ref="BL148">BF148*INDEX(Royalty!$U$7:$Z$246,MATCH('Decline and Model'!$E148,Royalty!$AI$7:$AI$246,0),MATCH('Decline and Model'!BL$8,Royalty!$U$1:$Z$1,0))</f>
        <v>2.3562808275686301E-2</v>
      </c>
      <c r="BM148" s="127">
        <f t="array" ref="BM148">BG148*INDEX(Royalty!$U$7:$Z$246,MATCH('Decline and Model'!$E148,Royalty!$AI$7:$AI$246,0),MATCH('Decline and Model'!BM$8,Royalty!$U$1:$Z$1,0))</f>
        <v>3.1096338477688616E-2</v>
      </c>
      <c r="BN148" s="127">
        <f t="array" ref="BN148">BH148*INDEX(Royalty!$U$7:$Z$246,MATCH('Decline and Model'!$E148,Royalty!$AI$7:$AI$246,0),MATCH('Decline and Model'!BN$8,Royalty!$U$1:$Z$1,0))</f>
        <v>2.3760327304792429E-2</v>
      </c>
      <c r="BO148" s="127">
        <f t="array" ref="BO148">BI148*INDEX(Royalty!$U$7:$Z$246,MATCH('Decline and Model'!$E148,Royalty!$AI$7:$AI$246,0),MATCH('Decline and Model'!BO$8,Royalty!$U$1:$Z$1,0))</f>
        <v>6.388853047727034E-3</v>
      </c>
      <c r="BP148" s="135">
        <f t="shared" si="121"/>
        <v>0.24796408269525474</v>
      </c>
      <c r="BQ148" s="7"/>
      <c r="BR148" s="7"/>
      <c r="BS148">
        <v>140</v>
      </c>
      <c r="BT148" s="120">
        <f t="shared" si="122"/>
        <v>18326.707196977088</v>
      </c>
      <c r="BU148" s="113">
        <f t="shared" si="123"/>
        <v>14081.325987633823</v>
      </c>
      <c r="BV148" s="113">
        <f t="shared" si="124"/>
        <v>4224.3977962901463</v>
      </c>
      <c r="BW148" s="113">
        <f t="shared" si="157"/>
        <v>536827.20524320973</v>
      </c>
      <c r="BX148" s="113">
        <f t="shared" si="150"/>
        <v>11866.270435607419</v>
      </c>
      <c r="BY148" s="120">
        <f t="shared" si="151"/>
        <v>25410.015514485189</v>
      </c>
      <c r="BZ148" s="153">
        <f t="shared" si="158"/>
        <v>0</v>
      </c>
      <c r="CA148" s="120">
        <f t="shared" si="160"/>
        <v>25410.015514485189</v>
      </c>
      <c r="CB148" s="120">
        <f t="shared" si="152"/>
        <v>6352.5038786212972</v>
      </c>
      <c r="CC148" s="153">
        <f t="shared" si="153"/>
        <v>30923.782071471309</v>
      </c>
      <c r="CD148" s="7">
        <f t="shared" si="125"/>
        <v>10726.578456381671</v>
      </c>
      <c r="CE148" s="11">
        <f>SUM($CD$9:CD148)</f>
        <v>25038055.736960262</v>
      </c>
      <c r="CF148" s="11">
        <f t="shared" si="154"/>
        <v>12000000</v>
      </c>
      <c r="CG148">
        <f t="shared" si="155"/>
        <v>13038055.736960262</v>
      </c>
    </row>
    <row r="149" spans="1:85">
      <c r="A149">
        <f t="shared" si="126"/>
        <v>2028</v>
      </c>
      <c r="B149">
        <f t="shared" si="127"/>
        <v>30.416666666666668</v>
      </c>
      <c r="C149">
        <f t="shared" si="111"/>
        <v>12</v>
      </c>
      <c r="E149" s="97">
        <v>47088</v>
      </c>
      <c r="F149" s="2">
        <f>$F$6*EXP(-$F$3*COUNT($E$9:$E149))</f>
        <v>0.69519705255909892</v>
      </c>
      <c r="G149" s="260">
        <f>$F$6/(1+$F$5*$F$3*COUNT($E$9:$E149))^(1/$F$5)</f>
        <v>6.8254904069285383</v>
      </c>
      <c r="H149" s="260">
        <f>$H$6/(1+$H$5*$H$3*COUNT($E$9:$E149))^(1/$H$5)</f>
        <v>134.25600427517193</v>
      </c>
      <c r="I149" s="260">
        <f t="shared" si="128"/>
        <v>25.572572242889891</v>
      </c>
      <c r="J149" s="260">
        <f t="shared" si="129"/>
        <v>10.64841908193935</v>
      </c>
      <c r="K149" s="260">
        <f t="shared" si="129"/>
        <v>7.2447097164107062</v>
      </c>
      <c r="L149" s="260">
        <f t="shared" si="129"/>
        <v>3.4548545100144241</v>
      </c>
      <c r="M149" s="260">
        <f t="shared" si="112"/>
        <v>4.2271461917496991</v>
      </c>
      <c r="N149" s="19">
        <f t="shared" si="130"/>
        <v>21.14557701533926</v>
      </c>
      <c r="O149" s="19">
        <f t="shared" si="131"/>
        <v>207.60866654407639</v>
      </c>
      <c r="P149" s="19">
        <f t="shared" si="132"/>
        <v>4083.6201300364796</v>
      </c>
      <c r="Q149" s="19">
        <f t="shared" si="133"/>
        <v>777.83240572123418</v>
      </c>
      <c r="R149" s="19">
        <f t="shared" si="134"/>
        <v>323.88941374232189</v>
      </c>
      <c r="S149" s="19">
        <f t="shared" si="135"/>
        <v>220.35992054082564</v>
      </c>
      <c r="T149" s="19">
        <f t="shared" si="136"/>
        <v>105.08515801293873</v>
      </c>
      <c r="U149" s="19">
        <f t="shared" si="137"/>
        <v>128.57569666572002</v>
      </c>
      <c r="V149" s="261">
        <f t="shared" si="156"/>
        <v>1392.5268322661241</v>
      </c>
      <c r="W149" s="261">
        <f>SUM(O$9:O149)</f>
        <v>554624.98484254314</v>
      </c>
      <c r="X149" s="261">
        <f>SUM(P$9:P149)</f>
        <v>2273492.5714540649</v>
      </c>
      <c r="Y149" s="261">
        <f>SUM(Q$9:Q149)</f>
        <v>433046.20408648835</v>
      </c>
      <c r="Z149" s="261">
        <f>SUM($V$9:V149)</f>
        <v>1214309.9118844685</v>
      </c>
      <c r="AB149" s="257">
        <f t="array" ref="AB149">(INDEX(PriceDeck!$C$18:$O$77,MATCH('Decline and Model'!$A149,PriceDeck!$B$18:$B$77,0),MATCH('Decline and Model'!AB$8,PriceDeck!$C$13:$O$13,0))*(1+$AE$6))</f>
        <v>87</v>
      </c>
      <c r="AC149" s="257">
        <f t="array" ref="AC149">INDEX(PriceDeck!$C$18:$O$77,MATCH('Decline and Model'!$A149,PriceDeck!$B$18:$B$77,0),MATCH('Decline and Model'!AC$8,PriceDeck!$C$13:$O$13,0))*(1+$AE$6)</f>
        <v>99.4</v>
      </c>
      <c r="AD149" s="257">
        <f t="array" ref="AD149">INDEX(PriceDeck!$C$18:$O$77,MATCH('Decline and Model'!$A149,PriceDeck!$B$18:$B$77,0),MATCH('Decline and Model'!AD$8,PriceDeck!$C$13:$O$13,0))*(1+$AE$6)</f>
        <v>17.399999999999999</v>
      </c>
      <c r="AE149" s="257">
        <f t="array" ref="AE149">INDEX(PriceDeck!$C$18:$O$77,MATCH('Decline and Model'!$A149,PriceDeck!$B$18:$B$77,0),MATCH('Decline and Model'!AE$8,PriceDeck!$C$13:$O$13,0))*(1+$AE$6)</f>
        <v>34.9</v>
      </c>
      <c r="AF149" s="257">
        <f t="array" ref="AF149">INDEX(PriceDeck!$C$18:$O$77,MATCH('Decline and Model'!$A149,PriceDeck!$B$18:$B$77,0),MATCH('Decline and Model'!AF$8,PriceDeck!$C$13:$O$13,0))*(1+$AE$6)</f>
        <v>103.1</v>
      </c>
      <c r="AG149" s="257">
        <f t="array" ref="AG149">INDEX(PriceDeck!$C$18:$O$77,MATCH('Decline and Model'!$A149,PriceDeck!$B$18:$B$77,0),MATCH('Decline and Model'!AG$8,PriceDeck!$C$13:$O$13,0))*(1+$AE$6)</f>
        <v>72.8</v>
      </c>
      <c r="AH149" s="258">
        <f t="array" ref="AH149">INDEX(PriceDeck!$C$18:$O$77,MATCH('Decline and Model'!$A149,PriceDeck!$B$18:$B$77,0),MATCH('Decline and Model'!AH$8,PriceDeck!$C$13:$O$13,0))</f>
        <v>0.85</v>
      </c>
      <c r="AI149" s="258">
        <f t="shared" si="138"/>
        <v>4.5999999999999996</v>
      </c>
      <c r="AJ149" s="259">
        <f t="shared" si="113"/>
        <v>4.5999999999999996</v>
      </c>
      <c r="AK149" s="120">
        <v>4.5999999999999996</v>
      </c>
      <c r="AL149" s="120"/>
      <c r="AN149" s="7">
        <f t="shared" si="139"/>
        <v>20636.301454481192</v>
      </c>
      <c r="AO149" s="7">
        <f t="shared" si="140"/>
        <v>18784.652598167806</v>
      </c>
      <c r="AP149" s="7">
        <f t="shared" si="141"/>
        <v>5635.6757991164004</v>
      </c>
      <c r="AQ149" s="7">
        <f t="shared" si="142"/>
        <v>7690.5612268748146</v>
      </c>
      <c r="AR149" s="7">
        <f t="shared" si="143"/>
        <v>10834.279791133982</v>
      </c>
      <c r="AS149" s="7">
        <f t="shared" si="144"/>
        <v>9360.3107172644177</v>
      </c>
      <c r="AT149" s="7">
        <f t="shared" si="145"/>
        <v>72941.781587038611</v>
      </c>
      <c r="AU149">
        <f>SUM($AT$9:AT149)</f>
        <v>64826347.747465529</v>
      </c>
      <c r="AV149" s="7">
        <f>AT149/(1+$AR$5)^(COUNT($E$9:E149))</f>
        <v>25110.79521831563</v>
      </c>
      <c r="AW149" s="7">
        <f t="shared" si="159"/>
        <v>0</v>
      </c>
      <c r="AX149" s="7">
        <f t="shared" si="146"/>
        <v>0</v>
      </c>
      <c r="AY149" s="117">
        <f t="shared" si="147"/>
        <v>0</v>
      </c>
      <c r="AZ149" s="117">
        <f t="shared" si="148"/>
        <v>72941.781587038611</v>
      </c>
      <c r="BA149" s="120">
        <f t="shared" si="149"/>
        <v>18069.048385649443</v>
      </c>
      <c r="BB149" s="119">
        <f t="shared" si="114"/>
        <v>0</v>
      </c>
      <c r="BC149" s="17"/>
      <c r="BD149" s="126">
        <f t="shared" si="115"/>
        <v>0.28291468902300793</v>
      </c>
      <c r="BE149" s="127">
        <f t="shared" si="116"/>
        <v>0.25752939110423023</v>
      </c>
      <c r="BF149" s="127">
        <f t="shared" si="117"/>
        <v>7.7262656278714092E-2</v>
      </c>
      <c r="BG149" s="127">
        <f t="shared" si="118"/>
        <v>0.1054342389169363</v>
      </c>
      <c r="BH149" s="127">
        <f t="shared" si="119"/>
        <v>0.14853324878287835</v>
      </c>
      <c r="BI149" s="128">
        <f t="shared" si="120"/>
        <v>0.12832577589423314</v>
      </c>
      <c r="BJ149" s="126">
        <f t="array" ref="BJ149">BD149*INDEX(Royalty!$U$7:$Z$246,MATCH('Decline and Model'!$E149,Royalty!$AI$7:$AI$246,0),MATCH('Decline and Model'!BJ$8,Royalty!$U$1:$Z$1,0))</f>
        <v>8.6314207736882878E-2</v>
      </c>
      <c r="BK149" s="127">
        <f t="array" ref="BK149">BE149*INDEX(Royalty!$U$7:$Z$246,MATCH('Decline and Model'!$E149,Royalty!$AI$7:$AI$246,0),MATCH('Decline and Model'!BK$8,Royalty!$U$1:$Z$1,0))</f>
        <v>7.6232041071635864E-2</v>
      </c>
      <c r="BL149" s="127">
        <f t="array" ref="BL149">BF149*INDEX(Royalty!$U$7:$Z$246,MATCH('Decline and Model'!$E149,Royalty!$AI$7:$AI$246,0),MATCH('Decline and Model'!BL$8,Royalty!$U$1:$Z$1,0))</f>
        <v>2.3663994394895742E-2</v>
      </c>
      <c r="BM149" s="127">
        <f t="array" ref="BM149">BG149*INDEX(Royalty!$U$7:$Z$246,MATCH('Decline and Model'!$E149,Royalty!$AI$7:$AI$246,0),MATCH('Decline and Model'!BM$8,Royalty!$U$1:$Z$1,0))</f>
        <v>3.1229875948068465E-2</v>
      </c>
      <c r="BN149" s="127">
        <f t="array" ref="BN149">BH149*INDEX(Royalty!$U$7:$Z$246,MATCH('Decline and Model'!$E149,Royalty!$AI$7:$AI$246,0),MATCH('Decline and Model'!BN$8,Royalty!$U$1:$Z$1,0))</f>
        <v>2.3862361632916156E-2</v>
      </c>
      <c r="BO149" s="127">
        <f t="array" ref="BO149">BI149*INDEX(Royalty!$U$7:$Z$246,MATCH('Decline and Model'!$E149,Royalty!$AI$7:$AI$246,0),MATCH('Decline and Model'!BO$8,Royalty!$U$1:$Z$1,0))</f>
        <v>6.4162887947116568E-3</v>
      </c>
      <c r="BP149" s="135">
        <f t="shared" si="121"/>
        <v>0.24771876957911079</v>
      </c>
      <c r="BQ149" s="7"/>
      <c r="BR149" s="7"/>
      <c r="BS149">
        <v>141</v>
      </c>
      <c r="BT149" s="120">
        <f t="shared" si="122"/>
        <v>18069.048385649443</v>
      </c>
      <c r="BU149" s="113">
        <f t="shared" si="123"/>
        <v>13925.268322661241</v>
      </c>
      <c r="BV149" s="113">
        <f t="shared" si="124"/>
        <v>4177.5804967983722</v>
      </c>
      <c r="BW149" s="113">
        <f t="shared" si="157"/>
        <v>524960.93480760232</v>
      </c>
      <c r="BX149" s="113">
        <f t="shared" si="150"/>
        <v>11603.973047033051</v>
      </c>
      <c r="BY149" s="120">
        <f t="shared" si="151"/>
        <v>25165.911334896507</v>
      </c>
      <c r="BZ149" s="153">
        <f t="shared" si="158"/>
        <v>0</v>
      </c>
      <c r="CA149" s="120">
        <f t="shared" si="160"/>
        <v>25165.911334896507</v>
      </c>
      <c r="CB149" s="120">
        <f t="shared" si="152"/>
        <v>6291.4778337241269</v>
      </c>
      <c r="CC149" s="153">
        <f t="shared" si="153"/>
        <v>30478.406548205432</v>
      </c>
      <c r="CD149" s="7">
        <f t="shared" si="125"/>
        <v>10492.436690750548</v>
      </c>
      <c r="CE149" s="11">
        <f>SUM($CD$9:CD149)</f>
        <v>25048548.173651014</v>
      </c>
      <c r="CF149" s="11">
        <f t="shared" si="154"/>
        <v>12000000</v>
      </c>
      <c r="CG149">
        <f t="shared" si="155"/>
        <v>13048548.173651014</v>
      </c>
    </row>
    <row r="150" spans="1:85">
      <c r="A150">
        <f t="shared" si="126"/>
        <v>2029</v>
      </c>
      <c r="B150">
        <f t="shared" si="127"/>
        <v>30.416666666666668</v>
      </c>
      <c r="C150">
        <f t="shared" ref="C150:C213" si="161">C138+1</f>
        <v>12</v>
      </c>
      <c r="E150" s="97">
        <v>47119</v>
      </c>
      <c r="F150" s="2">
        <f>$F$6*EXP(-$F$3*COUNT($E$9:$E150))</f>
        <v>0.66129189222038443</v>
      </c>
      <c r="G150" s="260">
        <f>$F$6/(1+$F$5*$F$3*COUNT($E$9:$E150))^(1/$F$5)</f>
        <v>6.6645593852948872</v>
      </c>
      <c r="H150" s="260">
        <f>$H$6/(1+$H$5*$H$3*COUNT($E$9:$E150))^(1/$H$5)</f>
        <v>133.07600616130563</v>
      </c>
      <c r="I150" s="260">
        <f t="shared" si="128"/>
        <v>25.347810697391548</v>
      </c>
      <c r="J150" s="260">
        <f t="shared" si="129"/>
        <v>10.554828374393841</v>
      </c>
      <c r="K150" s="260">
        <f t="shared" si="129"/>
        <v>7.1810347705710251</v>
      </c>
      <c r="L150" s="260">
        <f t="shared" si="129"/>
        <v>3.4244892252175982</v>
      </c>
      <c r="M150" s="260">
        <f t="shared" si="112"/>
        <v>4.1899931082788227</v>
      </c>
      <c r="N150" s="19">
        <f t="shared" si="130"/>
        <v>20.114295055036695</v>
      </c>
      <c r="O150" s="19">
        <f t="shared" si="131"/>
        <v>202.71368130271949</v>
      </c>
      <c r="P150" s="19">
        <f t="shared" si="132"/>
        <v>4047.7285207397131</v>
      </c>
      <c r="Q150" s="19">
        <f t="shared" si="133"/>
        <v>770.99590871232624</v>
      </c>
      <c r="R150" s="19">
        <f t="shared" si="134"/>
        <v>321.04269638781267</v>
      </c>
      <c r="S150" s="19">
        <f t="shared" si="135"/>
        <v>218.42314093820201</v>
      </c>
      <c r="T150" s="19">
        <f t="shared" si="136"/>
        <v>104.16154726703529</v>
      </c>
      <c r="U150" s="19">
        <f t="shared" si="137"/>
        <v>127.44562371014753</v>
      </c>
      <c r="V150" s="261">
        <f t="shared" si="156"/>
        <v>1377.2174062838365</v>
      </c>
      <c r="W150" s="261">
        <f>SUM(O$9:O150)</f>
        <v>554827.69852384587</v>
      </c>
      <c r="X150" s="261">
        <f>SUM(P$9:P150)</f>
        <v>2277540.2999748047</v>
      </c>
      <c r="Y150" s="261">
        <f>SUM(Q$9:Q150)</f>
        <v>433817.19999520067</v>
      </c>
      <c r="Z150" s="261">
        <f>SUM($V$9:V150)</f>
        <v>1215687.1292907523</v>
      </c>
      <c r="AB150" s="257">
        <f t="array" ref="AB150">(INDEX(PriceDeck!$C$18:$O$77,MATCH('Decline and Model'!$A150,PriceDeck!$B$18:$B$77,0),MATCH('Decline and Model'!AB$8,PriceDeck!$C$13:$O$13,0))*(1+$AE$6))</f>
        <v>88.8</v>
      </c>
      <c r="AC150" s="257">
        <f t="array" ref="AC150">INDEX(PriceDeck!$C$18:$O$77,MATCH('Decline and Model'!$A150,PriceDeck!$B$18:$B$77,0),MATCH('Decline and Model'!AC$8,PriceDeck!$C$13:$O$13,0))*(1+$AE$6)</f>
        <v>101.4</v>
      </c>
      <c r="AD150" s="257">
        <f t="array" ref="AD150">INDEX(PriceDeck!$C$18:$O$77,MATCH('Decline and Model'!$A150,PriceDeck!$B$18:$B$77,0),MATCH('Decline and Model'!AD$8,PriceDeck!$C$13:$O$13,0))*(1+$AE$6)</f>
        <v>17.600000000000001</v>
      </c>
      <c r="AE150" s="257">
        <f t="array" ref="AE150">INDEX(PriceDeck!$C$18:$O$77,MATCH('Decline and Model'!$A150,PriceDeck!$B$18:$B$77,0),MATCH('Decline and Model'!AE$8,PriceDeck!$C$13:$O$13,0))*(1+$AE$6)</f>
        <v>35.6</v>
      </c>
      <c r="AF150" s="257">
        <f t="array" ref="AF150">INDEX(PriceDeck!$C$18:$O$77,MATCH('Decline and Model'!$A150,PriceDeck!$B$18:$B$77,0),MATCH('Decline and Model'!AF$8,PriceDeck!$C$13:$O$13,0))*(1+$AE$6)</f>
        <v>105.2</v>
      </c>
      <c r="AG150" s="257">
        <f t="array" ref="AG150">INDEX(PriceDeck!$C$18:$O$77,MATCH('Decline and Model'!$A150,PriceDeck!$B$18:$B$77,0),MATCH('Decline and Model'!AG$8,PriceDeck!$C$13:$O$13,0))*(1+$AE$6)</f>
        <v>74.3</v>
      </c>
      <c r="AH150" s="258">
        <f t="array" ref="AH150">INDEX(PriceDeck!$C$18:$O$77,MATCH('Decline and Model'!$A150,PriceDeck!$B$18:$B$77,0),MATCH('Decline and Model'!AH$8,PriceDeck!$C$13:$O$13,0))</f>
        <v>0.85</v>
      </c>
      <c r="AI150" s="258">
        <f t="shared" si="138"/>
        <v>4.6500000000000004</v>
      </c>
      <c r="AJ150" s="259">
        <f t="shared" si="113"/>
        <v>4.6500000000000004</v>
      </c>
      <c r="AK150" s="120">
        <v>4.6500000000000004</v>
      </c>
      <c r="AL150" s="120"/>
      <c r="AN150" s="7">
        <f t="shared" si="139"/>
        <v>20555.167284095758</v>
      </c>
      <c r="AO150" s="7">
        <f t="shared" si="140"/>
        <v>18821.937621439669</v>
      </c>
      <c r="AP150" s="7">
        <f t="shared" si="141"/>
        <v>5650.3514564255038</v>
      </c>
      <c r="AQ150" s="7">
        <f t="shared" si="142"/>
        <v>7775.8638173999916</v>
      </c>
      <c r="AR150" s="7">
        <f t="shared" si="143"/>
        <v>10957.794772492112</v>
      </c>
      <c r="AS150" s="7">
        <f t="shared" si="144"/>
        <v>9469.2098416639619</v>
      </c>
      <c r="AT150" s="7">
        <f t="shared" si="145"/>
        <v>73230.324793516993</v>
      </c>
      <c r="AU150">
        <f>SUM($AT$9:AT150)</f>
        <v>64899578.072259046</v>
      </c>
      <c r="AV150" s="7">
        <f>AT150/(1+$AR$5)^(COUNT($E$9:E150))</f>
        <v>25020.186931783872</v>
      </c>
      <c r="AW150" s="7">
        <f t="shared" si="159"/>
        <v>0</v>
      </c>
      <c r="AX150" s="7">
        <f t="shared" si="146"/>
        <v>0</v>
      </c>
      <c r="AY150" s="117">
        <f t="shared" si="147"/>
        <v>0</v>
      </c>
      <c r="AZ150" s="117">
        <f t="shared" si="148"/>
        <v>73230.324793516993</v>
      </c>
      <c r="BA150" s="120">
        <f t="shared" si="149"/>
        <v>18399.533697847448</v>
      </c>
      <c r="BB150" s="119">
        <f t="shared" si="114"/>
        <v>0</v>
      </c>
      <c r="BC150" s="17"/>
      <c r="BD150" s="126">
        <f t="shared" si="115"/>
        <v>0.28069201307045805</v>
      </c>
      <c r="BE150" s="127">
        <f t="shared" si="116"/>
        <v>0.25702381731216839</v>
      </c>
      <c r="BF150" s="127">
        <f t="shared" si="117"/>
        <v>7.7158628919883246E-2</v>
      </c>
      <c r="BG150" s="127">
        <f t="shared" si="118"/>
        <v>0.10618365874144506</v>
      </c>
      <c r="BH150" s="127">
        <f t="shared" si="119"/>
        <v>0.14963466027754385</v>
      </c>
      <c r="BI150" s="128">
        <f t="shared" si="120"/>
        <v>0.12930722167850145</v>
      </c>
      <c r="BJ150" s="126">
        <f t="array" ref="BJ150">BD150*INDEX(Royalty!$U$7:$Z$246,MATCH('Decline and Model'!$E150,Royalty!$AI$7:$AI$246,0),MATCH('Decline and Model'!BJ$8,Royalty!$U$1:$Z$1,0))</f>
        <v>8.7082037408464333E-2</v>
      </c>
      <c r="BK150" s="127">
        <f t="array" ref="BK150">BE150*INDEX(Royalty!$U$7:$Z$246,MATCH('Decline and Model'!$E150,Royalty!$AI$7:$AI$246,0),MATCH('Decline and Model'!BK$8,Royalty!$U$1:$Z$1,0))</f>
        <v>7.7343356831205842E-2</v>
      </c>
      <c r="BL150" s="127">
        <f t="array" ref="BL150">BF150*INDEX(Royalty!$U$7:$Z$246,MATCH('Decline and Model'!$E150,Royalty!$AI$7:$AI$246,0),MATCH('Decline and Model'!BL$8,Royalty!$U$1:$Z$1,0))</f>
        <v>2.4035428110751798E-2</v>
      </c>
      <c r="BM150" s="127">
        <f t="array" ref="BM150">BG150*INDEX(Royalty!$U$7:$Z$246,MATCH('Decline and Model'!$E150,Royalty!$AI$7:$AI$246,0),MATCH('Decline and Model'!BM$8,Royalty!$U$1:$Z$1,0))</f>
        <v>3.1972197350775243E-2</v>
      </c>
      <c r="BN150" s="127">
        <f t="array" ref="BN150">BH150*INDEX(Royalty!$U$7:$Z$246,MATCH('Decline and Model'!$E150,Royalty!$AI$7:$AI$246,0),MATCH('Decline and Model'!BN$8,Royalty!$U$1:$Z$1,0))</f>
        <v>2.4357280714775078E-2</v>
      </c>
      <c r="BO150" s="127">
        <f t="array" ref="BO150">BI150*INDEX(Royalty!$U$7:$Z$246,MATCH('Decline and Model'!$E150,Royalty!$AI$7:$AI$246,0),MATCH('Decline and Model'!BO$8,Royalty!$U$1:$Z$1,0))</f>
        <v>6.4653610839250728E-3</v>
      </c>
      <c r="BP150" s="135">
        <f t="shared" si="121"/>
        <v>0.25125566149989736</v>
      </c>
      <c r="BQ150" s="7"/>
      <c r="BR150" s="7"/>
      <c r="BS150">
        <v>142</v>
      </c>
      <c r="BT150" s="120">
        <f t="shared" si="122"/>
        <v>18399.533697847448</v>
      </c>
      <c r="BU150" s="113">
        <f t="shared" si="123"/>
        <v>13772.174062838365</v>
      </c>
      <c r="BV150" s="113">
        <f t="shared" si="124"/>
        <v>4131.6522188515091</v>
      </c>
      <c r="BW150" s="113">
        <f t="shared" si="157"/>
        <v>513356.96176056925</v>
      </c>
      <c r="BX150" s="113">
        <f t="shared" si="150"/>
        <v>11347.473598125258</v>
      </c>
      <c r="BY150" s="120">
        <f t="shared" si="151"/>
        <v>25579.49121585441</v>
      </c>
      <c r="BZ150" s="153">
        <f t="shared" si="158"/>
        <v>0</v>
      </c>
      <c r="CA150" s="120">
        <f t="shared" si="160"/>
        <v>25579.49121585441</v>
      </c>
      <c r="CB150" s="120">
        <f t="shared" si="152"/>
        <v>6394.8728039636026</v>
      </c>
      <c r="CC150" s="153">
        <f t="shared" si="153"/>
        <v>30532.092010016066</v>
      </c>
      <c r="CD150" s="7">
        <f t="shared" si="125"/>
        <v>10431.725540792026</v>
      </c>
      <c r="CE150" s="11">
        <f>SUM($CD$9:CD150)</f>
        <v>25058979.899191804</v>
      </c>
      <c r="CF150" s="11">
        <f t="shared" si="154"/>
        <v>12000000</v>
      </c>
      <c r="CG150">
        <f t="shared" si="155"/>
        <v>13058979.899191804</v>
      </c>
    </row>
    <row r="151" spans="1:85">
      <c r="A151">
        <f t="shared" si="126"/>
        <v>2029</v>
      </c>
      <c r="B151">
        <f t="shared" si="127"/>
        <v>30.416666666666668</v>
      </c>
      <c r="C151">
        <f t="shared" si="161"/>
        <v>12</v>
      </c>
      <c r="E151" s="97">
        <v>47150</v>
      </c>
      <c r="F151" s="2">
        <f>$F$6*EXP(-$F$3*COUNT($E$9:$E151))</f>
        <v>0.62904030606378458</v>
      </c>
      <c r="G151" s="260">
        <f>$F$6/(1+$F$5*$F$3*COUNT($E$9:$E151))^(1/$F$5)</f>
        <v>6.5079943674204364</v>
      </c>
      <c r="H151" s="260">
        <f>$H$6/(1+$H$5*$H$3*COUNT($E$9:$E151))^(1/$H$5)</f>
        <v>131.91367733580711</v>
      </c>
      <c r="I151" s="260">
        <f t="shared" si="128"/>
        <v>25.126414730629925</v>
      </c>
      <c r="J151" s="260">
        <f t="shared" si="129"/>
        <v>10.462639093834301</v>
      </c>
      <c r="K151" s="260">
        <f t="shared" si="129"/>
        <v>7.118313293187458</v>
      </c>
      <c r="L151" s="260">
        <f t="shared" si="129"/>
        <v>3.3945786301081027</v>
      </c>
      <c r="M151" s="260">
        <f t="shared" si="112"/>
        <v>4.1533963549731263</v>
      </c>
      <c r="N151" s="19">
        <f t="shared" si="130"/>
        <v>19.133309309440115</v>
      </c>
      <c r="O151" s="19">
        <f t="shared" si="131"/>
        <v>197.9514953423716</v>
      </c>
      <c r="P151" s="19">
        <f t="shared" si="132"/>
        <v>4012.3743522974664</v>
      </c>
      <c r="Q151" s="19">
        <f t="shared" si="133"/>
        <v>764.26178138999353</v>
      </c>
      <c r="R151" s="19">
        <f t="shared" si="134"/>
        <v>318.23860577079336</v>
      </c>
      <c r="S151" s="19">
        <f t="shared" si="135"/>
        <v>216.51536266778518</v>
      </c>
      <c r="T151" s="19">
        <f t="shared" si="136"/>
        <v>103.25176666578813</v>
      </c>
      <c r="U151" s="19">
        <f t="shared" si="137"/>
        <v>126.33247246376592</v>
      </c>
      <c r="V151" s="261">
        <f t="shared" si="156"/>
        <v>1362.1967253882997</v>
      </c>
      <c r="W151" s="261">
        <f>SUM(O$9:O151)</f>
        <v>555025.6500191883</v>
      </c>
      <c r="X151" s="261">
        <f>SUM(P$9:P151)</f>
        <v>2281552.674327102</v>
      </c>
      <c r="Y151" s="261">
        <f>SUM(Q$9:Q151)</f>
        <v>434581.46177659067</v>
      </c>
      <c r="Z151" s="261">
        <f>SUM($V$9:V151)</f>
        <v>1217049.3260161406</v>
      </c>
      <c r="AB151" s="257">
        <f t="array" ref="AB151">(INDEX(PriceDeck!$C$18:$O$77,MATCH('Decline and Model'!$A151,PriceDeck!$B$18:$B$77,0),MATCH('Decline and Model'!AB$8,PriceDeck!$C$13:$O$13,0))*(1+$AE$6))</f>
        <v>88.8</v>
      </c>
      <c r="AC151" s="257">
        <f t="array" ref="AC151">INDEX(PriceDeck!$C$18:$O$77,MATCH('Decline and Model'!$A151,PriceDeck!$B$18:$B$77,0),MATCH('Decline and Model'!AC$8,PriceDeck!$C$13:$O$13,0))*(1+$AE$6)</f>
        <v>101.4</v>
      </c>
      <c r="AD151" s="257">
        <f t="array" ref="AD151">INDEX(PriceDeck!$C$18:$O$77,MATCH('Decline and Model'!$A151,PriceDeck!$B$18:$B$77,0),MATCH('Decline and Model'!AD$8,PriceDeck!$C$13:$O$13,0))*(1+$AE$6)</f>
        <v>17.600000000000001</v>
      </c>
      <c r="AE151" s="257">
        <f t="array" ref="AE151">INDEX(PriceDeck!$C$18:$O$77,MATCH('Decline and Model'!$A151,PriceDeck!$B$18:$B$77,0),MATCH('Decline and Model'!AE$8,PriceDeck!$C$13:$O$13,0))*(1+$AE$6)</f>
        <v>35.6</v>
      </c>
      <c r="AF151" s="257">
        <f t="array" ref="AF151">INDEX(PriceDeck!$C$18:$O$77,MATCH('Decline and Model'!$A151,PriceDeck!$B$18:$B$77,0),MATCH('Decline and Model'!AF$8,PriceDeck!$C$13:$O$13,0))*(1+$AE$6)</f>
        <v>105.2</v>
      </c>
      <c r="AG151" s="257">
        <f t="array" ref="AG151">INDEX(PriceDeck!$C$18:$O$77,MATCH('Decline and Model'!$A151,PriceDeck!$B$18:$B$77,0),MATCH('Decline and Model'!AG$8,PriceDeck!$C$13:$O$13,0))*(1+$AE$6)</f>
        <v>74.3</v>
      </c>
      <c r="AH151" s="258">
        <f t="array" ref="AH151">INDEX(PriceDeck!$C$18:$O$77,MATCH('Decline and Model'!$A151,PriceDeck!$B$18:$B$77,0),MATCH('Decline and Model'!AH$8,PriceDeck!$C$13:$O$13,0))</f>
        <v>0.85</v>
      </c>
      <c r="AI151" s="258">
        <f t="shared" si="138"/>
        <v>4.6500000000000004</v>
      </c>
      <c r="AJ151" s="259">
        <f t="shared" si="113"/>
        <v>4.6500000000000004</v>
      </c>
      <c r="AK151" s="120">
        <v>4.6500000000000004</v>
      </c>
      <c r="AL151" s="120"/>
      <c r="AN151" s="7">
        <f t="shared" si="139"/>
        <v>20072.281627716482</v>
      </c>
      <c r="AO151" s="7">
        <f t="shared" si="140"/>
        <v>18657.540738183219</v>
      </c>
      <c r="AP151" s="7">
        <f t="shared" si="141"/>
        <v>5600.9994615659634</v>
      </c>
      <c r="AQ151" s="7">
        <f t="shared" si="142"/>
        <v>7707.9469109731526</v>
      </c>
      <c r="AR151" s="7">
        <f t="shared" si="143"/>
        <v>10862.085853240911</v>
      </c>
      <c r="AS151" s="7">
        <f t="shared" si="144"/>
        <v>9386.5027040578079</v>
      </c>
      <c r="AT151" s="7">
        <f t="shared" si="145"/>
        <v>72287.357295737544</v>
      </c>
      <c r="AU151">
        <f>SUM($AT$9:AT151)</f>
        <v>64971865.429554783</v>
      </c>
      <c r="AV151" s="7">
        <f>AT151/(1+$AR$5)^(COUNT($E$9:E151))</f>
        <v>24511.925488228888</v>
      </c>
      <c r="AW151" s="7">
        <f t="shared" si="159"/>
        <v>0</v>
      </c>
      <c r="AX151" s="7">
        <f t="shared" si="146"/>
        <v>0</v>
      </c>
      <c r="AY151" s="117">
        <f t="shared" si="147"/>
        <v>0</v>
      </c>
      <c r="AZ151" s="117">
        <f t="shared" si="148"/>
        <v>72287.357295737544</v>
      </c>
      <c r="BA151" s="120">
        <f t="shared" si="149"/>
        <v>18144.71470624072</v>
      </c>
      <c r="BB151" s="119">
        <f t="shared" si="114"/>
        <v>0</v>
      </c>
      <c r="BC151" s="17"/>
      <c r="BD151" s="126">
        <f t="shared" si="115"/>
        <v>0.2776734740156292</v>
      </c>
      <c r="BE151" s="127">
        <f t="shared" si="116"/>
        <v>0.25810240457197303</v>
      </c>
      <c r="BF151" s="127">
        <f t="shared" si="117"/>
        <v>7.7482421146639821E-2</v>
      </c>
      <c r="BG151" s="127">
        <f t="shared" si="118"/>
        <v>0.1066292530163868</v>
      </c>
      <c r="BH151" s="127">
        <f t="shared" si="119"/>
        <v>0.15026259445068132</v>
      </c>
      <c r="BI151" s="128">
        <f t="shared" si="120"/>
        <v>0.12984985279868969</v>
      </c>
      <c r="BJ151" s="126">
        <f t="array" ref="BJ151">BD151*INDEX(Royalty!$U$7:$Z$246,MATCH('Decline and Model'!$E151,Royalty!$AI$7:$AI$246,0),MATCH('Decline and Model'!BJ$8,Royalty!$U$1:$Z$1,0))</f>
        <v>8.614556426832716E-2</v>
      </c>
      <c r="BK151" s="127">
        <f t="array" ref="BK151">BE151*INDEX(Royalty!$U$7:$Z$246,MATCH('Decline and Model'!$E151,Royalty!$AI$7:$AI$246,0),MATCH('Decline and Model'!BK$8,Royalty!$U$1:$Z$1,0))</f>
        <v>7.7667924259162691E-2</v>
      </c>
      <c r="BL151" s="127">
        <f t="array" ref="BL151">BF151*INDEX(Royalty!$U$7:$Z$246,MATCH('Decline and Model'!$E151,Royalty!$AI$7:$AI$246,0),MATCH('Decline and Model'!BL$8,Royalty!$U$1:$Z$1,0))</f>
        <v>2.4136291551406099E-2</v>
      </c>
      <c r="BM151" s="127">
        <f t="array" ref="BM151">BG151*INDEX(Royalty!$U$7:$Z$246,MATCH('Decline and Model'!$E151,Royalty!$AI$7:$AI$246,0),MATCH('Decline and Model'!BM$8,Royalty!$U$1:$Z$1,0))</f>
        <v>3.2106367036258611E-2</v>
      </c>
      <c r="BN151" s="127">
        <f t="array" ref="BN151">BH151*INDEX(Royalty!$U$7:$Z$246,MATCH('Decline and Model'!$E151,Royalty!$AI$7:$AI$246,0),MATCH('Decline and Model'!BN$8,Royalty!$U$1:$Z$1,0))</f>
        <v>2.4459494793365833E-2</v>
      </c>
      <c r="BO151" s="127">
        <f t="array" ref="BO151">BI151*INDEX(Royalty!$U$7:$Z$246,MATCH('Decline and Model'!$E151,Royalty!$AI$7:$AI$246,0),MATCH('Decline and Model'!BO$8,Royalty!$U$1:$Z$1,0))</f>
        <v>6.4924926399344846E-3</v>
      </c>
      <c r="BP151" s="135">
        <f t="shared" si="121"/>
        <v>0.25100813454845489</v>
      </c>
      <c r="BQ151" s="7"/>
      <c r="BR151" s="7"/>
      <c r="BS151">
        <v>143</v>
      </c>
      <c r="BT151" s="120">
        <f t="shared" si="122"/>
        <v>18144.71470624072</v>
      </c>
      <c r="BU151" s="113">
        <f t="shared" si="123"/>
        <v>13621.967253882996</v>
      </c>
      <c r="BV151" s="113">
        <f t="shared" si="124"/>
        <v>4086.5901761648993</v>
      </c>
      <c r="BW151" s="113">
        <f t="shared" si="157"/>
        <v>502009.48816244397</v>
      </c>
      <c r="BX151" s="113">
        <f t="shared" si="150"/>
        <v>11096.643928613137</v>
      </c>
      <c r="BY151" s="120">
        <f t="shared" si="151"/>
        <v>25337.441230835793</v>
      </c>
      <c r="BZ151" s="153">
        <f t="shared" si="158"/>
        <v>0</v>
      </c>
      <c r="CA151" s="120">
        <f t="shared" si="160"/>
        <v>25337.441230835793</v>
      </c>
      <c r="CB151" s="120">
        <f t="shared" si="152"/>
        <v>6334.3603077089483</v>
      </c>
      <c r="CC151" s="153">
        <f t="shared" si="153"/>
        <v>30099.724851739978</v>
      </c>
      <c r="CD151" s="7">
        <f t="shared" si="125"/>
        <v>10206.517991293984</v>
      </c>
      <c r="CE151" s="11">
        <f>SUM($CD$9:CD151)</f>
        <v>25069186.417183097</v>
      </c>
      <c r="CF151" s="11">
        <f t="shared" si="154"/>
        <v>12000000</v>
      </c>
      <c r="CG151">
        <f t="shared" si="155"/>
        <v>13069186.417183097</v>
      </c>
    </row>
    <row r="152" spans="1:85">
      <c r="A152">
        <f t="shared" si="126"/>
        <v>2029</v>
      </c>
      <c r="B152">
        <f t="shared" si="127"/>
        <v>30.416666666666668</v>
      </c>
      <c r="C152">
        <f t="shared" si="161"/>
        <v>12</v>
      </c>
      <c r="E152" s="97">
        <v>47178</v>
      </c>
      <c r="F152" s="2">
        <f>$F$6*EXP(-$F$3*COUNT($E$9:$E152))</f>
        <v>0.59836164832480687</v>
      </c>
      <c r="G152" s="260">
        <f>$F$6/(1+$F$5*$F$3*COUNT($E$9:$E152))^(1/$F$5)</f>
        <v>6.3556615108935812</v>
      </c>
      <c r="H152" s="260">
        <f>$H$6/(1+$H$5*$H$3*COUNT($E$9:$E152))^(1/$H$5)</f>
        <v>130.76864529279862</v>
      </c>
      <c r="I152" s="260">
        <f t="shared" si="128"/>
        <v>24.908313389104499</v>
      </c>
      <c r="J152" s="260">
        <f t="shared" si="129"/>
        <v>10.371821695223113</v>
      </c>
      <c r="K152" s="260">
        <f t="shared" si="129"/>
        <v>7.0565251831333047</v>
      </c>
      <c r="L152" s="260">
        <f t="shared" si="129"/>
        <v>3.365113138868018</v>
      </c>
      <c r="M152" s="260">
        <f t="shared" si="112"/>
        <v>4.1173442032189742</v>
      </c>
      <c r="N152" s="19">
        <f t="shared" si="130"/>
        <v>18.200166803212877</v>
      </c>
      <c r="O152" s="19">
        <f t="shared" si="131"/>
        <v>193.31803762301311</v>
      </c>
      <c r="P152" s="19">
        <f t="shared" si="132"/>
        <v>3977.5462943226248</v>
      </c>
      <c r="Q152" s="19">
        <f t="shared" si="133"/>
        <v>757.62786558526193</v>
      </c>
      <c r="R152" s="19">
        <f t="shared" si="134"/>
        <v>315.47624322970307</v>
      </c>
      <c r="S152" s="19">
        <f t="shared" si="135"/>
        <v>214.63597432030468</v>
      </c>
      <c r="T152" s="19">
        <f t="shared" si="136"/>
        <v>102.35552464056889</v>
      </c>
      <c r="U152" s="19">
        <f t="shared" si="137"/>
        <v>125.2358861812438</v>
      </c>
      <c r="V152" s="261">
        <f t="shared" si="156"/>
        <v>1347.4574308728918</v>
      </c>
      <c r="W152" s="261">
        <f>SUM(O$9:O152)</f>
        <v>555218.96805681125</v>
      </c>
      <c r="X152" s="261">
        <f>SUM(P$9:P152)</f>
        <v>2285530.2206214247</v>
      </c>
      <c r="Y152" s="261">
        <f>SUM(Q$9:Q152)</f>
        <v>435339.08964217594</v>
      </c>
      <c r="Z152" s="261">
        <f>SUM($V$9:V152)</f>
        <v>1218396.7834470135</v>
      </c>
      <c r="AB152" s="257">
        <f t="array" ref="AB152">(INDEX(PriceDeck!$C$18:$O$77,MATCH('Decline and Model'!$A152,PriceDeck!$B$18:$B$77,0),MATCH('Decline and Model'!AB$8,PriceDeck!$C$13:$O$13,0))*(1+$AE$6))</f>
        <v>88.8</v>
      </c>
      <c r="AC152" s="257">
        <f t="array" ref="AC152">INDEX(PriceDeck!$C$18:$O$77,MATCH('Decline and Model'!$A152,PriceDeck!$B$18:$B$77,0),MATCH('Decline and Model'!AC$8,PriceDeck!$C$13:$O$13,0))*(1+$AE$6)</f>
        <v>101.4</v>
      </c>
      <c r="AD152" s="257">
        <f t="array" ref="AD152">INDEX(PriceDeck!$C$18:$O$77,MATCH('Decline and Model'!$A152,PriceDeck!$B$18:$B$77,0),MATCH('Decline and Model'!AD$8,PriceDeck!$C$13:$O$13,0))*(1+$AE$6)</f>
        <v>17.600000000000001</v>
      </c>
      <c r="AE152" s="257">
        <f t="array" ref="AE152">INDEX(PriceDeck!$C$18:$O$77,MATCH('Decline and Model'!$A152,PriceDeck!$B$18:$B$77,0),MATCH('Decline and Model'!AE$8,PriceDeck!$C$13:$O$13,0))*(1+$AE$6)</f>
        <v>35.6</v>
      </c>
      <c r="AF152" s="257">
        <f t="array" ref="AF152">INDEX(PriceDeck!$C$18:$O$77,MATCH('Decline and Model'!$A152,PriceDeck!$B$18:$B$77,0),MATCH('Decline and Model'!AF$8,PriceDeck!$C$13:$O$13,0))*(1+$AE$6)</f>
        <v>105.2</v>
      </c>
      <c r="AG152" s="257">
        <f t="array" ref="AG152">INDEX(PriceDeck!$C$18:$O$77,MATCH('Decline and Model'!$A152,PriceDeck!$B$18:$B$77,0),MATCH('Decline and Model'!AG$8,PriceDeck!$C$13:$O$13,0))*(1+$AE$6)</f>
        <v>74.3</v>
      </c>
      <c r="AH152" s="258">
        <f t="array" ref="AH152">INDEX(PriceDeck!$C$18:$O$77,MATCH('Decline and Model'!$A152,PriceDeck!$B$18:$B$77,0),MATCH('Decline and Model'!AH$8,PriceDeck!$C$13:$O$13,0))</f>
        <v>0.85</v>
      </c>
      <c r="AI152" s="258">
        <f t="shared" si="138"/>
        <v>4.6500000000000004</v>
      </c>
      <c r="AJ152" s="259">
        <f t="shared" si="113"/>
        <v>4.6500000000000004</v>
      </c>
      <c r="AK152" s="120">
        <v>4.6500000000000004</v>
      </c>
      <c r="AL152" s="120"/>
      <c r="AN152" s="7">
        <f t="shared" si="139"/>
        <v>19602.449014973532</v>
      </c>
      <c r="AO152" s="7">
        <f t="shared" si="140"/>
        <v>18495.590268600208</v>
      </c>
      <c r="AP152" s="7">
        <f t="shared" si="141"/>
        <v>5552.3818808427741</v>
      </c>
      <c r="AQ152" s="7">
        <f t="shared" si="142"/>
        <v>7641.0406858028473</v>
      </c>
      <c r="AR152" s="7">
        <f t="shared" si="143"/>
        <v>10767.801192187848</v>
      </c>
      <c r="AS152" s="7">
        <f t="shared" si="144"/>
        <v>9305.0263432664142</v>
      </c>
      <c r="AT152" s="7">
        <f t="shared" si="145"/>
        <v>71364.289385673619</v>
      </c>
      <c r="AU152">
        <f>SUM($AT$9:AT152)</f>
        <v>65043229.718940459</v>
      </c>
      <c r="AV152" s="7">
        <f>AT152/(1+$AR$5)^(COUNT($E$9:E152))</f>
        <v>24016.59948182802</v>
      </c>
      <c r="AW152" s="7">
        <f t="shared" si="159"/>
        <v>0</v>
      </c>
      <c r="AX152" s="7">
        <f t="shared" si="146"/>
        <v>0</v>
      </c>
      <c r="AY152" s="117">
        <f t="shared" si="147"/>
        <v>0</v>
      </c>
      <c r="AZ152" s="117">
        <f t="shared" si="148"/>
        <v>71364.289385673619</v>
      </c>
      <c r="BA152" s="120">
        <f t="shared" si="149"/>
        <v>17895.507941245563</v>
      </c>
      <c r="BB152" s="119">
        <f t="shared" si="114"/>
        <v>0</v>
      </c>
      <c r="BC152" s="17"/>
      <c r="BD152" s="126">
        <f t="shared" si="115"/>
        <v>0.27468148542804272</v>
      </c>
      <c r="BE152" s="127">
        <f t="shared" si="116"/>
        <v>0.25917150479344925</v>
      </c>
      <c r="BF152" s="127">
        <f t="shared" si="117"/>
        <v>7.7803365361575574E-2</v>
      </c>
      <c r="BG152" s="127">
        <f t="shared" si="118"/>
        <v>0.10707092793299482</v>
      </c>
      <c r="BH152" s="127">
        <f t="shared" si="119"/>
        <v>0.15088500544012259</v>
      </c>
      <c r="BI152" s="128">
        <f t="shared" si="120"/>
        <v>0.13038771104381511</v>
      </c>
      <c r="BJ152" s="126">
        <f t="array" ref="BJ152">BD152*INDEX(Royalty!$U$7:$Z$246,MATCH('Decline and Model'!$E152,Royalty!$AI$7:$AI$246,0),MATCH('Decline and Model'!BJ$8,Royalty!$U$1:$Z$1,0))</f>
        <v>8.5217328159077746E-2</v>
      </c>
      <c r="BK152" s="127">
        <f t="array" ref="BK152">BE152*INDEX(Royalty!$U$7:$Z$246,MATCH('Decline and Model'!$E152,Royalty!$AI$7:$AI$246,0),MATCH('Decline and Model'!BK$8,Royalty!$U$1:$Z$1,0))</f>
        <v>7.7989636856783673E-2</v>
      </c>
      <c r="BL152" s="127">
        <f t="array" ref="BL152">BF152*INDEX(Royalty!$U$7:$Z$246,MATCH('Decline and Model'!$E152,Royalty!$AI$7:$AI$246,0),MATCH('Decline and Model'!BL$8,Royalty!$U$1:$Z$1,0))</f>
        <v>2.4236267817361521E-2</v>
      </c>
      <c r="BM152" s="127">
        <f t="array" ref="BM152">BG152*INDEX(Royalty!$U$7:$Z$246,MATCH('Decline and Model'!$E152,Royalty!$AI$7:$AI$246,0),MATCH('Decline and Model'!BM$8,Royalty!$U$1:$Z$1,0))</f>
        <v>3.2239356591959117E-2</v>
      </c>
      <c r="BN152" s="127">
        <f t="array" ref="BN152">BH152*INDEX(Royalty!$U$7:$Z$246,MATCH('Decline and Model'!$E152,Royalty!$AI$7:$AI$246,0),MATCH('Decline and Model'!BN$8,Royalty!$U$1:$Z$1,0))</f>
        <v>2.4560809817315916E-2</v>
      </c>
      <c r="BO152" s="127">
        <f t="array" ref="BO152">BI152*INDEX(Royalty!$U$7:$Z$246,MATCH('Decline and Model'!$E152,Royalty!$AI$7:$AI$246,0),MATCH('Decline and Model'!BO$8,Royalty!$U$1:$Z$1,0))</f>
        <v>6.5193855521907557E-3</v>
      </c>
      <c r="BP152" s="135">
        <f t="shared" si="121"/>
        <v>0.25076278479468872</v>
      </c>
      <c r="BQ152" s="7"/>
      <c r="BR152" s="7"/>
      <c r="BS152">
        <v>144</v>
      </c>
      <c r="BT152" s="120">
        <f t="shared" si="122"/>
        <v>17895.507941245563</v>
      </c>
      <c r="BU152" s="113">
        <f t="shared" si="123"/>
        <v>13474.574308728917</v>
      </c>
      <c r="BV152" s="113">
        <f t="shared" si="124"/>
        <v>4042.3722926186756</v>
      </c>
      <c r="BW152" s="113">
        <f t="shared" si="157"/>
        <v>490912.84423383081</v>
      </c>
      <c r="BX152" s="113">
        <f t="shared" si="150"/>
        <v>10851.35871113816</v>
      </c>
      <c r="BY152" s="120">
        <f t="shared" si="151"/>
        <v>25100.476131942301</v>
      </c>
      <c r="BZ152" s="153">
        <f t="shared" si="158"/>
        <v>0</v>
      </c>
      <c r="CA152" s="120">
        <f t="shared" si="160"/>
        <v>25100.476131942301</v>
      </c>
      <c r="CB152" s="120">
        <f t="shared" si="152"/>
        <v>6275.1190329855754</v>
      </c>
      <c r="CC152" s="153">
        <f t="shared" si="153"/>
        <v>29676.715810094887</v>
      </c>
      <c r="CD152" s="7">
        <f t="shared" si="125"/>
        <v>9987.2611873882615</v>
      </c>
      <c r="CE152" s="11">
        <f>SUM($CD$9:CD152)</f>
        <v>25079173.678370487</v>
      </c>
      <c r="CF152" s="11">
        <f t="shared" si="154"/>
        <v>12000000</v>
      </c>
      <c r="CG152">
        <f t="shared" si="155"/>
        <v>13079173.678370487</v>
      </c>
    </row>
    <row r="153" spans="1:85">
      <c r="A153">
        <f t="shared" si="126"/>
        <v>2029</v>
      </c>
      <c r="B153">
        <f t="shared" si="127"/>
        <v>30.416666666666668</v>
      </c>
      <c r="C153">
        <f t="shared" si="161"/>
        <v>13</v>
      </c>
      <c r="E153" s="97">
        <v>47209</v>
      </c>
      <c r="F153" s="2">
        <f>$F$6*EXP(-$F$3*COUNT($E$9:$E153))</f>
        <v>0.56917920637930475</v>
      </c>
      <c r="G153" s="260">
        <f>$F$6/(1+$F$5*$F$3*COUNT($E$9:$E153))^(1/$F$5)</f>
        <v>6.2074315448252566</v>
      </c>
      <c r="H153" s="260">
        <f>$H$6/(1+$H$5*$H$3*COUNT($E$9:$E153))^(1/$H$5)</f>
        <v>129.6405476268701</v>
      </c>
      <c r="I153" s="260">
        <f t="shared" si="128"/>
        <v>24.69343764321335</v>
      </c>
      <c r="J153" s="260">
        <f t="shared" si="129"/>
        <v>10.282347434634039</v>
      </c>
      <c r="K153" s="260">
        <f t="shared" si="129"/>
        <v>6.9956508843223419</v>
      </c>
      <c r="L153" s="260">
        <f t="shared" si="129"/>
        <v>3.3360834255981238</v>
      </c>
      <c r="M153" s="260">
        <f t="shared" si="112"/>
        <v>4.0818252424231671</v>
      </c>
      <c r="N153" s="19">
        <f t="shared" si="130"/>
        <v>17.312534194037188</v>
      </c>
      <c r="O153" s="19">
        <f t="shared" si="131"/>
        <v>188.80937615510157</v>
      </c>
      <c r="P153" s="19">
        <f t="shared" si="132"/>
        <v>3943.2333236506324</v>
      </c>
      <c r="Q153" s="19">
        <f t="shared" si="133"/>
        <v>751.09206164773946</v>
      </c>
      <c r="R153" s="19">
        <f t="shared" si="134"/>
        <v>312.75473447011871</v>
      </c>
      <c r="S153" s="19">
        <f t="shared" si="135"/>
        <v>212.78438106480456</v>
      </c>
      <c r="T153" s="19">
        <f t="shared" si="136"/>
        <v>101.47253752860961</v>
      </c>
      <c r="U153" s="19">
        <f t="shared" si="137"/>
        <v>124.15551779037133</v>
      </c>
      <c r="V153" s="261">
        <f t="shared" si="156"/>
        <v>1332.9923922262908</v>
      </c>
      <c r="W153" s="261">
        <f>SUM(O$9:O153)</f>
        <v>555407.7774329664</v>
      </c>
      <c r="X153" s="261">
        <f>SUM(P$9:P153)</f>
        <v>2289473.4539450752</v>
      </c>
      <c r="Y153" s="261">
        <f>SUM(Q$9:Q153)</f>
        <v>436090.18170382368</v>
      </c>
      <c r="Z153" s="261">
        <f>SUM($V$9:V153)</f>
        <v>1219729.7758392398</v>
      </c>
      <c r="AB153" s="257">
        <f t="array" ref="AB153">(INDEX(PriceDeck!$C$18:$O$77,MATCH('Decline and Model'!$A153,PriceDeck!$B$18:$B$77,0),MATCH('Decline and Model'!AB$8,PriceDeck!$C$13:$O$13,0))*(1+$AE$6))</f>
        <v>88.8</v>
      </c>
      <c r="AC153" s="257">
        <f t="array" ref="AC153">INDEX(PriceDeck!$C$18:$O$77,MATCH('Decline and Model'!$A153,PriceDeck!$B$18:$B$77,0),MATCH('Decline and Model'!AC$8,PriceDeck!$C$13:$O$13,0))*(1+$AE$6)</f>
        <v>101.4</v>
      </c>
      <c r="AD153" s="257">
        <f t="array" ref="AD153">INDEX(PriceDeck!$C$18:$O$77,MATCH('Decline and Model'!$A153,PriceDeck!$B$18:$B$77,0),MATCH('Decline and Model'!AD$8,PriceDeck!$C$13:$O$13,0))*(1+$AE$6)</f>
        <v>17.600000000000001</v>
      </c>
      <c r="AE153" s="257">
        <f t="array" ref="AE153">INDEX(PriceDeck!$C$18:$O$77,MATCH('Decline and Model'!$A153,PriceDeck!$B$18:$B$77,0),MATCH('Decline and Model'!AE$8,PriceDeck!$C$13:$O$13,0))*(1+$AE$6)</f>
        <v>35.6</v>
      </c>
      <c r="AF153" s="257">
        <f t="array" ref="AF153">INDEX(PriceDeck!$C$18:$O$77,MATCH('Decline and Model'!$A153,PriceDeck!$B$18:$B$77,0),MATCH('Decline and Model'!AF$8,PriceDeck!$C$13:$O$13,0))*(1+$AE$6)</f>
        <v>105.2</v>
      </c>
      <c r="AG153" s="257">
        <f t="array" ref="AG153">INDEX(PriceDeck!$C$18:$O$77,MATCH('Decline and Model'!$A153,PriceDeck!$B$18:$B$77,0),MATCH('Decline and Model'!AG$8,PriceDeck!$C$13:$O$13,0))*(1+$AE$6)</f>
        <v>74.3</v>
      </c>
      <c r="AH153" s="258">
        <f t="array" ref="AH153">INDEX(PriceDeck!$C$18:$O$77,MATCH('Decline and Model'!$A153,PriceDeck!$B$18:$B$77,0),MATCH('Decline and Model'!AH$8,PriceDeck!$C$13:$O$13,0))</f>
        <v>0.85</v>
      </c>
      <c r="AI153" s="258">
        <f t="shared" si="138"/>
        <v>4.6500000000000004</v>
      </c>
      <c r="AJ153" s="259">
        <f t="shared" si="113"/>
        <v>4.6500000000000004</v>
      </c>
      <c r="AK153" s="120">
        <v>4.6500000000000004</v>
      </c>
      <c r="AL153" s="120"/>
      <c r="AN153" s="7">
        <f t="shared" si="139"/>
        <v>19145.270742127301</v>
      </c>
      <c r="AO153" s="7">
        <f t="shared" si="140"/>
        <v>18336.034954975443</v>
      </c>
      <c r="AP153" s="7">
        <f t="shared" si="141"/>
        <v>5504.4833266740898</v>
      </c>
      <c r="AQ153" s="7">
        <f t="shared" si="142"/>
        <v>7575.1239659070425</v>
      </c>
      <c r="AR153" s="7">
        <f t="shared" si="143"/>
        <v>10674.91094800973</v>
      </c>
      <c r="AS153" s="7">
        <f t="shared" si="144"/>
        <v>9224.75497182459</v>
      </c>
      <c r="AT153" s="7">
        <f t="shared" si="145"/>
        <v>70460.578909518197</v>
      </c>
      <c r="AU153">
        <f>SUM($AT$9:AT153)</f>
        <v>65113690.297849976</v>
      </c>
      <c r="AV153" s="7">
        <f>AT153/(1+$AR$5)^(COUNT($E$9:E153))</f>
        <v>23533.811308780685</v>
      </c>
      <c r="AW153" s="7">
        <f t="shared" si="159"/>
        <v>0</v>
      </c>
      <c r="AX153" s="7">
        <f t="shared" si="146"/>
        <v>0</v>
      </c>
      <c r="AY153" s="117">
        <f t="shared" si="147"/>
        <v>0</v>
      </c>
      <c r="AZ153" s="117">
        <f t="shared" si="148"/>
        <v>70460.578909518197</v>
      </c>
      <c r="BA153" s="120">
        <f t="shared" si="149"/>
        <v>17651.756968006674</v>
      </c>
      <c r="BB153" s="119">
        <f t="shared" si="114"/>
        <v>0</v>
      </c>
      <c r="BC153" s="17"/>
      <c r="BD153" s="126">
        <f t="shared" si="115"/>
        <v>0.27171605794940545</v>
      </c>
      <c r="BE153" s="127">
        <f t="shared" si="116"/>
        <v>0.26023111417409189</v>
      </c>
      <c r="BF153" s="127">
        <f t="shared" si="117"/>
        <v>7.8121460423177344E-2</v>
      </c>
      <c r="BG153" s="127">
        <f t="shared" si="118"/>
        <v>0.10750868192034899</v>
      </c>
      <c r="BH153" s="127">
        <f t="shared" si="119"/>
        <v>0.15150189103211734</v>
      </c>
      <c r="BI153" s="128">
        <f t="shared" si="120"/>
        <v>0.13092079450085897</v>
      </c>
      <c r="BJ153" s="126">
        <f t="array" ref="BJ153">BD153*INDEX(Royalty!$U$7:$Z$246,MATCH('Decline and Model'!$E153,Royalty!$AI$7:$AI$246,0),MATCH('Decline and Model'!BJ$8,Royalty!$U$1:$Z$1,0))</f>
        <v>8.429733238220484E-2</v>
      </c>
      <c r="BK153" s="127">
        <f t="array" ref="BK153">BE153*INDEX(Royalty!$U$7:$Z$246,MATCH('Decline and Model'!$E153,Royalty!$AI$7:$AI$246,0),MATCH('Decline and Model'!BK$8,Royalty!$U$1:$Z$1,0))</f>
        <v>7.8308493479822619E-2</v>
      </c>
      <c r="BL153" s="127">
        <f t="array" ref="BL153">BF153*INDEX(Royalty!$U$7:$Z$246,MATCH('Decline and Model'!$E153,Royalty!$AI$7:$AI$246,0),MATCH('Decline and Model'!BL$8,Royalty!$U$1:$Z$1,0))</f>
        <v>2.4335356553029094E-2</v>
      </c>
      <c r="BM153" s="127">
        <f t="array" ref="BM153">BG153*INDEX(Royalty!$U$7:$Z$246,MATCH('Decline and Model'!$E153,Royalty!$AI$7:$AI$246,0),MATCH('Decline and Model'!BM$8,Royalty!$U$1:$Z$1,0))</f>
        <v>3.2371165544868304E-2</v>
      </c>
      <c r="BN153" s="127">
        <f t="array" ref="BN153">BH153*INDEX(Royalty!$U$7:$Z$246,MATCH('Decline and Model'!$E153,Royalty!$AI$7:$AI$246,0),MATCH('Decline and Model'!BN$8,Royalty!$U$1:$Z$1,0))</f>
        <v>2.466122542627474E-2</v>
      </c>
      <c r="BO153" s="127">
        <f t="array" ref="BO153">BI153*INDEX(Royalty!$U$7:$Z$246,MATCH('Decline and Model'!$E153,Royalty!$AI$7:$AI$246,0),MATCH('Decline and Model'!BO$8,Royalty!$U$1:$Z$1,0))</f>
        <v>6.5460397250429493E-3</v>
      </c>
      <c r="BP153" s="135">
        <f t="shared" si="121"/>
        <v>0.25051961311124255</v>
      </c>
      <c r="BQ153" s="7"/>
      <c r="BR153" s="7"/>
      <c r="BS153">
        <v>145</v>
      </c>
      <c r="BT153" s="120">
        <f t="shared" si="122"/>
        <v>17651.756968006674</v>
      </c>
      <c r="BU153" s="113">
        <f t="shared" si="123"/>
        <v>13329.923922262908</v>
      </c>
      <c r="BV153" s="113">
        <f t="shared" si="124"/>
        <v>3998.9771766788726</v>
      </c>
      <c r="BW153" s="113">
        <f t="shared" si="157"/>
        <v>480061.48552269267</v>
      </c>
      <c r="BX153" s="113">
        <f t="shared" si="150"/>
        <v>10611.495388634203</v>
      </c>
      <c r="BY153" s="120">
        <f t="shared" si="151"/>
        <v>24868.425453935539</v>
      </c>
      <c r="BZ153" s="153">
        <f t="shared" si="158"/>
        <v>0</v>
      </c>
      <c r="CA153" s="120">
        <f t="shared" si="160"/>
        <v>24868.425453935539</v>
      </c>
      <c r="CB153" s="120">
        <f t="shared" si="152"/>
        <v>6217.1063634838847</v>
      </c>
      <c r="CC153" s="153">
        <f t="shared" si="153"/>
        <v>29262.814479085857</v>
      </c>
      <c r="CD153" s="7">
        <f t="shared" si="125"/>
        <v>9773.7708797285122</v>
      </c>
      <c r="CE153" s="11">
        <f>SUM($CD$9:CD153)</f>
        <v>25088947.449250214</v>
      </c>
      <c r="CF153" s="11">
        <f t="shared" si="154"/>
        <v>12000000</v>
      </c>
      <c r="CG153">
        <f t="shared" si="155"/>
        <v>13088947.449250214</v>
      </c>
    </row>
    <row r="154" spans="1:85">
      <c r="A154">
        <f t="shared" si="126"/>
        <v>2029</v>
      </c>
      <c r="B154">
        <f t="shared" si="127"/>
        <v>30.416666666666668</v>
      </c>
      <c r="C154">
        <f t="shared" si="161"/>
        <v>13</v>
      </c>
      <c r="E154" s="97">
        <v>47239</v>
      </c>
      <c r="F154" s="2">
        <f>$F$6*EXP(-$F$3*COUNT($E$9:$E154))</f>
        <v>0.54142000892195885</v>
      </c>
      <c r="G154" s="260">
        <f>$F$6/(1+$F$5*$F$3*COUNT($E$9:$E154))^(1/$F$5)</f>
        <v>6.0631795978171708</v>
      </c>
      <c r="H154" s="260">
        <f>$H$6/(1+$H$5*$H$3*COUNT($E$9:$E154))^(1/$H$5)</f>
        <v>128.52903169901819</v>
      </c>
      <c r="I154" s="260">
        <f t="shared" si="128"/>
        <v>24.481720323622511</v>
      </c>
      <c r="J154" s="260">
        <f t="shared" si="129"/>
        <v>10.194188342756414</v>
      </c>
      <c r="K154" s="260">
        <f t="shared" si="129"/>
        <v>6.9356713676822572</v>
      </c>
      <c r="L154" s="260">
        <f t="shared" si="129"/>
        <v>3.3074804157214013</v>
      </c>
      <c r="M154" s="260">
        <f t="shared" si="112"/>
        <v>4.0468283694948015</v>
      </c>
      <c r="N154" s="19">
        <f t="shared" si="130"/>
        <v>16.468191938042917</v>
      </c>
      <c r="O154" s="19">
        <f t="shared" si="131"/>
        <v>184.42171276693895</v>
      </c>
      <c r="P154" s="19">
        <f t="shared" si="132"/>
        <v>3909.4247141784699</v>
      </c>
      <c r="Q154" s="19">
        <f t="shared" si="133"/>
        <v>744.65232651018471</v>
      </c>
      <c r="R154" s="19">
        <f t="shared" si="134"/>
        <v>310.07322875884091</v>
      </c>
      <c r="S154" s="19">
        <f t="shared" si="135"/>
        <v>210.96000410033534</v>
      </c>
      <c r="T154" s="19">
        <f t="shared" si="136"/>
        <v>100.60252931152596</v>
      </c>
      <c r="U154" s="19">
        <f t="shared" si="137"/>
        <v>123.09102957213355</v>
      </c>
      <c r="V154" s="261">
        <f t="shared" si="156"/>
        <v>1318.7946989514821</v>
      </c>
      <c r="W154" s="261">
        <f>SUM(O$9:O154)</f>
        <v>555592.19914573338</v>
      </c>
      <c r="X154" s="261">
        <f>SUM(P$9:P154)</f>
        <v>2293382.8786592535</v>
      </c>
      <c r="Y154" s="261">
        <f>SUM(Q$9:Q154)</f>
        <v>436834.83403033385</v>
      </c>
      <c r="Z154" s="261">
        <f>SUM($V$9:V154)</f>
        <v>1221048.5705381914</v>
      </c>
      <c r="AB154" s="257">
        <f t="array" ref="AB154">(INDEX(PriceDeck!$C$18:$O$77,MATCH('Decline and Model'!$A154,PriceDeck!$B$18:$B$77,0),MATCH('Decline and Model'!AB$8,PriceDeck!$C$13:$O$13,0))*(1+$AE$6))</f>
        <v>88.8</v>
      </c>
      <c r="AC154" s="257">
        <f t="array" ref="AC154">INDEX(PriceDeck!$C$18:$O$77,MATCH('Decline and Model'!$A154,PriceDeck!$B$18:$B$77,0),MATCH('Decline and Model'!AC$8,PriceDeck!$C$13:$O$13,0))*(1+$AE$6)</f>
        <v>101.4</v>
      </c>
      <c r="AD154" s="257">
        <f t="array" ref="AD154">INDEX(PriceDeck!$C$18:$O$77,MATCH('Decline and Model'!$A154,PriceDeck!$B$18:$B$77,0),MATCH('Decline and Model'!AD$8,PriceDeck!$C$13:$O$13,0))*(1+$AE$6)</f>
        <v>17.600000000000001</v>
      </c>
      <c r="AE154" s="257">
        <f t="array" ref="AE154">INDEX(PriceDeck!$C$18:$O$77,MATCH('Decline and Model'!$A154,PriceDeck!$B$18:$B$77,0),MATCH('Decline and Model'!AE$8,PriceDeck!$C$13:$O$13,0))*(1+$AE$6)</f>
        <v>35.6</v>
      </c>
      <c r="AF154" s="257">
        <f t="array" ref="AF154">INDEX(PriceDeck!$C$18:$O$77,MATCH('Decline and Model'!$A154,PriceDeck!$B$18:$B$77,0),MATCH('Decline and Model'!AF$8,PriceDeck!$C$13:$O$13,0))*(1+$AE$6)</f>
        <v>105.2</v>
      </c>
      <c r="AG154" s="257">
        <f t="array" ref="AG154">INDEX(PriceDeck!$C$18:$O$77,MATCH('Decline and Model'!$A154,PriceDeck!$B$18:$B$77,0),MATCH('Decline and Model'!AG$8,PriceDeck!$C$13:$O$13,0))*(1+$AE$6)</f>
        <v>74.3</v>
      </c>
      <c r="AH154" s="258">
        <f t="array" ref="AH154">INDEX(PriceDeck!$C$18:$O$77,MATCH('Decline and Model'!$A154,PriceDeck!$B$18:$B$77,0),MATCH('Decline and Model'!AH$8,PriceDeck!$C$13:$O$13,0))</f>
        <v>0.85</v>
      </c>
      <c r="AI154" s="258">
        <f t="shared" si="138"/>
        <v>4.6500000000000004</v>
      </c>
      <c r="AJ154" s="259">
        <f t="shared" si="113"/>
        <v>4.6500000000000004</v>
      </c>
      <c r="AK154" s="120">
        <v>4.6500000000000004</v>
      </c>
      <c r="AL154" s="120"/>
      <c r="AN154" s="7">
        <f t="shared" si="139"/>
        <v>18700.361674567612</v>
      </c>
      <c r="AO154" s="7">
        <f t="shared" si="140"/>
        <v>18178.824920929885</v>
      </c>
      <c r="AP154" s="7">
        <f t="shared" si="141"/>
        <v>5457.2888261556009</v>
      </c>
      <c r="AQ154" s="7">
        <f t="shared" si="142"/>
        <v>7510.1761459719382</v>
      </c>
      <c r="AR154" s="7">
        <f t="shared" si="143"/>
        <v>10583.38608357253</v>
      </c>
      <c r="AS154" s="7">
        <f t="shared" si="144"/>
        <v>9145.6634972095217</v>
      </c>
      <c r="AT154" s="7">
        <f t="shared" si="145"/>
        <v>69575.701148407083</v>
      </c>
      <c r="AU154">
        <f>SUM($AT$9:AT154)</f>
        <v>65183265.998998381</v>
      </c>
      <c r="AV154" s="7">
        <f>AT154/(1+$AR$5)^(COUNT($E$9:E154))</f>
        <v>23063.177510525416</v>
      </c>
      <c r="AW154" s="7">
        <f t="shared" si="159"/>
        <v>0</v>
      </c>
      <c r="AX154" s="7">
        <f t="shared" si="146"/>
        <v>0</v>
      </c>
      <c r="AY154" s="117">
        <f t="shared" si="147"/>
        <v>0</v>
      </c>
      <c r="AZ154" s="117">
        <f t="shared" si="148"/>
        <v>69575.701148407083</v>
      </c>
      <c r="BA154" s="120">
        <f t="shared" si="149"/>
        <v>17413.310443689239</v>
      </c>
      <c r="BB154" s="119">
        <f t="shared" si="114"/>
        <v>0</v>
      </c>
      <c r="BC154" s="17"/>
      <c r="BD154" s="126">
        <f t="shared" si="115"/>
        <v>0.26877719327152982</v>
      </c>
      <c r="BE154" s="127">
        <f t="shared" si="116"/>
        <v>0.26128123210938109</v>
      </c>
      <c r="BF154" s="127">
        <f t="shared" si="117"/>
        <v>7.8436706149968047E-2</v>
      </c>
      <c r="BG154" s="127">
        <f t="shared" si="118"/>
        <v>0.10794251472870542</v>
      </c>
      <c r="BH154" s="127">
        <f t="shared" si="119"/>
        <v>0.15211325087472488</v>
      </c>
      <c r="BI154" s="128">
        <f t="shared" si="120"/>
        <v>0.13144910286569075</v>
      </c>
      <c r="BJ154" s="126">
        <f t="array" ref="BJ154">BD154*INDEX(Royalty!$U$7:$Z$246,MATCH('Decline and Model'!$E154,Royalty!$AI$7:$AI$246,0),MATCH('Decline and Model'!BJ$8,Royalty!$U$1:$Z$1,0))</f>
        <v>8.3385577462577187E-2</v>
      </c>
      <c r="BK154" s="127">
        <f t="array" ref="BK154">BE154*INDEX(Royalty!$U$7:$Z$246,MATCH('Decline and Model'!$E154,Royalty!$AI$7:$AI$246,0),MATCH('Decline and Model'!BK$8,Royalty!$U$1:$Z$1,0))</f>
        <v>7.8624493946368001E-2</v>
      </c>
      <c r="BL154" s="127">
        <f t="array" ref="BL154">BF154*INDEX(Royalty!$U$7:$Z$246,MATCH('Decline and Model'!$E154,Royalty!$AI$7:$AI$246,0),MATCH('Decline and Model'!BL$8,Royalty!$U$1:$Z$1,0))</f>
        <v>2.4433557701877488E-2</v>
      </c>
      <c r="BM154" s="127">
        <f t="array" ref="BM154">BG154*INDEX(Royalty!$U$7:$Z$246,MATCH('Decline and Model'!$E154,Royalty!$AI$7:$AI$246,0),MATCH('Decline and Model'!BM$8,Royalty!$U$1:$Z$1,0))</f>
        <v>3.2501793819787586E-2</v>
      </c>
      <c r="BN154" s="127">
        <f t="array" ref="BN154">BH154*INDEX(Royalty!$U$7:$Z$246,MATCH('Decline and Model'!$E154,Royalty!$AI$7:$AI$246,0),MATCH('Decline and Model'!BN$8,Royalty!$U$1:$Z$1,0))</f>
        <v>2.4760741562953985E-2</v>
      </c>
      <c r="BO154" s="127">
        <f t="array" ref="BO154">BI154*INDEX(Royalty!$U$7:$Z$246,MATCH('Decline and Model'!$E154,Royalty!$AI$7:$AI$246,0),MATCH('Decline and Model'!BO$8,Royalty!$U$1:$Z$1,0))</f>
        <v>6.5724551432845384E-3</v>
      </c>
      <c r="BP154" s="135">
        <f t="shared" si="121"/>
        <v>0.25027861963684878</v>
      </c>
      <c r="BQ154" s="7"/>
      <c r="BR154" s="7"/>
      <c r="BS154">
        <v>146</v>
      </c>
      <c r="BT154" s="120">
        <f t="shared" si="122"/>
        <v>17413.310443689239</v>
      </c>
      <c r="BU154" s="113">
        <f t="shared" si="123"/>
        <v>13187.946989514821</v>
      </c>
      <c r="BV154" s="113">
        <f t="shared" si="124"/>
        <v>3956.3840968544464</v>
      </c>
      <c r="BW154" s="113">
        <f t="shared" si="157"/>
        <v>469449.99013405846</v>
      </c>
      <c r="BX154" s="113">
        <f t="shared" si="150"/>
        <v>10376.934113091756</v>
      </c>
      <c r="BY154" s="120">
        <f t="shared" si="151"/>
        <v>24641.125505256819</v>
      </c>
      <c r="BZ154" s="153">
        <f t="shared" si="158"/>
        <v>0</v>
      </c>
      <c r="CA154" s="120">
        <f t="shared" si="160"/>
        <v>24641.125505256819</v>
      </c>
      <c r="CB154" s="120">
        <f t="shared" si="152"/>
        <v>6160.2813763142049</v>
      </c>
      <c r="CC154" s="153">
        <f t="shared" si="153"/>
        <v>28857.778242034372</v>
      </c>
      <c r="CD154" s="7">
        <f t="shared" si="125"/>
        <v>9565.8692786404554</v>
      </c>
      <c r="CE154" s="11">
        <f>SUM($CD$9:CD154)</f>
        <v>25098513.318528853</v>
      </c>
      <c r="CF154" s="11">
        <f t="shared" si="154"/>
        <v>12000000</v>
      </c>
      <c r="CG154">
        <f t="shared" si="155"/>
        <v>13098513.318528853</v>
      </c>
    </row>
    <row r="155" spans="1:85">
      <c r="A155">
        <f t="shared" si="126"/>
        <v>2029</v>
      </c>
      <c r="B155">
        <f t="shared" si="127"/>
        <v>30.416666666666668</v>
      </c>
      <c r="C155">
        <f t="shared" si="161"/>
        <v>13</v>
      </c>
      <c r="E155" s="97">
        <v>47270</v>
      </c>
      <c r="F155" s="2">
        <f>$F$6*EXP(-$F$3*COUNT($E$9:$E155))</f>
        <v>0.51501464350000647</v>
      </c>
      <c r="G155" s="260">
        <f>$F$6/(1+$F$5*$F$3*COUNT($E$9:$E155))^(1/$F$5)</f>
        <v>5.9227850329971714</v>
      </c>
      <c r="H155" s="260">
        <f>$H$6/(1+$H$5*$H$3*COUNT($E$9:$E155))^(1/$H$5)</f>
        <v>127.43375431560007</v>
      </c>
      <c r="I155" s="260">
        <f t="shared" si="128"/>
        <v>24.273096060114298</v>
      </c>
      <c r="J155" s="260">
        <f t="shared" si="129"/>
        <v>10.107317199431593</v>
      </c>
      <c r="K155" s="260">
        <f t="shared" si="129"/>
        <v>6.8765681138303805</v>
      </c>
      <c r="L155" s="260">
        <f t="shared" si="129"/>
        <v>3.2792952777214417</v>
      </c>
      <c r="M155" s="260">
        <f t="shared" si="112"/>
        <v>4.0123427787368939</v>
      </c>
      <c r="N155" s="19">
        <f t="shared" si="130"/>
        <v>15.665028739791865</v>
      </c>
      <c r="O155" s="19">
        <f t="shared" si="131"/>
        <v>180.15137808699731</v>
      </c>
      <c r="P155" s="19">
        <f t="shared" si="132"/>
        <v>3876.1100270995021</v>
      </c>
      <c r="Q155" s="19">
        <f t="shared" si="133"/>
        <v>738.30667182847662</v>
      </c>
      <c r="R155" s="19">
        <f t="shared" si="134"/>
        <v>307.43089814937764</v>
      </c>
      <c r="S155" s="19">
        <f t="shared" si="135"/>
        <v>209.16228012900743</v>
      </c>
      <c r="T155" s="19">
        <f t="shared" si="136"/>
        <v>99.745231364027191</v>
      </c>
      <c r="U155" s="19">
        <f t="shared" si="137"/>
        <v>122.0420928532472</v>
      </c>
      <c r="V155" s="261">
        <f t="shared" si="156"/>
        <v>1304.857652714591</v>
      </c>
      <c r="W155" s="261">
        <f>SUM(O$9:O155)</f>
        <v>555772.35052382038</v>
      </c>
      <c r="X155" s="261">
        <f>SUM(P$9:P155)</f>
        <v>2297258.988686353</v>
      </c>
      <c r="Y155" s="261">
        <f>SUM(Q$9:Q155)</f>
        <v>437573.14070216235</v>
      </c>
      <c r="Z155" s="261">
        <f>SUM($V$9:V155)</f>
        <v>1222353.4281909058</v>
      </c>
      <c r="AB155" s="257">
        <f t="array" ref="AB155">(INDEX(PriceDeck!$C$18:$O$77,MATCH('Decline and Model'!$A155,PriceDeck!$B$18:$B$77,0),MATCH('Decline and Model'!AB$8,PriceDeck!$C$13:$O$13,0))*(1+$AE$6))</f>
        <v>88.8</v>
      </c>
      <c r="AC155" s="257">
        <f t="array" ref="AC155">INDEX(PriceDeck!$C$18:$O$77,MATCH('Decline and Model'!$A155,PriceDeck!$B$18:$B$77,0),MATCH('Decline and Model'!AC$8,PriceDeck!$C$13:$O$13,0))*(1+$AE$6)</f>
        <v>101.4</v>
      </c>
      <c r="AD155" s="257">
        <f t="array" ref="AD155">INDEX(PriceDeck!$C$18:$O$77,MATCH('Decline and Model'!$A155,PriceDeck!$B$18:$B$77,0),MATCH('Decline and Model'!AD$8,PriceDeck!$C$13:$O$13,0))*(1+$AE$6)</f>
        <v>17.600000000000001</v>
      </c>
      <c r="AE155" s="257">
        <f t="array" ref="AE155">INDEX(PriceDeck!$C$18:$O$77,MATCH('Decline and Model'!$A155,PriceDeck!$B$18:$B$77,0),MATCH('Decline and Model'!AE$8,PriceDeck!$C$13:$O$13,0))*(1+$AE$6)</f>
        <v>35.6</v>
      </c>
      <c r="AF155" s="257">
        <f t="array" ref="AF155">INDEX(PriceDeck!$C$18:$O$77,MATCH('Decline and Model'!$A155,PriceDeck!$B$18:$B$77,0),MATCH('Decline and Model'!AF$8,PriceDeck!$C$13:$O$13,0))*(1+$AE$6)</f>
        <v>105.2</v>
      </c>
      <c r="AG155" s="257">
        <f t="array" ref="AG155">INDEX(PriceDeck!$C$18:$O$77,MATCH('Decline and Model'!$A155,PriceDeck!$B$18:$B$77,0),MATCH('Decline and Model'!AG$8,PriceDeck!$C$13:$O$13,0))*(1+$AE$6)</f>
        <v>74.3</v>
      </c>
      <c r="AH155" s="258">
        <f t="array" ref="AH155">INDEX(PriceDeck!$C$18:$O$77,MATCH('Decline and Model'!$A155,PriceDeck!$B$18:$B$77,0),MATCH('Decline and Model'!AH$8,PriceDeck!$C$13:$O$13,0))</f>
        <v>0.85</v>
      </c>
      <c r="AI155" s="258">
        <f t="shared" si="138"/>
        <v>4.6500000000000004</v>
      </c>
      <c r="AJ155" s="259">
        <f t="shared" si="113"/>
        <v>4.6500000000000004</v>
      </c>
      <c r="AK155" s="120">
        <v>4.6500000000000004</v>
      </c>
      <c r="AL155" s="120"/>
      <c r="AN155" s="7">
        <f t="shared" si="139"/>
        <v>18267.349738021527</v>
      </c>
      <c r="AO155" s="7">
        <f t="shared" si="140"/>
        <v>18023.911626012687</v>
      </c>
      <c r="AP155" s="7">
        <f t="shared" si="141"/>
        <v>5410.7838074290466</v>
      </c>
      <c r="AQ155" s="7">
        <f t="shared" si="142"/>
        <v>7446.1771725926646</v>
      </c>
      <c r="AR155" s="7">
        <f t="shared" si="143"/>
        <v>10493.198339495661</v>
      </c>
      <c r="AS155" s="7">
        <f t="shared" si="144"/>
        <v>9067.7274989962661</v>
      </c>
      <c r="AT155" s="7">
        <f t="shared" si="145"/>
        <v>68709.148182547855</v>
      </c>
      <c r="AU155">
        <f>SUM($AT$9:AT155)</f>
        <v>65251975.14718093</v>
      </c>
      <c r="AV155" s="7">
        <f>AT155/(1+$AR$5)^(COUNT($E$9:E155))</f>
        <v>22604.328209634368</v>
      </c>
      <c r="AW155" s="7">
        <f t="shared" si="159"/>
        <v>0</v>
      </c>
      <c r="AX155" s="7">
        <f t="shared" si="146"/>
        <v>0</v>
      </c>
      <c r="AY155" s="117">
        <f t="shared" si="147"/>
        <v>0</v>
      </c>
      <c r="AZ155" s="117">
        <f t="shared" si="148"/>
        <v>68709.148182547855</v>
      </c>
      <c r="BA155" s="120">
        <f t="shared" si="149"/>
        <v>17180.021930626684</v>
      </c>
      <c r="BB155" s="119">
        <f t="shared" si="114"/>
        <v>0</v>
      </c>
      <c r="BC155" s="17"/>
      <c r="BD155" s="126">
        <f t="shared" si="115"/>
        <v>0.26586488438902578</v>
      </c>
      <c r="BE155" s="127">
        <f t="shared" si="116"/>
        <v>0.26232186110248951</v>
      </c>
      <c r="BF155" s="127">
        <f t="shared" si="117"/>
        <v>7.874910329340086E-2</v>
      </c>
      <c r="BG155" s="127">
        <f t="shared" si="118"/>
        <v>0.10837242739219398</v>
      </c>
      <c r="BH155" s="127">
        <f t="shared" si="119"/>
        <v>0.15271908642524745</v>
      </c>
      <c r="BI155" s="128">
        <f t="shared" si="120"/>
        <v>0.13197263739764237</v>
      </c>
      <c r="BJ155" s="126">
        <f t="array" ref="BJ155">BD155*INDEX(Royalty!$U$7:$Z$246,MATCH('Decline and Model'!$E155,Royalty!$AI$7:$AI$246,0),MATCH('Decline and Model'!BJ$8,Royalty!$U$1:$Z$1,0))</f>
        <v>8.2482061226838904E-2</v>
      </c>
      <c r="BK155" s="127">
        <f t="array" ref="BK155">BE155*INDEX(Royalty!$U$7:$Z$246,MATCH('Decline and Model'!$E155,Royalty!$AI$7:$AI$246,0),MATCH('Decline and Model'!BK$8,Royalty!$U$1:$Z$1,0))</f>
        <v>7.8937639009672114E-2</v>
      </c>
      <c r="BL155" s="127">
        <f t="array" ref="BL155">BF155*INDEX(Royalty!$U$7:$Z$246,MATCH('Decline and Model'!$E155,Royalty!$AI$7:$AI$246,0),MATCH('Decline and Model'!BL$8,Royalty!$U$1:$Z$1,0))</f>
        <v>2.4530871497989392E-2</v>
      </c>
      <c r="BM155" s="127">
        <f t="array" ref="BM155">BG155*INDEX(Royalty!$U$7:$Z$246,MATCH('Decline and Model'!$E155,Royalty!$AI$7:$AI$246,0),MATCH('Decline and Model'!BM$8,Royalty!$U$1:$Z$1,0))</f>
        <v>3.2631241728096373E-2</v>
      </c>
      <c r="BN155" s="127">
        <f t="array" ref="BN155">BH155*INDEX(Royalty!$U$7:$Z$246,MATCH('Decline and Model'!$E155,Royalty!$AI$7:$AI$246,0),MATCH('Decline and Model'!BN$8,Royalty!$U$1:$Z$1,0))</f>
        <v>2.4859358464570883E-2</v>
      </c>
      <c r="BO155" s="127">
        <f t="array" ref="BO155">BI155*INDEX(Royalty!$U$7:$Z$246,MATCH('Decline and Model'!$E155,Royalty!$AI$7:$AI$246,0),MATCH('Decline and Model'!BO$8,Royalty!$U$1:$Z$1,0))</f>
        <v>6.5986318698821184E-3</v>
      </c>
      <c r="BP155" s="135">
        <f t="shared" si="121"/>
        <v>0.25003980379704976</v>
      </c>
      <c r="BQ155" s="7"/>
      <c r="BR155" s="7"/>
      <c r="BS155">
        <v>147</v>
      </c>
      <c r="BT155" s="120">
        <f t="shared" si="122"/>
        <v>17180.021930626684</v>
      </c>
      <c r="BU155" s="113">
        <f t="shared" si="123"/>
        <v>13048.576527145909</v>
      </c>
      <c r="BV155" s="113">
        <f t="shared" si="124"/>
        <v>3914.5729581437731</v>
      </c>
      <c r="BW155" s="113">
        <f t="shared" si="157"/>
        <v>459073.05602096673</v>
      </c>
      <c r="BX155" s="113">
        <f t="shared" si="150"/>
        <v>10147.557685675712</v>
      </c>
      <c r="BY155" s="120">
        <f t="shared" si="151"/>
        <v>24418.419080955784</v>
      </c>
      <c r="BZ155" s="153">
        <f t="shared" si="158"/>
        <v>0</v>
      </c>
      <c r="CA155" s="120">
        <f t="shared" si="160"/>
        <v>24418.419080955784</v>
      </c>
      <c r="CB155" s="120">
        <f t="shared" si="152"/>
        <v>6104.604770238946</v>
      </c>
      <c r="CC155" s="153">
        <f t="shared" si="153"/>
        <v>28461.371996392547</v>
      </c>
      <c r="CD155" s="7">
        <f t="shared" si="125"/>
        <v>9363.3848027585464</v>
      </c>
      <c r="CE155" s="11">
        <f>SUM($CD$9:CD155)</f>
        <v>25107876.703331612</v>
      </c>
      <c r="CF155" s="11">
        <f t="shared" si="154"/>
        <v>12000000</v>
      </c>
      <c r="CG155">
        <f t="shared" si="155"/>
        <v>13107876.703331612</v>
      </c>
    </row>
    <row r="156" spans="1:85">
      <c r="A156">
        <f t="shared" si="126"/>
        <v>2029</v>
      </c>
      <c r="B156">
        <f t="shared" si="127"/>
        <v>30.416666666666668</v>
      </c>
      <c r="C156">
        <f t="shared" si="161"/>
        <v>13</v>
      </c>
      <c r="E156" s="97">
        <v>47300</v>
      </c>
      <c r="F156" s="2">
        <f>$F$6*EXP(-$F$3*COUNT($E$9:$E156))</f>
        <v>0.48989708294595158</v>
      </c>
      <c r="G156" s="260">
        <f>$F$6/(1+$F$5*$F$3*COUNT($E$9:$E156))^(1/$F$5)</f>
        <v>5.7861312898074759</v>
      </c>
      <c r="H156" s="260">
        <f>$H$6/(1+$H$5*$H$3*COUNT($E$9:$E156))^(1/$H$5)</f>
        <v>126.35438141971991</v>
      </c>
      <c r="I156" s="260">
        <f t="shared" si="128"/>
        <v>24.067501222803791</v>
      </c>
      <c r="J156" s="260">
        <f t="shared" si="129"/>
        <v>10.021707509175499</v>
      </c>
      <c r="K156" s="260">
        <f t="shared" si="129"/>
        <v>6.8183230964203139</v>
      </c>
      <c r="L156" s="260">
        <f t="shared" si="129"/>
        <v>3.251519415200792</v>
      </c>
      <c r="M156" s="260">
        <f t="shared" si="112"/>
        <v>3.9783579521294667</v>
      </c>
      <c r="N156" s="19">
        <f t="shared" si="130"/>
        <v>14.901036272939361</v>
      </c>
      <c r="O156" s="19">
        <f t="shared" si="131"/>
        <v>175.99482673164405</v>
      </c>
      <c r="P156" s="19">
        <f t="shared" si="132"/>
        <v>3843.2791015164808</v>
      </c>
      <c r="Q156" s="19">
        <f t="shared" si="133"/>
        <v>732.05316219361532</v>
      </c>
      <c r="R156" s="19">
        <f t="shared" si="134"/>
        <v>304.82693673742142</v>
      </c>
      <c r="S156" s="19">
        <f t="shared" si="135"/>
        <v>207.39066084945122</v>
      </c>
      <c r="T156" s="19">
        <f t="shared" si="136"/>
        <v>98.900382212357428</v>
      </c>
      <c r="U156" s="19">
        <f t="shared" si="137"/>
        <v>121.00838771060462</v>
      </c>
      <c r="V156" s="261">
        <f t="shared" si="156"/>
        <v>1291.1747598088441</v>
      </c>
      <c r="W156" s="261">
        <f>SUM(O$9:O156)</f>
        <v>555948.345350552</v>
      </c>
      <c r="X156" s="261">
        <f>SUM(P$9:P156)</f>
        <v>2301102.2677878696</v>
      </c>
      <c r="Y156" s="261">
        <f>SUM(Q$9:Q156)</f>
        <v>438305.19386435597</v>
      </c>
      <c r="Z156" s="261">
        <f>SUM($V$9:V156)</f>
        <v>1223644.6029507148</v>
      </c>
      <c r="AB156" s="257">
        <f t="array" ref="AB156">(INDEX(PriceDeck!$C$18:$O$77,MATCH('Decline and Model'!$A156,PriceDeck!$B$18:$B$77,0),MATCH('Decline and Model'!AB$8,PriceDeck!$C$13:$O$13,0))*(1+$AE$6))</f>
        <v>88.8</v>
      </c>
      <c r="AC156" s="257">
        <f t="array" ref="AC156">INDEX(PriceDeck!$C$18:$O$77,MATCH('Decline and Model'!$A156,PriceDeck!$B$18:$B$77,0),MATCH('Decline and Model'!AC$8,PriceDeck!$C$13:$O$13,0))*(1+$AE$6)</f>
        <v>101.4</v>
      </c>
      <c r="AD156" s="257">
        <f t="array" ref="AD156">INDEX(PriceDeck!$C$18:$O$77,MATCH('Decline and Model'!$A156,PriceDeck!$B$18:$B$77,0),MATCH('Decline and Model'!AD$8,PriceDeck!$C$13:$O$13,0))*(1+$AE$6)</f>
        <v>17.600000000000001</v>
      </c>
      <c r="AE156" s="257">
        <f t="array" ref="AE156">INDEX(PriceDeck!$C$18:$O$77,MATCH('Decline and Model'!$A156,PriceDeck!$B$18:$B$77,0),MATCH('Decline and Model'!AE$8,PriceDeck!$C$13:$O$13,0))*(1+$AE$6)</f>
        <v>35.6</v>
      </c>
      <c r="AF156" s="257">
        <f t="array" ref="AF156">INDEX(PriceDeck!$C$18:$O$77,MATCH('Decline and Model'!$A156,PriceDeck!$B$18:$B$77,0),MATCH('Decline and Model'!AF$8,PriceDeck!$C$13:$O$13,0))*(1+$AE$6)</f>
        <v>105.2</v>
      </c>
      <c r="AG156" s="257">
        <f t="array" ref="AG156">INDEX(PriceDeck!$C$18:$O$77,MATCH('Decline and Model'!$A156,PriceDeck!$B$18:$B$77,0),MATCH('Decline and Model'!AG$8,PriceDeck!$C$13:$O$13,0))*(1+$AE$6)</f>
        <v>74.3</v>
      </c>
      <c r="AH156" s="258">
        <f t="array" ref="AH156">INDEX(PriceDeck!$C$18:$O$77,MATCH('Decline and Model'!$A156,PriceDeck!$B$18:$B$77,0),MATCH('Decline and Model'!AH$8,PriceDeck!$C$13:$O$13,0))</f>
        <v>0.85</v>
      </c>
      <c r="AI156" s="258">
        <f t="shared" si="138"/>
        <v>4.6500000000000004</v>
      </c>
      <c r="AJ156" s="259">
        <f t="shared" si="113"/>
        <v>4.6500000000000004</v>
      </c>
      <c r="AK156" s="120">
        <v>4.6500000000000004</v>
      </c>
      <c r="AL156" s="120"/>
      <c r="AN156" s="7">
        <f t="shared" si="139"/>
        <v>17845.875430588709</v>
      </c>
      <c r="AO156" s="7">
        <f t="shared" si="140"/>
        <v>17871.247822051639</v>
      </c>
      <c r="AP156" s="7">
        <f t="shared" si="141"/>
        <v>5364.9540865786175</v>
      </c>
      <c r="AQ156" s="7">
        <f t="shared" si="142"/>
        <v>7383.1075262404638</v>
      </c>
      <c r="AR156" s="7">
        <f t="shared" si="143"/>
        <v>10404.320208740002</v>
      </c>
      <c r="AS156" s="7">
        <f t="shared" si="144"/>
        <v>8990.9232068979236</v>
      </c>
      <c r="AT156" s="7">
        <f t="shared" si="145"/>
        <v>67860.428281097353</v>
      </c>
      <c r="AU156">
        <f>SUM($AT$9:AT156)</f>
        <v>65319835.575462028</v>
      </c>
      <c r="AV156" s="7">
        <f>AT156/(1+$AR$5)^(COUNT($E$9:E156))</f>
        <v>22156.906570416657</v>
      </c>
      <c r="AW156" s="7">
        <f t="shared" si="159"/>
        <v>0</v>
      </c>
      <c r="AX156" s="7">
        <f t="shared" si="146"/>
        <v>0</v>
      </c>
      <c r="AY156" s="117">
        <f t="shared" si="147"/>
        <v>0</v>
      </c>
      <c r="AZ156" s="117">
        <f t="shared" si="148"/>
        <v>67860.428281097353</v>
      </c>
      <c r="BA156" s="120">
        <f t="shared" si="149"/>
        <v>16951.749717053186</v>
      </c>
      <c r="BB156" s="119">
        <f t="shared" si="114"/>
        <v>0</v>
      </c>
      <c r="BC156" s="17"/>
      <c r="BD156" s="126">
        <f t="shared" si="115"/>
        <v>0.26297911585034472</v>
      </c>
      <c r="BE156" s="127">
        <f t="shared" si="116"/>
        <v>0.26335300667457928</v>
      </c>
      <c r="BF156" s="127">
        <f t="shared" si="117"/>
        <v>7.9058653510930402E-2</v>
      </c>
      <c r="BG156" s="127">
        <f t="shared" si="118"/>
        <v>0.10879842219175975</v>
      </c>
      <c r="BH156" s="127">
        <f t="shared" si="119"/>
        <v>0.15331940089800677</v>
      </c>
      <c r="BI156" s="128">
        <f t="shared" si="120"/>
        <v>0.13249140087437913</v>
      </c>
      <c r="BJ156" s="126">
        <f t="array" ref="BJ156">BD156*INDEX(Royalty!$U$7:$Z$246,MATCH('Decline and Model'!$E156,Royalty!$AI$7:$AI$246,0),MATCH('Decline and Model'!BJ$8,Royalty!$U$1:$Z$1,0))</f>
        <v>8.1586778881293454E-2</v>
      </c>
      <c r="BK156" s="127">
        <f t="array" ref="BK156">BE156*INDEX(Royalty!$U$7:$Z$246,MATCH('Decline and Model'!$E156,Royalty!$AI$7:$AI$246,0),MATCH('Decline and Model'!BK$8,Royalty!$U$1:$Z$1,0))</f>
        <v>7.9247930331157679E-2</v>
      </c>
      <c r="BL156" s="127">
        <f t="array" ref="BL156">BF156*INDEX(Royalty!$U$7:$Z$246,MATCH('Decline and Model'!$E156,Royalty!$AI$7:$AI$246,0),MATCH('Decline and Model'!BL$8,Royalty!$U$1:$Z$1,0))</f>
        <v>2.4627298457672985E-2</v>
      </c>
      <c r="BM156" s="127">
        <f t="array" ref="BM156">BG156*INDEX(Royalty!$U$7:$Z$246,MATCH('Decline and Model'!$E156,Royalty!$AI$7:$AI$246,0),MATCH('Decline and Model'!BM$8,Royalty!$U$1:$Z$1,0))</f>
        <v>3.2759509956593616E-2</v>
      </c>
      <c r="BN156" s="127">
        <f t="array" ref="BN156">BH156*INDEX(Royalty!$U$7:$Z$246,MATCH('Decline and Model'!$E156,Royalty!$AI$7:$AI$246,0),MATCH('Decline and Model'!BN$8,Royalty!$U$1:$Z$1,0))</f>
        <v>2.495707665434737E-2</v>
      </c>
      <c r="BO156" s="127">
        <f t="array" ref="BO156">BI156*INDEX(Royalty!$U$7:$Z$246,MATCH('Decline and Model'!$E156,Royalty!$AI$7:$AI$246,0),MATCH('Decline and Model'!BO$8,Royalty!$U$1:$Z$1,0))</f>
        <v>6.624570043718957E-3</v>
      </c>
      <c r="BP156" s="135">
        <f t="shared" si="121"/>
        <v>0.24980316432478405</v>
      </c>
      <c r="BQ156" s="7"/>
      <c r="BR156" s="7"/>
      <c r="BS156">
        <v>148</v>
      </c>
      <c r="BT156" s="120">
        <f t="shared" si="122"/>
        <v>16951.749717053186</v>
      </c>
      <c r="BU156" s="113">
        <f t="shared" si="123"/>
        <v>12911.747598088441</v>
      </c>
      <c r="BV156" s="113">
        <f t="shared" si="124"/>
        <v>3873.5242794265323</v>
      </c>
      <c r="BW156" s="113">
        <f t="shared" si="157"/>
        <v>448925.49833529099</v>
      </c>
      <c r="BX156" s="113">
        <f t="shared" si="150"/>
        <v>9923.2514981668264</v>
      </c>
      <c r="BY156" s="120">
        <f t="shared" si="151"/>
        <v>24200.155188362369</v>
      </c>
      <c r="BZ156" s="153">
        <f t="shared" si="158"/>
        <v>0</v>
      </c>
      <c r="CA156" s="120">
        <f t="shared" si="160"/>
        <v>24200.155188362369</v>
      </c>
      <c r="CB156" s="120">
        <f t="shared" si="152"/>
        <v>6050.0387970905922</v>
      </c>
      <c r="CC156" s="153">
        <f t="shared" si="153"/>
        <v>28073.367889438603</v>
      </c>
      <c r="CD156" s="7">
        <f t="shared" si="125"/>
        <v>9166.1518383975599</v>
      </c>
      <c r="CE156" s="11">
        <f>SUM($CD$9:CD156)</f>
        <v>25117042.855170008</v>
      </c>
      <c r="CF156" s="11">
        <f t="shared" si="154"/>
        <v>12000000</v>
      </c>
      <c r="CG156">
        <f t="shared" si="155"/>
        <v>13117042.855170008</v>
      </c>
    </row>
    <row r="157" spans="1:85">
      <c r="A157">
        <f t="shared" si="126"/>
        <v>2029</v>
      </c>
      <c r="B157">
        <f t="shared" si="127"/>
        <v>30.416666666666668</v>
      </c>
      <c r="C157">
        <f t="shared" si="161"/>
        <v>13</v>
      </c>
      <c r="E157" s="97">
        <v>47331</v>
      </c>
      <c r="F157" s="2">
        <f>$F$6*EXP(-$F$3*COUNT($E$9:$E157))</f>
        <v>0.46600452027525613</v>
      </c>
      <c r="G157" s="260">
        <f>$F$6/(1+$F$5*$F$3*COUNT($E$9:$E157))^(1/$F$5)</f>
        <v>5.6531057322461846</v>
      </c>
      <c r="H157" s="260">
        <f>$H$6/(1+$H$5*$H$3*COUNT($E$9:$E157))^(1/$H$5)</f>
        <v>125.29058779449429</v>
      </c>
      <c r="I157" s="260">
        <f t="shared" si="128"/>
        <v>23.864873865617959</v>
      </c>
      <c r="J157" s="260">
        <f t="shared" si="129"/>
        <v>9.9373334776433175</v>
      </c>
      <c r="K157" s="260">
        <f t="shared" si="129"/>
        <v>6.760918766129568</v>
      </c>
      <c r="L157" s="260">
        <f t="shared" si="129"/>
        <v>3.2241444592449864</v>
      </c>
      <c r="M157" s="260">
        <f t="shared" si="112"/>
        <v>3.9448636499866487</v>
      </c>
      <c r="N157" s="19">
        <f t="shared" si="130"/>
        <v>14.174304158372374</v>
      </c>
      <c r="O157" s="19">
        <f t="shared" si="131"/>
        <v>171.94863268915478</v>
      </c>
      <c r="P157" s="19">
        <f t="shared" si="132"/>
        <v>3810.9220454158681</v>
      </c>
      <c r="Q157" s="19">
        <f t="shared" si="133"/>
        <v>725.88991341254632</v>
      </c>
      <c r="R157" s="19">
        <f t="shared" si="134"/>
        <v>302.26055994498427</v>
      </c>
      <c r="S157" s="19">
        <f t="shared" si="135"/>
        <v>205.64461246977436</v>
      </c>
      <c r="T157" s="19">
        <f t="shared" si="136"/>
        <v>98.06772730203501</v>
      </c>
      <c r="U157" s="19">
        <f t="shared" si="137"/>
        <v>119.98960268709391</v>
      </c>
      <c r="V157" s="261">
        <f t="shared" si="156"/>
        <v>1277.7397239196571</v>
      </c>
      <c r="W157" s="261">
        <f>SUM(O$9:O157)</f>
        <v>556120.29398324119</v>
      </c>
      <c r="X157" s="261">
        <f>SUM(P$9:P157)</f>
        <v>2304913.1898332853</v>
      </c>
      <c r="Y157" s="261">
        <f>SUM(Q$9:Q157)</f>
        <v>439031.08377776854</v>
      </c>
      <c r="Z157" s="261">
        <f>SUM($V$9:V157)</f>
        <v>1224922.3426746344</v>
      </c>
      <c r="AB157" s="257">
        <f t="array" ref="AB157">(INDEX(PriceDeck!$C$18:$O$77,MATCH('Decline and Model'!$A157,PriceDeck!$B$18:$B$77,0),MATCH('Decline and Model'!AB$8,PriceDeck!$C$13:$O$13,0))*(1+$AE$6))</f>
        <v>88.8</v>
      </c>
      <c r="AC157" s="257">
        <f t="array" ref="AC157">INDEX(PriceDeck!$C$18:$O$77,MATCH('Decline and Model'!$A157,PriceDeck!$B$18:$B$77,0),MATCH('Decline and Model'!AC$8,PriceDeck!$C$13:$O$13,0))*(1+$AE$6)</f>
        <v>101.4</v>
      </c>
      <c r="AD157" s="257">
        <f t="array" ref="AD157">INDEX(PriceDeck!$C$18:$O$77,MATCH('Decline and Model'!$A157,PriceDeck!$B$18:$B$77,0),MATCH('Decline and Model'!AD$8,PriceDeck!$C$13:$O$13,0))*(1+$AE$6)</f>
        <v>17.600000000000001</v>
      </c>
      <c r="AE157" s="257">
        <f t="array" ref="AE157">INDEX(PriceDeck!$C$18:$O$77,MATCH('Decline and Model'!$A157,PriceDeck!$B$18:$B$77,0),MATCH('Decline and Model'!AE$8,PriceDeck!$C$13:$O$13,0))*(1+$AE$6)</f>
        <v>35.6</v>
      </c>
      <c r="AF157" s="257">
        <f t="array" ref="AF157">INDEX(PriceDeck!$C$18:$O$77,MATCH('Decline and Model'!$A157,PriceDeck!$B$18:$B$77,0),MATCH('Decline and Model'!AF$8,PriceDeck!$C$13:$O$13,0))*(1+$AE$6)</f>
        <v>105.2</v>
      </c>
      <c r="AG157" s="257">
        <f t="array" ref="AG157">INDEX(PriceDeck!$C$18:$O$77,MATCH('Decline and Model'!$A157,PriceDeck!$B$18:$B$77,0),MATCH('Decline and Model'!AG$8,PriceDeck!$C$13:$O$13,0))*(1+$AE$6)</f>
        <v>74.3</v>
      </c>
      <c r="AH157" s="258">
        <f t="array" ref="AH157">INDEX(PriceDeck!$C$18:$O$77,MATCH('Decline and Model'!$A157,PriceDeck!$B$18:$B$77,0),MATCH('Decline and Model'!AH$8,PriceDeck!$C$13:$O$13,0))</f>
        <v>0.85</v>
      </c>
      <c r="AI157" s="258">
        <f t="shared" si="138"/>
        <v>4.6500000000000004</v>
      </c>
      <c r="AJ157" s="259">
        <f t="shared" si="113"/>
        <v>4.6500000000000004</v>
      </c>
      <c r="AK157" s="120">
        <v>4.6500000000000004</v>
      </c>
      <c r="AL157" s="120"/>
      <c r="AN157" s="7">
        <f t="shared" si="139"/>
        <v>17435.591354680295</v>
      </c>
      <c r="AO157" s="7">
        <f t="shared" si="140"/>
        <v>17720.787511183789</v>
      </c>
      <c r="AP157" s="7">
        <f t="shared" si="141"/>
        <v>5319.7858550317233</v>
      </c>
      <c r="AQ157" s="7">
        <f t="shared" si="142"/>
        <v>7320.9482039239674</v>
      </c>
      <c r="AR157" s="7">
        <f t="shared" si="143"/>
        <v>10316.724912174082</v>
      </c>
      <c r="AS157" s="7">
        <f t="shared" si="144"/>
        <v>8915.2274796510774</v>
      </c>
      <c r="AT157" s="7">
        <f t="shared" si="145"/>
        <v>67029.065316644934</v>
      </c>
      <c r="AU157">
        <f>SUM($AT$9:AT157)</f>
        <v>65386864.640778676</v>
      </c>
      <c r="AV157" s="7">
        <f>AT157/(1+$AR$5)^(COUNT($E$9:E157))</f>
        <v>21720.568283056498</v>
      </c>
      <c r="AW157" s="7">
        <f t="shared" si="159"/>
        <v>0</v>
      </c>
      <c r="AX157" s="7">
        <f t="shared" si="146"/>
        <v>0</v>
      </c>
      <c r="AY157" s="117">
        <f t="shared" si="147"/>
        <v>0</v>
      </c>
      <c r="AZ157" s="117">
        <f t="shared" si="148"/>
        <v>67029.065316644934</v>
      </c>
      <c r="BA157" s="120">
        <f t="shared" si="149"/>
        <v>16728.356645084248</v>
      </c>
      <c r="BB157" s="119">
        <f t="shared" si="114"/>
        <v>0</v>
      </c>
      <c r="BC157" s="17"/>
      <c r="BD157" s="126">
        <f t="shared" si="115"/>
        <v>0.26011986400697457</v>
      </c>
      <c r="BE157" s="127">
        <f t="shared" si="116"/>
        <v>0.2643746772757592</v>
      </c>
      <c r="BF157" s="127">
        <f t="shared" si="117"/>
        <v>7.9365359339281918E-2</v>
      </c>
      <c r="BG157" s="127">
        <f t="shared" si="118"/>
        <v>0.10922050261837679</v>
      </c>
      <c r="BH157" s="127">
        <f t="shared" si="119"/>
        <v>0.15391419921250477</v>
      </c>
      <c r="BI157" s="128">
        <f t="shared" si="120"/>
        <v>0.13300539754710278</v>
      </c>
      <c r="BJ157" s="126">
        <f t="array" ref="BJ157">BD157*INDEX(Royalty!$U$7:$Z$246,MATCH('Decline and Model'!$E157,Royalty!$AI$7:$AI$246,0),MATCH('Decline and Model'!BJ$8,Royalty!$U$1:$Z$1,0))</f>
        <v>8.069972308921404E-2</v>
      </c>
      <c r="BK157" s="127">
        <f t="array" ref="BK157">BE157*INDEX(Royalty!$U$7:$Z$246,MATCH('Decline and Model'!$E157,Royalty!$AI$7:$AI$246,0),MATCH('Decline and Model'!BK$8,Royalty!$U$1:$Z$1,0))</f>
        <v>7.9555370453623209E-2</v>
      </c>
      <c r="BL157" s="127">
        <f t="array" ref="BL157">BF157*INDEX(Royalty!$U$7:$Z$246,MATCH('Decline and Model'!$E157,Royalty!$AI$7:$AI$246,0),MATCH('Decline and Model'!BL$8,Royalty!$U$1:$Z$1,0))</f>
        <v>2.4722839371135119E-2</v>
      </c>
      <c r="BM157" s="127">
        <f t="array" ref="BM157">BG157*INDEX(Royalty!$U$7:$Z$246,MATCH('Decline and Model'!$E157,Royalty!$AI$7:$AI$246,0),MATCH('Decline and Model'!BM$8,Royalty!$U$1:$Z$1,0))</f>
        <v>3.2886599556421391E-2</v>
      </c>
      <c r="BN157" s="127">
        <f t="array" ref="BN157">BH157*INDEX(Royalty!$U$7:$Z$246,MATCH('Decline and Model'!$E157,Royalty!$AI$7:$AI$246,0),MATCH('Decline and Model'!BN$8,Royalty!$U$1:$Z$1,0))</f>
        <v>2.5053896933071768E-2</v>
      </c>
      <c r="BO157" s="127">
        <f t="array" ref="BO157">BI157*INDEX(Royalty!$U$7:$Z$246,MATCH('Decline and Model'!$E157,Royalty!$AI$7:$AI$246,0),MATCH('Decline and Model'!BO$8,Royalty!$U$1:$Z$1,0))</f>
        <v>6.6502698773551394E-3</v>
      </c>
      <c r="BP157" s="135">
        <f t="shared" si="121"/>
        <v>0.24956869928082068</v>
      </c>
      <c r="BQ157" s="7"/>
      <c r="BR157" s="7"/>
      <c r="BS157">
        <v>149</v>
      </c>
      <c r="BT157" s="120">
        <f t="shared" si="122"/>
        <v>16728.356645084248</v>
      </c>
      <c r="BU157" s="113">
        <f t="shared" si="123"/>
        <v>12777.397239196571</v>
      </c>
      <c r="BV157" s="113">
        <f t="shared" si="124"/>
        <v>3833.2191717589712</v>
      </c>
      <c r="BW157" s="113">
        <f t="shared" si="157"/>
        <v>439002.24683712417</v>
      </c>
      <c r="BX157" s="113">
        <f t="shared" si="150"/>
        <v>9703.9034756975725</v>
      </c>
      <c r="BY157" s="120">
        <f t="shared" si="151"/>
        <v>23986.188784907565</v>
      </c>
      <c r="BZ157" s="153">
        <f t="shared" si="158"/>
        <v>0</v>
      </c>
      <c r="CA157" s="120">
        <f t="shared" si="160"/>
        <v>23986.188784907565</v>
      </c>
      <c r="CB157" s="120">
        <f t="shared" si="152"/>
        <v>5996.5471962268912</v>
      </c>
      <c r="CC157" s="153">
        <f t="shared" si="153"/>
        <v>27693.545064378246</v>
      </c>
      <c r="CD157" s="7">
        <f t="shared" si="125"/>
        <v>8974.0105091597943</v>
      </c>
      <c r="CE157" s="11">
        <f>SUM($CD$9:CD157)</f>
        <v>25126016.865679167</v>
      </c>
      <c r="CF157" s="11">
        <f t="shared" si="154"/>
        <v>12000000</v>
      </c>
      <c r="CG157">
        <f t="shared" si="155"/>
        <v>13126016.865679167</v>
      </c>
    </row>
    <row r="158" spans="1:85">
      <c r="A158">
        <f t="shared" si="126"/>
        <v>2029</v>
      </c>
      <c r="B158">
        <f t="shared" si="127"/>
        <v>30.416666666666668</v>
      </c>
      <c r="C158">
        <f t="shared" si="161"/>
        <v>13</v>
      </c>
      <c r="E158" s="97">
        <v>47362</v>
      </c>
      <c r="F158" s="2">
        <f>$F$6*EXP(-$F$3*COUNT($E$9:$E158))</f>
        <v>0.44327721163616335</v>
      </c>
      <c r="G158" s="260">
        <f>$F$6/(1+$F$5*$F$3*COUNT($E$9:$E158))^(1/$F$5)</f>
        <v>5.5235995032769107</v>
      </c>
      <c r="H158" s="260">
        <f>$H$6/(1+$H$5*$H$3*COUNT($E$9:$E158))^(1/$H$5)</f>
        <v>124.24205677767127</v>
      </c>
      <c r="I158" s="260">
        <f t="shared" si="128"/>
        <v>23.665153671937382</v>
      </c>
      <c r="J158" s="260">
        <f t="shared" si="129"/>
        <v>9.854169988994725</v>
      </c>
      <c r="K158" s="260">
        <f t="shared" si="129"/>
        <v>6.7043380352598607</v>
      </c>
      <c r="L158" s="260">
        <f t="shared" si="129"/>
        <v>3.1971622610787405</v>
      </c>
      <c r="M158" s="260">
        <f t="shared" si="112"/>
        <v>3.9118499019712494</v>
      </c>
      <c r="N158" s="19">
        <f t="shared" si="130"/>
        <v>13.483015187266636</v>
      </c>
      <c r="O158" s="19">
        <f t="shared" si="131"/>
        <v>168.00948489133938</v>
      </c>
      <c r="P158" s="19">
        <f t="shared" si="132"/>
        <v>3779.0292269875013</v>
      </c>
      <c r="Q158" s="19">
        <f t="shared" si="133"/>
        <v>719.81509085476205</v>
      </c>
      <c r="R158" s="19">
        <f t="shared" si="134"/>
        <v>299.73100383192292</v>
      </c>
      <c r="S158" s="19">
        <f t="shared" si="135"/>
        <v>203.92361523915412</v>
      </c>
      <c r="T158" s="19">
        <f t="shared" si="136"/>
        <v>97.247018774478363</v>
      </c>
      <c r="U158" s="19">
        <f t="shared" si="137"/>
        <v>118.98543451829217</v>
      </c>
      <c r="V158" s="261">
        <f t="shared" si="156"/>
        <v>1264.5464391775445</v>
      </c>
      <c r="W158" s="261">
        <f>SUM(O$9:O158)</f>
        <v>556288.30346813251</v>
      </c>
      <c r="X158" s="261">
        <f>SUM(P$9:P158)</f>
        <v>2308692.2190602729</v>
      </c>
      <c r="Y158" s="261">
        <f>SUM(Q$9:Q158)</f>
        <v>439750.89886862331</v>
      </c>
      <c r="Z158" s="261">
        <f>SUM($V$9:V158)</f>
        <v>1226186.889113812</v>
      </c>
      <c r="AB158" s="257">
        <f t="array" ref="AB158">(INDEX(PriceDeck!$C$18:$O$77,MATCH('Decline and Model'!$A158,PriceDeck!$B$18:$B$77,0),MATCH('Decline and Model'!AB$8,PriceDeck!$C$13:$O$13,0))*(1+$AE$6))</f>
        <v>88.8</v>
      </c>
      <c r="AC158" s="257">
        <f t="array" ref="AC158">INDEX(PriceDeck!$C$18:$O$77,MATCH('Decline and Model'!$A158,PriceDeck!$B$18:$B$77,0),MATCH('Decline and Model'!AC$8,PriceDeck!$C$13:$O$13,0))*(1+$AE$6)</f>
        <v>101.4</v>
      </c>
      <c r="AD158" s="257">
        <f t="array" ref="AD158">INDEX(PriceDeck!$C$18:$O$77,MATCH('Decline and Model'!$A158,PriceDeck!$B$18:$B$77,0),MATCH('Decline and Model'!AD$8,PriceDeck!$C$13:$O$13,0))*(1+$AE$6)</f>
        <v>17.600000000000001</v>
      </c>
      <c r="AE158" s="257">
        <f t="array" ref="AE158">INDEX(PriceDeck!$C$18:$O$77,MATCH('Decline and Model'!$A158,PriceDeck!$B$18:$B$77,0),MATCH('Decline and Model'!AE$8,PriceDeck!$C$13:$O$13,0))*(1+$AE$6)</f>
        <v>35.6</v>
      </c>
      <c r="AF158" s="257">
        <f t="array" ref="AF158">INDEX(PriceDeck!$C$18:$O$77,MATCH('Decline and Model'!$A158,PriceDeck!$B$18:$B$77,0),MATCH('Decline and Model'!AF$8,PriceDeck!$C$13:$O$13,0))*(1+$AE$6)</f>
        <v>105.2</v>
      </c>
      <c r="AG158" s="257">
        <f t="array" ref="AG158">INDEX(PriceDeck!$C$18:$O$77,MATCH('Decline and Model'!$A158,PriceDeck!$B$18:$B$77,0),MATCH('Decline and Model'!AG$8,PriceDeck!$C$13:$O$13,0))*(1+$AE$6)</f>
        <v>74.3</v>
      </c>
      <c r="AH158" s="258">
        <f t="array" ref="AH158">INDEX(PriceDeck!$C$18:$O$77,MATCH('Decline and Model'!$A158,PriceDeck!$B$18:$B$77,0),MATCH('Decline and Model'!AH$8,PriceDeck!$C$13:$O$13,0))</f>
        <v>0.85</v>
      </c>
      <c r="AI158" s="258">
        <f t="shared" si="138"/>
        <v>4.6500000000000004</v>
      </c>
      <c r="AJ158" s="259">
        <f t="shared" si="113"/>
        <v>4.6500000000000004</v>
      </c>
      <c r="AK158" s="120">
        <v>4.6500000000000004</v>
      </c>
      <c r="AL158" s="120"/>
      <c r="AN158" s="7">
        <f t="shared" si="139"/>
        <v>17036.161767981816</v>
      </c>
      <c r="AO158" s="7">
        <f t="shared" si="140"/>
        <v>17572.485905491882</v>
      </c>
      <c r="AP158" s="7">
        <f t="shared" si="141"/>
        <v>5275.265667441844</v>
      </c>
      <c r="AQ158" s="7">
        <f t="shared" si="142"/>
        <v>7259.6807025138869</v>
      </c>
      <c r="AR158" s="7">
        <f t="shared" si="143"/>
        <v>10230.386375075124</v>
      </c>
      <c r="AS158" s="7">
        <f t="shared" si="144"/>
        <v>8840.6177847091076</v>
      </c>
      <c r="AT158" s="7">
        <f t="shared" si="145"/>
        <v>66214.598203213653</v>
      </c>
      <c r="AU158">
        <f>SUM($AT$9:AT158)</f>
        <v>65453079.238981888</v>
      </c>
      <c r="AV158" s="7">
        <f>AT158/(1+$AR$5)^(COUNT($E$9:E158))</f>
        <v>21294.981070172311</v>
      </c>
      <c r="AW158" s="7">
        <f t="shared" si="159"/>
        <v>0</v>
      </c>
      <c r="AX158" s="7">
        <f t="shared" si="146"/>
        <v>0</v>
      </c>
      <c r="AY158" s="117">
        <f t="shared" si="147"/>
        <v>0</v>
      </c>
      <c r="AZ158" s="117">
        <f t="shared" si="148"/>
        <v>66214.598203213653</v>
      </c>
      <c r="BA158" s="120">
        <f t="shared" si="149"/>
        <v>16509.709945625033</v>
      </c>
      <c r="BB158" s="119">
        <f t="shared" si="114"/>
        <v>0</v>
      </c>
      <c r="BC158" s="17"/>
      <c r="BD158" s="126">
        <f t="shared" si="115"/>
        <v>0.25728709726060051</v>
      </c>
      <c r="BE158" s="127">
        <f t="shared" si="116"/>
        <v>0.26538688419676948</v>
      </c>
      <c r="BF158" s="127">
        <f t="shared" si="117"/>
        <v>7.9669224167939076E-2</v>
      </c>
      <c r="BG158" s="127">
        <f t="shared" si="118"/>
        <v>0.1096386733365626</v>
      </c>
      <c r="BH158" s="127">
        <f t="shared" si="119"/>
        <v>0.15450348794200799</v>
      </c>
      <c r="BI158" s="128">
        <f t="shared" si="120"/>
        <v>0.13351463309612047</v>
      </c>
      <c r="BJ158" s="126">
        <f t="array" ref="BJ158">BD158*INDEX(Royalty!$U$7:$Z$246,MATCH('Decline and Model'!$E158,Royalty!$AI$7:$AI$246,0),MATCH('Decline and Model'!BJ$8,Royalty!$U$1:$Z$1,0))</f>
        <v>7.9820884047522897E-2</v>
      </c>
      <c r="BK158" s="127">
        <f t="array" ref="BK158">BE158*INDEX(Royalty!$U$7:$Z$246,MATCH('Decline and Model'!$E158,Royalty!$AI$7:$AI$246,0),MATCH('Decline and Model'!BK$8,Royalty!$U$1:$Z$1,0))</f>
        <v>7.9859962774667254E-2</v>
      </c>
      <c r="BL158" s="127">
        <f t="array" ref="BL158">BF158*INDEX(Royalty!$U$7:$Z$246,MATCH('Decline and Model'!$E158,Royalty!$AI$7:$AI$246,0),MATCH('Decline and Model'!BL$8,Royalty!$U$1:$Z$1,0))</f>
        <v>2.4817495294222589E-2</v>
      </c>
      <c r="BM158" s="127">
        <f t="array" ref="BM158">BG158*INDEX(Royalty!$U$7:$Z$246,MATCH('Decline and Model'!$E158,Royalty!$AI$7:$AI$246,0),MATCH('Decline and Model'!BM$8,Royalty!$U$1:$Z$1,0))</f>
        <v>3.3012511932078999E-2</v>
      </c>
      <c r="BN158" s="127">
        <f t="array" ref="BN158">BH158*INDEX(Royalty!$U$7:$Z$246,MATCH('Decline and Model'!$E158,Royalty!$AI$7:$AI$246,0),MATCH('Decline and Model'!BN$8,Royalty!$U$1:$Z$1,0))</f>
        <v>2.5149820370729464E-2</v>
      </c>
      <c r="BO158" s="127">
        <f t="array" ref="BO158">BI158*INDEX(Royalty!$U$7:$Z$246,MATCH('Decline and Model'!$E158,Royalty!$AI$7:$AI$246,0),MATCH('Decline and Model'!BO$8,Royalty!$U$1:$Z$1,0))</f>
        <v>6.6757316548060235E-3</v>
      </c>
      <c r="BP158" s="135">
        <f t="shared" si="121"/>
        <v>0.24933640607402721</v>
      </c>
      <c r="BQ158" s="7"/>
      <c r="BR158" s="7"/>
      <c r="BS158">
        <v>150</v>
      </c>
      <c r="BT158" s="120">
        <f t="shared" si="122"/>
        <v>16509.709945625033</v>
      </c>
      <c r="BU158" s="113">
        <f t="shared" si="123"/>
        <v>12645.464391775444</v>
      </c>
      <c r="BV158" s="113">
        <f t="shared" si="124"/>
        <v>3793.6393175326334</v>
      </c>
      <c r="BW158" s="113">
        <f t="shared" si="157"/>
        <v>429298.34336142661</v>
      </c>
      <c r="BX158" s="113">
        <f t="shared" si="150"/>
        <v>9489.4040207537982</v>
      </c>
      <c r="BY158" s="120">
        <f t="shared" si="151"/>
        <v>23776.380527526751</v>
      </c>
      <c r="BZ158" s="153">
        <f t="shared" si="158"/>
        <v>0</v>
      </c>
      <c r="CA158" s="120">
        <f t="shared" si="160"/>
        <v>23776.380527526751</v>
      </c>
      <c r="CB158" s="120">
        <f t="shared" si="152"/>
        <v>5944.0951318816878</v>
      </c>
      <c r="CC158" s="153">
        <f t="shared" si="153"/>
        <v>27321.689416398862</v>
      </c>
      <c r="CD158" s="7">
        <f t="shared" si="125"/>
        <v>8786.8064553037366</v>
      </c>
      <c r="CE158" s="11">
        <f>SUM($CD$9:CD158)</f>
        <v>25134803.67213447</v>
      </c>
      <c r="CF158" s="11">
        <f t="shared" si="154"/>
        <v>12000000</v>
      </c>
      <c r="CG158">
        <f t="shared" si="155"/>
        <v>13134803.67213447</v>
      </c>
    </row>
    <row r="159" spans="1:85">
      <c r="A159">
        <f t="shared" si="126"/>
        <v>2029</v>
      </c>
      <c r="B159">
        <f t="shared" si="127"/>
        <v>30.416666666666668</v>
      </c>
      <c r="C159">
        <f t="shared" si="161"/>
        <v>13</v>
      </c>
      <c r="E159" s="97">
        <v>47392</v>
      </c>
      <c r="F159" s="2">
        <f>$F$6*EXP(-$F$3*COUNT($E$9:$E159))</f>
        <v>0.4216583269189485</v>
      </c>
      <c r="G159" s="260">
        <f>$F$6/(1+$F$5*$F$3*COUNT($E$9:$E159))^(1/$F$5)</f>
        <v>5.3975073851349062</v>
      </c>
      <c r="H159" s="260">
        <f>$H$6/(1+$H$5*$H$3*COUNT($E$9:$E159))^(1/$H$5)</f>
        <v>123.20847998710283</v>
      </c>
      <c r="I159" s="260">
        <f t="shared" si="128"/>
        <v>23.4682819023053</v>
      </c>
      <c r="J159" s="260">
        <f t="shared" si="129"/>
        <v>9.7721925841199262</v>
      </c>
      <c r="K159" s="260">
        <f t="shared" si="129"/>
        <v>6.6485642629230917</v>
      </c>
      <c r="L159" s="260">
        <f t="shared" si="129"/>
        <v>3.1705648850014461</v>
      </c>
      <c r="M159" s="260">
        <f t="shared" si="112"/>
        <v>3.879306998451066</v>
      </c>
      <c r="N159" s="19">
        <f t="shared" si="130"/>
        <v>12.825440777118017</v>
      </c>
      <c r="O159" s="19">
        <f t="shared" si="131"/>
        <v>164.17418296452007</v>
      </c>
      <c r="P159" s="19">
        <f t="shared" si="132"/>
        <v>3747.5912662743781</v>
      </c>
      <c r="Q159" s="19">
        <f t="shared" si="133"/>
        <v>713.82690786178625</v>
      </c>
      <c r="R159" s="19">
        <f t="shared" si="134"/>
        <v>297.23752443364776</v>
      </c>
      <c r="S159" s="19">
        <f t="shared" si="135"/>
        <v>202.22716299724405</v>
      </c>
      <c r="T159" s="19">
        <f t="shared" si="136"/>
        <v>96.438015252127315</v>
      </c>
      <c r="U159" s="19">
        <f t="shared" si="137"/>
        <v>117.99558786955326</v>
      </c>
      <c r="V159" s="261">
        <f t="shared" si="156"/>
        <v>1251.5889834861673</v>
      </c>
      <c r="W159" s="261">
        <f>SUM(O$9:O159)</f>
        <v>556452.477651097</v>
      </c>
      <c r="X159" s="261">
        <f>SUM(P$9:P159)</f>
        <v>2312439.8103265474</v>
      </c>
      <c r="Y159" s="261">
        <f>SUM(Q$9:Q159)</f>
        <v>440464.72577648511</v>
      </c>
      <c r="Z159" s="261">
        <f>SUM($V$9:V159)</f>
        <v>1227438.4780972982</v>
      </c>
      <c r="AB159" s="257">
        <f t="array" ref="AB159">(INDEX(PriceDeck!$C$18:$O$77,MATCH('Decline and Model'!$A159,PriceDeck!$B$18:$B$77,0),MATCH('Decline and Model'!AB$8,PriceDeck!$C$13:$O$13,0))*(1+$AE$6))</f>
        <v>88.8</v>
      </c>
      <c r="AC159" s="257">
        <f t="array" ref="AC159">INDEX(PriceDeck!$C$18:$O$77,MATCH('Decline and Model'!$A159,PriceDeck!$B$18:$B$77,0),MATCH('Decline and Model'!AC$8,PriceDeck!$C$13:$O$13,0))*(1+$AE$6)</f>
        <v>101.4</v>
      </c>
      <c r="AD159" s="257">
        <f t="array" ref="AD159">INDEX(PriceDeck!$C$18:$O$77,MATCH('Decline and Model'!$A159,PriceDeck!$B$18:$B$77,0),MATCH('Decline and Model'!AD$8,PriceDeck!$C$13:$O$13,0))*(1+$AE$6)</f>
        <v>17.600000000000001</v>
      </c>
      <c r="AE159" s="257">
        <f t="array" ref="AE159">INDEX(PriceDeck!$C$18:$O$77,MATCH('Decline and Model'!$A159,PriceDeck!$B$18:$B$77,0),MATCH('Decline and Model'!AE$8,PriceDeck!$C$13:$O$13,0))*(1+$AE$6)</f>
        <v>35.6</v>
      </c>
      <c r="AF159" s="257">
        <f t="array" ref="AF159">INDEX(PriceDeck!$C$18:$O$77,MATCH('Decline and Model'!$A159,PriceDeck!$B$18:$B$77,0),MATCH('Decline and Model'!AF$8,PriceDeck!$C$13:$O$13,0))*(1+$AE$6)</f>
        <v>105.2</v>
      </c>
      <c r="AG159" s="257">
        <f t="array" ref="AG159">INDEX(PriceDeck!$C$18:$O$77,MATCH('Decline and Model'!$A159,PriceDeck!$B$18:$B$77,0),MATCH('Decline and Model'!AG$8,PriceDeck!$C$13:$O$13,0))*(1+$AE$6)</f>
        <v>74.3</v>
      </c>
      <c r="AH159" s="258">
        <f t="array" ref="AH159">INDEX(PriceDeck!$C$18:$O$77,MATCH('Decline and Model'!$A159,PriceDeck!$B$18:$B$77,0),MATCH('Decline and Model'!AH$8,PriceDeck!$C$13:$O$13,0))</f>
        <v>0.85</v>
      </c>
      <c r="AI159" s="258">
        <f t="shared" si="138"/>
        <v>4.6500000000000004</v>
      </c>
      <c r="AJ159" s="259">
        <f t="shared" si="113"/>
        <v>4.6500000000000004</v>
      </c>
      <c r="AK159" s="120">
        <v>4.6500000000000004</v>
      </c>
      <c r="AL159" s="120"/>
      <c r="AN159" s="7">
        <f t="shared" si="139"/>
        <v>16647.262152602336</v>
      </c>
      <c r="AO159" s="7">
        <f t="shared" si="140"/>
        <v>17426.299388175859</v>
      </c>
      <c r="AP159" s="7">
        <f t="shared" si="141"/>
        <v>5231.3804300322008</v>
      </c>
      <c r="AQ159" s="7">
        <f t="shared" si="142"/>
        <v>7199.2870027018889</v>
      </c>
      <c r="AR159" s="7">
        <f t="shared" si="143"/>
        <v>10145.279204523793</v>
      </c>
      <c r="AS159" s="7">
        <f t="shared" si="144"/>
        <v>8767.0721787078073</v>
      </c>
      <c r="AT159" s="7">
        <f t="shared" si="145"/>
        <v>65416.580356743885</v>
      </c>
      <c r="AU159">
        <f>SUM($AT$9:AT159)</f>
        <v>65518495.819338635</v>
      </c>
      <c r="AV159" s="7">
        <f>AT159/(1+$AR$5)^(COUNT($E$9:E159))</f>
        <v>20879.824214739619</v>
      </c>
      <c r="AW159" s="7">
        <f t="shared" si="159"/>
        <v>0</v>
      </c>
      <c r="AX159" s="7">
        <f t="shared" si="146"/>
        <v>0</v>
      </c>
      <c r="AY159" s="117">
        <f t="shared" si="147"/>
        <v>0</v>
      </c>
      <c r="AZ159" s="117">
        <f t="shared" si="148"/>
        <v>65416.580356743885</v>
      </c>
      <c r="BA159" s="120">
        <f t="shared" si="149"/>
        <v>16295.681079901318</v>
      </c>
      <c r="BB159" s="119">
        <f t="shared" si="114"/>
        <v>0</v>
      </c>
      <c r="BC159" s="17"/>
      <c r="BD159" s="126">
        <f t="shared" si="115"/>
        <v>0.25448077630805332</v>
      </c>
      <c r="BE159" s="127">
        <f t="shared" si="116"/>
        <v>0.266389641481456</v>
      </c>
      <c r="BF159" s="127">
        <f t="shared" si="117"/>
        <v>7.99702522128687E-2</v>
      </c>
      <c r="BG159" s="127">
        <f t="shared" si="118"/>
        <v>0.11005294014821893</v>
      </c>
      <c r="BH159" s="127">
        <f t="shared" si="119"/>
        <v>0.15508727526259178</v>
      </c>
      <c r="BI159" s="128">
        <f t="shared" si="120"/>
        <v>0.13401911458681129</v>
      </c>
      <c r="BJ159" s="126">
        <f t="array" ref="BJ159">BD159*INDEX(Royalty!$U$7:$Z$246,MATCH('Decline and Model'!$E159,Royalty!$AI$7:$AI$246,0),MATCH('Decline and Model'!BJ$8,Royalty!$U$1:$Z$1,0))</f>
        <v>7.895024956278418E-2</v>
      </c>
      <c r="BK159" s="127">
        <f t="array" ref="BK159">BE159*INDEX(Royalty!$U$7:$Z$246,MATCH('Decline and Model'!$E159,Royalty!$AI$7:$AI$246,0),MATCH('Decline and Model'!BK$8,Royalty!$U$1:$Z$1,0))</f>
        <v>8.0161711520350246E-2</v>
      </c>
      <c r="BL159" s="127">
        <f t="array" ref="BL159">BF159*INDEX(Royalty!$U$7:$Z$246,MATCH('Decline and Model'!$E159,Royalty!$AI$7:$AI$246,0),MATCH('Decline and Model'!BL$8,Royalty!$U$1:$Z$1,0))</f>
        <v>2.491126754023721E-2</v>
      </c>
      <c r="BM159" s="127">
        <f t="array" ref="BM159">BG159*INDEX(Royalty!$U$7:$Z$246,MATCH('Decline and Model'!$E159,Royalty!$AI$7:$AI$246,0),MATCH('Decline and Model'!BM$8,Royalty!$U$1:$Z$1,0))</f>
        <v>3.3137248830535322E-2</v>
      </c>
      <c r="BN159" s="127">
        <f t="array" ref="BN159">BH159*INDEX(Royalty!$U$7:$Z$246,MATCH('Decline and Model'!$E159,Royalty!$AI$7:$AI$246,0),MATCH('Decline and Model'!BN$8,Royalty!$U$1:$Z$1,0))</f>
        <v>2.5244848298208371E-2</v>
      </c>
      <c r="BO159" s="127">
        <f t="array" ref="BO159">BI159*INDEX(Royalty!$U$7:$Z$246,MATCH('Decline and Model'!$E159,Royalty!$AI$7:$AI$246,0),MATCH('Decline and Model'!BO$8,Royalty!$U$1:$Z$1,0))</f>
        <v>6.7009557293405651E-3</v>
      </c>
      <c r="BP159" s="135">
        <f t="shared" si="121"/>
        <v>0.24910628148145586</v>
      </c>
      <c r="BQ159" s="7"/>
      <c r="BR159" s="7"/>
      <c r="BS159">
        <v>151</v>
      </c>
      <c r="BT159" s="120">
        <f t="shared" si="122"/>
        <v>16295.681079901318</v>
      </c>
      <c r="BU159" s="113">
        <f t="shared" si="123"/>
        <v>12515.889834861673</v>
      </c>
      <c r="BV159" s="113">
        <f t="shared" si="124"/>
        <v>3754.7669504585019</v>
      </c>
      <c r="BW159" s="113">
        <f t="shared" si="157"/>
        <v>419808.9393406728</v>
      </c>
      <c r="BX159" s="113">
        <f t="shared" si="150"/>
        <v>9279.6459584141867</v>
      </c>
      <c r="BY159" s="120">
        <f t="shared" si="151"/>
        <v>23570.596533108212</v>
      </c>
      <c r="BZ159" s="153">
        <f t="shared" si="158"/>
        <v>0</v>
      </c>
      <c r="CA159" s="120">
        <f t="shared" si="160"/>
        <v>23570.596533108212</v>
      </c>
      <c r="CB159" s="120">
        <f t="shared" si="152"/>
        <v>5892.6491332770529</v>
      </c>
      <c r="CC159" s="153">
        <f t="shared" si="153"/>
        <v>26957.593358245344</v>
      </c>
      <c r="CD159" s="7">
        <f t="shared" si="125"/>
        <v>8604.3906224237235</v>
      </c>
      <c r="CE159" s="11">
        <f>SUM($CD$9:CD159)</f>
        <v>25143408.062756892</v>
      </c>
      <c r="CF159" s="11">
        <f t="shared" si="154"/>
        <v>12000000</v>
      </c>
      <c r="CG159">
        <f t="shared" si="155"/>
        <v>13143408.062756892</v>
      </c>
    </row>
    <row r="160" spans="1:85">
      <c r="A160">
        <f t="shared" si="126"/>
        <v>2029</v>
      </c>
      <c r="B160">
        <f t="shared" si="127"/>
        <v>30.416666666666668</v>
      </c>
      <c r="C160">
        <f t="shared" si="161"/>
        <v>13</v>
      </c>
      <c r="E160" s="97">
        <v>47423</v>
      </c>
      <c r="F160" s="2">
        <f>$F$6*EXP(-$F$3*COUNT($E$9:$E160))</f>
        <v>0.40109380765104541</v>
      </c>
      <c r="G160" s="260">
        <f>$F$6/(1+$F$5*$F$3*COUNT($E$9:$E160))^(1/$F$5)</f>
        <v>5.2747276652709205</v>
      </c>
      <c r="H160" s="260">
        <f>$H$6/(1+$H$5*$H$3*COUNT($E$9:$E160))^(1/$H$5)</f>
        <v>122.18955705659826</v>
      </c>
      <c r="I160" s="260">
        <f t="shared" si="128"/>
        <v>23.274201344113955</v>
      </c>
      <c r="J160" s="260">
        <f t="shared" si="129"/>
        <v>9.6913774396890506</v>
      </c>
      <c r="K160" s="260">
        <f t="shared" si="129"/>
        <v>6.5935812407874836</v>
      </c>
      <c r="L160" s="260">
        <f t="shared" si="129"/>
        <v>3.1443446015897951</v>
      </c>
      <c r="M160" s="260">
        <f t="shared" si="112"/>
        <v>3.8472254821820369</v>
      </c>
      <c r="N160" s="19">
        <f t="shared" si="130"/>
        <v>12.199936649385965</v>
      </c>
      <c r="O160" s="19">
        <f t="shared" si="131"/>
        <v>160.43963315199051</v>
      </c>
      <c r="P160" s="19">
        <f t="shared" si="132"/>
        <v>3716.5990271381975</v>
      </c>
      <c r="Q160" s="19">
        <f t="shared" si="133"/>
        <v>707.92362421679945</v>
      </c>
      <c r="R160" s="19">
        <f t="shared" si="134"/>
        <v>294.7793971238753</v>
      </c>
      <c r="S160" s="19">
        <f t="shared" si="135"/>
        <v>200.55476274061931</v>
      </c>
      <c r="T160" s="19">
        <f t="shared" si="136"/>
        <v>95.64048163168961</v>
      </c>
      <c r="U160" s="19">
        <f t="shared" si="137"/>
        <v>117.01977508303696</v>
      </c>
      <c r="V160" s="261">
        <f t="shared" si="156"/>
        <v>1238.861612113486</v>
      </c>
      <c r="W160" s="261">
        <f>SUM(O$9:O160)</f>
        <v>556612.91728424898</v>
      </c>
      <c r="X160" s="261">
        <f>SUM(P$9:P160)</f>
        <v>2316156.4093536856</v>
      </c>
      <c r="Y160" s="261">
        <f>SUM(Q$9:Q160)</f>
        <v>441172.64940070192</v>
      </c>
      <c r="Z160" s="261">
        <f>SUM($V$9:V160)</f>
        <v>1228677.3397094116</v>
      </c>
      <c r="AB160" s="257">
        <f t="array" ref="AB160">(INDEX(PriceDeck!$C$18:$O$77,MATCH('Decline and Model'!$A160,PriceDeck!$B$18:$B$77,0),MATCH('Decline and Model'!AB$8,PriceDeck!$C$13:$O$13,0))*(1+$AE$6))</f>
        <v>88.8</v>
      </c>
      <c r="AC160" s="257">
        <f t="array" ref="AC160">INDEX(PriceDeck!$C$18:$O$77,MATCH('Decline and Model'!$A160,PriceDeck!$B$18:$B$77,0),MATCH('Decline and Model'!AC$8,PriceDeck!$C$13:$O$13,0))*(1+$AE$6)</f>
        <v>101.4</v>
      </c>
      <c r="AD160" s="257">
        <f t="array" ref="AD160">INDEX(PriceDeck!$C$18:$O$77,MATCH('Decline and Model'!$A160,PriceDeck!$B$18:$B$77,0),MATCH('Decline and Model'!AD$8,PriceDeck!$C$13:$O$13,0))*(1+$AE$6)</f>
        <v>17.600000000000001</v>
      </c>
      <c r="AE160" s="257">
        <f t="array" ref="AE160">INDEX(PriceDeck!$C$18:$O$77,MATCH('Decline and Model'!$A160,PriceDeck!$B$18:$B$77,0),MATCH('Decline and Model'!AE$8,PriceDeck!$C$13:$O$13,0))*(1+$AE$6)</f>
        <v>35.6</v>
      </c>
      <c r="AF160" s="257">
        <f t="array" ref="AF160">INDEX(PriceDeck!$C$18:$O$77,MATCH('Decline and Model'!$A160,PriceDeck!$B$18:$B$77,0),MATCH('Decline and Model'!AF$8,PriceDeck!$C$13:$O$13,0))*(1+$AE$6)</f>
        <v>105.2</v>
      </c>
      <c r="AG160" s="257">
        <f t="array" ref="AG160">INDEX(PriceDeck!$C$18:$O$77,MATCH('Decline and Model'!$A160,PriceDeck!$B$18:$B$77,0),MATCH('Decline and Model'!AG$8,PriceDeck!$C$13:$O$13,0))*(1+$AE$6)</f>
        <v>74.3</v>
      </c>
      <c r="AH160" s="258">
        <f t="array" ref="AH160">INDEX(PriceDeck!$C$18:$O$77,MATCH('Decline and Model'!$A160,PriceDeck!$B$18:$B$77,0),MATCH('Decline and Model'!AH$8,PriceDeck!$C$13:$O$13,0))</f>
        <v>0.85</v>
      </c>
      <c r="AI160" s="258">
        <f t="shared" si="138"/>
        <v>4.6500000000000004</v>
      </c>
      <c r="AJ160" s="259">
        <f t="shared" si="113"/>
        <v>4.6500000000000004</v>
      </c>
      <c r="AK160" s="120">
        <v>4.6500000000000004</v>
      </c>
      <c r="AL160" s="120"/>
      <c r="AN160" s="7">
        <f t="shared" si="139"/>
        <v>16268.578801611839</v>
      </c>
      <c r="AO160" s="7">
        <f t="shared" si="140"/>
        <v>17282.185476192619</v>
      </c>
      <c r="AP160" s="7">
        <f t="shared" si="141"/>
        <v>5188.1173893802061</v>
      </c>
      <c r="AQ160" s="7">
        <f t="shared" si="142"/>
        <v>7139.7495535660473</v>
      </c>
      <c r="AR160" s="7">
        <f t="shared" si="143"/>
        <v>10061.378667653747</v>
      </c>
      <c r="AS160" s="7">
        <f t="shared" si="144"/>
        <v>8694.5692886696452</v>
      </c>
      <c r="AT160" s="7">
        <f t="shared" si="145"/>
        <v>64634.579177074105</v>
      </c>
      <c r="AU160">
        <f>SUM($AT$9:AT160)</f>
        <v>65583130.398515709</v>
      </c>
      <c r="AV160" s="7">
        <f>AT160/(1+$AR$5)^(COUNT($E$9:E160))</f>
        <v>20474.788108374381</v>
      </c>
      <c r="AW160" s="7">
        <f t="shared" si="159"/>
        <v>0</v>
      </c>
      <c r="AX160" s="7">
        <f t="shared" si="146"/>
        <v>0</v>
      </c>
      <c r="AY160" s="117">
        <f t="shared" si="147"/>
        <v>0</v>
      </c>
      <c r="AZ160" s="117">
        <f t="shared" si="148"/>
        <v>64634.579177074105</v>
      </c>
      <c r="BA160" s="120">
        <f t="shared" si="149"/>
        <v>16086.145587322833</v>
      </c>
      <c r="BB160" s="119">
        <f t="shared" si="114"/>
        <v>0</v>
      </c>
      <c r="BC160" s="17"/>
      <c r="BD160" s="126">
        <f t="shared" si="115"/>
        <v>0.25170085438387607</v>
      </c>
      <c r="BE160" s="127">
        <f t="shared" si="116"/>
        <v>0.26738296584009652</v>
      </c>
      <c r="BF160" s="127">
        <f t="shared" si="117"/>
        <v>8.0268448490501382E-2</v>
      </c>
      <c r="BG160" s="127">
        <f t="shared" si="118"/>
        <v>0.11046330995682443</v>
      </c>
      <c r="BH160" s="127">
        <f t="shared" si="119"/>
        <v>0.15566557090268052</v>
      </c>
      <c r="BI160" s="128">
        <f t="shared" si="120"/>
        <v>0.13451885042602102</v>
      </c>
      <c r="BJ160" s="126">
        <f t="array" ref="BJ160">BD160*INDEX(Royalty!$U$7:$Z$246,MATCH('Decline and Model'!$E160,Royalty!$AI$7:$AI$246,0),MATCH('Decline and Model'!BJ$8,Royalty!$U$1:$Z$1,0))</f>
        <v>7.8087805126457993E-2</v>
      </c>
      <c r="BK160" s="127">
        <f t="array" ref="BK160">BE160*INDEX(Royalty!$U$7:$Z$246,MATCH('Decline and Model'!$E160,Royalty!$AI$7:$AI$246,0),MATCH('Decline and Model'!BK$8,Royalty!$U$1:$Z$1,0))</f>
        <v>8.0460621719112682E-2</v>
      </c>
      <c r="BL160" s="127">
        <f t="array" ref="BL160">BF160*INDEX(Royalty!$U$7:$Z$246,MATCH('Decline and Model'!$E160,Royalty!$AI$7:$AI$246,0),MATCH('Decline and Model'!BL$8,Royalty!$U$1:$Z$1,0))</f>
        <v>2.5004157671830608E-2</v>
      </c>
      <c r="BM160" s="127">
        <f t="array" ref="BM160">BG160*INDEX(Royalty!$U$7:$Z$246,MATCH('Decline and Model'!$E160,Royalty!$AI$7:$AI$246,0),MATCH('Decline and Model'!BM$8,Royalty!$U$1:$Z$1,0))</f>
        <v>3.3260812330447143E-2</v>
      </c>
      <c r="BN160" s="127">
        <f t="array" ref="BN160">BH160*INDEX(Royalty!$U$7:$Z$246,MATCH('Decline and Model'!$E160,Royalty!$AI$7:$AI$246,0),MATCH('Decline and Model'!BN$8,Royalty!$U$1:$Z$1,0))</f>
        <v>2.5338982299085211E-2</v>
      </c>
      <c r="BO160" s="127">
        <f t="array" ref="BO160">BI160*INDEX(Royalty!$U$7:$Z$246,MATCH('Decline and Model'!$E160,Royalty!$AI$7:$AI$246,0),MATCH('Decline and Model'!BO$8,Royalty!$U$1:$Z$1,0))</f>
        <v>6.7259425213010513E-3</v>
      </c>
      <c r="BP160" s="135">
        <f t="shared" si="121"/>
        <v>0.2488783216682347</v>
      </c>
      <c r="BQ160" s="7"/>
      <c r="BR160" s="7"/>
      <c r="BS160">
        <v>152</v>
      </c>
      <c r="BT160" s="120">
        <f t="shared" si="122"/>
        <v>16086.145587322833</v>
      </c>
      <c r="BU160" s="113">
        <f t="shared" si="123"/>
        <v>12388.616121134859</v>
      </c>
      <c r="BV160" s="113">
        <f t="shared" si="124"/>
        <v>3716.584836340458</v>
      </c>
      <c r="BW160" s="113">
        <f t="shared" si="157"/>
        <v>410529.29338225862</v>
      </c>
      <c r="BX160" s="113">
        <f t="shared" si="150"/>
        <v>9074.5244828001723</v>
      </c>
      <c r="BY160" s="120">
        <f t="shared" si="151"/>
        <v>23368.70814947578</v>
      </c>
      <c r="BZ160" s="153">
        <f t="shared" si="158"/>
        <v>0</v>
      </c>
      <c r="CA160" s="120">
        <f t="shared" si="160"/>
        <v>23368.70814947578</v>
      </c>
      <c r="CB160" s="120">
        <f t="shared" si="152"/>
        <v>5842.1770373689451</v>
      </c>
      <c r="CC160" s="153">
        <f t="shared" si="153"/>
        <v>26601.055594907011</v>
      </c>
      <c r="CD160" s="7">
        <f t="shared" si="125"/>
        <v>8426.6190590128517</v>
      </c>
      <c r="CE160" s="11">
        <f>SUM($CD$9:CD160)</f>
        <v>25151834.681815904</v>
      </c>
      <c r="CF160" s="11">
        <f t="shared" si="154"/>
        <v>12000000</v>
      </c>
      <c r="CG160">
        <f t="shared" si="155"/>
        <v>13151834.681815904</v>
      </c>
    </row>
    <row r="161" spans="1:85">
      <c r="A161">
        <f t="shared" si="126"/>
        <v>2029</v>
      </c>
      <c r="B161">
        <f t="shared" si="127"/>
        <v>30.416666666666668</v>
      </c>
      <c r="C161">
        <f t="shared" si="161"/>
        <v>13</v>
      </c>
      <c r="E161" s="97">
        <v>47453</v>
      </c>
      <c r="F161" s="2">
        <f>$F$6*EXP(-$F$3*COUNT($E$9:$E161))</f>
        <v>0.38153223182270407</v>
      </c>
      <c r="G161" s="260">
        <f>$F$6/(1+$F$5*$F$3*COUNT($E$9:$E161))^(1/$F$5)</f>
        <v>5.1551620076863607</v>
      </c>
      <c r="H161" s="260">
        <f>$H$6/(1+$H$5*$H$3*COUNT($E$9:$E161))^(1/$H$5)</f>
        <v>121.18499538170489</v>
      </c>
      <c r="I161" s="260">
        <f t="shared" si="128"/>
        <v>23.082856263181885</v>
      </c>
      <c r="J161" s="260">
        <f t="shared" si="129"/>
        <v>9.6117013479889373</v>
      </c>
      <c r="K161" s="260">
        <f t="shared" si="129"/>
        <v>6.5393731793594281</v>
      </c>
      <c r="L161" s="260">
        <f t="shared" si="129"/>
        <v>3.1184938811558727</v>
      </c>
      <c r="M161" s="260">
        <f t="shared" si="112"/>
        <v>3.8155961403039655</v>
      </c>
      <c r="N161" s="19">
        <f t="shared" si="130"/>
        <v>11.604938717940582</v>
      </c>
      <c r="O161" s="19">
        <f t="shared" si="131"/>
        <v>156.80284440046015</v>
      </c>
      <c r="P161" s="19">
        <f t="shared" si="132"/>
        <v>3686.0436095268574</v>
      </c>
      <c r="Q161" s="19">
        <f t="shared" si="133"/>
        <v>702.1035446717824</v>
      </c>
      <c r="R161" s="19">
        <f t="shared" si="134"/>
        <v>292.35591600133017</v>
      </c>
      <c r="S161" s="19">
        <f t="shared" si="135"/>
        <v>198.90593420551593</v>
      </c>
      <c r="T161" s="19">
        <f t="shared" si="136"/>
        <v>94.854188885157797</v>
      </c>
      <c r="U161" s="19">
        <f t="shared" si="137"/>
        <v>116.05771593424562</v>
      </c>
      <c r="V161" s="261">
        <f t="shared" si="156"/>
        <v>1226.3587515345116</v>
      </c>
      <c r="W161" s="261">
        <f>SUM(O$9:O161)</f>
        <v>556769.7201286495</v>
      </c>
      <c r="X161" s="261">
        <f>SUM(P$9:P161)</f>
        <v>2319842.4529632125</v>
      </c>
      <c r="Y161" s="261">
        <f>SUM(Q$9:Q161)</f>
        <v>441874.75294537371</v>
      </c>
      <c r="Z161" s="261">
        <f>SUM($V$9:V161)</f>
        <v>1229903.6984609461</v>
      </c>
      <c r="AB161" s="257">
        <f t="array" ref="AB161">(INDEX(PriceDeck!$C$18:$O$77,MATCH('Decline and Model'!$A161,PriceDeck!$B$18:$B$77,0),MATCH('Decline and Model'!AB$8,PriceDeck!$C$13:$O$13,0))*(1+$AE$6))</f>
        <v>88.8</v>
      </c>
      <c r="AC161" s="257">
        <f t="array" ref="AC161">INDEX(PriceDeck!$C$18:$O$77,MATCH('Decline and Model'!$A161,PriceDeck!$B$18:$B$77,0),MATCH('Decline and Model'!AC$8,PriceDeck!$C$13:$O$13,0))*(1+$AE$6)</f>
        <v>101.4</v>
      </c>
      <c r="AD161" s="257">
        <f t="array" ref="AD161">INDEX(PriceDeck!$C$18:$O$77,MATCH('Decline and Model'!$A161,PriceDeck!$B$18:$B$77,0),MATCH('Decline and Model'!AD$8,PriceDeck!$C$13:$O$13,0))*(1+$AE$6)</f>
        <v>17.600000000000001</v>
      </c>
      <c r="AE161" s="257">
        <f t="array" ref="AE161">INDEX(PriceDeck!$C$18:$O$77,MATCH('Decline and Model'!$A161,PriceDeck!$B$18:$B$77,0),MATCH('Decline and Model'!AE$8,PriceDeck!$C$13:$O$13,0))*(1+$AE$6)</f>
        <v>35.6</v>
      </c>
      <c r="AF161" s="257">
        <f t="array" ref="AF161">INDEX(PriceDeck!$C$18:$O$77,MATCH('Decline and Model'!$A161,PriceDeck!$B$18:$B$77,0),MATCH('Decline and Model'!AF$8,PriceDeck!$C$13:$O$13,0))*(1+$AE$6)</f>
        <v>105.2</v>
      </c>
      <c r="AG161" s="257">
        <f t="array" ref="AG161">INDEX(PriceDeck!$C$18:$O$77,MATCH('Decline and Model'!$A161,PriceDeck!$B$18:$B$77,0),MATCH('Decline and Model'!AG$8,PriceDeck!$C$13:$O$13,0))*(1+$AE$6)</f>
        <v>74.3</v>
      </c>
      <c r="AH161" s="258">
        <f t="array" ref="AH161">INDEX(PriceDeck!$C$18:$O$77,MATCH('Decline and Model'!$A161,PriceDeck!$B$18:$B$77,0),MATCH('Decline and Model'!AH$8,PriceDeck!$C$13:$O$13,0))</f>
        <v>0.85</v>
      </c>
      <c r="AI161" s="258">
        <f t="shared" si="138"/>
        <v>4.6500000000000004</v>
      </c>
      <c r="AJ161" s="259">
        <f t="shared" si="113"/>
        <v>4.6500000000000004</v>
      </c>
      <c r="AK161" s="120">
        <v>4.6500000000000004</v>
      </c>
      <c r="AL161" s="120"/>
      <c r="AN161" s="7">
        <f t="shared" si="139"/>
        <v>15899.808422206659</v>
      </c>
      <c r="AO161" s="7">
        <f t="shared" si="140"/>
        <v>17140.102784299888</v>
      </c>
      <c r="AP161" s="7">
        <f t="shared" si="141"/>
        <v>5145.4641216234113</v>
      </c>
      <c r="AQ161" s="7">
        <f t="shared" si="142"/>
        <v>7081.0512577163672</v>
      </c>
      <c r="AR161" s="7">
        <f t="shared" si="143"/>
        <v>9978.6606707186002</v>
      </c>
      <c r="AS161" s="7">
        <f t="shared" si="144"/>
        <v>8623.0882939144485</v>
      </c>
      <c r="AT161" s="7">
        <f t="shared" si="145"/>
        <v>63868.175550479376</v>
      </c>
      <c r="AU161">
        <f>SUM($AT$9:AT161)</f>
        <v>65646998.574066184</v>
      </c>
      <c r="AV161" s="7">
        <f>AT161/(1+$AR$5)^(COUNT($E$9:E161))</f>
        <v>20079.573819023859</v>
      </c>
      <c r="AW161" s="7">
        <f t="shared" si="159"/>
        <v>0</v>
      </c>
      <c r="AX161" s="7">
        <f t="shared" si="146"/>
        <v>0</v>
      </c>
      <c r="AY161" s="117">
        <f t="shared" si="147"/>
        <v>0</v>
      </c>
      <c r="AZ161" s="117">
        <f t="shared" si="148"/>
        <v>63868.175550479376</v>
      </c>
      <c r="BA161" s="120">
        <f t="shared" si="149"/>
        <v>15880.982939402147</v>
      </c>
      <c r="BB161" s="119">
        <f t="shared" si="114"/>
        <v>0</v>
      </c>
      <c r="BC161" s="17"/>
      <c r="BD161" s="126">
        <f t="shared" si="115"/>
        <v>0.24894727750035628</v>
      </c>
      <c r="BE161" s="127">
        <f t="shared" si="116"/>
        <v>0.26836687656363217</v>
      </c>
      <c r="BF161" s="127">
        <f t="shared" si="117"/>
        <v>8.0563818791983502E-2</v>
      </c>
      <c r="BG161" s="127">
        <f t="shared" si="118"/>
        <v>0.11086979073200125</v>
      </c>
      <c r="BH161" s="127">
        <f t="shared" si="119"/>
        <v>0.1562383860931143</v>
      </c>
      <c r="BI161" s="128">
        <f t="shared" si="120"/>
        <v>0.1350138503189125</v>
      </c>
      <c r="BJ161" s="126">
        <f t="array" ref="BJ161">BD161*INDEX(Royalty!$U$7:$Z$246,MATCH('Decline and Model'!$E161,Royalty!$AI$7:$AI$246,0),MATCH('Decline and Model'!BJ$8,Royalty!$U$1:$Z$1,0))</f>
        <v>7.7233533989368094E-2</v>
      </c>
      <c r="BK161" s="127">
        <f t="array" ref="BK161">BE161*INDEX(Royalty!$U$7:$Z$246,MATCH('Decline and Model'!$E161,Royalty!$AI$7:$AI$246,0),MATCH('Decline and Model'!BK$8,Royalty!$U$1:$Z$1,0))</f>
        <v>8.0756699175965813E-2</v>
      </c>
      <c r="BL161" s="127">
        <f t="array" ref="BL161">BF161*INDEX(Royalty!$U$7:$Z$246,MATCH('Decline and Model'!$E161,Royalty!$AI$7:$AI$246,0),MATCH('Decline and Model'!BL$8,Royalty!$U$1:$Z$1,0))</f>
        <v>2.5096167492983549E-2</v>
      </c>
      <c r="BM161" s="127">
        <f t="array" ref="BM161">BG161*INDEX(Royalty!$U$7:$Z$246,MATCH('Decline and Model'!$E161,Royalty!$AI$7:$AI$246,0),MATCH('Decline and Model'!BM$8,Royalty!$U$1:$Z$1,0))</f>
        <v>3.3383204831490022E-2</v>
      </c>
      <c r="BN161" s="127">
        <f t="array" ref="BN161">BH161*INDEX(Royalty!$U$7:$Z$246,MATCH('Decline and Model'!$E161,Royalty!$AI$7:$AI$246,0),MATCH('Decline and Model'!BN$8,Royalty!$U$1:$Z$1,0))</f>
        <v>2.5432224201497423E-2</v>
      </c>
      <c r="BO161" s="127">
        <f t="array" ref="BO161">BI161*INDEX(Royalty!$U$7:$Z$246,MATCH('Decline and Model'!$E161,Royalty!$AI$7:$AI$246,0),MATCH('Decline and Model'!BO$8,Royalty!$U$1:$Z$1,0))</f>
        <v>6.7506925159456256E-3</v>
      </c>
      <c r="BP161" s="135">
        <f t="shared" si="121"/>
        <v>0.24865252220725051</v>
      </c>
      <c r="BQ161" s="7"/>
      <c r="BR161" s="7"/>
      <c r="BS161">
        <v>153</v>
      </c>
      <c r="BT161" s="120">
        <f t="shared" si="122"/>
        <v>15880.982939402147</v>
      </c>
      <c r="BU161" s="113">
        <f t="shared" si="123"/>
        <v>12263.587515345116</v>
      </c>
      <c r="BV161" s="113">
        <f t="shared" si="124"/>
        <v>3679.0762546035348</v>
      </c>
      <c r="BW161" s="113">
        <f t="shared" si="157"/>
        <v>401454.76889945846</v>
      </c>
      <c r="BX161" s="113">
        <f t="shared" si="150"/>
        <v>8873.9371047095592</v>
      </c>
      <c r="BY161" s="120">
        <f t="shared" si="151"/>
        <v>23170.591736419021</v>
      </c>
      <c r="BZ161" s="153">
        <f t="shared" si="158"/>
        <v>0</v>
      </c>
      <c r="CA161" s="120">
        <f t="shared" si="160"/>
        <v>23170.591736419021</v>
      </c>
      <c r="CB161" s="120">
        <f t="shared" si="152"/>
        <v>5792.6479341047552</v>
      </c>
      <c r="CC161" s="153">
        <f t="shared" si="153"/>
        <v>26251.880907023824</v>
      </c>
      <c r="CD161" s="7">
        <f t="shared" si="125"/>
        <v>8253.3527225023645</v>
      </c>
      <c r="CE161" s="11">
        <f>SUM($CD$9:CD161)</f>
        <v>25160088.034538407</v>
      </c>
      <c r="CF161" s="11">
        <f t="shared" si="154"/>
        <v>12000000</v>
      </c>
      <c r="CG161">
        <f t="shared" si="155"/>
        <v>13160088.034538407</v>
      </c>
    </row>
    <row r="162" spans="1:85">
      <c r="A162">
        <f t="shared" si="126"/>
        <v>2030</v>
      </c>
      <c r="B162">
        <f t="shared" si="127"/>
        <v>30.416666666666668</v>
      </c>
      <c r="C162">
        <f t="shared" si="161"/>
        <v>13</v>
      </c>
      <c r="E162" s="97">
        <v>47484</v>
      </c>
      <c r="F162" s="2">
        <f>$F$6*EXP(-$F$3*COUNT($E$9:$E162))</f>
        <v>0.36292468530518385</v>
      </c>
      <c r="G162" s="260">
        <f>$F$6/(1+$F$5*$F$3*COUNT($E$9:$E162))^(1/$F$5)</f>
        <v>5.03871532942477</v>
      </c>
      <c r="H162" s="260">
        <f>$H$6/(1+$H$5*$H$3*COUNT($E$9:$E162))^(1/$H$5)</f>
        <v>120.19450987498927</v>
      </c>
      <c r="I162" s="260">
        <f t="shared" si="128"/>
        <v>22.89419235714081</v>
      </c>
      <c r="J162" s="260">
        <f t="shared" si="129"/>
        <v>9.5331416975134324</v>
      </c>
      <c r="K162" s="260">
        <f t="shared" si="129"/>
        <v>6.4859246947779914</v>
      </c>
      <c r="L162" s="260">
        <f t="shared" si="129"/>
        <v>3.0930053874497232</v>
      </c>
      <c r="M162" s="260">
        <f t="shared" si="112"/>
        <v>3.7844099966353757</v>
      </c>
      <c r="N162" s="19">
        <f t="shared" si="130"/>
        <v>11.038959178032675</v>
      </c>
      <c r="O162" s="19">
        <f t="shared" si="131"/>
        <v>153.26092460333675</v>
      </c>
      <c r="P162" s="19">
        <f t="shared" si="132"/>
        <v>3655.9163420309237</v>
      </c>
      <c r="Q162" s="19">
        <f t="shared" si="133"/>
        <v>696.36501752969968</v>
      </c>
      <c r="R162" s="19">
        <f t="shared" si="134"/>
        <v>289.96639329936693</v>
      </c>
      <c r="S162" s="19">
        <f t="shared" si="135"/>
        <v>197.28020946616391</v>
      </c>
      <c r="T162" s="19">
        <f t="shared" si="136"/>
        <v>94.078913868262418</v>
      </c>
      <c r="U162" s="19">
        <f t="shared" si="137"/>
        <v>115.10913739765935</v>
      </c>
      <c r="V162" s="261">
        <f t="shared" si="156"/>
        <v>1214.0749935147469</v>
      </c>
      <c r="W162" s="261">
        <f>SUM(O$9:O162)</f>
        <v>556922.98105325282</v>
      </c>
      <c r="X162" s="261">
        <f>SUM(P$9:P162)</f>
        <v>2323498.3693052432</v>
      </c>
      <c r="Y162" s="261">
        <f>SUM(Q$9:Q162)</f>
        <v>442571.1179629034</v>
      </c>
      <c r="Z162" s="261">
        <f>SUM($V$9:V162)</f>
        <v>1231117.7734544608</v>
      </c>
      <c r="AB162" s="257">
        <f t="array" ref="AB162">(INDEX(PriceDeck!$C$18:$O$77,MATCH('Decline and Model'!$A162,PriceDeck!$B$18:$B$77,0),MATCH('Decline and Model'!AB$8,PriceDeck!$C$13:$O$13,0))*(1+$AE$6))</f>
        <v>90.6</v>
      </c>
      <c r="AC162" s="257">
        <f t="array" ref="AC162">INDEX(PriceDeck!$C$18:$O$77,MATCH('Decline and Model'!$A162,PriceDeck!$B$18:$B$77,0),MATCH('Decline and Model'!AC$8,PriceDeck!$C$13:$O$13,0))*(1+$AE$6)</f>
        <v>103.5</v>
      </c>
      <c r="AD162" s="257">
        <f t="array" ref="AD162">INDEX(PriceDeck!$C$18:$O$77,MATCH('Decline and Model'!$A162,PriceDeck!$B$18:$B$77,0),MATCH('Decline and Model'!AD$8,PriceDeck!$C$13:$O$13,0))*(1+$AE$6)</f>
        <v>18</v>
      </c>
      <c r="AE162" s="257">
        <f t="array" ref="AE162">INDEX(PriceDeck!$C$18:$O$77,MATCH('Decline and Model'!$A162,PriceDeck!$B$18:$B$77,0),MATCH('Decline and Model'!AE$8,PriceDeck!$C$13:$O$13,0))*(1+$AE$6)</f>
        <v>36.299999999999997</v>
      </c>
      <c r="AF162" s="257">
        <f t="array" ref="AF162">INDEX(PriceDeck!$C$18:$O$77,MATCH('Decline and Model'!$A162,PriceDeck!$B$18:$B$77,0),MATCH('Decline and Model'!AF$8,PriceDeck!$C$13:$O$13,0))*(1+$AE$6)</f>
        <v>107.4</v>
      </c>
      <c r="AG162" s="257">
        <f t="array" ref="AG162">INDEX(PriceDeck!$C$18:$O$77,MATCH('Decline and Model'!$A162,PriceDeck!$B$18:$B$77,0),MATCH('Decline and Model'!AG$8,PriceDeck!$C$13:$O$13,0))*(1+$AE$6)</f>
        <v>75.8</v>
      </c>
      <c r="AH162" s="258">
        <f t="array" ref="AH162">INDEX(PriceDeck!$C$18:$O$77,MATCH('Decline and Model'!$A162,PriceDeck!$B$18:$B$77,0),MATCH('Decline and Model'!AH$8,PriceDeck!$C$13:$O$13,0))</f>
        <v>0.85</v>
      </c>
      <c r="AI162" s="258">
        <f t="shared" si="138"/>
        <v>4.75</v>
      </c>
      <c r="AJ162" s="259">
        <f t="shared" si="113"/>
        <v>4.75</v>
      </c>
      <c r="AK162" s="120">
        <v>4.75</v>
      </c>
      <c r="AL162" s="120"/>
      <c r="AN162" s="7">
        <f t="shared" si="139"/>
        <v>15862.505696445352</v>
      </c>
      <c r="AO162" s="7">
        <f t="shared" si="140"/>
        <v>17365.602624646886</v>
      </c>
      <c r="AP162" s="7">
        <f t="shared" si="141"/>
        <v>5219.3950793886052</v>
      </c>
      <c r="AQ162" s="7">
        <f t="shared" si="142"/>
        <v>7161.2716036217498</v>
      </c>
      <c r="AR162" s="7">
        <f t="shared" si="143"/>
        <v>10104.075349451385</v>
      </c>
      <c r="AS162" s="7">
        <f t="shared" si="144"/>
        <v>8725.2726147425783</v>
      </c>
      <c r="AT162" s="7">
        <f t="shared" si="145"/>
        <v>64438.12296829655</v>
      </c>
      <c r="AU162">
        <f>SUM($AT$9:AT162)</f>
        <v>65711436.697034478</v>
      </c>
      <c r="AV162" s="7">
        <f>AT162/(1+$AR$5)^(COUNT($E$9:E162))</f>
        <v>20106.123778141056</v>
      </c>
      <c r="AW162" s="7">
        <f t="shared" si="159"/>
        <v>0</v>
      </c>
      <c r="AX162" s="7">
        <f t="shared" si="146"/>
        <v>0</v>
      </c>
      <c r="AY162" s="117">
        <f t="shared" si="147"/>
        <v>0</v>
      </c>
      <c r="AZ162" s="117">
        <f t="shared" si="148"/>
        <v>64438.12296829655</v>
      </c>
      <c r="BA162" s="120">
        <f t="shared" si="149"/>
        <v>15755.516733297887</v>
      </c>
      <c r="BB162" s="119">
        <f t="shared" si="114"/>
        <v>6.1481464852531644</v>
      </c>
      <c r="BC162" s="17"/>
      <c r="BD162" s="126">
        <f t="shared" si="115"/>
        <v>0.24616647670276925</v>
      </c>
      <c r="BE162" s="127">
        <f t="shared" si="116"/>
        <v>0.26949268266536464</v>
      </c>
      <c r="BF162" s="127">
        <f t="shared" si="117"/>
        <v>8.0998558601040244E-2</v>
      </c>
      <c r="BG162" s="127">
        <f t="shared" si="118"/>
        <v>0.11113408140620551</v>
      </c>
      <c r="BH162" s="127">
        <f t="shared" si="119"/>
        <v>0.15680275718804804</v>
      </c>
      <c r="BI162" s="128">
        <f t="shared" si="120"/>
        <v>0.13540544343657246</v>
      </c>
      <c r="BJ162" s="126">
        <f t="array" ref="BJ162">BD162*INDEX(Royalty!$U$7:$Z$246,MATCH('Decline and Model'!$E162,Royalty!$AI$7:$AI$246,0),MATCH('Decline and Model'!BJ$8,Royalty!$U$1:$Z$1,0))</f>
        <v>7.7699292925634142E-2</v>
      </c>
      <c r="BK162" s="127">
        <f t="array" ref="BK162">BE162*INDEX(Royalty!$U$7:$Z$246,MATCH('Decline and Model'!$E162,Royalty!$AI$7:$AI$246,0),MATCH('Decline and Model'!BK$8,Royalty!$U$1:$Z$1,0))</f>
        <v>8.2483727965777812E-2</v>
      </c>
      <c r="BL162" s="127">
        <f t="array" ref="BL162">BF162*INDEX(Royalty!$U$7:$Z$246,MATCH('Decline and Model'!$E162,Royalty!$AI$7:$AI$246,0),MATCH('Decline and Model'!BL$8,Royalty!$U$1:$Z$1,0))</f>
        <v>2.5654957713301181E-2</v>
      </c>
      <c r="BM162" s="127">
        <f t="array" ref="BM162">BG162*INDEX(Royalty!$U$7:$Z$246,MATCH('Decline and Model'!$E162,Royalty!$AI$7:$AI$246,0),MATCH('Decline and Model'!BM$8,Royalty!$U$1:$Z$1,0))</f>
        <v>3.4007383943569572E-2</v>
      </c>
      <c r="BN162" s="127">
        <f t="array" ref="BN162">BH162*INDEX(Royalty!$U$7:$Z$246,MATCH('Decline and Model'!$E162,Royalty!$AI$7:$AI$246,0),MATCH('Decline and Model'!BN$8,Royalty!$U$1:$Z$1,0))</f>
        <v>2.6190503306160851E-2</v>
      </c>
      <c r="BO162" s="127">
        <f t="array" ref="BO162">BI162*INDEX(Royalty!$U$7:$Z$246,MATCH('Decline and Model'!$E162,Royalty!$AI$7:$AI$246,0),MATCH('Decline and Model'!BO$8,Royalty!$U$1:$Z$1,0))</f>
        <v>6.7702721718286233E-3</v>
      </c>
      <c r="BP162" s="135">
        <f t="shared" si="121"/>
        <v>0.24450614027118039</v>
      </c>
      <c r="BQ162" s="7"/>
      <c r="BR162" s="7"/>
      <c r="BS162">
        <v>154</v>
      </c>
      <c r="BT162" s="120">
        <f t="shared" si="122"/>
        <v>15755.516733297887</v>
      </c>
      <c r="BU162" s="113">
        <f t="shared" si="123"/>
        <v>12140.749935147469</v>
      </c>
      <c r="BV162" s="113">
        <f t="shared" si="124"/>
        <v>3642.2249805442407</v>
      </c>
      <c r="BW162" s="113">
        <f t="shared" si="157"/>
        <v>392580.8317947489</v>
      </c>
      <c r="BX162" s="113">
        <f t="shared" si="150"/>
        <v>8677.7836004076526</v>
      </c>
      <c r="BY162" s="120">
        <f t="shared" si="151"/>
        <v>24221.847718899298</v>
      </c>
      <c r="BZ162" s="153">
        <f t="shared" si="158"/>
        <v>0</v>
      </c>
      <c r="CA162" s="120">
        <f t="shared" si="160"/>
        <v>24221.847718899298</v>
      </c>
      <c r="CB162" s="120">
        <f t="shared" si="152"/>
        <v>6055.4619297248246</v>
      </c>
      <c r="CC162" s="153">
        <f t="shared" si="153"/>
        <v>26844.169389582126</v>
      </c>
      <c r="CD162" s="7">
        <f t="shared" si="125"/>
        <v>8375.9763259068059</v>
      </c>
      <c r="CE162" s="11">
        <f>SUM($CD$9:CD162)</f>
        <v>25168464.010864314</v>
      </c>
      <c r="CF162" s="11">
        <f t="shared" si="154"/>
        <v>12000000</v>
      </c>
      <c r="CG162">
        <f t="shared" si="155"/>
        <v>13168464.010864314</v>
      </c>
    </row>
    <row r="163" spans="1:85">
      <c r="A163">
        <f t="shared" si="126"/>
        <v>2030</v>
      </c>
      <c r="B163">
        <f t="shared" si="127"/>
        <v>30.416666666666668</v>
      </c>
      <c r="C163">
        <f t="shared" si="161"/>
        <v>13</v>
      </c>
      <c r="E163" s="97">
        <v>47515</v>
      </c>
      <c r="F163" s="2">
        <f>$F$6*EXP(-$F$3*COUNT($E$9:$E163))</f>
        <v>0.34522463953995286</v>
      </c>
      <c r="G163" s="260">
        <f>$F$6/(1+$F$5*$F$3*COUNT($E$9:$E163))^(1/$F$5)</f>
        <v>4.925295681995741</v>
      </c>
      <c r="H163" s="260">
        <f>$H$6/(1+$H$5*$H$3*COUNT($E$9:$E163))^(1/$H$5)</f>
        <v>119.21782273040932</v>
      </c>
      <c r="I163" s="260">
        <f t="shared" si="128"/>
        <v>22.708156710554157</v>
      </c>
      <c r="J163" s="260">
        <f t="shared" si="129"/>
        <v>9.4556764542747498</v>
      </c>
      <c r="K163" s="260">
        <f t="shared" si="129"/>
        <v>6.4332207960999925</v>
      </c>
      <c r="L163" s="260">
        <f t="shared" si="129"/>
        <v>3.0678719715958667</v>
      </c>
      <c r="M163" s="260">
        <f t="shared" si="112"/>
        <v>3.7536583042546021</v>
      </c>
      <c r="N163" s="19">
        <f t="shared" si="130"/>
        <v>10.5005827860069</v>
      </c>
      <c r="O163" s="19">
        <f t="shared" si="131"/>
        <v>149.81107699403714</v>
      </c>
      <c r="P163" s="19">
        <f t="shared" si="132"/>
        <v>3626.208774716617</v>
      </c>
      <c r="Q163" s="19">
        <f t="shared" si="133"/>
        <v>690.70643327935568</v>
      </c>
      <c r="R163" s="19">
        <f t="shared" si="134"/>
        <v>287.61015881752365</v>
      </c>
      <c r="S163" s="19">
        <f t="shared" si="135"/>
        <v>195.67713254804144</v>
      </c>
      <c r="T163" s="19">
        <f t="shared" si="136"/>
        <v>93.314439136040946</v>
      </c>
      <c r="U163" s="19">
        <f t="shared" si="137"/>
        <v>114.17377342107748</v>
      </c>
      <c r="V163" s="261">
        <f t="shared" si="156"/>
        <v>1202.0050894238916</v>
      </c>
      <c r="W163" s="261">
        <f>SUM(O$9:O163)</f>
        <v>557072.79213024687</v>
      </c>
      <c r="X163" s="261">
        <f>SUM(P$9:P163)</f>
        <v>2327124.5780799598</v>
      </c>
      <c r="Y163" s="261">
        <f>SUM(Q$9:Q163)</f>
        <v>443261.82439618278</v>
      </c>
      <c r="Z163" s="261">
        <f>SUM($V$9:V163)</f>
        <v>1232319.7785438846</v>
      </c>
      <c r="AB163" s="257">
        <f t="array" ref="AB163">(INDEX(PriceDeck!$C$18:$O$77,MATCH('Decline and Model'!$A163,PriceDeck!$B$18:$B$77,0),MATCH('Decline and Model'!AB$8,PriceDeck!$C$13:$O$13,0))*(1+$AE$6))</f>
        <v>90.6</v>
      </c>
      <c r="AC163" s="257">
        <f t="array" ref="AC163">INDEX(PriceDeck!$C$18:$O$77,MATCH('Decline and Model'!$A163,PriceDeck!$B$18:$B$77,0),MATCH('Decline and Model'!AC$8,PriceDeck!$C$13:$O$13,0))*(1+$AE$6)</f>
        <v>103.5</v>
      </c>
      <c r="AD163" s="257">
        <f t="array" ref="AD163">INDEX(PriceDeck!$C$18:$O$77,MATCH('Decline and Model'!$A163,PriceDeck!$B$18:$B$77,0),MATCH('Decline and Model'!AD$8,PriceDeck!$C$13:$O$13,0))*(1+$AE$6)</f>
        <v>18</v>
      </c>
      <c r="AE163" s="257">
        <f t="array" ref="AE163">INDEX(PriceDeck!$C$18:$O$77,MATCH('Decline and Model'!$A163,PriceDeck!$B$18:$B$77,0),MATCH('Decline and Model'!AE$8,PriceDeck!$C$13:$O$13,0))*(1+$AE$6)</f>
        <v>36.299999999999997</v>
      </c>
      <c r="AF163" s="257">
        <f t="array" ref="AF163">INDEX(PriceDeck!$C$18:$O$77,MATCH('Decline and Model'!$A163,PriceDeck!$B$18:$B$77,0),MATCH('Decline and Model'!AF$8,PriceDeck!$C$13:$O$13,0))*(1+$AE$6)</f>
        <v>107.4</v>
      </c>
      <c r="AG163" s="257">
        <f t="array" ref="AG163">INDEX(PriceDeck!$C$18:$O$77,MATCH('Decline and Model'!$A163,PriceDeck!$B$18:$B$77,0),MATCH('Decline and Model'!AG$8,PriceDeck!$C$13:$O$13,0))*(1+$AE$6)</f>
        <v>75.8</v>
      </c>
      <c r="AH163" s="258">
        <f t="array" ref="AH163">INDEX(PriceDeck!$C$18:$O$77,MATCH('Decline and Model'!$A163,PriceDeck!$B$18:$B$77,0),MATCH('Decline and Model'!AH$8,PriceDeck!$C$13:$O$13,0))</f>
        <v>0.85</v>
      </c>
      <c r="AI163" s="258">
        <f t="shared" si="138"/>
        <v>4.75</v>
      </c>
      <c r="AJ163" s="259">
        <f t="shared" si="113"/>
        <v>4.75</v>
      </c>
      <c r="AK163" s="120">
        <v>4.75</v>
      </c>
      <c r="AL163" s="120"/>
      <c r="AN163" s="7">
        <f t="shared" si="139"/>
        <v>15505.446468882843</v>
      </c>
      <c r="AO163" s="7">
        <f t="shared" si="140"/>
        <v>17224.491679903931</v>
      </c>
      <c r="AP163" s="7">
        <f t="shared" si="141"/>
        <v>5176.9828587154261</v>
      </c>
      <c r="AQ163" s="7">
        <f t="shared" si="142"/>
        <v>7103.0799114939036</v>
      </c>
      <c r="AR163" s="7">
        <f t="shared" si="143"/>
        <v>10021.970763210798</v>
      </c>
      <c r="AS163" s="7">
        <f t="shared" si="144"/>
        <v>8654.3720253176725</v>
      </c>
      <c r="AT163" s="7">
        <f t="shared" si="145"/>
        <v>63686.343707524567</v>
      </c>
      <c r="AU163">
        <f>SUM($AT$9:AT163)</f>
        <v>65775123.040742002</v>
      </c>
      <c r="AV163" s="7">
        <f>AT163/(1+$AR$5)^(COUNT($E$9:E163))</f>
        <v>19721.833000782179</v>
      </c>
      <c r="AW163" s="7">
        <f t="shared" si="159"/>
        <v>0</v>
      </c>
      <c r="AX163" s="7">
        <f t="shared" si="146"/>
        <v>0</v>
      </c>
      <c r="AY163" s="117">
        <f t="shared" si="147"/>
        <v>0</v>
      </c>
      <c r="AZ163" s="117">
        <f t="shared" si="148"/>
        <v>63686.343707524567</v>
      </c>
      <c r="BA163" s="120">
        <f t="shared" si="149"/>
        <v>14519.637532114806</v>
      </c>
      <c r="BB163" s="119">
        <f t="shared" si="114"/>
        <v>18.218050576108453</v>
      </c>
      <c r="BC163" s="17"/>
      <c r="BD163" s="126">
        <f t="shared" si="115"/>
        <v>0.24346579762987505</v>
      </c>
      <c r="BE163" s="127">
        <f t="shared" si="116"/>
        <v>0.27045816539580764</v>
      </c>
      <c r="BF163" s="127">
        <f t="shared" si="117"/>
        <v>8.1288743509760689E-2</v>
      </c>
      <c r="BG163" s="127">
        <f t="shared" si="118"/>
        <v>0.11153222964273692</v>
      </c>
      <c r="BH163" s="127">
        <f t="shared" si="119"/>
        <v>0.15736451772511945</v>
      </c>
      <c r="BI163" s="128">
        <f t="shared" si="120"/>
        <v>0.1358905460967004</v>
      </c>
      <c r="BJ163" s="126">
        <f t="array" ref="BJ163">BD163*INDEX(Royalty!$U$7:$Z$246,MATCH('Decline and Model'!$E163,Royalty!$AI$7:$AI$246,0),MATCH('Decline and Model'!BJ$8,Royalty!$U$1:$Z$1,0))</f>
        <v>7.6846858194497686E-2</v>
      </c>
      <c r="BK163" s="127">
        <f t="array" ref="BK163">BE163*INDEX(Royalty!$U$7:$Z$246,MATCH('Decline and Model'!$E163,Royalty!$AI$7:$AI$246,0),MATCH('Decline and Model'!BK$8,Royalty!$U$1:$Z$1,0))</f>
        <v>8.2779233632595511E-2</v>
      </c>
      <c r="BL163" s="127">
        <f t="array" ref="BL163">BF163*INDEX(Royalty!$U$7:$Z$246,MATCH('Decline and Model'!$E163,Royalty!$AI$7:$AI$246,0),MATCH('Decline and Model'!BL$8,Royalty!$U$1:$Z$1,0))</f>
        <v>2.5746868997783789E-2</v>
      </c>
      <c r="BM163" s="127">
        <f t="array" ref="BM163">BG163*INDEX(Royalty!$U$7:$Z$246,MATCH('Decline and Model'!$E163,Royalty!$AI$7:$AI$246,0),MATCH('Decline and Model'!BM$8,Royalty!$U$1:$Z$1,0))</f>
        <v>3.4129218575888069E-2</v>
      </c>
      <c r="BN163" s="127">
        <f t="array" ref="BN163">BH163*INDEX(Royalty!$U$7:$Z$246,MATCH('Decline and Model'!$E163,Royalty!$AI$7:$AI$246,0),MATCH('Decline and Model'!BN$8,Royalty!$U$1:$Z$1,0))</f>
        <v>2.6284333232797889E-2</v>
      </c>
      <c r="BO163" s="127">
        <f t="array" ref="BO163">BI163*INDEX(Royalty!$U$7:$Z$246,MATCH('Decline and Model'!$E163,Royalty!$AI$7:$AI$246,0),MATCH('Decline and Model'!BO$8,Royalty!$U$1:$Z$1,0))</f>
        <v>6.7945273048350199E-3</v>
      </c>
      <c r="BP163" s="135">
        <f t="shared" si="121"/>
        <v>0.22798667166065156</v>
      </c>
      <c r="BQ163" s="7"/>
      <c r="BR163" s="7"/>
      <c r="BS163">
        <v>155</v>
      </c>
      <c r="BT163" s="120">
        <f t="shared" si="122"/>
        <v>14519.637532114806</v>
      </c>
      <c r="BU163" s="113">
        <f t="shared" si="123"/>
        <v>12020.050894238917</v>
      </c>
      <c r="BV163" s="113">
        <f t="shared" si="124"/>
        <v>3606.0152682716748</v>
      </c>
      <c r="BW163" s="113">
        <f t="shared" si="157"/>
        <v>383903.04819434125</v>
      </c>
      <c r="BX163" s="113">
        <f t="shared" si="150"/>
        <v>8485.9659615503515</v>
      </c>
      <c r="BY163" s="120">
        <f t="shared" si="151"/>
        <v>25054.674051348815</v>
      </c>
      <c r="BZ163" s="153">
        <f t="shared" si="158"/>
        <v>0</v>
      </c>
      <c r="CA163" s="120">
        <f t="shared" si="160"/>
        <v>25054.674051348815</v>
      </c>
      <c r="CB163" s="120">
        <f t="shared" si="152"/>
        <v>6263.6685128372037</v>
      </c>
      <c r="CC163" s="153">
        <f t="shared" si="153"/>
        <v>27276.971500061962</v>
      </c>
      <c r="CD163" s="7">
        <f t="shared" si="125"/>
        <v>8446.8952898572152</v>
      </c>
      <c r="CE163" s="11">
        <f>SUM($CD$9:CD163)</f>
        <v>25176910.906154171</v>
      </c>
      <c r="CF163" s="11">
        <f t="shared" si="154"/>
        <v>12000000</v>
      </c>
      <c r="CG163">
        <f t="shared" si="155"/>
        <v>13176910.906154171</v>
      </c>
    </row>
    <row r="164" spans="1:85">
      <c r="A164">
        <f t="shared" si="126"/>
        <v>2030</v>
      </c>
      <c r="B164">
        <f t="shared" si="127"/>
        <v>30.416666666666668</v>
      </c>
      <c r="C164">
        <f t="shared" si="161"/>
        <v>13</v>
      </c>
      <c r="E164" s="97">
        <v>47543</v>
      </c>
      <c r="F164" s="2">
        <f>$F$6*EXP(-$F$3*COUNT($E$9:$E164))</f>
        <v>0.32838783519305559</v>
      </c>
      <c r="G164" s="260">
        <f>$F$6/(1+$F$5*$F$3*COUNT($E$9:$E164))^(1/$F$5)</f>
        <v>4.8148141375177982</v>
      </c>
      <c r="H164" s="260">
        <f>$H$6/(1+$H$5*$H$3*COUNT($E$9:$E164))^(1/$H$5)</f>
        <v>118.25466319639024</v>
      </c>
      <c r="I164" s="260">
        <f t="shared" si="128"/>
        <v>22.524697751693378</v>
      </c>
      <c r="J164" s="260">
        <f t="shared" si="129"/>
        <v>9.3792841438051227</v>
      </c>
      <c r="K164" s="260">
        <f t="shared" si="129"/>
        <v>6.3812468730547334</v>
      </c>
      <c r="L164" s="260">
        <f t="shared" si="129"/>
        <v>3.0430866662537754</v>
      </c>
      <c r="M164" s="260">
        <f t="shared" si="112"/>
        <v>3.7233325383549154</v>
      </c>
      <c r="N164" s="19">
        <f t="shared" si="130"/>
        <v>9.9884633204554412</v>
      </c>
      <c r="O164" s="19">
        <f t="shared" si="131"/>
        <v>146.45059668283304</v>
      </c>
      <c r="P164" s="19">
        <f t="shared" si="132"/>
        <v>3596.9126722235364</v>
      </c>
      <c r="Q164" s="19">
        <f t="shared" si="133"/>
        <v>685.12622328067357</v>
      </c>
      <c r="R164" s="19">
        <f t="shared" si="134"/>
        <v>285.28655937407251</v>
      </c>
      <c r="S164" s="19">
        <f t="shared" si="135"/>
        <v>194.09625905541481</v>
      </c>
      <c r="T164" s="19">
        <f t="shared" si="136"/>
        <v>92.560552765219001</v>
      </c>
      <c r="U164" s="19">
        <f t="shared" si="137"/>
        <v>113.25136470829534</v>
      </c>
      <c r="V164" s="261">
        <f t="shared" si="156"/>
        <v>1190.1439447698963</v>
      </c>
      <c r="W164" s="261">
        <f>SUM(O$9:O164)</f>
        <v>557219.24272692972</v>
      </c>
      <c r="X164" s="261">
        <f>SUM(P$9:P164)</f>
        <v>2330721.4907521834</v>
      </c>
      <c r="Y164" s="261">
        <f>SUM(Q$9:Q164)</f>
        <v>443946.95061946346</v>
      </c>
      <c r="Z164" s="261">
        <f>SUM($V$9:V164)</f>
        <v>1233509.9224886545</v>
      </c>
      <c r="AB164" s="257">
        <f t="array" ref="AB164">(INDEX(PriceDeck!$C$18:$O$77,MATCH('Decline and Model'!$A164,PriceDeck!$B$18:$B$77,0),MATCH('Decline and Model'!AB$8,PriceDeck!$C$13:$O$13,0))*(1+$AE$6))</f>
        <v>90.6</v>
      </c>
      <c r="AC164" s="257">
        <f t="array" ref="AC164">INDEX(PriceDeck!$C$18:$O$77,MATCH('Decline and Model'!$A164,PriceDeck!$B$18:$B$77,0),MATCH('Decline and Model'!AC$8,PriceDeck!$C$13:$O$13,0))*(1+$AE$6)</f>
        <v>103.5</v>
      </c>
      <c r="AD164" s="257">
        <f t="array" ref="AD164">INDEX(PriceDeck!$C$18:$O$77,MATCH('Decline and Model'!$A164,PriceDeck!$B$18:$B$77,0),MATCH('Decline and Model'!AD$8,PriceDeck!$C$13:$O$13,0))*(1+$AE$6)</f>
        <v>18</v>
      </c>
      <c r="AE164" s="257">
        <f t="array" ref="AE164">INDEX(PriceDeck!$C$18:$O$77,MATCH('Decline and Model'!$A164,PriceDeck!$B$18:$B$77,0),MATCH('Decline and Model'!AE$8,PriceDeck!$C$13:$O$13,0))*(1+$AE$6)</f>
        <v>36.299999999999997</v>
      </c>
      <c r="AF164" s="257">
        <f t="array" ref="AF164">INDEX(PriceDeck!$C$18:$O$77,MATCH('Decline and Model'!$A164,PriceDeck!$B$18:$B$77,0),MATCH('Decline and Model'!AF$8,PriceDeck!$C$13:$O$13,0))*(1+$AE$6)</f>
        <v>107.4</v>
      </c>
      <c r="AG164" s="257">
        <f t="array" ref="AG164">INDEX(PriceDeck!$C$18:$O$77,MATCH('Decline and Model'!$A164,PriceDeck!$B$18:$B$77,0),MATCH('Decline and Model'!AG$8,PriceDeck!$C$13:$O$13,0))*(1+$AE$6)</f>
        <v>75.8</v>
      </c>
      <c r="AH164" s="258">
        <f t="array" ref="AH164">INDEX(PriceDeck!$C$18:$O$77,MATCH('Decline and Model'!$A164,PriceDeck!$B$18:$B$77,0),MATCH('Decline and Model'!AH$8,PriceDeck!$C$13:$O$13,0))</f>
        <v>0.85</v>
      </c>
      <c r="AI164" s="258">
        <f t="shared" si="138"/>
        <v>4.75</v>
      </c>
      <c r="AJ164" s="259">
        <f t="shared" si="113"/>
        <v>4.75</v>
      </c>
      <c r="AK164" s="120">
        <v>4.75</v>
      </c>
      <c r="AL164" s="120"/>
      <c r="AN164" s="7">
        <f t="shared" si="139"/>
        <v>15157.636756673219</v>
      </c>
      <c r="AO164" s="7">
        <f t="shared" si="140"/>
        <v>17085.335193061797</v>
      </c>
      <c r="AP164" s="7">
        <f t="shared" si="141"/>
        <v>5135.1580687333053</v>
      </c>
      <c r="AQ164" s="7">
        <f t="shared" si="142"/>
        <v>7045.6942037115568</v>
      </c>
      <c r="AR164" s="7">
        <f t="shared" si="143"/>
        <v>9941.0033669845216</v>
      </c>
      <c r="AS164" s="7">
        <f t="shared" si="144"/>
        <v>8584.4534448887862</v>
      </c>
      <c r="AT164" s="7">
        <f t="shared" si="145"/>
        <v>62949.281034053187</v>
      </c>
      <c r="AU164">
        <f>SUM($AT$9:AT164)</f>
        <v>65838072.321776055</v>
      </c>
      <c r="AV164" s="7">
        <f>AT164/(1+$AR$5)^(COUNT($E$9:E164))</f>
        <v>19346.714595478741</v>
      </c>
      <c r="AW164" s="7">
        <f t="shared" si="159"/>
        <v>0</v>
      </c>
      <c r="AX164" s="7">
        <f t="shared" si="146"/>
        <v>0</v>
      </c>
      <c r="AY164" s="117">
        <f t="shared" si="147"/>
        <v>0</v>
      </c>
      <c r="AZ164" s="117">
        <f t="shared" si="148"/>
        <v>62949.281034053187</v>
      </c>
      <c r="BA164" s="120">
        <f t="shared" si="149"/>
        <v>13329.586252913836</v>
      </c>
      <c r="BB164" s="119">
        <f t="shared" si="114"/>
        <v>30.079195230103778</v>
      </c>
      <c r="BC164" s="17"/>
      <c r="BD164" s="126">
        <f t="shared" si="115"/>
        <v>0.24079126095933501</v>
      </c>
      <c r="BE164" s="127">
        <f t="shared" si="116"/>
        <v>0.27141430231457725</v>
      </c>
      <c r="BF164" s="127">
        <f t="shared" si="117"/>
        <v>8.1576119446946163E-2</v>
      </c>
      <c r="BG164" s="127">
        <f t="shared" si="118"/>
        <v>0.11192652382955895</v>
      </c>
      <c r="BH164" s="127">
        <f t="shared" si="119"/>
        <v>0.15792084045577603</v>
      </c>
      <c r="BI164" s="128">
        <f t="shared" si="120"/>
        <v>0.13637095299380655</v>
      </c>
      <c r="BJ164" s="126">
        <f t="array" ref="BJ164">BD164*INDEX(Royalty!$U$7:$Z$246,MATCH('Decline and Model'!$E164,Royalty!$AI$7:$AI$246,0),MATCH('Decline and Model'!BJ$8,Royalty!$U$1:$Z$1,0))</f>
        <v>7.6002674977562107E-2</v>
      </c>
      <c r="BK164" s="127">
        <f t="array" ref="BK164">BE164*INDEX(Royalty!$U$7:$Z$246,MATCH('Decline and Model'!$E164,Royalty!$AI$7:$AI$246,0),MATCH('Decline and Model'!BK$8,Royalty!$U$1:$Z$1,0))</f>
        <v>8.3071878823276837E-2</v>
      </c>
      <c r="BL164" s="127">
        <f t="array" ref="BL164">BF164*INDEX(Royalty!$U$7:$Z$246,MATCH('Decline and Model'!$E164,Royalty!$AI$7:$AI$246,0),MATCH('Decline and Model'!BL$8,Royalty!$U$1:$Z$1,0))</f>
        <v>2.5837890586854619E-2</v>
      </c>
      <c r="BM164" s="127">
        <f t="array" ref="BM164">BG164*INDEX(Royalty!$U$7:$Z$246,MATCH('Decline and Model'!$E164,Royalty!$AI$7:$AI$246,0),MATCH('Decline and Model'!BM$8,Royalty!$U$1:$Z$1,0))</f>
        <v>3.4249873856683197E-2</v>
      </c>
      <c r="BN164" s="127">
        <f t="array" ref="BN164">BH164*INDEX(Royalty!$U$7:$Z$246,MATCH('Decline and Model'!$E164,Royalty!$AI$7:$AI$246,0),MATCH('Decline and Model'!BN$8,Royalty!$U$1:$Z$1,0))</f>
        <v>2.6377254891688618E-2</v>
      </c>
      <c r="BO164" s="127">
        <f t="array" ref="BO164">BI164*INDEX(Royalty!$U$7:$Z$246,MATCH('Decline and Model'!$E164,Royalty!$AI$7:$AI$246,0),MATCH('Decline and Model'!BO$8,Royalty!$U$1:$Z$1,0))</f>
        <v>6.8185476496903279E-3</v>
      </c>
      <c r="BP164" s="135">
        <f t="shared" si="121"/>
        <v>0.21175120722511559</v>
      </c>
      <c r="BQ164" s="7"/>
      <c r="BR164" s="7"/>
      <c r="BS164">
        <v>156</v>
      </c>
      <c r="BT164" s="120">
        <f t="shared" si="122"/>
        <v>13329.586252913836</v>
      </c>
      <c r="BU164" s="113">
        <f t="shared" si="123"/>
        <v>11901.439447698962</v>
      </c>
      <c r="BV164" s="113">
        <f t="shared" si="124"/>
        <v>3570.4318343096888</v>
      </c>
      <c r="BW164" s="113">
        <f t="shared" si="157"/>
        <v>375417.08223279088</v>
      </c>
      <c r="BX164" s="113">
        <f t="shared" si="150"/>
        <v>8298.3883462141548</v>
      </c>
      <c r="BY164" s="120">
        <f t="shared" si="151"/>
        <v>25849.435152916543</v>
      </c>
      <c r="BZ164" s="153">
        <f t="shared" si="158"/>
        <v>0</v>
      </c>
      <c r="CA164" s="120">
        <f t="shared" si="160"/>
        <v>25849.435152916543</v>
      </c>
      <c r="CB164" s="120">
        <f t="shared" si="152"/>
        <v>6462.3587882291358</v>
      </c>
      <c r="CC164" s="153">
        <f t="shared" si="153"/>
        <v>27685.464710901564</v>
      </c>
      <c r="CD164" s="7">
        <f t="shared" si="125"/>
        <v>8508.7990745320694</v>
      </c>
      <c r="CE164" s="11">
        <f>SUM($CD$9:CD164)</f>
        <v>25185419.705228701</v>
      </c>
      <c r="CF164" s="11">
        <f t="shared" si="154"/>
        <v>12000000</v>
      </c>
      <c r="CG164">
        <f t="shared" si="155"/>
        <v>13185419.705228701</v>
      </c>
    </row>
    <row r="165" spans="1:85">
      <c r="A165">
        <f t="shared" si="126"/>
        <v>2030</v>
      </c>
      <c r="B165">
        <f t="shared" si="127"/>
        <v>30.416666666666668</v>
      </c>
      <c r="C165">
        <f t="shared" si="161"/>
        <v>14</v>
      </c>
      <c r="E165" s="97">
        <v>47574</v>
      </c>
      <c r="F165" s="2">
        <f>$F$6*EXP(-$F$3*COUNT($E$9:$E165))</f>
        <v>0.31237217148372565</v>
      </c>
      <c r="G165" s="260">
        <f>$F$6/(1+$F$5*$F$3*COUNT($E$9:$E165))^(1/$F$5)</f>
        <v>4.7071846793768799</v>
      </c>
      <c r="H165" s="260">
        <f>$H$6/(1+$H$5*$H$3*COUNT($E$9:$E165))^(1/$H$5)</f>
        <v>117.30476735723335</v>
      </c>
      <c r="I165" s="260">
        <f t="shared" si="128"/>
        <v>22.343765210901587</v>
      </c>
      <c r="J165" s="260">
        <f t="shared" si="129"/>
        <v>9.3039438338194209</v>
      </c>
      <c r="K165" s="260">
        <f t="shared" si="129"/>
        <v>6.3299886842484199</v>
      </c>
      <c r="L165" s="260">
        <f t="shared" si="129"/>
        <v>3.0186426799928046</v>
      </c>
      <c r="M165" s="260">
        <f t="shared" si="112"/>
        <v>3.6934243893620322</v>
      </c>
      <c r="N165" s="19">
        <f t="shared" si="130"/>
        <v>9.5013202159633217</v>
      </c>
      <c r="O165" s="19">
        <f t="shared" si="131"/>
        <v>143.17686733104676</v>
      </c>
      <c r="P165" s="19">
        <f t="shared" si="132"/>
        <v>3568.0200071158479</v>
      </c>
      <c r="Q165" s="19">
        <f t="shared" si="133"/>
        <v>679.62285849825662</v>
      </c>
      <c r="R165" s="19">
        <f t="shared" si="134"/>
        <v>282.99495827867406</v>
      </c>
      <c r="S165" s="19">
        <f t="shared" si="135"/>
        <v>192.53715581255611</v>
      </c>
      <c r="T165" s="19">
        <f t="shared" si="136"/>
        <v>91.81704818311448</v>
      </c>
      <c r="U165" s="19">
        <f t="shared" si="137"/>
        <v>112.34165850976181</v>
      </c>
      <c r="V165" s="261">
        <f t="shared" si="156"/>
        <v>1178.4866139439155</v>
      </c>
      <c r="W165" s="261">
        <f>SUM(O$9:O165)</f>
        <v>557362.41959426075</v>
      </c>
      <c r="X165" s="261">
        <f>SUM(P$9:P165)</f>
        <v>2334289.5107592992</v>
      </c>
      <c r="Y165" s="261">
        <f>SUM(Q$9:Q165)</f>
        <v>444626.57347796171</v>
      </c>
      <c r="Z165" s="261">
        <f>SUM($V$9:V165)</f>
        <v>1234688.4091025984</v>
      </c>
      <c r="AB165" s="257">
        <f t="array" ref="AB165">(INDEX(PriceDeck!$C$18:$O$77,MATCH('Decline and Model'!$A165,PriceDeck!$B$18:$B$77,0),MATCH('Decline and Model'!AB$8,PriceDeck!$C$13:$O$13,0))*(1+$AE$6))</f>
        <v>90.6</v>
      </c>
      <c r="AC165" s="257">
        <f t="array" ref="AC165">INDEX(PriceDeck!$C$18:$O$77,MATCH('Decline and Model'!$A165,PriceDeck!$B$18:$B$77,0),MATCH('Decline and Model'!AC$8,PriceDeck!$C$13:$O$13,0))*(1+$AE$6)</f>
        <v>103.5</v>
      </c>
      <c r="AD165" s="257">
        <f t="array" ref="AD165">INDEX(PriceDeck!$C$18:$O$77,MATCH('Decline and Model'!$A165,PriceDeck!$B$18:$B$77,0),MATCH('Decline and Model'!AD$8,PriceDeck!$C$13:$O$13,0))*(1+$AE$6)</f>
        <v>18</v>
      </c>
      <c r="AE165" s="257">
        <f t="array" ref="AE165">INDEX(PriceDeck!$C$18:$O$77,MATCH('Decline and Model'!$A165,PriceDeck!$B$18:$B$77,0),MATCH('Decline and Model'!AE$8,PriceDeck!$C$13:$O$13,0))*(1+$AE$6)</f>
        <v>36.299999999999997</v>
      </c>
      <c r="AF165" s="257">
        <f t="array" ref="AF165">INDEX(PriceDeck!$C$18:$O$77,MATCH('Decline and Model'!$A165,PriceDeck!$B$18:$B$77,0),MATCH('Decline and Model'!AF$8,PriceDeck!$C$13:$O$13,0))*(1+$AE$6)</f>
        <v>107.4</v>
      </c>
      <c r="AG165" s="257">
        <f t="array" ref="AG165">INDEX(PriceDeck!$C$18:$O$77,MATCH('Decline and Model'!$A165,PriceDeck!$B$18:$B$77,0),MATCH('Decline and Model'!AG$8,PriceDeck!$C$13:$O$13,0))*(1+$AE$6)</f>
        <v>75.8</v>
      </c>
      <c r="AH165" s="258">
        <f t="array" ref="AH165">INDEX(PriceDeck!$C$18:$O$77,MATCH('Decline and Model'!$A165,PriceDeck!$B$18:$B$77,0),MATCH('Decline and Model'!AH$8,PriceDeck!$C$13:$O$13,0))</f>
        <v>0.85</v>
      </c>
      <c r="AI165" s="258">
        <f t="shared" si="138"/>
        <v>4.75</v>
      </c>
      <c r="AJ165" s="259">
        <f t="shared" si="113"/>
        <v>4.75</v>
      </c>
      <c r="AK165" s="120">
        <v>4.75</v>
      </c>
      <c r="AL165" s="120"/>
      <c r="AN165" s="7">
        <f t="shared" si="139"/>
        <v>14818.805768763341</v>
      </c>
      <c r="AO165" s="7">
        <f t="shared" si="140"/>
        <v>16948.095033800277</v>
      </c>
      <c r="AP165" s="7">
        <f t="shared" si="141"/>
        <v>5093.9092490161329</v>
      </c>
      <c r="AQ165" s="7">
        <f t="shared" si="142"/>
        <v>6989.0987559957857</v>
      </c>
      <c r="AR165" s="7">
        <f t="shared" si="143"/>
        <v>9861.1509748664957</v>
      </c>
      <c r="AS165" s="7">
        <f t="shared" si="144"/>
        <v>8515.4977150399445</v>
      </c>
      <c r="AT165" s="7">
        <f t="shared" si="145"/>
        <v>62226.557497481976</v>
      </c>
      <c r="AU165">
        <f>SUM($AT$9:AT165)</f>
        <v>65900298.879273534</v>
      </c>
      <c r="AV165" s="7">
        <f>AT165/(1+$AR$5)^(COUNT($E$9:E165))</f>
        <v>18980.502953034029</v>
      </c>
      <c r="AW165" s="7">
        <f t="shared" si="159"/>
        <v>0</v>
      </c>
      <c r="AX165" s="7">
        <f t="shared" si="146"/>
        <v>0</v>
      </c>
      <c r="AY165" s="117">
        <f t="shared" si="147"/>
        <v>0</v>
      </c>
      <c r="AZ165" s="117">
        <f t="shared" si="148"/>
        <v>62226.557497481976</v>
      </c>
      <c r="BA165" s="120">
        <f t="shared" si="149"/>
        <v>12183.52833415112</v>
      </c>
      <c r="BB165" s="119">
        <f t="shared" si="114"/>
        <v>41.736526056084585</v>
      </c>
      <c r="BC165" s="17"/>
      <c r="BD165" s="126">
        <f t="shared" si="115"/>
        <v>0.23814278605020037</v>
      </c>
      <c r="BE165" s="127">
        <f t="shared" si="116"/>
        <v>0.27236112225051318</v>
      </c>
      <c r="BF165" s="127">
        <f t="shared" si="117"/>
        <v>8.1860695077375284E-2</v>
      </c>
      <c r="BG165" s="127">
        <f t="shared" si="118"/>
        <v>0.11231697585518213</v>
      </c>
      <c r="BH165" s="127">
        <f t="shared" si="119"/>
        <v>0.15847174215391124</v>
      </c>
      <c r="BI165" s="128">
        <f t="shared" si="120"/>
        <v>0.13684667861281782</v>
      </c>
      <c r="BJ165" s="126">
        <f t="array" ref="BJ165">BD165*INDEX(Royalty!$U$7:$Z$246,MATCH('Decline and Model'!$E165,Royalty!$AI$7:$AI$246,0),MATCH('Decline and Model'!BJ$8,Royalty!$U$1:$Z$1,0))</f>
        <v>7.5166717821545617E-2</v>
      </c>
      <c r="BK165" s="127">
        <f t="array" ref="BK165">BE165*INDEX(Royalty!$U$7:$Z$246,MATCH('Decline and Model'!$E165,Royalty!$AI$7:$AI$246,0),MATCH('Decline and Model'!BK$8,Royalty!$U$1:$Z$1,0))</f>
        <v>8.3361672361475764E-2</v>
      </c>
      <c r="BL165" s="127">
        <f t="array" ref="BL165">BF165*INDEX(Royalty!$U$7:$Z$246,MATCH('Decline and Model'!$E165,Royalty!$AI$7:$AI$246,0),MATCH('Decline and Model'!BL$8,Royalty!$U$1:$Z$1,0))</f>
        <v>2.5928025224939418E-2</v>
      </c>
      <c r="BM165" s="127">
        <f t="array" ref="BM165">BG165*INDEX(Royalty!$U$7:$Z$246,MATCH('Decline and Model'!$E165,Royalty!$AI$7:$AI$246,0),MATCH('Decline and Model'!BM$8,Royalty!$U$1:$Z$1,0))</f>
        <v>3.4369353423877161E-2</v>
      </c>
      <c r="BN165" s="127">
        <f t="array" ref="BN165">BH165*INDEX(Royalty!$U$7:$Z$246,MATCH('Decline and Model'!$E165,Royalty!$AI$7:$AI$246,0),MATCH('Decline and Model'!BN$8,Royalty!$U$1:$Z$1,0))</f>
        <v>2.646927108454852E-2</v>
      </c>
      <c r="BO165" s="127">
        <f t="array" ref="BO165">BI165*INDEX(Royalty!$U$7:$Z$246,MATCH('Decline and Model'!$E165,Royalty!$AI$7:$AI$246,0),MATCH('Decline and Model'!BO$8,Royalty!$U$1:$Z$1,0))</f>
        <v>6.8423339306408915E-3</v>
      </c>
      <c r="BP165" s="135">
        <f t="shared" si="121"/>
        <v>0.19579306367131319</v>
      </c>
      <c r="BQ165" s="7"/>
      <c r="BR165" s="7"/>
      <c r="BS165">
        <v>157</v>
      </c>
      <c r="BT165" s="120">
        <f t="shared" si="122"/>
        <v>12183.52833415112</v>
      </c>
      <c r="BU165" s="113">
        <f t="shared" si="123"/>
        <v>11784.866139439155</v>
      </c>
      <c r="BV165" s="113">
        <f t="shared" si="124"/>
        <v>3535.4598418317464</v>
      </c>
      <c r="BW165" s="113">
        <f t="shared" si="157"/>
        <v>367118.69388657674</v>
      </c>
      <c r="BX165" s="113">
        <f t="shared" si="150"/>
        <v>8114.9570310086265</v>
      </c>
      <c r="BY165" s="120">
        <f t="shared" si="151"/>
        <v>26607.746151051324</v>
      </c>
      <c r="BZ165" s="153">
        <f t="shared" si="158"/>
        <v>0</v>
      </c>
      <c r="CA165" s="120">
        <f t="shared" si="160"/>
        <v>26607.746151051324</v>
      </c>
      <c r="CB165" s="120">
        <f t="shared" si="152"/>
        <v>6651.936537762831</v>
      </c>
      <c r="CC165" s="153">
        <f t="shared" si="153"/>
        <v>28070.76664429712</v>
      </c>
      <c r="CD165" s="7">
        <f t="shared" si="125"/>
        <v>8562.216690318608</v>
      </c>
      <c r="CE165" s="11">
        <f>SUM($CD$9:CD165)</f>
        <v>25193981.921919018</v>
      </c>
      <c r="CF165" s="11">
        <f t="shared" si="154"/>
        <v>12000000</v>
      </c>
      <c r="CG165">
        <f t="shared" si="155"/>
        <v>13193981.921919018</v>
      </c>
    </row>
    <row r="166" spans="1:85">
      <c r="A166">
        <f t="shared" si="126"/>
        <v>2030</v>
      </c>
      <c r="B166">
        <f t="shared" si="127"/>
        <v>30.416666666666668</v>
      </c>
      <c r="C166">
        <f t="shared" si="161"/>
        <v>14</v>
      </c>
      <c r="E166" s="97">
        <v>47604</v>
      </c>
      <c r="F166" s="2">
        <f>$F$6*EXP(-$F$3*COUNT($E$9:$E166))</f>
        <v>0.29713760091050267</v>
      </c>
      <c r="G166" s="260">
        <f>$F$6/(1+$F$5*$F$3*COUNT($E$9:$E166))^(1/$F$5)</f>
        <v>4.602324097206278</v>
      </c>
      <c r="H166" s="260">
        <f>$H$6/(1+$H$5*$H$3*COUNT($E$9:$E166))^(1/$H$5)</f>
        <v>116.36787792250797</v>
      </c>
      <c r="I166" s="260">
        <f t="shared" si="128"/>
        <v>22.165310080477706</v>
      </c>
      <c r="J166" s="260">
        <f t="shared" si="129"/>
        <v>9.2296351175109166</v>
      </c>
      <c r="K166" s="260">
        <f t="shared" si="129"/>
        <v>6.279432345799334</v>
      </c>
      <c r="L166" s="260">
        <f t="shared" si="129"/>
        <v>2.9945333918725381</v>
      </c>
      <c r="M166" s="260">
        <f t="shared" si="112"/>
        <v>3.663925756302965</v>
      </c>
      <c r="N166" s="19">
        <f t="shared" si="130"/>
        <v>9.0379353610277899</v>
      </c>
      <c r="O166" s="19">
        <f t="shared" si="131"/>
        <v>139.98735795669097</v>
      </c>
      <c r="P166" s="19">
        <f t="shared" si="132"/>
        <v>3539.5229534762843</v>
      </c>
      <c r="Q166" s="19">
        <f t="shared" si="133"/>
        <v>674.19484828119687</v>
      </c>
      <c r="R166" s="19">
        <f t="shared" si="134"/>
        <v>280.7347348242904</v>
      </c>
      <c r="S166" s="19">
        <f t="shared" si="135"/>
        <v>190.99940051806308</v>
      </c>
      <c r="T166" s="19">
        <f t="shared" si="136"/>
        <v>91.083724002789708</v>
      </c>
      <c r="U166" s="19">
        <f t="shared" si="137"/>
        <v>111.44440842088186</v>
      </c>
      <c r="V166" s="261">
        <f t="shared" si="156"/>
        <v>1167.02829516716</v>
      </c>
      <c r="W166" s="261">
        <f>SUM(O$9:O166)</f>
        <v>557502.40695221745</v>
      </c>
      <c r="X166" s="261">
        <f>SUM(P$9:P166)</f>
        <v>2337829.0337127754</v>
      </c>
      <c r="Y166" s="261">
        <f>SUM(Q$9:Q166)</f>
        <v>445300.76832624292</v>
      </c>
      <c r="Z166" s="261">
        <f>SUM($V$9:V166)</f>
        <v>1235855.4373977657</v>
      </c>
      <c r="AB166" s="257">
        <f t="array" ref="AB166">(INDEX(PriceDeck!$C$18:$O$77,MATCH('Decline and Model'!$A166,PriceDeck!$B$18:$B$77,0),MATCH('Decline and Model'!AB$8,PriceDeck!$C$13:$O$13,0))*(1+$AE$6))</f>
        <v>90.6</v>
      </c>
      <c r="AC166" s="257">
        <f t="array" ref="AC166">INDEX(PriceDeck!$C$18:$O$77,MATCH('Decline and Model'!$A166,PriceDeck!$B$18:$B$77,0),MATCH('Decline and Model'!AC$8,PriceDeck!$C$13:$O$13,0))*(1+$AE$6)</f>
        <v>103.5</v>
      </c>
      <c r="AD166" s="257">
        <f t="array" ref="AD166">INDEX(PriceDeck!$C$18:$O$77,MATCH('Decline and Model'!$A166,PriceDeck!$B$18:$B$77,0),MATCH('Decline and Model'!AD$8,PriceDeck!$C$13:$O$13,0))*(1+$AE$6)</f>
        <v>18</v>
      </c>
      <c r="AE166" s="257">
        <f t="array" ref="AE166">INDEX(PriceDeck!$C$18:$O$77,MATCH('Decline and Model'!$A166,PriceDeck!$B$18:$B$77,0),MATCH('Decline and Model'!AE$8,PriceDeck!$C$13:$O$13,0))*(1+$AE$6)</f>
        <v>36.299999999999997</v>
      </c>
      <c r="AF166" s="257">
        <f t="array" ref="AF166">INDEX(PriceDeck!$C$18:$O$77,MATCH('Decline and Model'!$A166,PriceDeck!$B$18:$B$77,0),MATCH('Decline and Model'!AF$8,PriceDeck!$C$13:$O$13,0))*(1+$AE$6)</f>
        <v>107.4</v>
      </c>
      <c r="AG166" s="257">
        <f t="array" ref="AG166">INDEX(PriceDeck!$C$18:$O$77,MATCH('Decline and Model'!$A166,PriceDeck!$B$18:$B$77,0),MATCH('Decline and Model'!AG$8,PriceDeck!$C$13:$O$13,0))*(1+$AE$6)</f>
        <v>75.8</v>
      </c>
      <c r="AH166" s="258">
        <f t="array" ref="AH166">INDEX(PriceDeck!$C$18:$O$77,MATCH('Decline and Model'!$A166,PriceDeck!$B$18:$B$77,0),MATCH('Decline and Model'!AH$8,PriceDeck!$C$13:$O$13,0))</f>
        <v>0.85</v>
      </c>
      <c r="AI166" s="258">
        <f t="shared" si="138"/>
        <v>4.75</v>
      </c>
      <c r="AJ166" s="259">
        <f t="shared" si="113"/>
        <v>4.75</v>
      </c>
      <c r="AK166" s="120">
        <v>4.75</v>
      </c>
      <c r="AL166" s="120"/>
      <c r="AN166" s="7">
        <f t="shared" si="139"/>
        <v>14488.691548517516</v>
      </c>
      <c r="AO166" s="7">
        <f t="shared" si="140"/>
        <v>16812.73402901235</v>
      </c>
      <c r="AP166" s="7">
        <f t="shared" si="141"/>
        <v>5053.2252268372267</v>
      </c>
      <c r="AQ166" s="7">
        <f t="shared" si="142"/>
        <v>6933.2782388056894</v>
      </c>
      <c r="AR166" s="7">
        <f t="shared" si="143"/>
        <v>9782.3919578996156</v>
      </c>
      <c r="AS166" s="7">
        <f t="shared" si="144"/>
        <v>8447.4861583028451</v>
      </c>
      <c r="AT166" s="7">
        <f t="shared" si="145"/>
        <v>61517.807159375239</v>
      </c>
      <c r="AU166">
        <f>SUM($AT$9:AT166)</f>
        <v>65961816.686432905</v>
      </c>
      <c r="AV166" s="7">
        <f>AT166/(1+$AR$5)^(COUNT($E$9:E166))</f>
        <v>18622.941422523079</v>
      </c>
      <c r="AW166" s="7">
        <f t="shared" si="159"/>
        <v>0</v>
      </c>
      <c r="AX166" s="7">
        <f t="shared" si="146"/>
        <v>0</v>
      </c>
      <c r="AY166" s="117">
        <f t="shared" si="147"/>
        <v>0</v>
      </c>
      <c r="AZ166" s="117">
        <f t="shared" si="148"/>
        <v>61517.807159375239</v>
      </c>
      <c r="BA166" s="120">
        <f t="shared" si="149"/>
        <v>11079.710881151932</v>
      </c>
      <c r="BB166" s="119">
        <f t="shared" si="114"/>
        <v>53.19484483284009</v>
      </c>
      <c r="BC166" s="17"/>
      <c r="BD166" s="126">
        <f t="shared" si="115"/>
        <v>0.23552028619910678</v>
      </c>
      <c r="BE166" s="127">
        <f t="shared" si="116"/>
        <v>0.27329865619974575</v>
      </c>
      <c r="BF166" s="127">
        <f t="shared" si="117"/>
        <v>8.2142479717226421E-2</v>
      </c>
      <c r="BG166" s="127">
        <f t="shared" si="118"/>
        <v>0.11270359850186998</v>
      </c>
      <c r="BH166" s="127">
        <f t="shared" si="119"/>
        <v>0.15901724085444405</v>
      </c>
      <c r="BI166" s="128">
        <f t="shared" si="120"/>
        <v>0.13731773852760709</v>
      </c>
      <c r="BJ166" s="126">
        <f t="array" ref="BJ166">BD166*INDEX(Royalty!$U$7:$Z$246,MATCH('Decline and Model'!$E166,Royalty!$AI$7:$AI$246,0),MATCH('Decline and Model'!BJ$8,Royalty!$U$1:$Z$1,0))</f>
        <v>7.4338959359642673E-2</v>
      </c>
      <c r="BK166" s="127">
        <f t="array" ref="BK166">BE166*INDEX(Royalty!$U$7:$Z$246,MATCH('Decline and Model'!$E166,Royalty!$AI$7:$AI$246,0),MATCH('Decline and Model'!BK$8,Royalty!$U$1:$Z$1,0))</f>
        <v>8.3648623734189673E-2</v>
      </c>
      <c r="BL166" s="127">
        <f t="array" ref="BL166">BF166*INDEX(Royalty!$U$7:$Z$246,MATCH('Decline and Model'!$E166,Royalty!$AI$7:$AI$246,0),MATCH('Decline and Model'!BL$8,Royalty!$U$1:$Z$1,0))</f>
        <v>2.6017275862784052E-2</v>
      </c>
      <c r="BM166" s="127">
        <f t="array" ref="BM166">BG166*INDEX(Royalty!$U$7:$Z$246,MATCH('Decline and Model'!$E166,Royalty!$AI$7:$AI$246,0),MATCH('Decline and Model'!BM$8,Royalty!$U$1:$Z$1,0))</f>
        <v>3.4487661188883426E-2</v>
      </c>
      <c r="BN166" s="127">
        <f t="array" ref="BN166">BH166*INDEX(Royalty!$U$7:$Z$246,MATCH('Decline and Model'!$E166,Royalty!$AI$7:$AI$246,0),MATCH('Decline and Model'!BN$8,Royalty!$U$1:$Z$1,0))</f>
        <v>2.6560384823720064E-2</v>
      </c>
      <c r="BO166" s="127">
        <f t="array" ref="BO166">BI166*INDEX(Royalty!$U$7:$Z$246,MATCH('Decline and Model'!$E166,Royalty!$AI$7:$AI$246,0),MATCH('Decline and Model'!BO$8,Royalty!$U$1:$Z$1,0))</f>
        <v>6.8658869263803551E-3</v>
      </c>
      <c r="BP166" s="135">
        <f t="shared" si="121"/>
        <v>0.18010575137126611</v>
      </c>
      <c r="BQ166" s="7"/>
      <c r="BR166" s="7"/>
      <c r="BS166">
        <v>158</v>
      </c>
      <c r="BT166" s="120">
        <f t="shared" si="122"/>
        <v>11079.710881151932</v>
      </c>
      <c r="BU166" s="113">
        <f t="shared" si="123"/>
        <v>11670.282951671599</v>
      </c>
      <c r="BV166" s="113">
        <f t="shared" si="124"/>
        <v>3501.0848855014801</v>
      </c>
      <c r="BW166" s="113">
        <f t="shared" si="157"/>
        <v>359003.73685556813</v>
      </c>
      <c r="BX166" s="113">
        <f t="shared" si="150"/>
        <v>7935.5803642473811</v>
      </c>
      <c r="BY166" s="120">
        <f t="shared" si="151"/>
        <v>27331.148076802852</v>
      </c>
      <c r="BZ166" s="153">
        <f t="shared" si="158"/>
        <v>0</v>
      </c>
      <c r="CA166" s="120">
        <f t="shared" si="160"/>
        <v>27331.148076802852</v>
      </c>
      <c r="CB166" s="120">
        <f t="shared" si="152"/>
        <v>6832.7870192007131</v>
      </c>
      <c r="CC166" s="153">
        <f t="shared" si="153"/>
        <v>28433.941421849519</v>
      </c>
      <c r="CD166" s="7">
        <f t="shared" si="125"/>
        <v>8607.647930926898</v>
      </c>
      <c r="CE166" s="11">
        <f>SUM($CD$9:CD166)</f>
        <v>25202589.569849946</v>
      </c>
      <c r="CF166" s="11">
        <f t="shared" si="154"/>
        <v>12000000</v>
      </c>
      <c r="CG166">
        <f t="shared" si="155"/>
        <v>13202589.569849946</v>
      </c>
    </row>
    <row r="167" spans="1:85">
      <c r="A167">
        <f t="shared" si="126"/>
        <v>2030</v>
      </c>
      <c r="B167">
        <f t="shared" si="127"/>
        <v>30.416666666666668</v>
      </c>
      <c r="C167">
        <f t="shared" si="161"/>
        <v>14</v>
      </c>
      <c r="E167" s="97">
        <v>47635</v>
      </c>
      <c r="F167" s="2">
        <f>$F$6*EXP(-$F$3*COUNT($E$9:$E167))</f>
        <v>0.2826460291116204</v>
      </c>
      <c r="G167" s="260">
        <f>$F$6/(1+$F$5*$F$3*COUNT($E$9:$E167))^(1/$F$5)</f>
        <v>4.5001518860029686</v>
      </c>
      <c r="H167" s="260">
        <f>$H$6/(1+$H$5*$H$3*COUNT($E$9:$E167))^(1/$H$5)</f>
        <v>115.4437440240883</v>
      </c>
      <c r="I167" s="260">
        <f t="shared" si="128"/>
        <v>21.989284576016818</v>
      </c>
      <c r="J167" s="260">
        <f t="shared" si="129"/>
        <v>9.1563380974534034</v>
      </c>
      <c r="K167" s="260">
        <f t="shared" si="129"/>
        <v>6.2295643203855642</v>
      </c>
      <c r="L167" s="260">
        <f t="shared" si="129"/>
        <v>2.9707523462198719</v>
      </c>
      <c r="M167" s="260">
        <f t="shared" si="112"/>
        <v>3.6348287404155801</v>
      </c>
      <c r="N167" s="19">
        <f t="shared" si="130"/>
        <v>8.5971500521451212</v>
      </c>
      <c r="O167" s="19">
        <f t="shared" si="131"/>
        <v>136.87961986592364</v>
      </c>
      <c r="P167" s="19">
        <f t="shared" si="132"/>
        <v>3511.4138807326858</v>
      </c>
      <c r="Q167" s="19">
        <f t="shared" si="133"/>
        <v>668.8407391871782</v>
      </c>
      <c r="R167" s="19">
        <f t="shared" si="134"/>
        <v>278.50528379754104</v>
      </c>
      <c r="S167" s="19">
        <f t="shared" si="135"/>
        <v>189.48258141172758</v>
      </c>
      <c r="T167" s="19">
        <f t="shared" si="136"/>
        <v>90.360383864187781</v>
      </c>
      <c r="U167" s="19">
        <f t="shared" si="137"/>
        <v>110.55937418764057</v>
      </c>
      <c r="V167" s="261">
        <f t="shared" si="156"/>
        <v>1155.7643256310366</v>
      </c>
      <c r="W167" s="261">
        <f>SUM(O$9:O167)</f>
        <v>557639.28657208337</v>
      </c>
      <c r="X167" s="261">
        <f>SUM(P$9:P167)</f>
        <v>2341340.4475935083</v>
      </c>
      <c r="Y167" s="261">
        <f>SUM(Q$9:Q167)</f>
        <v>445969.60906543012</v>
      </c>
      <c r="Z167" s="261">
        <f>SUM($V$9:V167)</f>
        <v>1237011.2017233968</v>
      </c>
      <c r="AB167" s="257">
        <f t="array" ref="AB167">(INDEX(PriceDeck!$C$18:$O$77,MATCH('Decline and Model'!$A167,PriceDeck!$B$18:$B$77,0),MATCH('Decline and Model'!AB$8,PriceDeck!$C$13:$O$13,0))*(1+$AE$6))</f>
        <v>90.6</v>
      </c>
      <c r="AC167" s="257">
        <f t="array" ref="AC167">INDEX(PriceDeck!$C$18:$O$77,MATCH('Decline and Model'!$A167,PriceDeck!$B$18:$B$77,0),MATCH('Decline and Model'!AC$8,PriceDeck!$C$13:$O$13,0))*(1+$AE$6)</f>
        <v>103.5</v>
      </c>
      <c r="AD167" s="257">
        <f t="array" ref="AD167">INDEX(PriceDeck!$C$18:$O$77,MATCH('Decline and Model'!$A167,PriceDeck!$B$18:$B$77,0),MATCH('Decline and Model'!AD$8,PriceDeck!$C$13:$O$13,0))*(1+$AE$6)</f>
        <v>18</v>
      </c>
      <c r="AE167" s="257">
        <f t="array" ref="AE167">INDEX(PriceDeck!$C$18:$O$77,MATCH('Decline and Model'!$A167,PriceDeck!$B$18:$B$77,0),MATCH('Decline and Model'!AE$8,PriceDeck!$C$13:$O$13,0))*(1+$AE$6)</f>
        <v>36.299999999999997</v>
      </c>
      <c r="AF167" s="257">
        <f t="array" ref="AF167">INDEX(PriceDeck!$C$18:$O$77,MATCH('Decline and Model'!$A167,PriceDeck!$B$18:$B$77,0),MATCH('Decline and Model'!AF$8,PriceDeck!$C$13:$O$13,0))*(1+$AE$6)</f>
        <v>107.4</v>
      </c>
      <c r="AG167" s="257">
        <f t="array" ref="AG167">INDEX(PriceDeck!$C$18:$O$77,MATCH('Decline and Model'!$A167,PriceDeck!$B$18:$B$77,0),MATCH('Decline and Model'!AG$8,PriceDeck!$C$13:$O$13,0))*(1+$AE$6)</f>
        <v>75.8</v>
      </c>
      <c r="AH167" s="258">
        <f t="array" ref="AH167">INDEX(PriceDeck!$C$18:$O$77,MATCH('Decline and Model'!$A167,PriceDeck!$B$18:$B$77,0),MATCH('Decline and Model'!AH$8,PriceDeck!$C$13:$O$13,0))</f>
        <v>0.85</v>
      </c>
      <c r="AI167" s="258">
        <f t="shared" si="138"/>
        <v>4.75</v>
      </c>
      <c r="AJ167" s="259">
        <f t="shared" si="113"/>
        <v>4.75</v>
      </c>
      <c r="AK167" s="120">
        <v>4.75</v>
      </c>
      <c r="AL167" s="120"/>
      <c r="AN167" s="7">
        <f t="shared" si="139"/>
        <v>14167.040656123098</v>
      </c>
      <c r="AO167" s="7">
        <f t="shared" si="140"/>
        <v>16679.215933480256</v>
      </c>
      <c r="AP167" s="7">
        <f t="shared" si="141"/>
        <v>5013.0951083557384</v>
      </c>
      <c r="AQ167" s="7">
        <f t="shared" si="142"/>
        <v>6878.2177052457109</v>
      </c>
      <c r="AR167" s="7">
        <f t="shared" si="143"/>
        <v>9704.7052270137683</v>
      </c>
      <c r="AS167" s="7">
        <f t="shared" si="144"/>
        <v>8380.4005634231544</v>
      </c>
      <c r="AT167" s="7">
        <f t="shared" si="145"/>
        <v>60822.675193641728</v>
      </c>
      <c r="AU167">
        <f>SUM($AT$9:AT167)</f>
        <v>66022639.361626551</v>
      </c>
      <c r="AV167" s="7">
        <f>AT167/(1+$AR$5)^(COUNT($E$9:E167))</f>
        <v>18273.781971006105</v>
      </c>
      <c r="AW167" s="7">
        <f t="shared" si="159"/>
        <v>0</v>
      </c>
      <c r="AX167" s="7">
        <f t="shared" si="146"/>
        <v>0</v>
      </c>
      <c r="AY167" s="117">
        <f t="shared" si="147"/>
        <v>0</v>
      </c>
      <c r="AZ167" s="117">
        <f t="shared" si="148"/>
        <v>60822.675193641728</v>
      </c>
      <c r="BA167" s="120">
        <f t="shared" si="149"/>
        <v>10016.458661639121</v>
      </c>
      <c r="BB167" s="119">
        <f t="shared" si="114"/>
        <v>64.458814368963431</v>
      </c>
      <c r="BC167" s="17"/>
      <c r="BD167" s="126">
        <f t="shared" si="115"/>
        <v>0.23292366886230104</v>
      </c>
      <c r="BE167" s="127">
        <f t="shared" si="116"/>
        <v>0.27422693724632269</v>
      </c>
      <c r="BF167" s="127">
        <f t="shared" si="117"/>
        <v>8.2421483310221061E-2</v>
      </c>
      <c r="BG167" s="127">
        <f t="shared" si="118"/>
        <v>0.11308640541290668</v>
      </c>
      <c r="BH167" s="127">
        <f t="shared" si="119"/>
        <v>0.15955735580713618</v>
      </c>
      <c r="BI167" s="128">
        <f t="shared" si="120"/>
        <v>0.13778414936111233</v>
      </c>
      <c r="BJ167" s="126">
        <f t="array" ref="BJ167">BD167*INDEX(Royalty!$U$7:$Z$246,MATCH('Decline and Model'!$E167,Royalty!$AI$7:$AI$246,0),MATCH('Decline and Model'!BJ$8,Royalty!$U$1:$Z$1,0))</f>
        <v>7.3519370381603805E-2</v>
      </c>
      <c r="BK167" s="127">
        <f t="array" ref="BK167">BE167*INDEX(Royalty!$U$7:$Z$246,MATCH('Decline and Model'!$E167,Royalty!$AI$7:$AI$246,0),MATCH('Decline and Model'!BK$8,Royalty!$U$1:$Z$1,0))</f>
        <v>8.3932743067465662E-2</v>
      </c>
      <c r="BL167" s="127">
        <f t="array" ref="BL167">BF167*INDEX(Royalty!$U$7:$Z$246,MATCH('Decline and Model'!$E167,Royalty!$AI$7:$AI$246,0),MATCH('Decline and Model'!BL$8,Royalty!$U$1:$Z$1,0))</f>
        <v>2.6105645649898319E-2</v>
      </c>
      <c r="BM167" s="127">
        <f t="array" ref="BM167">BG167*INDEX(Royalty!$U$7:$Z$246,MATCH('Decline and Model'!$E167,Royalty!$AI$7:$AI$246,0),MATCH('Decline and Model'!BM$8,Royalty!$U$1:$Z$1,0))</f>
        <v>3.4604801326590544E-2</v>
      </c>
      <c r="BN167" s="127">
        <f t="array" ref="BN167">BH167*INDEX(Royalty!$U$7:$Z$246,MATCH('Decline and Model'!$E167,Royalty!$AI$7:$AI$246,0),MATCH('Decline and Model'!BN$8,Royalty!$U$1:$Z$1,0))</f>
        <v>2.6650599324458884E-2</v>
      </c>
      <c r="BO167" s="127">
        <f t="array" ref="BO167">BI167*INDEX(Royalty!$U$7:$Z$246,MATCH('Decline and Model'!$E167,Royalty!$AI$7:$AI$246,0),MATCH('Decline and Model'!BO$8,Royalty!$U$1:$Z$1,0))</f>
        <v>6.8892074680556165E-3</v>
      </c>
      <c r="BP167" s="135">
        <f t="shared" si="121"/>
        <v>0.16468296781997219</v>
      </c>
      <c r="BQ167" s="7"/>
      <c r="BR167" s="7"/>
      <c r="BS167">
        <v>159</v>
      </c>
      <c r="BT167" s="120">
        <f t="shared" si="122"/>
        <v>10016.458661639121</v>
      </c>
      <c r="BU167" s="113">
        <f t="shared" si="123"/>
        <v>11557.643256310366</v>
      </c>
      <c r="BV167" s="113">
        <f t="shared" si="124"/>
        <v>3467.2929768931099</v>
      </c>
      <c r="BW167" s="113">
        <f t="shared" si="157"/>
        <v>351068.15649132075</v>
      </c>
      <c r="BX167" s="113">
        <f t="shared" si="150"/>
        <v>7760.1687201542063</v>
      </c>
      <c r="BY167" s="120">
        <f t="shared" si="151"/>
        <v>28021.111578644923</v>
      </c>
      <c r="BZ167" s="153">
        <f t="shared" si="158"/>
        <v>0</v>
      </c>
      <c r="CA167" s="120">
        <f t="shared" si="160"/>
        <v>28021.111578644923</v>
      </c>
      <c r="CB167" s="120">
        <f t="shared" si="152"/>
        <v>7005.2778946612307</v>
      </c>
      <c r="CC167" s="153">
        <f t="shared" si="153"/>
        <v>28776.0024041379</v>
      </c>
      <c r="CD167" s="7">
        <f t="shared" si="125"/>
        <v>8645.565034030833</v>
      </c>
      <c r="CE167" s="11">
        <f>SUM($CD$9:CD167)</f>
        <v>25211235.134883977</v>
      </c>
      <c r="CF167" s="11">
        <f t="shared" si="154"/>
        <v>12000000</v>
      </c>
      <c r="CG167">
        <f t="shared" si="155"/>
        <v>13211235.134883977</v>
      </c>
    </row>
    <row r="168" spans="1:85">
      <c r="A168">
        <f t="shared" si="126"/>
        <v>2030</v>
      </c>
      <c r="B168">
        <f t="shared" si="127"/>
        <v>30.416666666666668</v>
      </c>
      <c r="C168">
        <f t="shared" si="161"/>
        <v>14</v>
      </c>
      <c r="E168" s="97">
        <v>47665</v>
      </c>
      <c r="F168" s="2">
        <f>$F$6*EXP(-$F$3*COUNT($E$9:$E168))</f>
        <v>0.26886121960925879</v>
      </c>
      <c r="G168" s="260">
        <f>$F$6/(1+$F$5*$F$3*COUNT($E$9:$E168))^(1/$F$5)</f>
        <v>4.4005901492038504</v>
      </c>
      <c r="H168" s="260">
        <f>$H$6/(1+$H$5*$H$3*COUNT($E$9:$E168))^(1/$H$5)</f>
        <v>114.53212102051974</v>
      </c>
      <c r="I168" s="260">
        <f t="shared" si="128"/>
        <v>21.815642099146615</v>
      </c>
      <c r="J168" s="260">
        <f t="shared" si="129"/>
        <v>9.0840333700846507</v>
      </c>
      <c r="K168" s="260">
        <f t="shared" si="129"/>
        <v>6.180371406688236</v>
      </c>
      <c r="L168" s="260">
        <f t="shared" si="129"/>
        <v>2.9472932475947076</v>
      </c>
      <c r="M168" s="260">
        <f t="shared" si="112"/>
        <v>3.6061256389889356</v>
      </c>
      <c r="N168" s="19">
        <f t="shared" si="130"/>
        <v>8.1778620964482887</v>
      </c>
      <c r="O168" s="19">
        <f t="shared" si="131"/>
        <v>133.85128370495045</v>
      </c>
      <c r="P168" s="19">
        <f t="shared" si="132"/>
        <v>3483.6853477074756</v>
      </c>
      <c r="Q168" s="19">
        <f t="shared" si="133"/>
        <v>663.55911384904289</v>
      </c>
      <c r="R168" s="19">
        <f t="shared" si="134"/>
        <v>276.30601500674146</v>
      </c>
      <c r="S168" s="19">
        <f t="shared" si="135"/>
        <v>187.98629695343385</v>
      </c>
      <c r="T168" s="19">
        <f t="shared" si="136"/>
        <v>89.64683628100569</v>
      </c>
      <c r="U168" s="19">
        <f t="shared" si="137"/>
        <v>109.68632151924679</v>
      </c>
      <c r="V168" s="261">
        <f t="shared" si="156"/>
        <v>1144.6901768224259</v>
      </c>
      <c r="W168" s="261">
        <f>SUM(O$9:O168)</f>
        <v>557773.13785578834</v>
      </c>
      <c r="X168" s="261">
        <f>SUM(P$9:P168)</f>
        <v>2344824.1329412158</v>
      </c>
      <c r="Y168" s="261">
        <f>SUM(Q$9:Q168)</f>
        <v>446633.16817927919</v>
      </c>
      <c r="Z168" s="261">
        <f>SUM($V$9:V168)</f>
        <v>1238155.8919002193</v>
      </c>
      <c r="AB168" s="257">
        <f t="array" ref="AB168">(INDEX(PriceDeck!$C$18:$O$77,MATCH('Decline and Model'!$A168,PriceDeck!$B$18:$B$77,0),MATCH('Decline and Model'!AB$8,PriceDeck!$C$13:$O$13,0))*(1+$AE$6))</f>
        <v>90.6</v>
      </c>
      <c r="AC168" s="257">
        <f t="array" ref="AC168">INDEX(PriceDeck!$C$18:$O$77,MATCH('Decline and Model'!$A168,PriceDeck!$B$18:$B$77,0),MATCH('Decline and Model'!AC$8,PriceDeck!$C$13:$O$13,0))*(1+$AE$6)</f>
        <v>103.5</v>
      </c>
      <c r="AD168" s="257">
        <f t="array" ref="AD168">INDEX(PriceDeck!$C$18:$O$77,MATCH('Decline and Model'!$A168,PriceDeck!$B$18:$B$77,0),MATCH('Decline and Model'!AD$8,PriceDeck!$C$13:$O$13,0))*(1+$AE$6)</f>
        <v>18</v>
      </c>
      <c r="AE168" s="257">
        <f t="array" ref="AE168">INDEX(PriceDeck!$C$18:$O$77,MATCH('Decline and Model'!$A168,PriceDeck!$B$18:$B$77,0),MATCH('Decline and Model'!AE$8,PriceDeck!$C$13:$O$13,0))*(1+$AE$6)</f>
        <v>36.299999999999997</v>
      </c>
      <c r="AF168" s="257">
        <f t="array" ref="AF168">INDEX(PriceDeck!$C$18:$O$77,MATCH('Decline and Model'!$A168,PriceDeck!$B$18:$B$77,0),MATCH('Decline and Model'!AF$8,PriceDeck!$C$13:$O$13,0))*(1+$AE$6)</f>
        <v>107.4</v>
      </c>
      <c r="AG168" s="257">
        <f t="array" ref="AG168">INDEX(PriceDeck!$C$18:$O$77,MATCH('Decline and Model'!$A168,PriceDeck!$B$18:$B$77,0),MATCH('Decline and Model'!AG$8,PriceDeck!$C$13:$O$13,0))*(1+$AE$6)</f>
        <v>75.8</v>
      </c>
      <c r="AH168" s="258">
        <f t="array" ref="AH168">INDEX(PriceDeck!$C$18:$O$77,MATCH('Decline and Model'!$A168,PriceDeck!$B$18:$B$77,0),MATCH('Decline and Model'!AH$8,PriceDeck!$C$13:$O$13,0))</f>
        <v>0.85</v>
      </c>
      <c r="AI168" s="258">
        <f t="shared" si="138"/>
        <v>4.75</v>
      </c>
      <c r="AJ168" s="259">
        <f t="shared" si="113"/>
        <v>4.75</v>
      </c>
      <c r="AK168" s="120">
        <v>4.75</v>
      </c>
      <c r="AL168" s="120"/>
      <c r="AN168" s="7">
        <f t="shared" si="139"/>
        <v>13853.607863462372</v>
      </c>
      <c r="AO168" s="7">
        <f t="shared" si="140"/>
        <v>16547.50540161051</v>
      </c>
      <c r="AP168" s="7">
        <f t="shared" si="141"/>
        <v>4973.508270121346</v>
      </c>
      <c r="AQ168" s="7">
        <f t="shared" si="142"/>
        <v>6823.9025794096478</v>
      </c>
      <c r="AR168" s="7">
        <f t="shared" si="143"/>
        <v>9628.0702165800121</v>
      </c>
      <c r="AS168" s="7">
        <f t="shared" si="144"/>
        <v>8314.2231711589066</v>
      </c>
      <c r="AT168" s="7">
        <f t="shared" si="145"/>
        <v>60140.81750234279</v>
      </c>
      <c r="AU168">
        <f>SUM($AT$9:AT168)</f>
        <v>66082780.179128893</v>
      </c>
      <c r="AV168" s="7">
        <f>AT168/(1+$AR$5)^(COUNT($E$9:E168))</f>
        <v>17932.784857478509</v>
      </c>
      <c r="AW168" s="7">
        <f t="shared" si="159"/>
        <v>0</v>
      </c>
      <c r="AX168" s="7">
        <f t="shared" si="146"/>
        <v>0</v>
      </c>
      <c r="AY168" s="117">
        <f t="shared" si="147"/>
        <v>0</v>
      </c>
      <c r="AZ168" s="117">
        <f t="shared" si="148"/>
        <v>60140.81750234279</v>
      </c>
      <c r="BA168" s="120">
        <f t="shared" si="149"/>
        <v>8992.1703151518996</v>
      </c>
      <c r="BB168" s="119">
        <f t="shared" si="114"/>
        <v>75.532963177574175</v>
      </c>
      <c r="BC168" s="17"/>
      <c r="BD168" s="126">
        <f t="shared" si="115"/>
        <v>0.23035283587428293</v>
      </c>
      <c r="BE168" s="127">
        <f t="shared" si="116"/>
        <v>0.27514600048404564</v>
      </c>
      <c r="BF168" s="127">
        <f t="shared" si="117"/>
        <v>8.2697716404131066E-2</v>
      </c>
      <c r="BG168" s="127">
        <f t="shared" si="118"/>
        <v>0.11346541106036383</v>
      </c>
      <c r="BH168" s="127">
        <f t="shared" si="119"/>
        <v>0.16009210743111282</v>
      </c>
      <c r="BI168" s="128">
        <f t="shared" si="120"/>
        <v>0.13824592874606378</v>
      </c>
      <c r="BJ168" s="126">
        <f t="array" ref="BJ168">BD168*INDEX(Royalty!$U$7:$Z$246,MATCH('Decline and Model'!$E168,Royalty!$AI$7:$AI$246,0),MATCH('Decline and Model'!BJ$8,Royalty!$U$1:$Z$1,0))</f>
        <v>7.270791990274722E-2</v>
      </c>
      <c r="BK168" s="127">
        <f t="array" ref="BK168">BE168*INDEX(Royalty!$U$7:$Z$246,MATCH('Decline and Model'!$E168,Royalty!$AI$7:$AI$246,0),MATCH('Decline and Model'!BK$8,Royalty!$U$1:$Z$1,0))</f>
        <v>8.4214041102476947E-2</v>
      </c>
      <c r="BL168" s="127">
        <f t="array" ref="BL168">BF168*INDEX(Royalty!$U$7:$Z$246,MATCH('Decline and Model'!$E168,Royalty!$AI$7:$AI$246,0),MATCH('Decline and Model'!BL$8,Royalty!$U$1:$Z$1,0))</f>
        <v>2.6193137927115025E-2</v>
      </c>
      <c r="BM168" s="127">
        <f t="array" ref="BM168">BG168*INDEX(Royalty!$U$7:$Z$246,MATCH('Decline and Model'!$E168,Royalty!$AI$7:$AI$246,0),MATCH('Decline and Model'!BM$8,Royalty!$U$1:$Z$1,0))</f>
        <v>3.4720778265498659E-2</v>
      </c>
      <c r="BN168" s="127">
        <f t="array" ref="BN168">BH168*INDEX(Royalty!$U$7:$Z$246,MATCH('Decline and Model'!$E168,Royalty!$AI$7:$AI$246,0),MATCH('Decline and Model'!BN$8,Royalty!$U$1:$Z$1,0))</f>
        <v>2.6739917997337444E-2</v>
      </c>
      <c r="BO168" s="127">
        <f t="array" ref="BO168">BI168*INDEX(Royalty!$U$7:$Z$246,MATCH('Decline and Model'!$E168,Royalty!$AI$7:$AI$246,0),MATCH('Decline and Model'!BO$8,Royalty!$U$1:$Z$1,0))</f>
        <v>6.9122964373031894E-3</v>
      </c>
      <c r="BP168" s="135">
        <f t="shared" si="121"/>
        <v>0.14951859134275336</v>
      </c>
      <c r="BQ168" s="7"/>
      <c r="BR168" s="7"/>
      <c r="BS168">
        <v>160</v>
      </c>
      <c r="BT168" s="120">
        <f t="shared" si="122"/>
        <v>8992.1703151518996</v>
      </c>
      <c r="BU168" s="113">
        <f t="shared" si="123"/>
        <v>11446.901768224259</v>
      </c>
      <c r="BV168" s="113">
        <f t="shared" si="124"/>
        <v>3434.0705304672774</v>
      </c>
      <c r="BW168" s="113">
        <f t="shared" si="157"/>
        <v>343307.98777116655</v>
      </c>
      <c r="BX168" s="113">
        <f t="shared" si="150"/>
        <v>7588.6344540814343</v>
      </c>
      <c r="BY168" s="120">
        <f t="shared" si="151"/>
        <v>28679.040434417922</v>
      </c>
      <c r="BZ168" s="153">
        <f t="shared" si="158"/>
        <v>0</v>
      </c>
      <c r="CA168" s="120">
        <f t="shared" si="160"/>
        <v>28679.040434417922</v>
      </c>
      <c r="CB168" s="120">
        <f t="shared" si="152"/>
        <v>7169.7601086044806</v>
      </c>
      <c r="CC168" s="153">
        <f t="shared" si="153"/>
        <v>29097.914779894876</v>
      </c>
      <c r="CD168" s="7">
        <f t="shared" si="125"/>
        <v>8676.4142427690149</v>
      </c>
      <c r="CE168" s="11">
        <f>SUM($CD$9:CD168)</f>
        <v>25219911.549126748</v>
      </c>
      <c r="CF168" s="11">
        <f t="shared" si="154"/>
        <v>12000000</v>
      </c>
      <c r="CG168">
        <f t="shared" si="155"/>
        <v>13219911.549126748</v>
      </c>
    </row>
    <row r="169" spans="1:85">
      <c r="A169">
        <f t="shared" si="126"/>
        <v>2030</v>
      </c>
      <c r="B169">
        <f t="shared" si="127"/>
        <v>30.416666666666668</v>
      </c>
      <c r="C169">
        <f t="shared" si="161"/>
        <v>14</v>
      </c>
      <c r="E169" s="97">
        <v>47696</v>
      </c>
      <c r="F169" s="2">
        <f>$F$6*EXP(-$F$3*COUNT($E$9:$E169))</f>
        <v>0.25574870319947512</v>
      </c>
      <c r="G169" s="260">
        <f>$F$6/(1+$F$5*$F$3*COUNT($E$9:$E169))^(1/$F$5)</f>
        <v>4.3035635055534573</v>
      </c>
      <c r="H169" s="260">
        <f>$H$6/(1+$H$5*$H$3*COUNT($E$9:$E169))^(1/$H$5)</f>
        <v>113.63277030840723</v>
      </c>
      <c r="I169" s="260">
        <f t="shared" si="128"/>
        <v>21.644337201601378</v>
      </c>
      <c r="J169" s="260">
        <f t="shared" si="129"/>
        <v>9.0127020107468141</v>
      </c>
      <c r="K169" s="260">
        <f t="shared" si="129"/>
        <v>6.1318407292136703</v>
      </c>
      <c r="L169" s="260">
        <f t="shared" si="129"/>
        <v>2.924149955936346</v>
      </c>
      <c r="M169" s="260">
        <f t="shared" si="112"/>
        <v>3.5778089394247079</v>
      </c>
      <c r="N169" s="19">
        <f t="shared" si="130"/>
        <v>7.7790230556507023</v>
      </c>
      <c r="O169" s="19">
        <f t="shared" si="131"/>
        <v>130.90005662725099</v>
      </c>
      <c r="P169" s="19">
        <f t="shared" si="132"/>
        <v>3456.3300968807202</v>
      </c>
      <c r="Q169" s="19">
        <f t="shared" si="133"/>
        <v>658.34858988204189</v>
      </c>
      <c r="R169" s="19">
        <f t="shared" si="134"/>
        <v>274.13635282688227</v>
      </c>
      <c r="S169" s="19">
        <f t="shared" si="135"/>
        <v>186.51015551358248</v>
      </c>
      <c r="T169" s="19">
        <f t="shared" si="136"/>
        <v>88.942894493063861</v>
      </c>
      <c r="U169" s="19">
        <f t="shared" si="137"/>
        <v>108.82502190750154</v>
      </c>
      <c r="V169" s="261">
        <f t="shared" si="156"/>
        <v>1133.8014500262557</v>
      </c>
      <c r="W169" s="261">
        <f>SUM(O$9:O169)</f>
        <v>557904.03791241557</v>
      </c>
      <c r="X169" s="261">
        <f>SUM(P$9:P169)</f>
        <v>2348280.4630380967</v>
      </c>
      <c r="Y169" s="261">
        <f>SUM(Q$9:Q169)</f>
        <v>447291.51676916122</v>
      </c>
      <c r="Z169" s="261">
        <f>SUM($V$9:V169)</f>
        <v>1239289.6933502455</v>
      </c>
      <c r="AB169" s="257">
        <f t="array" ref="AB169">(INDEX(PriceDeck!$C$18:$O$77,MATCH('Decline and Model'!$A169,PriceDeck!$B$18:$B$77,0),MATCH('Decline and Model'!AB$8,PriceDeck!$C$13:$O$13,0))*(1+$AE$6))</f>
        <v>90.6</v>
      </c>
      <c r="AC169" s="257">
        <f t="array" ref="AC169">INDEX(PriceDeck!$C$18:$O$77,MATCH('Decline and Model'!$A169,PriceDeck!$B$18:$B$77,0),MATCH('Decline and Model'!AC$8,PriceDeck!$C$13:$O$13,0))*(1+$AE$6)</f>
        <v>103.5</v>
      </c>
      <c r="AD169" s="257">
        <f t="array" ref="AD169">INDEX(PriceDeck!$C$18:$O$77,MATCH('Decline and Model'!$A169,PriceDeck!$B$18:$B$77,0),MATCH('Decline and Model'!AD$8,PriceDeck!$C$13:$O$13,0))*(1+$AE$6)</f>
        <v>18</v>
      </c>
      <c r="AE169" s="257">
        <f t="array" ref="AE169">INDEX(PriceDeck!$C$18:$O$77,MATCH('Decline and Model'!$A169,PriceDeck!$B$18:$B$77,0),MATCH('Decline and Model'!AE$8,PriceDeck!$C$13:$O$13,0))*(1+$AE$6)</f>
        <v>36.299999999999997</v>
      </c>
      <c r="AF169" s="257">
        <f t="array" ref="AF169">INDEX(PriceDeck!$C$18:$O$77,MATCH('Decline and Model'!$A169,PriceDeck!$B$18:$B$77,0),MATCH('Decline and Model'!AF$8,PriceDeck!$C$13:$O$13,0))*(1+$AE$6)</f>
        <v>107.4</v>
      </c>
      <c r="AG169" s="257">
        <f t="array" ref="AG169">INDEX(PriceDeck!$C$18:$O$77,MATCH('Decline and Model'!$A169,PriceDeck!$B$18:$B$77,0),MATCH('Decline and Model'!AG$8,PriceDeck!$C$13:$O$13,0))*(1+$AE$6)</f>
        <v>75.8</v>
      </c>
      <c r="AH169" s="258">
        <f t="array" ref="AH169">INDEX(PriceDeck!$C$18:$O$77,MATCH('Decline and Model'!$A169,PriceDeck!$B$18:$B$77,0),MATCH('Decline and Model'!AH$8,PriceDeck!$C$13:$O$13,0))</f>
        <v>0.85</v>
      </c>
      <c r="AI169" s="258">
        <f t="shared" si="138"/>
        <v>4.75</v>
      </c>
      <c r="AJ169" s="259">
        <f t="shared" si="113"/>
        <v>4.75</v>
      </c>
      <c r="AK169" s="120">
        <v>4.75</v>
      </c>
      <c r="AL169" s="120"/>
      <c r="AN169" s="7">
        <f t="shared" si="139"/>
        <v>13548.155860920477</v>
      </c>
      <c r="AO169" s="7">
        <f t="shared" si="140"/>
        <v>16417.56796018342</v>
      </c>
      <c r="AP169" s="7">
        <f t="shared" si="141"/>
        <v>4934.4543508838806</v>
      </c>
      <c r="AQ169" s="7">
        <f t="shared" si="142"/>
        <v>6770.3186451430429</v>
      </c>
      <c r="AR169" s="7">
        <f t="shared" si="143"/>
        <v>9552.4668685550587</v>
      </c>
      <c r="AS169" s="7">
        <f t="shared" si="144"/>
        <v>8248.9366605886153</v>
      </c>
      <c r="AT169" s="7">
        <f t="shared" si="145"/>
        <v>59471.900346274495</v>
      </c>
      <c r="AU169">
        <f>SUM($AT$9:AT169)</f>
        <v>66142252.079475164</v>
      </c>
      <c r="AV169" s="7">
        <f>AT169/(1+$AR$5)^(COUNT($E$9:E169))</f>
        <v>17599.71832041012</v>
      </c>
      <c r="AW169" s="7">
        <f t="shared" si="159"/>
        <v>0</v>
      </c>
      <c r="AX169" s="7">
        <f t="shared" si="146"/>
        <v>0</v>
      </c>
      <c r="AY169" s="117">
        <f t="shared" si="147"/>
        <v>0</v>
      </c>
      <c r="AZ169" s="117">
        <f t="shared" si="148"/>
        <v>59471.900346274495</v>
      </c>
      <c r="BA169" s="120">
        <f t="shared" si="149"/>
        <v>8005.3147640212428</v>
      </c>
      <c r="BB169" s="119">
        <f t="shared" si="114"/>
        <v>86.421689973744378</v>
      </c>
      <c r="BC169" s="17"/>
      <c r="BD169" s="126">
        <f t="shared" si="115"/>
        <v>0.22780768366298179</v>
      </c>
      <c r="BE169" s="127">
        <f t="shared" si="116"/>
        <v>0.27605588293954469</v>
      </c>
      <c r="BF169" s="127">
        <f t="shared" si="117"/>
        <v>8.2971190127658162E-2</v>
      </c>
      <c r="BG169" s="127">
        <f t="shared" si="118"/>
        <v>0.11384063071337784</v>
      </c>
      <c r="BH169" s="127">
        <f t="shared" si="119"/>
        <v>0.16062151727010443</v>
      </c>
      <c r="BI169" s="128">
        <f t="shared" si="120"/>
        <v>0.13870309528633307</v>
      </c>
      <c r="BJ169" s="126">
        <f t="array" ref="BJ169">BD169*INDEX(Royalty!$U$7:$Z$246,MATCH('Decline and Model'!$E169,Royalty!$AI$7:$AI$246,0),MATCH('Decline and Model'!BJ$8,Royalty!$U$1:$Z$1,0))</f>
        <v>7.1904575231876405E-2</v>
      </c>
      <c r="BK169" s="127">
        <f t="array" ref="BK169">BE169*INDEX(Royalty!$U$7:$Z$246,MATCH('Decline and Model'!$E169,Royalty!$AI$7:$AI$246,0),MATCH('Decline and Model'!BK$8,Royalty!$U$1:$Z$1,0))</f>
        <v>8.4492529171978289E-2</v>
      </c>
      <c r="BL169" s="127">
        <f t="array" ref="BL169">BF169*INDEX(Royalty!$U$7:$Z$246,MATCH('Decline and Model'!$E169,Royalty!$AI$7:$AI$246,0),MATCH('Decline and Model'!BL$8,Royalty!$U$1:$Z$1,0))</f>
        <v>2.6279756219266912E-2</v>
      </c>
      <c r="BM169" s="127">
        <f t="array" ref="BM169">BG169*INDEX(Royalty!$U$7:$Z$246,MATCH('Decline and Model'!$E169,Royalty!$AI$7:$AI$246,0),MATCH('Decline and Model'!BM$8,Royalty!$U$1:$Z$1,0))</f>
        <v>3.4835596678012282E-2</v>
      </c>
      <c r="BN169" s="127">
        <f t="array" ref="BN169">BH169*INDEX(Royalty!$U$7:$Z$246,MATCH('Decline and Model'!$E169,Royalty!$AI$7:$AI$246,0),MATCH('Decline and Model'!BN$8,Royalty!$U$1:$Z$1,0))</f>
        <v>2.6828344440769144E-2</v>
      </c>
      <c r="BO169" s="127">
        <f t="array" ref="BO169">BI169*INDEX(Royalty!$U$7:$Z$246,MATCH('Decline and Model'!$E169,Royalty!$AI$7:$AI$246,0),MATCH('Decline and Model'!BO$8,Royalty!$U$1:$Z$1,0))</f>
        <v>6.935154764316654E-3</v>
      </c>
      <c r="BP169" s="135">
        <f t="shared" si="121"/>
        <v>0.13460667504166479</v>
      </c>
      <c r="BQ169" s="7"/>
      <c r="BR169" s="7"/>
      <c r="BS169">
        <v>161</v>
      </c>
      <c r="BT169" s="120">
        <f t="shared" si="122"/>
        <v>8005.3147640212428</v>
      </c>
      <c r="BU169" s="113">
        <f t="shared" si="123"/>
        <v>11338.014500262558</v>
      </c>
      <c r="BV169" s="113">
        <f t="shared" si="124"/>
        <v>3401.404350078767</v>
      </c>
      <c r="BW169" s="113">
        <f t="shared" si="157"/>
        <v>335719.35331708513</v>
      </c>
      <c r="BX169" s="113">
        <f t="shared" si="150"/>
        <v>7420.8918587181806</v>
      </c>
      <c r="BY169" s="120">
        <f t="shared" si="151"/>
        <v>29306.27487319375</v>
      </c>
      <c r="BZ169" s="153">
        <f t="shared" si="158"/>
        <v>0</v>
      </c>
      <c r="CA169" s="120">
        <f t="shared" si="160"/>
        <v>29306.27487319375</v>
      </c>
      <c r="CB169" s="120">
        <f t="shared" si="152"/>
        <v>7326.5687182984375</v>
      </c>
      <c r="CC169" s="153">
        <f t="shared" si="153"/>
        <v>29400.598013613493</v>
      </c>
      <c r="CD169" s="7">
        <f t="shared" si="125"/>
        <v>8700.6172743498173</v>
      </c>
      <c r="CE169" s="11">
        <f>SUM($CD$9:CD169)</f>
        <v>25228612.166401099</v>
      </c>
      <c r="CF169" s="11">
        <f t="shared" si="154"/>
        <v>12000000</v>
      </c>
      <c r="CG169">
        <f t="shared" si="155"/>
        <v>13228612.166401099</v>
      </c>
    </row>
    <row r="170" spans="1:85">
      <c r="A170">
        <f t="shared" si="126"/>
        <v>2030</v>
      </c>
      <c r="B170">
        <f t="shared" si="127"/>
        <v>30.416666666666668</v>
      </c>
      <c r="C170">
        <f t="shared" si="161"/>
        <v>14</v>
      </c>
      <c r="E170" s="97">
        <v>47727</v>
      </c>
      <c r="F170" s="2">
        <f>$F$6*EXP(-$F$3*COUNT($E$9:$E170))</f>
        <v>0.24327569176124089</v>
      </c>
      <c r="G170" s="260">
        <f>$F$6/(1+$F$5*$F$3*COUNT($E$9:$E170))^(1/$F$5)</f>
        <v>4.2089989996024331</v>
      </c>
      <c r="H170" s="260">
        <f>$H$6/(1+$H$5*$H$3*COUNT($E$9:$E170))^(1/$H$5)</f>
        <v>112.74545914053753</v>
      </c>
      <c r="I170" s="260">
        <f t="shared" si="128"/>
        <v>21.475325550578578</v>
      </c>
      <c r="J170" s="260">
        <f t="shared" si="129"/>
        <v>8.9423255592609205</v>
      </c>
      <c r="K170" s="260">
        <f t="shared" si="129"/>
        <v>6.0839597284789111</v>
      </c>
      <c r="L170" s="260">
        <f t="shared" si="129"/>
        <v>2.9013164818831658</v>
      </c>
      <c r="M170" s="260">
        <f t="shared" si="112"/>
        <v>3.5498713135106392</v>
      </c>
      <c r="N170" s="19">
        <f t="shared" si="130"/>
        <v>7.3996356244044108</v>
      </c>
      <c r="O170" s="19">
        <f t="shared" si="131"/>
        <v>128.02371957124069</v>
      </c>
      <c r="P170" s="19">
        <f t="shared" si="132"/>
        <v>3429.3410488580166</v>
      </c>
      <c r="Q170" s="19">
        <f t="shared" si="133"/>
        <v>653.2078188300984</v>
      </c>
      <c r="R170" s="19">
        <f t="shared" si="134"/>
        <v>271.99573576085299</v>
      </c>
      <c r="S170" s="19">
        <f t="shared" si="135"/>
        <v>185.05377507456689</v>
      </c>
      <c r="T170" s="19">
        <f t="shared" si="136"/>
        <v>88.248376323946303</v>
      </c>
      <c r="U170" s="19">
        <f t="shared" si="137"/>
        <v>107.97525245261528</v>
      </c>
      <c r="V170" s="261">
        <f t="shared" si="156"/>
        <v>1123.0938719979465</v>
      </c>
      <c r="W170" s="261">
        <f>SUM(O$9:O170)</f>
        <v>558032.06163198687</v>
      </c>
      <c r="X170" s="261">
        <f>SUM(P$9:P170)</f>
        <v>2351709.8040869548</v>
      </c>
      <c r="Y170" s="261">
        <f>SUM(Q$9:Q170)</f>
        <v>447944.72458799131</v>
      </c>
      <c r="Z170" s="261">
        <f>SUM($V$9:V170)</f>
        <v>1240412.7872222434</v>
      </c>
      <c r="AB170" s="257">
        <f t="array" ref="AB170">(INDEX(PriceDeck!$C$18:$O$77,MATCH('Decline and Model'!$A170,PriceDeck!$B$18:$B$77,0),MATCH('Decline and Model'!AB$8,PriceDeck!$C$13:$O$13,0))*(1+$AE$6))</f>
        <v>90.6</v>
      </c>
      <c r="AC170" s="257">
        <f t="array" ref="AC170">INDEX(PriceDeck!$C$18:$O$77,MATCH('Decline and Model'!$A170,PriceDeck!$B$18:$B$77,0),MATCH('Decline and Model'!AC$8,PriceDeck!$C$13:$O$13,0))*(1+$AE$6)</f>
        <v>103.5</v>
      </c>
      <c r="AD170" s="257">
        <f t="array" ref="AD170">INDEX(PriceDeck!$C$18:$O$77,MATCH('Decline and Model'!$A170,PriceDeck!$B$18:$B$77,0),MATCH('Decline and Model'!AD$8,PriceDeck!$C$13:$O$13,0))*(1+$AE$6)</f>
        <v>18</v>
      </c>
      <c r="AE170" s="257">
        <f t="array" ref="AE170">INDEX(PriceDeck!$C$18:$O$77,MATCH('Decline and Model'!$A170,PriceDeck!$B$18:$B$77,0),MATCH('Decline and Model'!AE$8,PriceDeck!$C$13:$O$13,0))*(1+$AE$6)</f>
        <v>36.299999999999997</v>
      </c>
      <c r="AF170" s="257">
        <f t="array" ref="AF170">INDEX(PriceDeck!$C$18:$O$77,MATCH('Decline and Model'!$A170,PriceDeck!$B$18:$B$77,0),MATCH('Decline and Model'!AF$8,PriceDeck!$C$13:$O$13,0))*(1+$AE$6)</f>
        <v>107.4</v>
      </c>
      <c r="AG170" s="257">
        <f t="array" ref="AG170">INDEX(PriceDeck!$C$18:$O$77,MATCH('Decline and Model'!$A170,PriceDeck!$B$18:$B$77,0),MATCH('Decline and Model'!AG$8,PriceDeck!$C$13:$O$13,0))*(1+$AE$6)</f>
        <v>75.8</v>
      </c>
      <c r="AH170" s="258">
        <f t="array" ref="AH170">INDEX(PriceDeck!$C$18:$O$77,MATCH('Decline and Model'!$A170,PriceDeck!$B$18:$B$77,0),MATCH('Decline and Model'!AH$8,PriceDeck!$C$13:$O$13,0))</f>
        <v>0.85</v>
      </c>
      <c r="AI170" s="258">
        <f t="shared" si="138"/>
        <v>4.75</v>
      </c>
      <c r="AJ170" s="259">
        <f t="shared" si="113"/>
        <v>4.75</v>
      </c>
      <c r="AK170" s="120">
        <v>4.75</v>
      </c>
      <c r="AL170" s="120"/>
      <c r="AN170" s="7">
        <f t="shared" si="139"/>
        <v>13250.454975623412</v>
      </c>
      <c r="AO170" s="7">
        <f t="shared" si="140"/>
        <v>16289.369982075579</v>
      </c>
      <c r="AP170" s="7">
        <f t="shared" si="141"/>
        <v>4895.9232436953534</v>
      </c>
      <c r="AQ170" s="7">
        <f t="shared" si="142"/>
        <v>6717.4520352067775</v>
      </c>
      <c r="AR170" s="7">
        <f t="shared" si="143"/>
        <v>9477.875617191834</v>
      </c>
      <c r="AS170" s="7">
        <f t="shared" si="144"/>
        <v>8184.5241359082374</v>
      </c>
      <c r="AT170" s="7">
        <f t="shared" si="145"/>
        <v>58815.599989701193</v>
      </c>
      <c r="AU170">
        <f>SUM($AT$9:AT170)</f>
        <v>66201067.679464869</v>
      </c>
      <c r="AV170" s="7">
        <f>AT170/(1+$AR$5)^(COUNT($E$9:E170))</f>
        <v>17274.358278258675</v>
      </c>
      <c r="AW170" s="7">
        <f t="shared" si="159"/>
        <v>0</v>
      </c>
      <c r="AX170" s="7">
        <f t="shared" si="146"/>
        <v>0</v>
      </c>
      <c r="AY170" s="117">
        <f t="shared" si="147"/>
        <v>0</v>
      </c>
      <c r="AZ170" s="117">
        <f t="shared" si="148"/>
        <v>58815.599989701193</v>
      </c>
      <c r="BA170" s="120">
        <f t="shared" si="149"/>
        <v>7054.4278143349011</v>
      </c>
      <c r="BB170" s="119">
        <f t="shared" si="114"/>
        <v>97.12926800205355</v>
      </c>
      <c r="BC170" s="17"/>
      <c r="BD170" s="126">
        <f t="shared" si="115"/>
        <v>0.22528810346138797</v>
      </c>
      <c r="BE170" s="127">
        <f t="shared" si="116"/>
        <v>0.2769566234966217</v>
      </c>
      <c r="BF170" s="127">
        <f t="shared" si="117"/>
        <v>8.3241916167694385E-2</v>
      </c>
      <c r="BG170" s="127">
        <f t="shared" si="118"/>
        <v>0.11421208040695029</v>
      </c>
      <c r="BH170" s="127">
        <f t="shared" si="119"/>
        <v>0.16114560794842595</v>
      </c>
      <c r="BI170" s="128">
        <f t="shared" si="120"/>
        <v>0.13915566851891972</v>
      </c>
      <c r="BJ170" s="126">
        <f t="array" ref="BJ170">BD170*INDEX(Royalty!$U$7:$Z$246,MATCH('Decline and Model'!$E170,Royalty!$AI$7:$AI$246,0),MATCH('Decline and Model'!BJ$8,Royalty!$U$1:$Z$1,0))</f>
        <v>7.1109302038078998E-2</v>
      </c>
      <c r="BK170" s="127">
        <f t="array" ref="BK170">BE170*INDEX(Royalty!$U$7:$Z$246,MATCH('Decline and Model'!$E170,Royalty!$AI$7:$AI$246,0),MATCH('Decline and Model'!BK$8,Royalty!$U$1:$Z$1,0))</f>
        <v>8.4768219177149745E-2</v>
      </c>
      <c r="BL170" s="127">
        <f t="array" ref="BL170">BF170*INDEX(Royalty!$U$7:$Z$246,MATCH('Decline and Model'!$E170,Royalty!$AI$7:$AI$246,0),MATCH('Decline and Model'!BL$8,Royalty!$U$1:$Z$1,0))</f>
        <v>2.636550422798431E-2</v>
      </c>
      <c r="BM170" s="127">
        <f t="array" ref="BM170">BG170*INDEX(Royalty!$U$7:$Z$246,MATCH('Decline and Model'!$E170,Royalty!$AI$7:$AI$246,0),MATCH('Decline and Model'!BM$8,Royalty!$U$1:$Z$1,0))</f>
        <v>3.4949261470893125E-2</v>
      </c>
      <c r="BN170" s="127">
        <f t="array" ref="BN170">BH170*INDEX(Royalty!$U$7:$Z$246,MATCH('Decline and Model'!$E170,Royalty!$AI$7:$AI$246,0),MATCH('Decline and Model'!BN$8,Royalty!$U$1:$Z$1,0))</f>
        <v>2.6915882433655624E-2</v>
      </c>
      <c r="BO170" s="127">
        <f t="array" ref="BO170">BI170*INDEX(Royalty!$U$7:$Z$246,MATCH('Decline and Model'!$E170,Royalty!$AI$7:$AI$246,0),MATCH('Decline and Model'!BO$8,Royalty!$U$1:$Z$1,0))</f>
        <v>6.9577834259459863E-3</v>
      </c>
      <c r="BP170" s="135">
        <f t="shared" si="121"/>
        <v>0.11994144097093551</v>
      </c>
      <c r="BQ170" s="7"/>
      <c r="BR170" s="7"/>
      <c r="BS170">
        <v>162</v>
      </c>
      <c r="BT170" s="120">
        <f t="shared" si="122"/>
        <v>7054.4278143349011</v>
      </c>
      <c r="BU170" s="113">
        <f t="shared" si="123"/>
        <v>11230.938719979466</v>
      </c>
      <c r="BV170" s="113">
        <f t="shared" si="124"/>
        <v>3369.2816159938393</v>
      </c>
      <c r="BW170" s="113">
        <f t="shared" si="157"/>
        <v>328298.46145836695</v>
      </c>
      <c r="BX170" s="113">
        <f t="shared" si="150"/>
        <v>7256.8571212665784</v>
      </c>
      <c r="BY170" s="120">
        <f t="shared" si="151"/>
        <v>29904.094718126413</v>
      </c>
      <c r="BZ170" s="153">
        <f t="shared" si="158"/>
        <v>0</v>
      </c>
      <c r="CA170" s="120">
        <f t="shared" si="160"/>
        <v>29904.094718126413</v>
      </c>
      <c r="CB170" s="120">
        <f t="shared" si="152"/>
        <v>7476.0236795316032</v>
      </c>
      <c r="CC170" s="153">
        <f t="shared" si="153"/>
        <v>29684.928159861389</v>
      </c>
      <c r="CD170" s="7">
        <f t="shared" si="125"/>
        <v>8718.5727015894863</v>
      </c>
      <c r="CE170" s="11">
        <f>SUM($CD$9:CD170)</f>
        <v>25237330.739102688</v>
      </c>
      <c r="CF170" s="11">
        <f t="shared" si="154"/>
        <v>12000000</v>
      </c>
      <c r="CG170">
        <f t="shared" si="155"/>
        <v>13237330.739102688</v>
      </c>
    </row>
    <row r="171" spans="1:85">
      <c r="A171">
        <f t="shared" si="126"/>
        <v>2030</v>
      </c>
      <c r="B171">
        <f t="shared" si="127"/>
        <v>30.416666666666668</v>
      </c>
      <c r="C171">
        <f t="shared" si="161"/>
        <v>14</v>
      </c>
      <c r="E171" s="97">
        <v>47757</v>
      </c>
      <c r="F171" s="2">
        <f>$F$6*EXP(-$F$3*COUNT($E$9:$E171))</f>
        <v>0.23141099626905812</v>
      </c>
      <c r="G171" s="260">
        <f>$F$6/(1+$F$5*$F$3*COUNT($E$9:$E171))^(1/$F$5)</f>
        <v>4.1168260156833698</v>
      </c>
      <c r="H171" s="260">
        <f>$H$6/(1+$H$5*$H$3*COUNT($E$9:$E171))^(1/$H$5)</f>
        <v>111.86996045045841</v>
      </c>
      <c r="I171" s="260">
        <f t="shared" si="128"/>
        <v>21.30856389532541</v>
      </c>
      <c r="J171" s="260">
        <f t="shared" si="129"/>
        <v>8.8728860060135002</v>
      </c>
      <c r="K171" s="260">
        <f t="shared" si="129"/>
        <v>6.0367161515456882</v>
      </c>
      <c r="L171" s="260">
        <f t="shared" si="129"/>
        <v>2.8787869822584629</v>
      </c>
      <c r="M171" s="260">
        <f t="shared" si="112"/>
        <v>3.5223056118972904</v>
      </c>
      <c r="N171" s="19">
        <f t="shared" si="130"/>
        <v>7.0387511365171846</v>
      </c>
      <c r="O171" s="19">
        <f t="shared" si="131"/>
        <v>125.2201246437025</v>
      </c>
      <c r="P171" s="19">
        <f t="shared" si="132"/>
        <v>3402.7112970347766</v>
      </c>
      <c r="Q171" s="19">
        <f t="shared" si="133"/>
        <v>648.13548514948127</v>
      </c>
      <c r="R171" s="19">
        <f t="shared" si="134"/>
        <v>269.88361601624399</v>
      </c>
      <c r="S171" s="19">
        <f t="shared" si="135"/>
        <v>183.61678294284803</v>
      </c>
      <c r="T171" s="19">
        <f t="shared" si="136"/>
        <v>87.563104043694921</v>
      </c>
      <c r="U171" s="19">
        <f t="shared" si="137"/>
        <v>107.13679569520926</v>
      </c>
      <c r="V171" s="261">
        <f t="shared" si="156"/>
        <v>1112.563290798611</v>
      </c>
      <c r="W171" s="261">
        <f>SUM(O$9:O171)</f>
        <v>558157.28175663052</v>
      </c>
      <c r="X171" s="261">
        <f>SUM(P$9:P171)</f>
        <v>2355112.5153839896</v>
      </c>
      <c r="Y171" s="261">
        <f>SUM(Q$9:Q171)</f>
        <v>448592.86007314076</v>
      </c>
      <c r="Z171" s="261">
        <f>SUM($V$9:V171)</f>
        <v>1241525.350513042</v>
      </c>
      <c r="AB171" s="257">
        <f t="array" ref="AB171">(INDEX(PriceDeck!$C$18:$O$77,MATCH('Decline and Model'!$A171,PriceDeck!$B$18:$B$77,0),MATCH('Decline and Model'!AB$8,PriceDeck!$C$13:$O$13,0))*(1+$AE$6))</f>
        <v>90.6</v>
      </c>
      <c r="AC171" s="257">
        <f t="array" ref="AC171">INDEX(PriceDeck!$C$18:$O$77,MATCH('Decline and Model'!$A171,PriceDeck!$B$18:$B$77,0),MATCH('Decline and Model'!AC$8,PriceDeck!$C$13:$O$13,0))*(1+$AE$6)</f>
        <v>103.5</v>
      </c>
      <c r="AD171" s="257">
        <f t="array" ref="AD171">INDEX(PriceDeck!$C$18:$O$77,MATCH('Decline and Model'!$A171,PriceDeck!$B$18:$B$77,0),MATCH('Decline and Model'!AD$8,PriceDeck!$C$13:$O$13,0))*(1+$AE$6)</f>
        <v>18</v>
      </c>
      <c r="AE171" s="257">
        <f t="array" ref="AE171">INDEX(PriceDeck!$C$18:$O$77,MATCH('Decline and Model'!$A171,PriceDeck!$B$18:$B$77,0),MATCH('Decline and Model'!AE$8,PriceDeck!$C$13:$O$13,0))*(1+$AE$6)</f>
        <v>36.299999999999997</v>
      </c>
      <c r="AF171" s="257">
        <f t="array" ref="AF171">INDEX(PriceDeck!$C$18:$O$77,MATCH('Decline and Model'!$A171,PriceDeck!$B$18:$B$77,0),MATCH('Decline and Model'!AF$8,PriceDeck!$C$13:$O$13,0))*(1+$AE$6)</f>
        <v>107.4</v>
      </c>
      <c r="AG171" s="257">
        <f t="array" ref="AG171">INDEX(PriceDeck!$C$18:$O$77,MATCH('Decline and Model'!$A171,PriceDeck!$B$18:$B$77,0),MATCH('Decline and Model'!AG$8,PriceDeck!$C$13:$O$13,0))*(1+$AE$6)</f>
        <v>75.8</v>
      </c>
      <c r="AH171" s="258">
        <f t="array" ref="AH171">INDEX(PriceDeck!$C$18:$O$77,MATCH('Decline and Model'!$A171,PriceDeck!$B$18:$B$77,0),MATCH('Decline and Model'!AH$8,PriceDeck!$C$13:$O$13,0))</f>
        <v>0.85</v>
      </c>
      <c r="AI171" s="258">
        <f t="shared" si="138"/>
        <v>4.75</v>
      </c>
      <c r="AJ171" s="259">
        <f t="shared" si="113"/>
        <v>4.75</v>
      </c>
      <c r="AK171" s="120">
        <v>4.75</v>
      </c>
      <c r="AL171" s="120"/>
      <c r="AN171" s="7">
        <f t="shared" si="139"/>
        <v>12960.28290062321</v>
      </c>
      <c r="AO171" s="7">
        <f t="shared" si="140"/>
        <v>16162.878660915188</v>
      </c>
      <c r="AP171" s="7">
        <f t="shared" si="141"/>
        <v>4857.9050882923921</v>
      </c>
      <c r="AQ171" s="7">
        <f t="shared" si="142"/>
        <v>6665.2892208253834</v>
      </c>
      <c r="AR171" s="7">
        <f t="shared" si="143"/>
        <v>9404.2773742928348</v>
      </c>
      <c r="AS171" s="7">
        <f t="shared" si="144"/>
        <v>8120.9691136968613</v>
      </c>
      <c r="AT171" s="7">
        <f t="shared" si="145"/>
        <v>58171.602358645869</v>
      </c>
      <c r="AU171">
        <f>SUM($AT$9:AT171)</f>
        <v>66259239.281823516</v>
      </c>
      <c r="AV171" s="7">
        <f>AT171/(1+$AR$5)^(COUNT($E$9:E171))</f>
        <v>16956.488042372348</v>
      </c>
      <c r="AW171" s="7">
        <f t="shared" si="159"/>
        <v>0</v>
      </c>
      <c r="AX171" s="7">
        <f t="shared" si="146"/>
        <v>0</v>
      </c>
      <c r="AY171" s="117">
        <f t="shared" si="147"/>
        <v>0</v>
      </c>
      <c r="AZ171" s="117">
        <f t="shared" si="148"/>
        <v>58171.602358645869</v>
      </c>
      <c r="BA171" s="120">
        <f t="shared" si="149"/>
        <v>6138.108936033409</v>
      </c>
      <c r="BB171" s="119">
        <f t="shared" si="114"/>
        <v>107.65984920138908</v>
      </c>
      <c r="BC171" s="17"/>
      <c r="BD171" s="126">
        <f t="shared" si="115"/>
        <v>0.22279398151556956</v>
      </c>
      <c r="BE171" s="127">
        <f t="shared" si="116"/>
        <v>0.27784826282188441</v>
      </c>
      <c r="BF171" s="127">
        <f t="shared" si="117"/>
        <v>8.3509906746970952E-2</v>
      </c>
      <c r="BG171" s="127">
        <f t="shared" si="118"/>
        <v>0.11457977691128086</v>
      </c>
      <c r="BH171" s="127">
        <f t="shared" si="119"/>
        <v>0.16166440312770766</v>
      </c>
      <c r="BI171" s="128">
        <f t="shared" si="120"/>
        <v>0.1396036688765866</v>
      </c>
      <c r="BJ171" s="126">
        <f t="array" ref="BJ171">BD171*INDEX(Royalty!$U$7:$Z$246,MATCH('Decline and Model'!$E171,Royalty!$AI$7:$AI$246,0),MATCH('Decline and Model'!BJ$8,Royalty!$U$1:$Z$1,0))</f>
        <v>7.0322064416384528E-2</v>
      </c>
      <c r="BK171" s="127">
        <f t="array" ref="BK171">BE171*INDEX(Royalty!$U$7:$Z$246,MATCH('Decline and Model'!$E171,Royalty!$AI$7:$AI$246,0),MATCH('Decline and Model'!BK$8,Royalty!$U$1:$Z$1,0))</f>
        <v>8.5041123564835411E-2</v>
      </c>
      <c r="BL171" s="127">
        <f t="array" ref="BL171">BF171*INDEX(Royalty!$U$7:$Z$246,MATCH('Decline and Model'!$E171,Royalty!$AI$7:$AI$246,0),MATCH('Decline and Model'!BL$8,Royalty!$U$1:$Z$1,0))</f>
        <v>2.6450385824615775E-2</v>
      </c>
      <c r="BM171" s="127">
        <f t="array" ref="BM171">BG171*INDEX(Royalty!$U$7:$Z$246,MATCH('Decline and Model'!$E171,Royalty!$AI$7:$AI$246,0),MATCH('Decline and Model'!BM$8,Royalty!$U$1:$Z$1,0))</f>
        <v>3.506177777587588E-2</v>
      </c>
      <c r="BN171" s="127">
        <f t="array" ref="BN171">BH171*INDEX(Royalty!$U$7:$Z$246,MATCH('Decline and Model'!$E171,Royalty!$AI$7:$AI$246,0),MATCH('Decline and Model'!BN$8,Royalty!$U$1:$Z$1,0))</f>
        <v>2.7002535928159571E-2</v>
      </c>
      <c r="BO171" s="127">
        <f t="array" ref="BO171">BI171*INDEX(Royalty!$U$7:$Z$246,MATCH('Decline and Model'!$E171,Royalty!$AI$7:$AI$246,0),MATCH('Decline and Model'!BO$8,Royalty!$U$1:$Z$1,0))</f>
        <v>6.9801834438293301E-3</v>
      </c>
      <c r="BP171" s="135">
        <f t="shared" si="121"/>
        <v>0.10551727453182524</v>
      </c>
      <c r="BQ171" s="7"/>
      <c r="BR171" s="7"/>
      <c r="BS171">
        <v>163</v>
      </c>
      <c r="BT171" s="120">
        <f t="shared" si="122"/>
        <v>6138.108936033409</v>
      </c>
      <c r="BU171" s="113">
        <f t="shared" si="123"/>
        <v>11125.63290798611</v>
      </c>
      <c r="BV171" s="113">
        <f t="shared" si="124"/>
        <v>3337.6898723958329</v>
      </c>
      <c r="BW171" s="113">
        <f t="shared" si="157"/>
        <v>321041.60433710035</v>
      </c>
      <c r="BX171" s="113">
        <f t="shared" si="150"/>
        <v>7096.4482815646115</v>
      </c>
      <c r="BY171" s="120">
        <f t="shared" si="151"/>
        <v>30473.722360665903</v>
      </c>
      <c r="BZ171" s="153">
        <f t="shared" si="158"/>
        <v>0</v>
      </c>
      <c r="CA171" s="120">
        <f t="shared" si="160"/>
        <v>30473.722360665903</v>
      </c>
      <c r="CB171" s="120">
        <f t="shared" si="152"/>
        <v>7618.4305901664757</v>
      </c>
      <c r="CC171" s="153">
        <f t="shared" si="153"/>
        <v>29951.740052064037</v>
      </c>
      <c r="CD171" s="7">
        <f t="shared" si="125"/>
        <v>8730.6572528268116</v>
      </c>
      <c r="CE171" s="11">
        <f>SUM($CD$9:CD171)</f>
        <v>25246061.396355513</v>
      </c>
      <c r="CF171" s="11">
        <f t="shared" si="154"/>
        <v>12000000</v>
      </c>
      <c r="CG171">
        <f t="shared" si="155"/>
        <v>13246061.396355513</v>
      </c>
    </row>
    <row r="172" spans="1:85">
      <c r="A172">
        <f t="shared" si="126"/>
        <v>2030</v>
      </c>
      <c r="B172">
        <f t="shared" si="127"/>
        <v>30.416666666666668</v>
      </c>
      <c r="C172">
        <f t="shared" si="161"/>
        <v>14</v>
      </c>
      <c r="E172" s="97">
        <v>47788</v>
      </c>
      <c r="F172" s="2">
        <f>$F$6*EXP(-$F$3*COUNT($E$9:$E172))</f>
        <v>0.22012494880415287</v>
      </c>
      <c r="G172" s="260">
        <f>$F$6/(1+$F$5*$F$3*COUNT($E$9:$E172))^(1/$F$5)</f>
        <v>4.0269761952176166</v>
      </c>
      <c r="H172" s="260">
        <f>$H$6/(1+$H$5*$H$3*COUNT($E$9:$E172))^(1/$H$5)</f>
        <v>111.00605268325172</v>
      </c>
      <c r="I172" s="260">
        <f t="shared" si="128"/>
        <v>21.14401003490509</v>
      </c>
      <c r="J172" s="260">
        <f t="shared" si="129"/>
        <v>8.8043657785344802</v>
      </c>
      <c r="K172" s="260">
        <f t="shared" si="129"/>
        <v>5.9900980428886124</v>
      </c>
      <c r="L172" s="260">
        <f t="shared" si="129"/>
        <v>2.8565557557156778</v>
      </c>
      <c r="M172" s="260">
        <f t="shared" si="112"/>
        <v>3.4951048587698113</v>
      </c>
      <c r="N172" s="19">
        <f t="shared" si="130"/>
        <v>6.6954671927929832</v>
      </c>
      <c r="O172" s="19">
        <f t="shared" si="131"/>
        <v>122.48719260453585</v>
      </c>
      <c r="P172" s="19">
        <f t="shared" si="132"/>
        <v>3376.4341024489067</v>
      </c>
      <c r="Q172" s="19">
        <f t="shared" si="133"/>
        <v>643.13030522836323</v>
      </c>
      <c r="R172" s="19">
        <f t="shared" si="134"/>
        <v>267.79945909709045</v>
      </c>
      <c r="S172" s="19">
        <f t="shared" si="135"/>
        <v>182.1988154711953</v>
      </c>
      <c r="T172" s="19">
        <f t="shared" si="136"/>
        <v>86.886904236351867</v>
      </c>
      <c r="U172" s="19">
        <f t="shared" si="137"/>
        <v>106.30943945424843</v>
      </c>
      <c r="V172" s="261">
        <f t="shared" si="156"/>
        <v>1102.2056717862386</v>
      </c>
      <c r="W172" s="261">
        <f>SUM(O$9:O172)</f>
        <v>558279.76894923509</v>
      </c>
      <c r="X172" s="261">
        <f>SUM(P$9:P172)</f>
        <v>2358488.9494864387</v>
      </c>
      <c r="Y172" s="261">
        <f>SUM(Q$9:Q172)</f>
        <v>449235.99037836911</v>
      </c>
      <c r="Z172" s="261">
        <f>SUM($V$9:V172)</f>
        <v>1242627.5561848283</v>
      </c>
      <c r="AB172" s="257">
        <f t="array" ref="AB172">(INDEX(PriceDeck!$C$18:$O$77,MATCH('Decline and Model'!$A172,PriceDeck!$B$18:$B$77,0),MATCH('Decline and Model'!AB$8,PriceDeck!$C$13:$O$13,0))*(1+$AE$6))</f>
        <v>90.6</v>
      </c>
      <c r="AC172" s="257">
        <f t="array" ref="AC172">INDEX(PriceDeck!$C$18:$O$77,MATCH('Decline and Model'!$A172,PriceDeck!$B$18:$B$77,0),MATCH('Decline and Model'!AC$8,PriceDeck!$C$13:$O$13,0))*(1+$AE$6)</f>
        <v>103.5</v>
      </c>
      <c r="AD172" s="257">
        <f t="array" ref="AD172">INDEX(PriceDeck!$C$18:$O$77,MATCH('Decline and Model'!$A172,PriceDeck!$B$18:$B$77,0),MATCH('Decline and Model'!AD$8,PriceDeck!$C$13:$O$13,0))*(1+$AE$6)</f>
        <v>18</v>
      </c>
      <c r="AE172" s="257">
        <f t="array" ref="AE172">INDEX(PriceDeck!$C$18:$O$77,MATCH('Decline and Model'!$A172,PriceDeck!$B$18:$B$77,0),MATCH('Decline and Model'!AE$8,PriceDeck!$C$13:$O$13,0))*(1+$AE$6)</f>
        <v>36.299999999999997</v>
      </c>
      <c r="AF172" s="257">
        <f t="array" ref="AF172">INDEX(PriceDeck!$C$18:$O$77,MATCH('Decline and Model'!$A172,PriceDeck!$B$18:$B$77,0),MATCH('Decline and Model'!AF$8,PriceDeck!$C$13:$O$13,0))*(1+$AE$6)</f>
        <v>107.4</v>
      </c>
      <c r="AG172" s="257">
        <f t="array" ref="AG172">INDEX(PriceDeck!$C$18:$O$77,MATCH('Decline and Model'!$A172,PriceDeck!$B$18:$B$77,0),MATCH('Decline and Model'!AG$8,PriceDeck!$C$13:$O$13,0))*(1+$AE$6)</f>
        <v>75.8</v>
      </c>
      <c r="AH172" s="258">
        <f t="array" ref="AH172">INDEX(PriceDeck!$C$18:$O$77,MATCH('Decline and Model'!$A172,PriceDeck!$B$18:$B$77,0),MATCH('Decline and Model'!AH$8,PriceDeck!$C$13:$O$13,0))</f>
        <v>0.85</v>
      </c>
      <c r="AI172" s="258">
        <f t="shared" si="138"/>
        <v>4.75</v>
      </c>
      <c r="AJ172" s="259">
        <f t="shared" si="113"/>
        <v>4.75</v>
      </c>
      <c r="AK172" s="120">
        <v>4.75</v>
      </c>
      <c r="AL172" s="120"/>
      <c r="AN172" s="7">
        <f t="shared" si="139"/>
        <v>12677.424434569461</v>
      </c>
      <c r="AO172" s="7">
        <f t="shared" si="140"/>
        <v>16038.061986632307</v>
      </c>
      <c r="AP172" s="7">
        <f t="shared" si="141"/>
        <v>4820.3902637476276</v>
      </c>
      <c r="AQ172" s="7">
        <f t="shared" si="142"/>
        <v>6613.8170016043887</v>
      </c>
      <c r="AR172" s="7">
        <f t="shared" si="143"/>
        <v>9331.6535149841911</v>
      </c>
      <c r="AS172" s="7">
        <f t="shared" si="144"/>
        <v>8058.2555106320306</v>
      </c>
      <c r="AT172" s="7">
        <f t="shared" si="145"/>
        <v>57539.60271217001</v>
      </c>
      <c r="AU172">
        <f>SUM($AT$9:AT172)</f>
        <v>66316778.884535685</v>
      </c>
      <c r="AV172" s="7">
        <f>AT172/(1+$AR$5)^(COUNT($E$9:E172))</f>
        <v>16645.898041724548</v>
      </c>
      <c r="AW172" s="7">
        <f t="shared" si="159"/>
        <v>0</v>
      </c>
      <c r="AX172" s="7">
        <f t="shared" si="146"/>
        <v>0</v>
      </c>
      <c r="AY172" s="117">
        <f t="shared" si="147"/>
        <v>0</v>
      </c>
      <c r="AZ172" s="117">
        <f t="shared" si="148"/>
        <v>57539.60271217001</v>
      </c>
      <c r="BA172" s="120">
        <f t="shared" si="149"/>
        <v>5255.0182119454303</v>
      </c>
      <c r="BB172" s="119">
        <f t="shared" si="114"/>
        <v>118.0174682137615</v>
      </c>
      <c r="BC172" s="17"/>
      <c r="BD172" s="126">
        <f t="shared" si="115"/>
        <v>0.22032519928901248</v>
      </c>
      <c r="BE172" s="127">
        <f t="shared" si="116"/>
        <v>0.27873084329169601</v>
      </c>
      <c r="BF172" s="127">
        <f t="shared" si="117"/>
        <v>8.3775174602102057E-2</v>
      </c>
      <c r="BG172" s="127">
        <f t="shared" si="118"/>
        <v>0.11494373770164253</v>
      </c>
      <c r="BH172" s="127">
        <f t="shared" si="119"/>
        <v>0.16217792746439114</v>
      </c>
      <c r="BI172" s="128">
        <f t="shared" si="120"/>
        <v>0.14004711765115568</v>
      </c>
      <c r="BJ172" s="126">
        <f t="array" ref="BJ172">BD172*INDEX(Royalty!$U$7:$Z$246,MATCH('Decline and Model'!$E172,Royalty!$AI$7:$AI$246,0),MATCH('Decline and Model'!BJ$8,Royalty!$U$1:$Z$1,0))</f>
        <v>6.9542824952261745E-2</v>
      </c>
      <c r="BK172" s="127">
        <f t="array" ref="BK172">BE172*INDEX(Royalty!$U$7:$Z$246,MATCH('Decline and Model'!$E172,Royalty!$AI$7:$AI$246,0),MATCH('Decline and Model'!BK$8,Royalty!$U$1:$Z$1,0))</f>
        <v>8.5311255305184908E-2</v>
      </c>
      <c r="BL172" s="127">
        <f t="array" ref="BL172">BF172*INDEX(Royalty!$U$7:$Z$246,MATCH('Decline and Model'!$E172,Royalty!$AI$7:$AI$246,0),MATCH('Decline and Model'!BL$8,Royalty!$U$1:$Z$1,0))</f>
        <v>2.6534405043273809E-2</v>
      </c>
      <c r="BM172" s="127">
        <f t="array" ref="BM172">BG172*INDEX(Royalty!$U$7:$Z$246,MATCH('Decline and Model'!$E172,Royalty!$AI$7:$AI$246,0),MATCH('Decline and Model'!BM$8,Royalty!$U$1:$Z$1,0))</f>
        <v>3.5173150940449878E-2</v>
      </c>
      <c r="BN172" s="127">
        <f t="array" ref="BN172">BH172*INDEX(Royalty!$U$7:$Z$246,MATCH('Decline and Model'!$E172,Royalty!$AI$7:$AI$246,0),MATCH('Decline and Model'!BN$8,Royalty!$U$1:$Z$1,0))</f>
        <v>2.7088309042605337E-2</v>
      </c>
      <c r="BO172" s="127">
        <f t="array" ref="BO172">BI172*INDEX(Royalty!$U$7:$Z$246,MATCH('Decline and Model'!$E172,Royalty!$AI$7:$AI$246,0),MATCH('Decline and Model'!BO$8,Royalty!$U$1:$Z$1,0))</f>
        <v>7.0023558825577847E-3</v>
      </c>
      <c r="BP172" s="135">
        <f t="shared" si="121"/>
        <v>9.1328719077755444E-2</v>
      </c>
      <c r="BQ172" s="7"/>
      <c r="BR172" s="7"/>
      <c r="BS172">
        <v>164</v>
      </c>
      <c r="BT172" s="120">
        <f t="shared" si="122"/>
        <v>5255.0182119454303</v>
      </c>
      <c r="BU172" s="113">
        <f t="shared" si="123"/>
        <v>11022.056717862386</v>
      </c>
      <c r="BV172" s="113">
        <f t="shared" si="124"/>
        <v>3306.6170153587154</v>
      </c>
      <c r="BW172" s="113">
        <f t="shared" si="157"/>
        <v>313945.15605553571</v>
      </c>
      <c r="BX172" s="113">
        <f t="shared" si="150"/>
        <v>6939.5851911346153</v>
      </c>
      <c r="BY172" s="120">
        <f t="shared" si="151"/>
        <v>31016.325575868857</v>
      </c>
      <c r="BZ172" s="153">
        <f t="shared" si="158"/>
        <v>0</v>
      </c>
      <c r="CA172" s="120">
        <f t="shared" si="160"/>
        <v>31016.325575868857</v>
      </c>
      <c r="CB172" s="120">
        <f t="shared" si="152"/>
        <v>7754.0813939672144</v>
      </c>
      <c r="CC172" s="153">
        <f t="shared" si="153"/>
        <v>30201.829373036257</v>
      </c>
      <c r="CD172" s="7">
        <f t="shared" si="125"/>
        <v>8737.2270352987853</v>
      </c>
      <c r="CE172" s="11">
        <f>SUM($CD$9:CD172)</f>
        <v>25254798.623390812</v>
      </c>
      <c r="CF172" s="11">
        <f t="shared" si="154"/>
        <v>12000000</v>
      </c>
      <c r="CG172">
        <f t="shared" si="155"/>
        <v>13254798.623390812</v>
      </c>
    </row>
    <row r="173" spans="1:85">
      <c r="A173">
        <f t="shared" si="126"/>
        <v>2030</v>
      </c>
      <c r="B173">
        <f t="shared" si="127"/>
        <v>30.416666666666668</v>
      </c>
      <c r="C173">
        <f t="shared" si="161"/>
        <v>14</v>
      </c>
      <c r="E173" s="97">
        <v>47818</v>
      </c>
      <c r="F173" s="2">
        <f>$F$6*EXP(-$F$3*COUNT($E$9:$E173))</f>
        <v>0.20938932836922369</v>
      </c>
      <c r="G173" s="260">
        <f>$F$6/(1+$F$5*$F$3*COUNT($E$9:$E173))^(1/$F$5)</f>
        <v>3.939383357213349</v>
      </c>
      <c r="H173" s="260">
        <f>$H$6/(1+$H$5*$H$3*COUNT($E$9:$E173))^(1/$H$5)</f>
        <v>110.15351963224775</v>
      </c>
      <c r="I173" s="260">
        <f t="shared" si="128"/>
        <v>20.981622787094807</v>
      </c>
      <c r="J173" s="260">
        <f t="shared" si="129"/>
        <v>8.7367477285462769</v>
      </c>
      <c r="K173" s="260">
        <f t="shared" si="129"/>
        <v>5.9440937355839587</v>
      </c>
      <c r="L173" s="260">
        <f t="shared" si="129"/>
        <v>2.8346172385365085</v>
      </c>
      <c r="M173" s="260">
        <f t="shared" si="112"/>
        <v>3.4682622467067716</v>
      </c>
      <c r="N173" s="19">
        <f t="shared" si="130"/>
        <v>6.3689254045638872</v>
      </c>
      <c r="O173" s="19">
        <f t="shared" si="131"/>
        <v>119.8229104485727</v>
      </c>
      <c r="P173" s="19">
        <f t="shared" si="132"/>
        <v>3350.5028888142024</v>
      </c>
      <c r="Q173" s="19">
        <f t="shared" si="133"/>
        <v>638.19102644080044</v>
      </c>
      <c r="R173" s="19">
        <f t="shared" si="134"/>
        <v>265.74274340994924</v>
      </c>
      <c r="S173" s="19">
        <f t="shared" si="135"/>
        <v>180.79951779067875</v>
      </c>
      <c r="T173" s="19">
        <f t="shared" si="136"/>
        <v>86.219607672152137</v>
      </c>
      <c r="U173" s="19">
        <f t="shared" si="137"/>
        <v>105.49297667066431</v>
      </c>
      <c r="V173" s="261">
        <f t="shared" si="156"/>
        <v>1092.0170937563823</v>
      </c>
      <c r="W173" s="261">
        <f>SUM(O$9:O173)</f>
        <v>558399.59185968363</v>
      </c>
      <c r="X173" s="261">
        <f>SUM(P$9:P173)</f>
        <v>2361839.4523752527</v>
      </c>
      <c r="Y173" s="261">
        <f>SUM(Q$9:Q173)</f>
        <v>449874.18140480993</v>
      </c>
      <c r="Z173" s="261">
        <f>SUM($V$9:V173)</f>
        <v>1243719.5732785848</v>
      </c>
      <c r="AB173" s="257">
        <f t="array" ref="AB173">(INDEX(PriceDeck!$C$18:$O$77,MATCH('Decline and Model'!$A173,PriceDeck!$B$18:$B$77,0),MATCH('Decline and Model'!AB$8,PriceDeck!$C$13:$O$13,0))*(1+$AE$6))</f>
        <v>90.6</v>
      </c>
      <c r="AC173" s="257">
        <f t="array" ref="AC173">INDEX(PriceDeck!$C$18:$O$77,MATCH('Decline and Model'!$A173,PriceDeck!$B$18:$B$77,0),MATCH('Decline and Model'!AC$8,PriceDeck!$C$13:$O$13,0))*(1+$AE$6)</f>
        <v>103.5</v>
      </c>
      <c r="AD173" s="257">
        <f t="array" ref="AD173">INDEX(PriceDeck!$C$18:$O$77,MATCH('Decline and Model'!$A173,PriceDeck!$B$18:$B$77,0),MATCH('Decline and Model'!AD$8,PriceDeck!$C$13:$O$13,0))*(1+$AE$6)</f>
        <v>18</v>
      </c>
      <c r="AE173" s="257">
        <f t="array" ref="AE173">INDEX(PriceDeck!$C$18:$O$77,MATCH('Decline and Model'!$A173,PriceDeck!$B$18:$B$77,0),MATCH('Decline and Model'!AE$8,PriceDeck!$C$13:$O$13,0))*(1+$AE$6)</f>
        <v>36.299999999999997</v>
      </c>
      <c r="AF173" s="257">
        <f t="array" ref="AF173">INDEX(PriceDeck!$C$18:$O$77,MATCH('Decline and Model'!$A173,PriceDeck!$B$18:$B$77,0),MATCH('Decline and Model'!AF$8,PriceDeck!$C$13:$O$13,0))*(1+$AE$6)</f>
        <v>107.4</v>
      </c>
      <c r="AG173" s="257">
        <f t="array" ref="AG173">INDEX(PriceDeck!$C$18:$O$77,MATCH('Decline and Model'!$A173,PriceDeck!$B$18:$B$77,0),MATCH('Decline and Model'!AG$8,PriceDeck!$C$13:$O$13,0))*(1+$AE$6)</f>
        <v>75.8</v>
      </c>
      <c r="AH173" s="258">
        <f t="array" ref="AH173">INDEX(PriceDeck!$C$18:$O$77,MATCH('Decline and Model'!$A173,PriceDeck!$B$18:$B$77,0),MATCH('Decline and Model'!AH$8,PriceDeck!$C$13:$O$13,0))</f>
        <v>0.85</v>
      </c>
      <c r="AI173" s="258">
        <f t="shared" si="138"/>
        <v>4.75</v>
      </c>
      <c r="AJ173" s="259">
        <f t="shared" si="113"/>
        <v>4.75</v>
      </c>
      <c r="AK173" s="120">
        <v>4.75</v>
      </c>
      <c r="AL173" s="120"/>
      <c r="AN173" s="7">
        <f t="shared" si="139"/>
        <v>12401.671231427274</v>
      </c>
      <c r="AO173" s="7">
        <f t="shared" si="140"/>
        <v>15914.888721867461</v>
      </c>
      <c r="AP173" s="7">
        <f t="shared" si="141"/>
        <v>4783.369381379086</v>
      </c>
      <c r="AQ173" s="7">
        <f t="shared" si="142"/>
        <v>6563.0224958016379</v>
      </c>
      <c r="AR173" s="7">
        <f t="shared" si="143"/>
        <v>9259.9858639891409</v>
      </c>
      <c r="AS173" s="7">
        <f t="shared" si="144"/>
        <v>7996.3676316363544</v>
      </c>
      <c r="AT173" s="7">
        <f t="shared" si="145"/>
        <v>56919.305326100955</v>
      </c>
      <c r="AU173">
        <f>SUM($AT$9:AT173)</f>
        <v>66373698.189861789</v>
      </c>
      <c r="AV173" s="7">
        <f>AT173/(1+$AR$5)^(COUNT($E$9:E173))</f>
        <v>16342.385558950931</v>
      </c>
      <c r="AW173" s="7">
        <f t="shared" si="159"/>
        <v>0</v>
      </c>
      <c r="AX173" s="7">
        <f t="shared" si="146"/>
        <v>0</v>
      </c>
      <c r="AY173" s="117">
        <f t="shared" si="147"/>
        <v>0</v>
      </c>
      <c r="AZ173" s="117">
        <f t="shared" si="148"/>
        <v>56919.305326100955</v>
      </c>
      <c r="BA173" s="120">
        <f t="shared" si="149"/>
        <v>4403.8734461903314</v>
      </c>
      <c r="BB173" s="119">
        <f t="shared" si="114"/>
        <v>128.20604624361772</v>
      </c>
      <c r="BC173" s="17"/>
      <c r="BD173" s="126">
        <f t="shared" si="115"/>
        <v>0.21788163366323368</v>
      </c>
      <c r="BE173" s="127">
        <f t="shared" si="116"/>
        <v>0.27960440892045668</v>
      </c>
      <c r="BF173" s="127">
        <f t="shared" si="117"/>
        <v>8.4037732962029335E-2</v>
      </c>
      <c r="BG173" s="127">
        <f t="shared" si="118"/>
        <v>0.11530398092880613</v>
      </c>
      <c r="BH173" s="127">
        <f t="shared" si="119"/>
        <v>0.16268620656800031</v>
      </c>
      <c r="BI173" s="128">
        <f t="shared" si="120"/>
        <v>0.1404860369574738</v>
      </c>
      <c r="BJ173" s="126">
        <f t="array" ref="BJ173">BD173*INDEX(Royalty!$U$7:$Z$246,MATCH('Decline and Model'!$E173,Royalty!$AI$7:$AI$246,0),MATCH('Decline and Model'!BJ$8,Royalty!$U$1:$Z$1,0))</f>
        <v>6.8771544784939673E-2</v>
      </c>
      <c r="BK173" s="127">
        <f t="array" ref="BK173">BE173*INDEX(Royalty!$U$7:$Z$246,MATCH('Decline and Model'!$E173,Royalty!$AI$7:$AI$246,0),MATCH('Decline and Model'!BK$8,Royalty!$U$1:$Z$1,0))</f>
        <v>8.5578627869702439E-2</v>
      </c>
      <c r="BL173" s="127">
        <f t="array" ref="BL173">BF173*INDEX(Royalty!$U$7:$Z$246,MATCH('Decline and Model'!$E173,Royalty!$AI$7:$AI$246,0),MATCH('Decline and Model'!BL$8,Royalty!$U$1:$Z$1,0))</f>
        <v>2.6617566074007528E-2</v>
      </c>
      <c r="BM173" s="127">
        <f t="array" ref="BM173">BG173*INDEX(Royalty!$U$7:$Z$246,MATCH('Decline and Model'!$E173,Royalty!$AI$7:$AI$246,0),MATCH('Decline and Model'!BM$8,Royalty!$U$1:$Z$1,0))</f>
        <v>3.5283386518809003E-2</v>
      </c>
      <c r="BN173" s="127">
        <f t="array" ref="BN173">BH173*INDEX(Royalty!$U$7:$Z$246,MATCH('Decline and Model'!$E173,Royalty!$AI$7:$AI$246,0),MATCH('Decline and Model'!BN$8,Royalty!$U$1:$Z$1,0))</f>
        <v>2.7173206054509052E-2</v>
      </c>
      <c r="BO173" s="127">
        <f t="array" ref="BO173">BI173*INDEX(Royalty!$U$7:$Z$246,MATCH('Decline and Model'!$E173,Royalty!$AI$7:$AI$246,0),MATCH('Decline and Model'!BO$8,Royalty!$U$1:$Z$1,0))</f>
        <v>7.0243018478736907E-3</v>
      </c>
      <c r="BP173" s="135">
        <f t="shared" si="121"/>
        <v>7.7370470720957457E-2</v>
      </c>
      <c r="BQ173" s="7"/>
      <c r="BR173" s="7"/>
      <c r="BS173">
        <v>165</v>
      </c>
      <c r="BT173" s="120">
        <f t="shared" si="122"/>
        <v>4403.8734461903314</v>
      </c>
      <c r="BU173" s="113">
        <f t="shared" si="123"/>
        <v>10920.170937563824</v>
      </c>
      <c r="BV173" s="113">
        <f t="shared" si="124"/>
        <v>3276.0512812691468</v>
      </c>
      <c r="BW173" s="113">
        <f t="shared" si="157"/>
        <v>307005.57086440112</v>
      </c>
      <c r="BX173" s="113">
        <f t="shared" si="150"/>
        <v>6786.1894731369921</v>
      </c>
      <c r="BY173" s="120">
        <f t="shared" si="151"/>
        <v>31533.020187940667</v>
      </c>
      <c r="BZ173" s="153">
        <f t="shared" si="158"/>
        <v>0</v>
      </c>
      <c r="CA173" s="120">
        <f t="shared" si="160"/>
        <v>31533.020187940667</v>
      </c>
      <c r="CB173" s="120">
        <f t="shared" si="152"/>
        <v>7883.2550469851667</v>
      </c>
      <c r="CC173" s="153">
        <f t="shared" si="153"/>
        <v>30435.954614092494</v>
      </c>
      <c r="CD173" s="7">
        <f t="shared" si="125"/>
        <v>8738.6186867278029</v>
      </c>
      <c r="CE173" s="11">
        <f>SUM($CD$9:CD173)</f>
        <v>25263537.242077541</v>
      </c>
      <c r="CF173" s="11">
        <f t="shared" si="154"/>
        <v>12000000</v>
      </c>
      <c r="CG173">
        <f t="shared" si="155"/>
        <v>13263537.242077541</v>
      </c>
    </row>
    <row r="174" spans="1:85">
      <c r="A174">
        <f t="shared" si="126"/>
        <v>2031</v>
      </c>
      <c r="B174">
        <f t="shared" si="127"/>
        <v>30.416666666666668</v>
      </c>
      <c r="C174">
        <f t="shared" si="161"/>
        <v>14</v>
      </c>
      <c r="E174" s="97">
        <v>47849</v>
      </c>
      <c r="F174" s="2">
        <f>$F$6*EXP(-$F$3*COUNT($E$9:$E174))</f>
        <v>0.19917729032124754</v>
      </c>
      <c r="G174" s="260">
        <f>$F$6/(1+$F$5*$F$3*COUNT($E$9:$E174))^(1/$F$5)</f>
        <v>3.8539834218213751</v>
      </c>
      <c r="H174" s="260">
        <f>$H$6/(1+$H$5*$H$3*COUNT($E$9:$E174))^(1/$H$5)</f>
        <v>109.31215028144244</v>
      </c>
      <c r="I174" s="260">
        <f t="shared" si="128"/>
        <v>20.821361958369987</v>
      </c>
      <c r="J174" s="260">
        <f t="shared" si="129"/>
        <v>8.6700151194652619</v>
      </c>
      <c r="K174" s="260">
        <f t="shared" si="129"/>
        <v>5.8986918428062172</v>
      </c>
      <c r="L174" s="260">
        <f t="shared" si="129"/>
        <v>2.8129660005757851</v>
      </c>
      <c r="M174" s="260">
        <f t="shared" si="112"/>
        <v>3.4417711317185589</v>
      </c>
      <c r="N174" s="19">
        <f t="shared" si="130"/>
        <v>6.0583092472712794</v>
      </c>
      <c r="O174" s="19">
        <f t="shared" si="131"/>
        <v>117.22532908040016</v>
      </c>
      <c r="P174" s="19">
        <f t="shared" si="132"/>
        <v>3324.9112377272077</v>
      </c>
      <c r="Q174" s="19">
        <f t="shared" si="133"/>
        <v>633.31642623375376</v>
      </c>
      <c r="R174" s="19">
        <f t="shared" si="134"/>
        <v>263.71295988373504</v>
      </c>
      <c r="S174" s="19">
        <f t="shared" si="135"/>
        <v>179.41854355202244</v>
      </c>
      <c r="T174" s="19">
        <f t="shared" si="136"/>
        <v>85.561049184180135</v>
      </c>
      <c r="U174" s="19">
        <f t="shared" si="137"/>
        <v>104.6872052564395</v>
      </c>
      <c r="V174" s="261">
        <f t="shared" si="156"/>
        <v>1081.9937452261868</v>
      </c>
      <c r="W174" s="261">
        <f>SUM(O$9:O174)</f>
        <v>558516.81718876399</v>
      </c>
      <c r="X174" s="261">
        <f>SUM(P$9:P174)</f>
        <v>2365164.3636129801</v>
      </c>
      <c r="Y174" s="261">
        <f>SUM(Q$9:Q174)</f>
        <v>450507.49783104367</v>
      </c>
      <c r="Z174" s="261">
        <f>SUM($V$9:V174)</f>
        <v>1244801.5670238109</v>
      </c>
      <c r="AB174" s="257">
        <f t="array" ref="AB174">(INDEX(PriceDeck!$C$18:$O$77,MATCH('Decline and Model'!$A174,PriceDeck!$B$18:$B$77,0),MATCH('Decline and Model'!AB$8,PriceDeck!$C$13:$O$13,0))*(1+$AE$6))</f>
        <v>92.4</v>
      </c>
      <c r="AC174" s="257">
        <f t="array" ref="AC174">INDEX(PriceDeck!$C$18:$O$77,MATCH('Decline and Model'!$A174,PriceDeck!$B$18:$B$77,0),MATCH('Decline and Model'!AC$8,PriceDeck!$C$13:$O$13,0))*(1+$AE$6)</f>
        <v>105.5</v>
      </c>
      <c r="AD174" s="257">
        <f t="array" ref="AD174">INDEX(PriceDeck!$C$18:$O$77,MATCH('Decline and Model'!$A174,PriceDeck!$B$18:$B$77,0),MATCH('Decline and Model'!AD$8,PriceDeck!$C$13:$O$13,0))*(1+$AE$6)</f>
        <v>18.399999999999999</v>
      </c>
      <c r="AE174" s="257">
        <f t="array" ref="AE174">INDEX(PriceDeck!$C$18:$O$77,MATCH('Decline and Model'!$A174,PriceDeck!$B$18:$B$77,0),MATCH('Decline and Model'!AE$8,PriceDeck!$C$13:$O$13,0))*(1+$AE$6)</f>
        <v>37.1</v>
      </c>
      <c r="AF174" s="257">
        <f t="array" ref="AF174">INDEX(PriceDeck!$C$18:$O$77,MATCH('Decline and Model'!$A174,PriceDeck!$B$18:$B$77,0),MATCH('Decline and Model'!AF$8,PriceDeck!$C$13:$O$13,0))*(1+$AE$6)</f>
        <v>109.5</v>
      </c>
      <c r="AG174" s="257">
        <f t="array" ref="AG174">INDEX(PriceDeck!$C$18:$O$77,MATCH('Decline and Model'!$A174,PriceDeck!$B$18:$B$77,0),MATCH('Decline and Model'!AG$8,PriceDeck!$C$13:$O$13,0))*(1+$AE$6)</f>
        <v>77.3</v>
      </c>
      <c r="AH174" s="258">
        <f t="array" ref="AH174">INDEX(PriceDeck!$C$18:$O$77,MATCH('Decline and Model'!$A174,PriceDeck!$B$18:$B$77,0),MATCH('Decline and Model'!AH$8,PriceDeck!$C$13:$O$13,0))</f>
        <v>0.85</v>
      </c>
      <c r="AI174" s="258">
        <f t="shared" si="138"/>
        <v>4.8499999999999996</v>
      </c>
      <c r="AJ174" s="259">
        <f t="shared" si="113"/>
        <v>4.8499999999999996</v>
      </c>
      <c r="AK174" s="120">
        <v>4.8499999999999996</v>
      </c>
      <c r="AL174" s="120"/>
      <c r="AN174" s="7">
        <f t="shared" si="139"/>
        <v>12367.272217982216</v>
      </c>
      <c r="AO174" s="7">
        <f t="shared" si="140"/>
        <v>16125.819502976956</v>
      </c>
      <c r="AP174" s="7">
        <f t="shared" si="141"/>
        <v>4852.3184618607247</v>
      </c>
      <c r="AQ174" s="7">
        <f t="shared" si="142"/>
        <v>6656.4279657800325</v>
      </c>
      <c r="AR174" s="7">
        <f t="shared" si="143"/>
        <v>9368.9348856677243</v>
      </c>
      <c r="AS174" s="7">
        <f t="shared" si="144"/>
        <v>8092.3209663227726</v>
      </c>
      <c r="AT174" s="7">
        <f t="shared" si="145"/>
        <v>57463.094000590427</v>
      </c>
      <c r="AU174">
        <f>SUM($AT$9:AT174)</f>
        <v>66431161.283862382</v>
      </c>
      <c r="AV174" s="7">
        <f>AT174/(1+$AR$5)^(COUNT($E$9:E174))</f>
        <v>16374.210059533783</v>
      </c>
      <c r="AW174" s="7">
        <f t="shared" si="159"/>
        <v>0</v>
      </c>
      <c r="AX174" s="7">
        <f t="shared" si="146"/>
        <v>0</v>
      </c>
      <c r="AY174" s="117">
        <f t="shared" si="147"/>
        <v>0</v>
      </c>
      <c r="AZ174" s="117">
        <f t="shared" si="148"/>
        <v>57463.094000590427</v>
      </c>
      <c r="BA174" s="120">
        <f t="shared" si="149"/>
        <v>3904.5921257554487</v>
      </c>
      <c r="BB174" s="119">
        <f t="shared" si="114"/>
        <v>138.22939477381328</v>
      </c>
      <c r="BC174" s="17"/>
      <c r="BD174" s="126">
        <f t="shared" si="115"/>
        <v>0.21522113337397292</v>
      </c>
      <c r="BE174" s="127">
        <f t="shared" si="116"/>
        <v>0.28062915482433409</v>
      </c>
      <c r="BF174" s="127">
        <f t="shared" si="117"/>
        <v>8.4442345930952969E-2</v>
      </c>
      <c r="BG174" s="127">
        <f t="shared" si="118"/>
        <v>0.11583831468788712</v>
      </c>
      <c r="BH174" s="127">
        <f t="shared" si="119"/>
        <v>0.16304264586886777</v>
      </c>
      <c r="BI174" s="128">
        <f t="shared" si="120"/>
        <v>0.1408264053139851</v>
      </c>
      <c r="BJ174" s="126">
        <f t="array" ref="BJ174">BD174*INDEX(Royalty!$U$7:$Z$246,MATCH('Decline and Model'!$E174,Royalty!$AI$7:$AI$246,0),MATCH('Decline and Model'!BJ$8,Royalty!$U$1:$Z$1,0))</f>
        <v>6.9040472302058578E-2</v>
      </c>
      <c r="BK174" s="127">
        <f t="array" ref="BK174">BE174*INDEX(Royalty!$U$7:$Z$246,MATCH('Decline and Model'!$E174,Royalty!$AI$7:$AI$246,0),MATCH('Decline and Model'!BK$8,Royalty!$U$1:$Z$1,0))</f>
        <v>8.7269053408730118E-2</v>
      </c>
      <c r="BL174" s="127">
        <f t="array" ref="BL174">BF174*INDEX(Royalty!$U$7:$Z$246,MATCH('Decline and Model'!$E174,Royalty!$AI$7:$AI$246,0),MATCH('Decline and Model'!BL$8,Royalty!$U$1:$Z$1,0))</f>
        <v>2.7187086524715406E-2</v>
      </c>
      <c r="BM174" s="127">
        <f t="array" ref="BM174">BG174*INDEX(Royalty!$U$7:$Z$246,MATCH('Decline and Model'!$E174,Royalty!$AI$7:$AI$246,0),MATCH('Decline and Model'!BM$8,Royalty!$U$1:$Z$1,0))</f>
        <v>3.6095640677682547E-2</v>
      </c>
      <c r="BN174" s="127">
        <f t="array" ref="BN174">BH174*INDEX(Royalty!$U$7:$Z$246,MATCH('Decline and Model'!$E174,Royalty!$AI$7:$AI$246,0),MATCH('Decline and Model'!BN$8,Royalty!$U$1:$Z$1,0))</f>
        <v>2.7925672762062384E-2</v>
      </c>
      <c r="BO174" s="127">
        <f t="array" ref="BO174">BI174*INDEX(Royalty!$U$7:$Z$246,MATCH('Decline and Model'!$E174,Royalty!$AI$7:$AI$246,0),MATCH('Decline and Model'!BO$8,Royalty!$U$1:$Z$1,0))</f>
        <v>7.0413202656992553E-3</v>
      </c>
      <c r="BP174" s="135">
        <f t="shared" si="121"/>
        <v>6.7949562996300367E-2</v>
      </c>
      <c r="BQ174" s="7"/>
      <c r="BR174" s="7"/>
      <c r="BS174">
        <v>166</v>
      </c>
      <c r="BT174" s="120">
        <f t="shared" si="122"/>
        <v>3904.5921257554487</v>
      </c>
      <c r="BU174" s="113">
        <f t="shared" si="123"/>
        <v>10819.937452261867</v>
      </c>
      <c r="BV174" s="113">
        <f t="shared" si="124"/>
        <v>3245.9812356785606</v>
      </c>
      <c r="BW174" s="113">
        <f t="shared" si="157"/>
        <v>300219.38139126415</v>
      </c>
      <c r="BX174" s="113">
        <f t="shared" si="150"/>
        <v>6636.1844832091201</v>
      </c>
      <c r="BY174" s="120">
        <f t="shared" si="151"/>
        <v>32856.398703685423</v>
      </c>
      <c r="BZ174" s="153">
        <f t="shared" si="158"/>
        <v>0</v>
      </c>
      <c r="CA174" s="120">
        <f t="shared" si="160"/>
        <v>32856.398703685423</v>
      </c>
      <c r="CB174" s="120">
        <f t="shared" si="152"/>
        <v>8214.0996759213558</v>
      </c>
      <c r="CC174" s="153">
        <f t="shared" si="153"/>
        <v>31278.483510973187</v>
      </c>
      <c r="CD174" s="7">
        <f t="shared" si="125"/>
        <v>8912.8590839030749</v>
      </c>
      <c r="CE174" s="11">
        <f>SUM($CD$9:CD174)</f>
        <v>25272450.101161443</v>
      </c>
      <c r="CF174" s="11">
        <f t="shared" si="154"/>
        <v>12000000</v>
      </c>
      <c r="CG174">
        <f t="shared" si="155"/>
        <v>13272450.101161443</v>
      </c>
    </row>
    <row r="175" spans="1:85">
      <c r="A175">
        <f t="shared" si="126"/>
        <v>2031</v>
      </c>
      <c r="B175">
        <f t="shared" si="127"/>
        <v>30.416666666666668</v>
      </c>
      <c r="C175">
        <f t="shared" si="161"/>
        <v>14</v>
      </c>
      <c r="E175" s="97">
        <v>47880</v>
      </c>
      <c r="F175" s="2">
        <f>$F$6*EXP(-$F$3*COUNT($E$9:$E175))</f>
        <v>0.18946329924589211</v>
      </c>
      <c r="G175" s="260">
        <f>$F$6/(1+$F$5*$F$3*COUNT($E$9:$E175))^(1/$F$5)</f>
        <v>3.7707143368212828</v>
      </c>
      <c r="H175" s="260">
        <f>$H$6/(1+$H$5*$H$3*COUNT($E$9:$E175))^(1/$H$5)</f>
        <v>108.48173865338691</v>
      </c>
      <c r="I175" s="260">
        <f t="shared" si="128"/>
        <v>20.663188314930839</v>
      </c>
      <c r="J175" s="260">
        <f t="shared" si="129"/>
        <v>8.6041516143372014</v>
      </c>
      <c r="K175" s="260">
        <f t="shared" si="129"/>
        <v>5.8538812496199064</v>
      </c>
      <c r="L175" s="260">
        <f t="shared" si="129"/>
        <v>2.7915967413471563</v>
      </c>
      <c r="M175" s="260">
        <f t="shared" si="112"/>
        <v>3.4156250284580678</v>
      </c>
      <c r="N175" s="19">
        <f t="shared" si="130"/>
        <v>5.7628420187292191</v>
      </c>
      <c r="O175" s="19">
        <f t="shared" si="131"/>
        <v>114.69256107831403</v>
      </c>
      <c r="P175" s="19">
        <f t="shared" si="132"/>
        <v>3299.6528840405185</v>
      </c>
      <c r="Q175" s="19">
        <f t="shared" si="133"/>
        <v>628.505311245813</v>
      </c>
      <c r="R175" s="19">
        <f t="shared" si="134"/>
        <v>261.70961160275658</v>
      </c>
      <c r="S175" s="19">
        <f t="shared" si="135"/>
        <v>178.05555467593882</v>
      </c>
      <c r="T175" s="19">
        <f t="shared" si="136"/>
        <v>84.911067549309337</v>
      </c>
      <c r="U175" s="19">
        <f t="shared" si="137"/>
        <v>103.8919279489329</v>
      </c>
      <c r="V175" s="261">
        <f t="shared" si="156"/>
        <v>1072.1319208558427</v>
      </c>
      <c r="W175" s="261">
        <f>SUM(O$9:O175)</f>
        <v>558631.50974984234</v>
      </c>
      <c r="X175" s="261">
        <f>SUM(P$9:P175)</f>
        <v>2368464.0164970206</v>
      </c>
      <c r="Y175" s="261">
        <f>SUM(Q$9:Q175)</f>
        <v>451136.00314228947</v>
      </c>
      <c r="Z175" s="261">
        <f>SUM($V$9:V175)</f>
        <v>1245873.6989446669</v>
      </c>
      <c r="AB175" s="257">
        <f t="array" ref="AB175">(INDEX(PriceDeck!$C$18:$O$77,MATCH('Decline and Model'!$A175,PriceDeck!$B$18:$B$77,0),MATCH('Decline and Model'!AB$8,PriceDeck!$C$13:$O$13,0))*(1+$AE$6))</f>
        <v>92.4</v>
      </c>
      <c r="AC175" s="257">
        <f t="array" ref="AC175">INDEX(PriceDeck!$C$18:$O$77,MATCH('Decline and Model'!$A175,PriceDeck!$B$18:$B$77,0),MATCH('Decline and Model'!AC$8,PriceDeck!$C$13:$O$13,0))*(1+$AE$6)</f>
        <v>105.5</v>
      </c>
      <c r="AD175" s="257">
        <f t="array" ref="AD175">INDEX(PriceDeck!$C$18:$O$77,MATCH('Decline and Model'!$A175,PriceDeck!$B$18:$B$77,0),MATCH('Decline and Model'!AD$8,PriceDeck!$C$13:$O$13,0))*(1+$AE$6)</f>
        <v>18.399999999999999</v>
      </c>
      <c r="AE175" s="257">
        <f t="array" ref="AE175">INDEX(PriceDeck!$C$18:$O$77,MATCH('Decline and Model'!$A175,PriceDeck!$B$18:$B$77,0),MATCH('Decline and Model'!AE$8,PriceDeck!$C$13:$O$13,0))*(1+$AE$6)</f>
        <v>37.1</v>
      </c>
      <c r="AF175" s="257">
        <f t="array" ref="AF175">INDEX(PriceDeck!$C$18:$O$77,MATCH('Decline and Model'!$A175,PriceDeck!$B$18:$B$77,0),MATCH('Decline and Model'!AF$8,PriceDeck!$C$13:$O$13,0))*(1+$AE$6)</f>
        <v>109.5</v>
      </c>
      <c r="AG175" s="257">
        <f t="array" ref="AG175">INDEX(PriceDeck!$C$18:$O$77,MATCH('Decline and Model'!$A175,PriceDeck!$B$18:$B$77,0),MATCH('Decline and Model'!AG$8,PriceDeck!$C$13:$O$13,0))*(1+$AE$6)</f>
        <v>77.3</v>
      </c>
      <c r="AH175" s="258">
        <f t="array" ref="AH175">INDEX(PriceDeck!$C$18:$O$77,MATCH('Decline and Model'!$A175,PriceDeck!$B$18:$B$77,0),MATCH('Decline and Model'!AH$8,PriceDeck!$C$13:$O$13,0))</f>
        <v>0.85</v>
      </c>
      <c r="AI175" s="258">
        <f t="shared" si="138"/>
        <v>4.8499999999999996</v>
      </c>
      <c r="AJ175" s="259">
        <f t="shared" si="113"/>
        <v>4.8499999999999996</v>
      </c>
      <c r="AK175" s="120">
        <v>4.8499999999999996</v>
      </c>
      <c r="AL175" s="120"/>
      <c r="AN175" s="7">
        <f t="shared" si="139"/>
        <v>12100.06519376213</v>
      </c>
      <c r="AO175" s="7">
        <f t="shared" si="140"/>
        <v>16003.316487596514</v>
      </c>
      <c r="AP175" s="7">
        <f t="shared" si="141"/>
        <v>4815.4568534907203</v>
      </c>
      <c r="AQ175" s="7">
        <f t="shared" si="142"/>
        <v>6605.8610784773309</v>
      </c>
      <c r="AR175" s="7">
        <f t="shared" si="143"/>
        <v>9297.7618966493719</v>
      </c>
      <c r="AS175" s="7">
        <f t="shared" si="144"/>
        <v>8030.8460304525133</v>
      </c>
      <c r="AT175" s="7">
        <f t="shared" si="145"/>
        <v>56853.307540428585</v>
      </c>
      <c r="AU175">
        <f>SUM($AT$9:AT175)</f>
        <v>66488014.591402814</v>
      </c>
      <c r="AV175" s="7">
        <f>AT175/(1+$AR$5)^(COUNT($E$9:E175))</f>
        <v>16078.390677255707</v>
      </c>
      <c r="AW175" s="7">
        <f t="shared" si="159"/>
        <v>0</v>
      </c>
      <c r="AX175" s="7">
        <f t="shared" si="146"/>
        <v>0</v>
      </c>
      <c r="AY175" s="117">
        <f t="shared" si="147"/>
        <v>0</v>
      </c>
      <c r="AZ175" s="117">
        <f t="shared" si="148"/>
        <v>56853.307540428585</v>
      </c>
      <c r="BA175" s="120">
        <f t="shared" si="149"/>
        <v>3094.7683422435048</v>
      </c>
      <c r="BB175" s="119">
        <f t="shared" si="114"/>
        <v>148.09121914415732</v>
      </c>
      <c r="BC175" s="17"/>
      <c r="BD175" s="126">
        <f t="shared" si="115"/>
        <v>0.21282957346250667</v>
      </c>
      <c r="BE175" s="127">
        <f t="shared" si="116"/>
        <v>0.28148435297658803</v>
      </c>
      <c r="BF175" s="127">
        <f t="shared" si="117"/>
        <v>8.4699678203707537E-2</v>
      </c>
      <c r="BG175" s="127">
        <f t="shared" si="118"/>
        <v>0.11619132402771606</v>
      </c>
      <c r="BH175" s="127">
        <f t="shared" si="119"/>
        <v>0.16353950717885149</v>
      </c>
      <c r="BI175" s="128">
        <f t="shared" si="120"/>
        <v>0.14125556415063012</v>
      </c>
      <c r="BJ175" s="126">
        <f t="array" ref="BJ175">BD175*INDEX(Royalty!$U$7:$Z$246,MATCH('Decline and Model'!$E175,Royalty!$AI$7:$AI$246,0),MATCH('Decline and Model'!BJ$8,Royalty!$U$1:$Z$1,0))</f>
        <v>6.8273287299183444E-2</v>
      </c>
      <c r="BK175" s="127">
        <f t="array" ref="BK175">BE175*INDEX(Royalty!$U$7:$Z$246,MATCH('Decline and Model'!$E175,Royalty!$AI$7:$AI$246,0),MATCH('Decline and Model'!BK$8,Royalty!$U$1:$Z$1,0))</f>
        <v>8.7534999879155889E-2</v>
      </c>
      <c r="BL175" s="127">
        <f t="array" ref="BL175">BF175*INDEX(Royalty!$U$7:$Z$246,MATCH('Decline and Model'!$E175,Royalty!$AI$7:$AI$246,0),MATCH('Decline and Model'!BL$8,Royalty!$U$1:$Z$1,0))</f>
        <v>2.7269937311105219E-2</v>
      </c>
      <c r="BM175" s="127">
        <f t="array" ref="BM175">BG175*INDEX(Royalty!$U$7:$Z$246,MATCH('Decline and Model'!$E175,Royalty!$AI$7:$AI$246,0),MATCH('Decline and Model'!BM$8,Royalty!$U$1:$Z$1,0))</f>
        <v>3.6205639673443694E-2</v>
      </c>
      <c r="BN175" s="127">
        <f t="array" ref="BN175">BH175*INDEX(Royalty!$U$7:$Z$246,MATCH('Decline and Model'!$E175,Royalty!$AI$7:$AI$246,0),MATCH('Decline and Model'!BN$8,Royalty!$U$1:$Z$1,0))</f>
        <v>2.8010774339485841E-2</v>
      </c>
      <c r="BO175" s="127">
        <f t="array" ref="BO175">BI175*INDEX(Royalty!$U$7:$Z$246,MATCH('Decline and Model'!$E175,Royalty!$AI$7:$AI$246,0),MATCH('Decline and Model'!BO$8,Royalty!$U$1:$Z$1,0))</f>
        <v>7.0627782075315063E-3</v>
      </c>
      <c r="BP175" s="135">
        <f t="shared" si="121"/>
        <v>5.4434270865293177E-2</v>
      </c>
      <c r="BQ175" s="7"/>
      <c r="BR175" s="7"/>
      <c r="BS175">
        <v>167</v>
      </c>
      <c r="BT175" s="120">
        <f t="shared" si="122"/>
        <v>3094.7683422435048</v>
      </c>
      <c r="BU175" s="113">
        <f t="shared" si="123"/>
        <v>10721.319208558427</v>
      </c>
      <c r="BV175" s="113">
        <f t="shared" si="124"/>
        <v>3216.3957625675284</v>
      </c>
      <c r="BW175" s="113">
        <f t="shared" si="157"/>
        <v>293583.19690805505</v>
      </c>
      <c r="BX175" s="113">
        <f t="shared" si="150"/>
        <v>6489.4952711699043</v>
      </c>
      <c r="BY175" s="120">
        <f t="shared" si="151"/>
        <v>33331.328955889228</v>
      </c>
      <c r="BZ175" s="153">
        <f t="shared" si="158"/>
        <v>0</v>
      </c>
      <c r="CA175" s="120">
        <f t="shared" si="160"/>
        <v>33331.328955889228</v>
      </c>
      <c r="CB175" s="120">
        <f t="shared" si="152"/>
        <v>8332.8322389723071</v>
      </c>
      <c r="CC175" s="153">
        <f t="shared" si="153"/>
        <v>31487.991988086826</v>
      </c>
      <c r="CD175" s="7">
        <f t="shared" si="125"/>
        <v>8904.9566107784121</v>
      </c>
      <c r="CE175" s="11">
        <f>SUM($CD$9:CD175)</f>
        <v>25281355.057772223</v>
      </c>
      <c r="CF175" s="11">
        <f t="shared" si="154"/>
        <v>12000000</v>
      </c>
      <c r="CG175">
        <f t="shared" si="155"/>
        <v>13281355.057772223</v>
      </c>
    </row>
    <row r="176" spans="1:85">
      <c r="A176">
        <f t="shared" si="126"/>
        <v>2031</v>
      </c>
      <c r="B176">
        <f t="shared" si="127"/>
        <v>30.416666666666668</v>
      </c>
      <c r="C176">
        <f t="shared" si="161"/>
        <v>14</v>
      </c>
      <c r="E176" s="97">
        <v>47908</v>
      </c>
      <c r="F176" s="2">
        <f>$F$6*EXP(-$F$3*COUNT($E$9:$E176))</f>
        <v>0.1802230651056764</v>
      </c>
      <c r="G176" s="260">
        <f>$F$6/(1+$F$5*$F$3*COUNT($E$9:$E176))^(1/$F$5)</f>
        <v>3.6895160069161457</v>
      </c>
      <c r="H176" s="260">
        <f>$H$6/(1+$H$5*$H$3*COUNT($E$9:$E176))^(1/$H$5)</f>
        <v>107.66208366233204</v>
      </c>
      <c r="I176" s="260">
        <f t="shared" si="128"/>
        <v>20.50706355472991</v>
      </c>
      <c r="J176" s="260">
        <f t="shared" si="129"/>
        <v>8.539141264189535</v>
      </c>
      <c r="K176" s="260">
        <f t="shared" si="129"/>
        <v>5.8096511050549839</v>
      </c>
      <c r="L176" s="260">
        <f t="shared" si="129"/>
        <v>2.770504286244011</v>
      </c>
      <c r="M176" s="260">
        <f t="shared" si="112"/>
        <v>3.3898176055968543</v>
      </c>
      <c r="N176" s="19">
        <f t="shared" si="130"/>
        <v>5.4817848969643244</v>
      </c>
      <c r="O176" s="19">
        <f t="shared" si="131"/>
        <v>112.22277854369943</v>
      </c>
      <c r="P176" s="19">
        <f t="shared" si="132"/>
        <v>3274.7217113959327</v>
      </c>
      <c r="Q176" s="19">
        <f t="shared" si="133"/>
        <v>623.7565164563681</v>
      </c>
      <c r="R176" s="19">
        <f t="shared" si="134"/>
        <v>259.73221345243172</v>
      </c>
      <c r="S176" s="19">
        <f t="shared" si="135"/>
        <v>176.7102211120891</v>
      </c>
      <c r="T176" s="19">
        <f t="shared" si="136"/>
        <v>84.269505373255342</v>
      </c>
      <c r="U176" s="19">
        <f t="shared" si="137"/>
        <v>103.10695217023766</v>
      </c>
      <c r="V176" s="261">
        <f t="shared" si="156"/>
        <v>1062.4280180018493</v>
      </c>
      <c r="W176" s="261">
        <f>SUM(O$9:O176)</f>
        <v>558743.73252838606</v>
      </c>
      <c r="X176" s="261">
        <f>SUM(P$9:P176)</f>
        <v>2371738.7382084164</v>
      </c>
      <c r="Y176" s="261">
        <f>SUM(Q$9:Q176)</f>
        <v>451759.75965874584</v>
      </c>
      <c r="Z176" s="261">
        <f>SUM($V$9:V176)</f>
        <v>1246936.1269626687</v>
      </c>
      <c r="AB176" s="257">
        <f t="array" ref="AB176">(INDEX(PriceDeck!$C$18:$O$77,MATCH('Decline and Model'!$A176,PriceDeck!$B$18:$B$77,0),MATCH('Decline and Model'!AB$8,PriceDeck!$C$13:$O$13,0))*(1+$AE$6))</f>
        <v>92.4</v>
      </c>
      <c r="AC176" s="257">
        <f t="array" ref="AC176">INDEX(PriceDeck!$C$18:$O$77,MATCH('Decline and Model'!$A176,PriceDeck!$B$18:$B$77,0),MATCH('Decline and Model'!AC$8,PriceDeck!$C$13:$O$13,0))*(1+$AE$6)</f>
        <v>105.5</v>
      </c>
      <c r="AD176" s="257">
        <f t="array" ref="AD176">INDEX(PriceDeck!$C$18:$O$77,MATCH('Decline and Model'!$A176,PriceDeck!$B$18:$B$77,0),MATCH('Decline and Model'!AD$8,PriceDeck!$C$13:$O$13,0))*(1+$AE$6)</f>
        <v>18.399999999999999</v>
      </c>
      <c r="AE176" s="257">
        <f t="array" ref="AE176">INDEX(PriceDeck!$C$18:$O$77,MATCH('Decline and Model'!$A176,PriceDeck!$B$18:$B$77,0),MATCH('Decline and Model'!AE$8,PriceDeck!$C$13:$O$13,0))*(1+$AE$6)</f>
        <v>37.1</v>
      </c>
      <c r="AF176" s="257">
        <f t="array" ref="AF176">INDEX(PriceDeck!$C$18:$O$77,MATCH('Decline and Model'!$A176,PriceDeck!$B$18:$B$77,0),MATCH('Decline and Model'!AF$8,PriceDeck!$C$13:$O$13,0))*(1+$AE$6)</f>
        <v>109.5</v>
      </c>
      <c r="AG176" s="257">
        <f t="array" ref="AG176">INDEX(PriceDeck!$C$18:$O$77,MATCH('Decline and Model'!$A176,PriceDeck!$B$18:$B$77,0),MATCH('Decline and Model'!AG$8,PriceDeck!$C$13:$O$13,0))*(1+$AE$6)</f>
        <v>77.3</v>
      </c>
      <c r="AH176" s="258">
        <f t="array" ref="AH176">INDEX(PriceDeck!$C$18:$O$77,MATCH('Decline and Model'!$A176,PriceDeck!$B$18:$B$77,0),MATCH('Decline and Model'!AH$8,PriceDeck!$C$13:$O$13,0))</f>
        <v>0.85</v>
      </c>
      <c r="AI176" s="258">
        <f t="shared" si="138"/>
        <v>4.8499999999999996</v>
      </c>
      <c r="AJ176" s="259">
        <f t="shared" si="113"/>
        <v>4.8499999999999996</v>
      </c>
      <c r="AK176" s="120">
        <v>4.8499999999999996</v>
      </c>
      <c r="AL176" s="120"/>
      <c r="AN176" s="7">
        <f t="shared" si="139"/>
        <v>11839.50313636029</v>
      </c>
      <c r="AO176" s="7">
        <f t="shared" si="140"/>
        <v>15882.400300270272</v>
      </c>
      <c r="AP176" s="7">
        <f t="shared" si="141"/>
        <v>4779.0727275247436</v>
      </c>
      <c r="AQ176" s="7">
        <f t="shared" si="142"/>
        <v>6555.9492032585058</v>
      </c>
      <c r="AR176" s="7">
        <f t="shared" si="143"/>
        <v>9227.5108383714596</v>
      </c>
      <c r="AS176" s="7">
        <f t="shared" si="144"/>
        <v>7970.1674027593708</v>
      </c>
      <c r="AT176" s="7">
        <f t="shared" si="145"/>
        <v>56254.603608544647</v>
      </c>
      <c r="AU176">
        <f>SUM($AT$9:AT176)</f>
        <v>66544269.195011355</v>
      </c>
      <c r="AV176" s="7">
        <f>AT176/(1+$AR$5)^(COUNT($E$9:E176))</f>
        <v>15789.209977209024</v>
      </c>
      <c r="AW176" s="7">
        <f t="shared" si="159"/>
        <v>0</v>
      </c>
      <c r="AX176" s="7">
        <f t="shared" si="146"/>
        <v>0</v>
      </c>
      <c r="AY176" s="117">
        <f t="shared" si="147"/>
        <v>0</v>
      </c>
      <c r="AZ176" s="117">
        <f t="shared" si="148"/>
        <v>56254.603608544647</v>
      </c>
      <c r="BA176" s="120">
        <f t="shared" si="149"/>
        <v>2812.7301804272324</v>
      </c>
      <c r="BB176" s="119">
        <f t="shared" si="114"/>
        <v>157.79512199815076</v>
      </c>
      <c r="BC176" s="17"/>
      <c r="BD176" s="126">
        <f t="shared" si="115"/>
        <v>0.21046283107329478</v>
      </c>
      <c r="BE176" s="127">
        <f t="shared" si="116"/>
        <v>0.28233067662853206</v>
      </c>
      <c r="BF176" s="127">
        <f t="shared" si="117"/>
        <v>8.4954340106643975E-2</v>
      </c>
      <c r="BG176" s="127">
        <f t="shared" si="118"/>
        <v>0.11654067014459786</v>
      </c>
      <c r="BH176" s="127">
        <f t="shared" si="119"/>
        <v>0.1640312124956449</v>
      </c>
      <c r="BI176" s="128">
        <f t="shared" si="120"/>
        <v>0.14168026955128635</v>
      </c>
      <c r="BJ176" s="126">
        <f t="array" ref="BJ176">BD176*INDEX(Royalty!$U$7:$Z$246,MATCH('Decline and Model'!$E176,Royalty!$AI$7:$AI$246,0),MATCH('Decline and Model'!BJ$8,Royalty!$U$1:$Z$1,0))</f>
        <v>6.7514063472940686E-2</v>
      </c>
      <c r="BK176" s="127">
        <f t="array" ref="BK176">BE176*INDEX(Royalty!$U$7:$Z$246,MATCH('Decline and Model'!$E176,Royalty!$AI$7:$AI$246,0),MATCH('Decline and Model'!BK$8,Royalty!$U$1:$Z$1,0))</f>
        <v>8.7798186589135491E-2</v>
      </c>
      <c r="BL176" s="127">
        <f t="array" ref="BL176">BF176*INDEX(Royalty!$U$7:$Z$246,MATCH('Decline and Model'!$E176,Royalty!$AI$7:$AI$246,0),MATCH('Decline and Model'!BL$8,Royalty!$U$1:$Z$1,0))</f>
        <v>2.7351928344316719E-2</v>
      </c>
      <c r="BM176" s="127">
        <f t="array" ref="BM176">BG176*INDEX(Royalty!$U$7:$Z$246,MATCH('Decline and Model'!$E176,Royalty!$AI$7:$AI$246,0),MATCH('Decline and Model'!BM$8,Royalty!$U$1:$Z$1,0))</f>
        <v>3.631449719559502E-2</v>
      </c>
      <c r="BN176" s="127">
        <f t="array" ref="BN176">BH176*INDEX(Royalty!$U$7:$Z$246,MATCH('Decline and Model'!$E176,Royalty!$AI$7:$AI$246,0),MATCH('Decline and Model'!BN$8,Royalty!$U$1:$Z$1,0))</f>
        <v>2.8094992806985335E-2</v>
      </c>
      <c r="BO176" s="127">
        <f t="array" ref="BO176">BI176*INDEX(Royalty!$U$7:$Z$246,MATCH('Decline and Model'!$E176,Royalty!$AI$7:$AI$246,0),MATCH('Decline and Model'!BO$8,Royalty!$U$1:$Z$1,0))</f>
        <v>7.0840134775643181E-3</v>
      </c>
      <c r="BP176" s="135">
        <f t="shared" si="121"/>
        <v>0.05</v>
      </c>
      <c r="BQ176" s="7"/>
      <c r="BR176" s="7"/>
      <c r="BS176">
        <v>168</v>
      </c>
      <c r="BT176" s="120">
        <f t="shared" si="122"/>
        <v>2812.7301804272324</v>
      </c>
      <c r="BU176" s="113">
        <f t="shared" si="123"/>
        <v>10624.280180018493</v>
      </c>
      <c r="BV176" s="113">
        <f t="shared" si="124"/>
        <v>3187.2840540055477</v>
      </c>
      <c r="BW176" s="113">
        <f t="shared" si="157"/>
        <v>287093.70163688512</v>
      </c>
      <c r="BX176" s="113">
        <f t="shared" si="150"/>
        <v>6346.0485435708242</v>
      </c>
      <c r="BY176" s="120">
        <f t="shared" si="151"/>
        <v>33284.260650522541</v>
      </c>
      <c r="BZ176" s="153">
        <f t="shared" si="158"/>
        <v>0</v>
      </c>
      <c r="CA176" s="120">
        <f t="shared" si="160"/>
        <v>33284.260650522541</v>
      </c>
      <c r="CB176" s="120">
        <f t="shared" si="152"/>
        <v>8321.0651626306353</v>
      </c>
      <c r="CC176" s="153">
        <f t="shared" si="153"/>
        <v>31309.244031462731</v>
      </c>
      <c r="CD176" s="7">
        <f t="shared" si="125"/>
        <v>8787.693744683249</v>
      </c>
      <c r="CE176" s="11">
        <f>SUM($CD$9:CD176)</f>
        <v>25290142.751516905</v>
      </c>
      <c r="CF176" s="11">
        <f t="shared" si="154"/>
        <v>12000000</v>
      </c>
      <c r="CG176">
        <f t="shared" si="155"/>
        <v>13290142.751516905</v>
      </c>
    </row>
    <row r="177" spans="1:85">
      <c r="A177">
        <f t="shared" si="126"/>
        <v>2031</v>
      </c>
      <c r="B177">
        <f t="shared" si="127"/>
        <v>30.416666666666668</v>
      </c>
      <c r="C177">
        <f t="shared" si="161"/>
        <v>15</v>
      </c>
      <c r="E177" s="97">
        <v>47939</v>
      </c>
      <c r="F177" s="2">
        <f>$F$6*EXP(-$F$3*COUNT($E$9:$E177))</f>
        <v>0.17143348250222715</v>
      </c>
      <c r="G177" s="260">
        <f>$F$6/(1+$F$5*$F$3*COUNT($E$9:$E177))^(1/$F$5)</f>
        <v>3.610330225719617</v>
      </c>
      <c r="H177" s="260">
        <f>$H$6/(1+$H$5*$H$3*COUNT($E$9:$E177))^(1/$H$5)</f>
        <v>106.85298897241888</v>
      </c>
      <c r="I177" s="260">
        <f t="shared" si="128"/>
        <v>20.352950280460739</v>
      </c>
      <c r="J177" s="260">
        <f t="shared" si="129"/>
        <v>8.4749684967838519</v>
      </c>
      <c r="K177" s="260">
        <f t="shared" si="129"/>
        <v>5.7659908144545273</v>
      </c>
      <c r="L177" s="260">
        <f t="shared" si="129"/>
        <v>2.7496835828902459</v>
      </c>
      <c r="M177" s="260">
        <f t="shared" si="112"/>
        <v>3.36434268136016</v>
      </c>
      <c r="N177" s="19">
        <f t="shared" si="130"/>
        <v>5.2144350927760756</v>
      </c>
      <c r="O177" s="19">
        <f t="shared" si="131"/>
        <v>109.81421103230502</v>
      </c>
      <c r="P177" s="19">
        <f t="shared" si="132"/>
        <v>3250.1117479110744</v>
      </c>
      <c r="Q177" s="19">
        <f t="shared" si="133"/>
        <v>619.0689043640142</v>
      </c>
      <c r="R177" s="19">
        <f t="shared" si="134"/>
        <v>257.78029177717548</v>
      </c>
      <c r="S177" s="19">
        <f t="shared" si="135"/>
        <v>175.38222060632521</v>
      </c>
      <c r="T177" s="19">
        <f t="shared" si="136"/>
        <v>83.636208979578313</v>
      </c>
      <c r="U177" s="19">
        <f t="shared" si="137"/>
        <v>102.33208989137154</v>
      </c>
      <c r="V177" s="261">
        <f t="shared" si="156"/>
        <v>1052.8785333967035</v>
      </c>
      <c r="W177" s="261">
        <f>SUM(O$9:O177)</f>
        <v>558853.54673941841</v>
      </c>
      <c r="X177" s="261">
        <f>SUM(P$9:P177)</f>
        <v>2374988.8499563276</v>
      </c>
      <c r="Y177" s="261">
        <f>SUM(Q$9:Q177)</f>
        <v>452378.82856310986</v>
      </c>
      <c r="Z177" s="261">
        <f>SUM($V$9:V177)</f>
        <v>1247989.0054960654</v>
      </c>
      <c r="AB177" s="257">
        <f t="array" ref="AB177">(INDEX(PriceDeck!$C$18:$O$77,MATCH('Decline and Model'!$A177,PriceDeck!$B$18:$B$77,0),MATCH('Decline and Model'!AB$8,PriceDeck!$C$13:$O$13,0))*(1+$AE$6))</f>
        <v>92.4</v>
      </c>
      <c r="AC177" s="257">
        <f t="array" ref="AC177">INDEX(PriceDeck!$C$18:$O$77,MATCH('Decline and Model'!$A177,PriceDeck!$B$18:$B$77,0),MATCH('Decline and Model'!AC$8,PriceDeck!$C$13:$O$13,0))*(1+$AE$6)</f>
        <v>105.5</v>
      </c>
      <c r="AD177" s="257">
        <f t="array" ref="AD177">INDEX(PriceDeck!$C$18:$O$77,MATCH('Decline and Model'!$A177,PriceDeck!$B$18:$B$77,0),MATCH('Decline and Model'!AD$8,PriceDeck!$C$13:$O$13,0))*(1+$AE$6)</f>
        <v>18.399999999999999</v>
      </c>
      <c r="AE177" s="257">
        <f t="array" ref="AE177">INDEX(PriceDeck!$C$18:$O$77,MATCH('Decline and Model'!$A177,PriceDeck!$B$18:$B$77,0),MATCH('Decline and Model'!AE$8,PriceDeck!$C$13:$O$13,0))*(1+$AE$6)</f>
        <v>37.1</v>
      </c>
      <c r="AF177" s="257">
        <f t="array" ref="AF177">INDEX(PriceDeck!$C$18:$O$77,MATCH('Decline and Model'!$A177,PriceDeck!$B$18:$B$77,0),MATCH('Decline and Model'!AF$8,PriceDeck!$C$13:$O$13,0))*(1+$AE$6)</f>
        <v>109.5</v>
      </c>
      <c r="AG177" s="257">
        <f t="array" ref="AG177">INDEX(PriceDeck!$C$18:$O$77,MATCH('Decline and Model'!$A177,PriceDeck!$B$18:$B$77,0),MATCH('Decline and Model'!AG$8,PriceDeck!$C$13:$O$13,0))*(1+$AE$6)</f>
        <v>77.3</v>
      </c>
      <c r="AH177" s="258">
        <f t="array" ref="AH177">INDEX(PriceDeck!$C$18:$O$77,MATCH('Decline and Model'!$A177,PriceDeck!$B$18:$B$77,0),MATCH('Decline and Model'!AH$8,PriceDeck!$C$13:$O$13,0))</f>
        <v>0.85</v>
      </c>
      <c r="AI177" s="258">
        <f t="shared" si="138"/>
        <v>4.8499999999999996</v>
      </c>
      <c r="AJ177" s="259">
        <f t="shared" si="113"/>
        <v>4.8499999999999996</v>
      </c>
      <c r="AK177" s="120">
        <v>4.8499999999999996</v>
      </c>
      <c r="AL177" s="120"/>
      <c r="AN177" s="7">
        <f t="shared" si="139"/>
        <v>11585.399263908181</v>
      </c>
      <c r="AO177" s="7">
        <f t="shared" si="140"/>
        <v>15763.04197736871</v>
      </c>
      <c r="AP177" s="7">
        <f t="shared" si="141"/>
        <v>4743.1573687000282</v>
      </c>
      <c r="AQ177" s="7">
        <f t="shared" si="142"/>
        <v>6506.6803844946653</v>
      </c>
      <c r="AR177" s="7">
        <f t="shared" si="143"/>
        <v>9158.1648832638257</v>
      </c>
      <c r="AS177" s="7">
        <f t="shared" si="144"/>
        <v>7910.27054860302</v>
      </c>
      <c r="AT177" s="7">
        <f t="shared" si="145"/>
        <v>55666.714426338425</v>
      </c>
      <c r="AU177">
        <f>SUM($AT$9:AT177)</f>
        <v>66599935.909437694</v>
      </c>
      <c r="AV177" s="7">
        <f>AT177/(1+$AR$5)^(COUNT($E$9:E177))</f>
        <v>15506.486687412164</v>
      </c>
      <c r="AW177" s="7">
        <f t="shared" si="159"/>
        <v>0</v>
      </c>
      <c r="AX177" s="7">
        <f t="shared" si="146"/>
        <v>0</v>
      </c>
      <c r="AY177" s="117">
        <f t="shared" si="147"/>
        <v>0</v>
      </c>
      <c r="AZ177" s="117">
        <f t="shared" si="148"/>
        <v>55666.714426338425</v>
      </c>
      <c r="BA177" s="120">
        <f t="shared" si="149"/>
        <v>2783.3357213169215</v>
      </c>
      <c r="BB177" s="119">
        <f t="shared" si="114"/>
        <v>167.3446066032966</v>
      </c>
      <c r="BC177" s="17"/>
      <c r="BD177" s="126">
        <f t="shared" si="115"/>
        <v>0.20812076630171311</v>
      </c>
      <c r="BE177" s="127">
        <f t="shared" si="116"/>
        <v>0.28316817580867509</v>
      </c>
      <c r="BF177" s="127">
        <f t="shared" si="117"/>
        <v>8.5206346693524768E-2</v>
      </c>
      <c r="BG177" s="127">
        <f t="shared" si="118"/>
        <v>0.11688637368933817</v>
      </c>
      <c r="BH177" s="127">
        <f t="shared" si="119"/>
        <v>0.16451779088529583</v>
      </c>
      <c r="BI177" s="128">
        <f t="shared" si="120"/>
        <v>0.14210054662145311</v>
      </c>
      <c r="BJ177" s="126">
        <f t="array" ref="BJ177">BD177*INDEX(Royalty!$U$7:$Z$246,MATCH('Decline and Model'!$E177,Royalty!$AI$7:$AI$246,0),MATCH('Decline and Model'!BJ$8,Royalty!$U$1:$Z$1,0))</f>
        <v>6.6762755943530719E-2</v>
      </c>
      <c r="BK177" s="127">
        <f t="array" ref="BK177">BE177*INDEX(Royalty!$U$7:$Z$246,MATCH('Decline and Model'!$E177,Royalty!$AI$7:$AI$246,0),MATCH('Decline and Model'!BK$8,Royalty!$U$1:$Z$1,0))</f>
        <v>8.8058629096356172E-2</v>
      </c>
      <c r="BL177" s="127">
        <f t="array" ref="BL177">BF177*INDEX(Royalty!$U$7:$Z$246,MATCH('Decline and Model'!$E177,Royalty!$AI$7:$AI$246,0),MATCH('Decline and Model'!BL$8,Royalty!$U$1:$Z$1,0))</f>
        <v>2.743306447106441E-2</v>
      </c>
      <c r="BM177" s="127">
        <f t="array" ref="BM177">BG177*INDEX(Royalty!$U$7:$Z$246,MATCH('Decline and Model'!$E177,Royalty!$AI$7:$AI$246,0),MATCH('Decline and Model'!BM$8,Royalty!$U$1:$Z$1,0))</f>
        <v>3.6422219679002769E-2</v>
      </c>
      <c r="BN177" s="127">
        <f t="array" ref="BN177">BH177*INDEX(Royalty!$U$7:$Z$246,MATCH('Decline and Model'!$E177,Royalty!$AI$7:$AI$246,0),MATCH('Decline and Model'!BN$8,Royalty!$U$1:$Z$1,0))</f>
        <v>2.8178333142945121E-2</v>
      </c>
      <c r="BO177" s="127">
        <f t="array" ref="BO177">BI177*INDEX(Royalty!$U$7:$Z$246,MATCH('Decline and Model'!$E177,Royalty!$AI$7:$AI$246,0),MATCH('Decline and Model'!BO$8,Royalty!$U$1:$Z$1,0))</f>
        <v>7.1050273310726553E-3</v>
      </c>
      <c r="BP177" s="135">
        <f t="shared" si="121"/>
        <v>0.05</v>
      </c>
      <c r="BQ177" s="7"/>
      <c r="BR177" s="7"/>
      <c r="BS177">
        <v>169</v>
      </c>
      <c r="BT177" s="120">
        <f t="shared" si="122"/>
        <v>2783.3357213169215</v>
      </c>
      <c r="BU177" s="113">
        <f t="shared" si="123"/>
        <v>10528.785333967035</v>
      </c>
      <c r="BV177" s="113">
        <f t="shared" si="124"/>
        <v>3158.6356001901104</v>
      </c>
      <c r="BW177" s="113">
        <f t="shared" si="157"/>
        <v>280747.65309331432</v>
      </c>
      <c r="BX177" s="113">
        <f t="shared" si="150"/>
        <v>6205.7726270747762</v>
      </c>
      <c r="BY177" s="120">
        <f t="shared" si="151"/>
        <v>32990.185143789589</v>
      </c>
      <c r="BZ177" s="153">
        <f t="shared" si="158"/>
        <v>0</v>
      </c>
      <c r="CA177" s="120">
        <f t="shared" si="160"/>
        <v>32990.185143789589</v>
      </c>
      <c r="CB177" s="120">
        <f t="shared" si="152"/>
        <v>8247.5462859473973</v>
      </c>
      <c r="CC177" s="153">
        <f t="shared" si="153"/>
        <v>30948.411484916967</v>
      </c>
      <c r="CD177" s="7">
        <f t="shared" si="125"/>
        <v>8620.9709991498239</v>
      </c>
      <c r="CE177" s="11">
        <f>SUM($CD$9:CD177)</f>
        <v>25298763.722516056</v>
      </c>
      <c r="CF177" s="11">
        <f t="shared" si="154"/>
        <v>12000000</v>
      </c>
      <c r="CG177">
        <f t="shared" si="155"/>
        <v>13298763.722516056</v>
      </c>
    </row>
    <row r="178" spans="1:85">
      <c r="A178">
        <f t="shared" si="126"/>
        <v>2031</v>
      </c>
      <c r="B178">
        <f t="shared" si="127"/>
        <v>30.416666666666668</v>
      </c>
      <c r="C178">
        <f t="shared" si="161"/>
        <v>15</v>
      </c>
      <c r="E178" s="97">
        <v>47969</v>
      </c>
      <c r="F178" s="2">
        <f>$F$6*EXP(-$F$3*COUNT($E$9:$E178))</f>
        <v>0.16307257290074692</v>
      </c>
      <c r="G178" s="260">
        <f>$F$6/(1+$F$5*$F$3*COUNT($E$9:$E178))^(1/$F$5)</f>
        <v>3.533100610324218</v>
      </c>
      <c r="H178" s="260">
        <f>$H$6/(1+$H$5*$H$3*COUNT($E$9:$E178))^(1/$H$5)</f>
        <v>106.05426286071486</v>
      </c>
      <c r="I178" s="260">
        <f t="shared" si="128"/>
        <v>20.200811973469495</v>
      </c>
      <c r="J178" s="260">
        <f t="shared" si="129"/>
        <v>8.411618105752698</v>
      </c>
      <c r="K178" s="260">
        <f t="shared" si="129"/>
        <v>5.7228900320839076</v>
      </c>
      <c r="L178" s="260">
        <f t="shared" si="129"/>
        <v>2.7291296976157287</v>
      </c>
      <c r="M178" s="260">
        <f t="shared" si="112"/>
        <v>3.3391942192145074</v>
      </c>
      <c r="N178" s="19">
        <f t="shared" si="130"/>
        <v>4.9601240923977192</v>
      </c>
      <c r="O178" s="19">
        <f t="shared" si="131"/>
        <v>107.4651435640283</v>
      </c>
      <c r="P178" s="19">
        <f t="shared" si="132"/>
        <v>3225.8171620134103</v>
      </c>
      <c r="Q178" s="19">
        <f t="shared" si="133"/>
        <v>614.44136419303049</v>
      </c>
      <c r="R178" s="19">
        <f t="shared" si="134"/>
        <v>255.8533840499779</v>
      </c>
      <c r="S178" s="19">
        <f t="shared" si="135"/>
        <v>174.07123847588554</v>
      </c>
      <c r="T178" s="19">
        <f t="shared" si="136"/>
        <v>83.011028302478422</v>
      </c>
      <c r="U178" s="19">
        <f t="shared" si="137"/>
        <v>101.56715750110794</v>
      </c>
      <c r="V178" s="261">
        <f t="shared" si="156"/>
        <v>1043.4800599498692</v>
      </c>
      <c r="W178" s="261">
        <f>SUM(O$9:O178)</f>
        <v>558961.01188298245</v>
      </c>
      <c r="X178" s="261">
        <f>SUM(P$9:P178)</f>
        <v>2378214.6671183412</v>
      </c>
      <c r="Y178" s="261">
        <f>SUM(Q$9:Q178)</f>
        <v>452993.2699273029</v>
      </c>
      <c r="Z178" s="261">
        <f>SUM($V$9:V178)</f>
        <v>1249032.4855560153</v>
      </c>
      <c r="AB178" s="257">
        <f t="array" ref="AB178">(INDEX(PriceDeck!$C$18:$O$77,MATCH('Decline and Model'!$A178,PriceDeck!$B$18:$B$77,0),MATCH('Decline and Model'!AB$8,PriceDeck!$C$13:$O$13,0))*(1+$AE$6))</f>
        <v>92.4</v>
      </c>
      <c r="AC178" s="257">
        <f t="array" ref="AC178">INDEX(PriceDeck!$C$18:$O$77,MATCH('Decline and Model'!$A178,PriceDeck!$B$18:$B$77,0),MATCH('Decline and Model'!AC$8,PriceDeck!$C$13:$O$13,0))*(1+$AE$6)</f>
        <v>105.5</v>
      </c>
      <c r="AD178" s="257">
        <f t="array" ref="AD178">INDEX(PriceDeck!$C$18:$O$77,MATCH('Decline and Model'!$A178,PriceDeck!$B$18:$B$77,0),MATCH('Decline and Model'!AD$8,PriceDeck!$C$13:$O$13,0))*(1+$AE$6)</f>
        <v>18.399999999999999</v>
      </c>
      <c r="AE178" s="257">
        <f t="array" ref="AE178">INDEX(PriceDeck!$C$18:$O$77,MATCH('Decline and Model'!$A178,PriceDeck!$B$18:$B$77,0),MATCH('Decline and Model'!AE$8,PriceDeck!$C$13:$O$13,0))*(1+$AE$6)</f>
        <v>37.1</v>
      </c>
      <c r="AF178" s="257">
        <f t="array" ref="AF178">INDEX(PriceDeck!$C$18:$O$77,MATCH('Decline and Model'!$A178,PriceDeck!$B$18:$B$77,0),MATCH('Decline and Model'!AF$8,PriceDeck!$C$13:$O$13,0))*(1+$AE$6)</f>
        <v>109.5</v>
      </c>
      <c r="AG178" s="257">
        <f t="array" ref="AG178">INDEX(PriceDeck!$C$18:$O$77,MATCH('Decline and Model'!$A178,PriceDeck!$B$18:$B$77,0),MATCH('Decline and Model'!AG$8,PriceDeck!$C$13:$O$13,0))*(1+$AE$6)</f>
        <v>77.3</v>
      </c>
      <c r="AH178" s="258">
        <f t="array" ref="AH178">INDEX(PriceDeck!$C$18:$O$77,MATCH('Decline and Model'!$A178,PriceDeck!$B$18:$B$77,0),MATCH('Decline and Model'!AH$8,PriceDeck!$C$13:$O$13,0))</f>
        <v>0.85</v>
      </c>
      <c r="AI178" s="258">
        <f t="shared" si="138"/>
        <v>4.8499999999999996</v>
      </c>
      <c r="AJ178" s="259">
        <f t="shared" si="113"/>
        <v>4.8499999999999996</v>
      </c>
      <c r="AK178" s="120">
        <v>4.8499999999999996</v>
      </c>
      <c r="AL178" s="120"/>
      <c r="AN178" s="7">
        <f t="shared" si="139"/>
        <v>11337.572646004985</v>
      </c>
      <c r="AO178" s="7">
        <f t="shared" si="140"/>
        <v>15645.213235765039</v>
      </c>
      <c r="AP178" s="7">
        <f t="shared" si="141"/>
        <v>4707.7022665195927</v>
      </c>
      <c r="AQ178" s="7">
        <f t="shared" si="142"/>
        <v>6458.0429474553539</v>
      </c>
      <c r="AR178" s="7">
        <f t="shared" si="143"/>
        <v>9089.7075991213878</v>
      </c>
      <c r="AS178" s="7">
        <f t="shared" si="144"/>
        <v>7851.1412748356433</v>
      </c>
      <c r="AT178" s="7">
        <f t="shared" si="145"/>
        <v>55089.379969702</v>
      </c>
      <c r="AU178">
        <f>SUM($AT$9:AT178)</f>
        <v>66655025.289407395</v>
      </c>
      <c r="AV178" s="7">
        <f>AT178/(1+$AR$5)^(COUNT($E$9:E178))</f>
        <v>15230.045334952991</v>
      </c>
      <c r="AW178" s="7">
        <f t="shared" si="159"/>
        <v>0</v>
      </c>
      <c r="AX178" s="7">
        <f t="shared" si="146"/>
        <v>0</v>
      </c>
      <c r="AY178" s="117">
        <f t="shared" si="147"/>
        <v>0</v>
      </c>
      <c r="AZ178" s="117">
        <f t="shared" si="148"/>
        <v>55089.379969702</v>
      </c>
      <c r="BA178" s="120">
        <f t="shared" si="149"/>
        <v>2754.4689984851002</v>
      </c>
      <c r="BB178" s="119">
        <f t="shared" si="114"/>
        <v>176.74308005013086</v>
      </c>
      <c r="BC178" s="17"/>
      <c r="BD178" s="126">
        <f t="shared" si="115"/>
        <v>0.20580323561892347</v>
      </c>
      <c r="BE178" s="127">
        <f t="shared" si="116"/>
        <v>0.28399690184150878</v>
      </c>
      <c r="BF178" s="127">
        <f t="shared" si="117"/>
        <v>8.5455713408078476E-2</v>
      </c>
      <c r="BG178" s="127">
        <f t="shared" si="118"/>
        <v>0.11722845584769953</v>
      </c>
      <c r="BH178" s="127">
        <f t="shared" si="119"/>
        <v>0.16499927216680485</v>
      </c>
      <c r="BI178" s="128">
        <f t="shared" si="120"/>
        <v>0.1425164211169849</v>
      </c>
      <c r="BJ178" s="126">
        <f t="array" ref="BJ178">BD178*INDEX(Royalty!$U$7:$Z$246,MATCH('Decline and Model'!$E178,Royalty!$AI$7:$AI$246,0),MATCH('Decline and Model'!BJ$8,Royalty!$U$1:$Z$1,0))</f>
        <v>6.6019318668547683E-2</v>
      </c>
      <c r="BK178" s="127">
        <f t="array" ref="BK178">BE178*INDEX(Royalty!$U$7:$Z$246,MATCH('Decline and Model'!$E178,Royalty!$AI$7:$AI$246,0),MATCH('Decline and Model'!BK$8,Royalty!$U$1:$Z$1,0))</f>
        <v>8.8316343361525232E-2</v>
      </c>
      <c r="BL178" s="127">
        <f t="array" ref="BL178">BF178*INDEX(Royalty!$U$7:$Z$246,MATCH('Decline and Model'!$E178,Royalty!$AI$7:$AI$246,0),MATCH('Decline and Model'!BL$8,Royalty!$U$1:$Z$1,0))</f>
        <v>2.7513350663616418E-2</v>
      </c>
      <c r="BM178" s="127">
        <f t="array" ref="BM178">BG178*INDEX(Royalty!$U$7:$Z$246,MATCH('Decline and Model'!$E178,Royalty!$AI$7:$AI$246,0),MATCH('Decline and Model'!BM$8,Royalty!$U$1:$Z$1,0))</f>
        <v>3.6528813725227691E-2</v>
      </c>
      <c r="BN178" s="127">
        <f t="array" ref="BN178">BH178*INDEX(Royalty!$U$7:$Z$246,MATCH('Decline and Model'!$E178,Royalty!$AI$7:$AI$246,0),MATCH('Decline and Model'!BN$8,Royalty!$U$1:$Z$1,0))</f>
        <v>2.8260800454713925E-2</v>
      </c>
      <c r="BO178" s="127">
        <f t="array" ref="BO178">BI178*INDEX(Royalty!$U$7:$Z$246,MATCH('Decline and Model'!$E178,Royalty!$AI$7:$AI$246,0),MATCH('Decline and Model'!BO$8,Royalty!$U$1:$Z$1,0))</f>
        <v>7.1258210558492454E-3</v>
      </c>
      <c r="BP178" s="135">
        <f t="shared" si="121"/>
        <v>0.05</v>
      </c>
      <c r="BQ178" s="7"/>
      <c r="BR178" s="7"/>
      <c r="BS178">
        <v>170</v>
      </c>
      <c r="BT178" s="120">
        <f t="shared" si="122"/>
        <v>2754.4689984851002</v>
      </c>
      <c r="BU178" s="113">
        <f t="shared" si="123"/>
        <v>10434.800599498692</v>
      </c>
      <c r="BV178" s="113">
        <f t="shared" si="124"/>
        <v>3130.4401798496074</v>
      </c>
      <c r="BW178" s="113">
        <f t="shared" si="157"/>
        <v>274541.88046623953</v>
      </c>
      <c r="BX178" s="113">
        <f t="shared" si="150"/>
        <v>6068.5974326443875</v>
      </c>
      <c r="BY178" s="120">
        <f t="shared" si="151"/>
        <v>32701.072759224215</v>
      </c>
      <c r="BZ178" s="153">
        <f t="shared" si="158"/>
        <v>0</v>
      </c>
      <c r="CA178" s="120">
        <f t="shared" si="160"/>
        <v>32701.072759224215</v>
      </c>
      <c r="CB178" s="120">
        <f t="shared" si="152"/>
        <v>8175.2681898060537</v>
      </c>
      <c r="CC178" s="153">
        <f t="shared" si="153"/>
        <v>30594.402002062547</v>
      </c>
      <c r="CD178" s="7">
        <f t="shared" si="125"/>
        <v>8458.1480086262382</v>
      </c>
      <c r="CE178" s="11">
        <f>SUM($CD$9:CD178)</f>
        <v>25307221.870524682</v>
      </c>
      <c r="CF178" s="11">
        <f t="shared" si="154"/>
        <v>12000000</v>
      </c>
      <c r="CG178">
        <f t="shared" si="155"/>
        <v>13307221.870524682</v>
      </c>
    </row>
    <row r="179" spans="1:85">
      <c r="A179">
        <f t="shared" si="126"/>
        <v>2031</v>
      </c>
      <c r="B179">
        <f t="shared" si="127"/>
        <v>30.416666666666668</v>
      </c>
      <c r="C179">
        <f t="shared" si="161"/>
        <v>15</v>
      </c>
      <c r="E179" s="97">
        <v>48000</v>
      </c>
      <c r="F179" s="2">
        <f>$F$6*EXP(-$F$3*COUNT($E$9:$E179))</f>
        <v>0.15511942967222811</v>
      </c>
      <c r="G179" s="260">
        <f>$F$6/(1+$F$5*$F$3*COUNT($E$9:$E179))^(1/$F$5)</f>
        <v>3.4577725383446793</v>
      </c>
      <c r="H179" s="260">
        <f>$H$6/(1+$H$5*$H$3*COUNT($E$9:$E179))^(1/$H$5)</f>
        <v>105.26571808490623</v>
      </c>
      <c r="I179" s="260">
        <f t="shared" si="128"/>
        <v>20.050612968553565</v>
      </c>
      <c r="J179" s="260">
        <f t="shared" si="129"/>
        <v>8.3490752401057051</v>
      </c>
      <c r="K179" s="260">
        <f t="shared" si="129"/>
        <v>5.6803386539912246</v>
      </c>
      <c r="L179" s="260">
        <f t="shared" si="129"/>
        <v>2.7088378120515868</v>
      </c>
      <c r="M179" s="260">
        <f t="shared" si="112"/>
        <v>3.3143663237019045</v>
      </c>
      <c r="N179" s="19">
        <f t="shared" si="130"/>
        <v>4.7182159858636048</v>
      </c>
      <c r="O179" s="19">
        <f t="shared" si="131"/>
        <v>105.173914707984</v>
      </c>
      <c r="P179" s="19">
        <f t="shared" si="132"/>
        <v>3201.8322584158977</v>
      </c>
      <c r="Q179" s="19">
        <f t="shared" si="133"/>
        <v>609.87281112683763</v>
      </c>
      <c r="R179" s="19">
        <f t="shared" si="134"/>
        <v>253.9510385532152</v>
      </c>
      <c r="S179" s="19">
        <f t="shared" si="135"/>
        <v>172.77696739223308</v>
      </c>
      <c r="T179" s="19">
        <f t="shared" si="136"/>
        <v>82.393816783235764</v>
      </c>
      <c r="U179" s="19">
        <f t="shared" si="137"/>
        <v>100.81197567926627</v>
      </c>
      <c r="V179" s="261">
        <f t="shared" si="156"/>
        <v>1034.2292836651245</v>
      </c>
      <c r="W179" s="261">
        <f>SUM(O$9:O179)</f>
        <v>559066.18579769041</v>
      </c>
      <c r="X179" s="261">
        <f>SUM(P$9:P179)</f>
        <v>2381416.4993767571</v>
      </c>
      <c r="Y179" s="261">
        <f>SUM(Q$9:Q179)</f>
        <v>453603.14273842971</v>
      </c>
      <c r="Z179" s="261">
        <f>SUM($V$9:V179)</f>
        <v>1250066.7148396804</v>
      </c>
      <c r="AB179" s="257">
        <f t="array" ref="AB179">(INDEX(PriceDeck!$C$18:$O$77,MATCH('Decline and Model'!$A179,PriceDeck!$B$18:$B$77,0),MATCH('Decline and Model'!AB$8,PriceDeck!$C$13:$O$13,0))*(1+$AE$6))</f>
        <v>92.4</v>
      </c>
      <c r="AC179" s="257">
        <f t="array" ref="AC179">INDEX(PriceDeck!$C$18:$O$77,MATCH('Decline and Model'!$A179,PriceDeck!$B$18:$B$77,0),MATCH('Decline and Model'!AC$8,PriceDeck!$C$13:$O$13,0))*(1+$AE$6)</f>
        <v>105.5</v>
      </c>
      <c r="AD179" s="257">
        <f t="array" ref="AD179">INDEX(PriceDeck!$C$18:$O$77,MATCH('Decline and Model'!$A179,PriceDeck!$B$18:$B$77,0),MATCH('Decline and Model'!AD$8,PriceDeck!$C$13:$O$13,0))*(1+$AE$6)</f>
        <v>18.399999999999999</v>
      </c>
      <c r="AE179" s="257">
        <f t="array" ref="AE179">INDEX(PriceDeck!$C$18:$O$77,MATCH('Decline and Model'!$A179,PriceDeck!$B$18:$B$77,0),MATCH('Decline and Model'!AE$8,PriceDeck!$C$13:$O$13,0))*(1+$AE$6)</f>
        <v>37.1</v>
      </c>
      <c r="AF179" s="257">
        <f t="array" ref="AF179">INDEX(PriceDeck!$C$18:$O$77,MATCH('Decline and Model'!$A179,PriceDeck!$B$18:$B$77,0),MATCH('Decline and Model'!AF$8,PriceDeck!$C$13:$O$13,0))*(1+$AE$6)</f>
        <v>109.5</v>
      </c>
      <c r="AG179" s="257">
        <f t="array" ref="AG179">INDEX(PriceDeck!$C$18:$O$77,MATCH('Decline and Model'!$A179,PriceDeck!$B$18:$B$77,0),MATCH('Decline and Model'!AG$8,PriceDeck!$C$13:$O$13,0))*(1+$AE$6)</f>
        <v>77.3</v>
      </c>
      <c r="AH179" s="258">
        <f t="array" ref="AH179">INDEX(PriceDeck!$C$18:$O$77,MATCH('Decline and Model'!$A179,PriceDeck!$B$18:$B$77,0),MATCH('Decline and Model'!AH$8,PriceDeck!$C$13:$O$13,0))</f>
        <v>0.85</v>
      </c>
      <c r="AI179" s="258">
        <f t="shared" si="138"/>
        <v>4.8499999999999996</v>
      </c>
      <c r="AJ179" s="259">
        <f t="shared" si="113"/>
        <v>4.8499999999999996</v>
      </c>
      <c r="AK179" s="120">
        <v>4.8499999999999996</v>
      </c>
      <c r="AL179" s="120"/>
      <c r="AN179" s="7">
        <f t="shared" si="139"/>
        <v>11095.848001692311</v>
      </c>
      <c r="AO179" s="7">
        <f t="shared" si="140"/>
        <v>15528.886453317104</v>
      </c>
      <c r="AP179" s="7">
        <f t="shared" si="141"/>
        <v>4672.6991093791594</v>
      </c>
      <c r="AQ179" s="7">
        <f t="shared" si="142"/>
        <v>6410.0254902518473</v>
      </c>
      <c r="AR179" s="7">
        <f t="shared" si="143"/>
        <v>9022.1229377643158</v>
      </c>
      <c r="AS179" s="7">
        <f t="shared" si="144"/>
        <v>7792.7657200072827</v>
      </c>
      <c r="AT179" s="7">
        <f t="shared" si="145"/>
        <v>54522.347712412025</v>
      </c>
      <c r="AU179">
        <f>SUM($AT$9:AT179)</f>
        <v>66709547.637119807</v>
      </c>
      <c r="AV179" s="7">
        <f>AT179/(1+$AR$5)^(COUNT($E$9:E179))</f>
        <v>14959.716035997293</v>
      </c>
      <c r="AW179" s="7">
        <f t="shared" si="159"/>
        <v>0</v>
      </c>
      <c r="AX179" s="7">
        <f t="shared" si="146"/>
        <v>0</v>
      </c>
      <c r="AY179" s="117">
        <f t="shared" si="147"/>
        <v>0</v>
      </c>
      <c r="AZ179" s="117">
        <f t="shared" si="148"/>
        <v>54522.347712412025</v>
      </c>
      <c r="BA179" s="120">
        <f t="shared" si="149"/>
        <v>2726.1173856206015</v>
      </c>
      <c r="BB179" s="119">
        <f t="shared" si="114"/>
        <v>185.99385633487555</v>
      </c>
      <c r="BC179" s="17"/>
      <c r="BD179" s="126">
        <f t="shared" si="115"/>
        <v>0.20351009204921561</v>
      </c>
      <c r="BE179" s="127">
        <f t="shared" si="116"/>
        <v>0.28481690728409242</v>
      </c>
      <c r="BF179" s="127">
        <f t="shared" si="117"/>
        <v>8.5702456064917734E-2</v>
      </c>
      <c r="BG179" s="127">
        <f t="shared" si="118"/>
        <v>0.11756693831422456</v>
      </c>
      <c r="BH179" s="127">
        <f t="shared" si="119"/>
        <v>0.16547568687528155</v>
      </c>
      <c r="BI179" s="128">
        <f t="shared" si="120"/>
        <v>0.14292791941226804</v>
      </c>
      <c r="BJ179" s="126">
        <f t="array" ref="BJ179">BD179*INDEX(Royalty!$U$7:$Z$246,MATCH('Decline and Model'!$E179,Royalty!$AI$7:$AI$246,0),MATCH('Decline and Model'!BJ$8,Royalty!$U$1:$Z$1,0))</f>
        <v>6.5283704499868617E-2</v>
      </c>
      <c r="BK179" s="127">
        <f t="array" ref="BK179">BE179*INDEX(Royalty!$U$7:$Z$246,MATCH('Decline and Model'!$E179,Royalty!$AI$7:$AI$246,0),MATCH('Decline and Model'!BK$8,Royalty!$U$1:$Z$1,0))</f>
        <v>8.8571345728649484E-2</v>
      </c>
      <c r="BL179" s="127">
        <f t="array" ref="BL179">BF179*INDEX(Royalty!$U$7:$Z$246,MATCH('Decline and Model'!$E179,Royalty!$AI$7:$AI$246,0),MATCH('Decline and Model'!BL$8,Royalty!$U$1:$Z$1,0))</f>
        <v>2.7592792013650821E-2</v>
      </c>
      <c r="BM179" s="127">
        <f t="array" ref="BM179">BG179*INDEX(Royalty!$U$7:$Z$246,MATCH('Decline and Model'!$E179,Royalty!$AI$7:$AI$246,0),MATCH('Decline and Model'!BM$8,Royalty!$U$1:$Z$1,0))</f>
        <v>3.6634286094368272E-2</v>
      </c>
      <c r="BN179" s="127">
        <f t="array" ref="BN179">BH179*INDEX(Royalty!$U$7:$Z$246,MATCH('Decline and Model'!$E179,Royalty!$AI$7:$AI$246,0),MATCH('Decline and Model'!BN$8,Royalty!$U$1:$Z$1,0))</f>
        <v>2.8342399972294461E-2</v>
      </c>
      <c r="BO179" s="127">
        <f t="array" ref="BO179">BI179*INDEX(Royalty!$U$7:$Z$246,MATCH('Decline and Model'!$E179,Royalty!$AI$7:$AI$246,0),MATCH('Decline and Model'!BO$8,Royalty!$U$1:$Z$1,0))</f>
        <v>7.146395970613402E-3</v>
      </c>
      <c r="BP179" s="135">
        <f t="shared" si="121"/>
        <v>0.05</v>
      </c>
      <c r="BQ179" s="7"/>
      <c r="BR179" s="7"/>
      <c r="BS179">
        <v>171</v>
      </c>
      <c r="BT179" s="120">
        <f t="shared" si="122"/>
        <v>2726.1173856206015</v>
      </c>
      <c r="BU179" s="113">
        <f t="shared" si="123"/>
        <v>10342.292836651246</v>
      </c>
      <c r="BV179" s="113">
        <f t="shared" si="124"/>
        <v>3102.6878509953735</v>
      </c>
      <c r="BW179" s="113">
        <f t="shared" si="157"/>
        <v>268473.28303359513</v>
      </c>
      <c r="BX179" s="113">
        <f t="shared" si="150"/>
        <v>5934.4544205219554</v>
      </c>
      <c r="BY179" s="120">
        <f t="shared" si="151"/>
        <v>32416.795218622843</v>
      </c>
      <c r="BZ179" s="153">
        <f t="shared" si="158"/>
        <v>0</v>
      </c>
      <c r="CA179" s="120">
        <f t="shared" si="160"/>
        <v>32416.795218622843</v>
      </c>
      <c r="CB179" s="120">
        <f t="shared" si="152"/>
        <v>8104.1988046557108</v>
      </c>
      <c r="CC179" s="153">
        <f t="shared" si="153"/>
        <v>30247.050834489091</v>
      </c>
      <c r="CD179" s="7">
        <f t="shared" si="125"/>
        <v>8299.1160578238068</v>
      </c>
      <c r="CE179" s="11">
        <f>SUM($CD$9:CD179)</f>
        <v>25315520.986582506</v>
      </c>
      <c r="CF179" s="11">
        <f t="shared" si="154"/>
        <v>12000000</v>
      </c>
      <c r="CG179">
        <f t="shared" si="155"/>
        <v>13315520.986582506</v>
      </c>
    </row>
    <row r="180" spans="1:85">
      <c r="A180">
        <f t="shared" si="126"/>
        <v>2031</v>
      </c>
      <c r="B180">
        <f t="shared" si="127"/>
        <v>30.416666666666668</v>
      </c>
      <c r="C180">
        <f t="shared" si="161"/>
        <v>15</v>
      </c>
      <c r="E180" s="97">
        <v>48030</v>
      </c>
      <c r="F180" s="2">
        <f>$F$6*EXP(-$F$3*COUNT($E$9:$E180))</f>
        <v>0.1475541658159927</v>
      </c>
      <c r="G180" s="260">
        <f>$F$6/(1+$F$5*$F$3*COUNT($E$9:$E180))^(1/$F$5)</f>
        <v>3.3842930873349029</v>
      </c>
      <c r="H180" s="260">
        <f>$H$6/(1+$H$5*$H$3*COUNT($E$9:$E180))^(1/$H$5)</f>
        <v>104.48717175546432</v>
      </c>
      <c r="I180" s="260">
        <f t="shared" si="128"/>
        <v>19.902318429612251</v>
      </c>
      <c r="J180" s="260">
        <f t="shared" si="129"/>
        <v>8.2873253940905407</v>
      </c>
      <c r="K180" s="260">
        <f t="shared" si="129"/>
        <v>5.6383268111091507</v>
      </c>
      <c r="L180" s="260">
        <f t="shared" si="129"/>
        <v>2.6888032198406151</v>
      </c>
      <c r="M180" s="260">
        <f t="shared" si="112"/>
        <v>3.2898532364149049</v>
      </c>
      <c r="N180" s="19">
        <f t="shared" si="130"/>
        <v>4.4881058769031119</v>
      </c>
      <c r="O180" s="19">
        <f t="shared" si="131"/>
        <v>102.93891473976997</v>
      </c>
      <c r="P180" s="19">
        <f t="shared" si="132"/>
        <v>3178.1514742287063</v>
      </c>
      <c r="Q180" s="19">
        <f t="shared" si="133"/>
        <v>605.36218556737265</v>
      </c>
      <c r="R180" s="19">
        <f t="shared" si="134"/>
        <v>252.07281407025397</v>
      </c>
      <c r="S180" s="19">
        <f t="shared" si="135"/>
        <v>171.49910717123669</v>
      </c>
      <c r="T180" s="19">
        <f t="shared" si="136"/>
        <v>81.784431270152041</v>
      </c>
      <c r="U180" s="19">
        <f t="shared" si="137"/>
        <v>100.0663692742867</v>
      </c>
      <c r="V180" s="261">
        <f t="shared" si="156"/>
        <v>1025.1229806695899</v>
      </c>
      <c r="W180" s="261">
        <f>SUM(O$9:O180)</f>
        <v>559169.12471243017</v>
      </c>
      <c r="X180" s="261">
        <f>SUM(P$9:P180)</f>
        <v>2384594.6508509857</v>
      </c>
      <c r="Y180" s="261">
        <f>SUM(Q$9:Q180)</f>
        <v>454208.5049239971</v>
      </c>
      <c r="Z180" s="261">
        <f>SUM($V$9:V180)</f>
        <v>1251091.83782035</v>
      </c>
      <c r="AB180" s="257">
        <f t="array" ref="AB180">(INDEX(PriceDeck!$C$18:$O$77,MATCH('Decline and Model'!$A180,PriceDeck!$B$18:$B$77,0),MATCH('Decline and Model'!AB$8,PriceDeck!$C$13:$O$13,0))*(1+$AE$6))</f>
        <v>92.4</v>
      </c>
      <c r="AC180" s="257">
        <f t="array" ref="AC180">INDEX(PriceDeck!$C$18:$O$77,MATCH('Decline and Model'!$A180,PriceDeck!$B$18:$B$77,0),MATCH('Decline and Model'!AC$8,PriceDeck!$C$13:$O$13,0))*(1+$AE$6)</f>
        <v>105.5</v>
      </c>
      <c r="AD180" s="257">
        <f t="array" ref="AD180">INDEX(PriceDeck!$C$18:$O$77,MATCH('Decline and Model'!$A180,PriceDeck!$B$18:$B$77,0),MATCH('Decline and Model'!AD$8,PriceDeck!$C$13:$O$13,0))*(1+$AE$6)</f>
        <v>18.399999999999999</v>
      </c>
      <c r="AE180" s="257">
        <f t="array" ref="AE180">INDEX(PriceDeck!$C$18:$O$77,MATCH('Decline and Model'!$A180,PriceDeck!$B$18:$B$77,0),MATCH('Decline and Model'!AE$8,PriceDeck!$C$13:$O$13,0))*(1+$AE$6)</f>
        <v>37.1</v>
      </c>
      <c r="AF180" s="257">
        <f t="array" ref="AF180">INDEX(PriceDeck!$C$18:$O$77,MATCH('Decline and Model'!$A180,PriceDeck!$B$18:$B$77,0),MATCH('Decline and Model'!AF$8,PriceDeck!$C$13:$O$13,0))*(1+$AE$6)</f>
        <v>109.5</v>
      </c>
      <c r="AG180" s="257">
        <f t="array" ref="AG180">INDEX(PriceDeck!$C$18:$O$77,MATCH('Decline and Model'!$A180,PriceDeck!$B$18:$B$77,0),MATCH('Decline and Model'!AG$8,PriceDeck!$C$13:$O$13,0))*(1+$AE$6)</f>
        <v>77.3</v>
      </c>
      <c r="AH180" s="258">
        <f t="array" ref="AH180">INDEX(PriceDeck!$C$18:$O$77,MATCH('Decline and Model'!$A180,PriceDeck!$B$18:$B$77,0),MATCH('Decline and Model'!AH$8,PriceDeck!$C$13:$O$13,0))</f>
        <v>0.85</v>
      </c>
      <c r="AI180" s="258">
        <f t="shared" si="138"/>
        <v>4.8499999999999996</v>
      </c>
      <c r="AJ180" s="259">
        <f t="shared" si="113"/>
        <v>4.8499999999999996</v>
      </c>
      <c r="AK180" s="120">
        <v>4.8499999999999996</v>
      </c>
      <c r="AL180" s="120"/>
      <c r="AN180" s="7">
        <f t="shared" si="139"/>
        <v>10860.055505045731</v>
      </c>
      <c r="AO180" s="7">
        <f t="shared" si="140"/>
        <v>15414.034650009224</v>
      </c>
      <c r="AP180" s="7">
        <f t="shared" si="141"/>
        <v>4638.1397788926724</v>
      </c>
      <c r="AQ180" s="7">
        <f t="shared" si="142"/>
        <v>6362.6168760528817</v>
      </c>
      <c r="AR180" s="7">
        <f t="shared" si="143"/>
        <v>8955.3952240816488</v>
      </c>
      <c r="AS180" s="7">
        <f t="shared" si="144"/>
        <v>7735.1303449023617</v>
      </c>
      <c r="AT180" s="7">
        <f t="shared" si="145"/>
        <v>53965.372378984524</v>
      </c>
      <c r="AU180">
        <f>SUM($AT$9:AT180)</f>
        <v>66763513.00949879</v>
      </c>
      <c r="AV180" s="7">
        <f>AT180/(1+$AR$5)^(COUNT($E$9:E180))</f>
        <v>14695.33429419877</v>
      </c>
      <c r="AW180" s="7">
        <f t="shared" si="159"/>
        <v>0</v>
      </c>
      <c r="AX180" s="7">
        <f t="shared" si="146"/>
        <v>0</v>
      </c>
      <c r="AY180" s="117">
        <f t="shared" si="147"/>
        <v>0</v>
      </c>
      <c r="AZ180" s="117">
        <f t="shared" si="148"/>
        <v>53965.372378984524</v>
      </c>
      <c r="BA180" s="120">
        <f t="shared" si="149"/>
        <v>2698.2686189492265</v>
      </c>
      <c r="BB180" s="119">
        <f t="shared" si="114"/>
        <v>195.10015933041018</v>
      </c>
      <c r="BC180" s="17"/>
      <c r="BD180" s="126">
        <f t="shared" si="115"/>
        <v>0.20124118534341681</v>
      </c>
      <c r="BE180" s="127">
        <f t="shared" si="116"/>
        <v>0.28562824586404295</v>
      </c>
      <c r="BF180" s="127">
        <f t="shared" si="117"/>
        <v>8.5946590830880298E-2</v>
      </c>
      <c r="BG180" s="127">
        <f t="shared" si="118"/>
        <v>0.11790184326663972</v>
      </c>
      <c r="BH180" s="127">
        <f t="shared" si="119"/>
        <v>0.16594706622591759</v>
      </c>
      <c r="BI180" s="128">
        <f t="shared" si="120"/>
        <v>0.14333506846910254</v>
      </c>
      <c r="BJ180" s="126">
        <f t="array" ref="BJ180">BD180*INDEX(Royalty!$U$7:$Z$246,MATCH('Decline and Model'!$E180,Royalty!$AI$7:$AI$246,0),MATCH('Decline and Model'!BJ$8,Royalty!$U$1:$Z$1,0))</f>
        <v>6.4555865239281404E-2</v>
      </c>
      <c r="BK180" s="127">
        <f t="array" ref="BK180">BE180*INDEX(Royalty!$U$7:$Z$246,MATCH('Decline and Model'!$E180,Royalty!$AI$7:$AI$246,0),MATCH('Decline and Model'!BK$8,Royalty!$U$1:$Z$1,0))</f>
        <v>8.8823652905751546E-2</v>
      </c>
      <c r="BL180" s="127">
        <f t="array" ref="BL180">BF180*INDEX(Royalty!$U$7:$Z$246,MATCH('Decline and Model'!$E180,Royalty!$AI$7:$AI$246,0),MATCH('Decline and Model'!BL$8,Royalty!$U$1:$Z$1,0))</f>
        <v>2.7671393726248227E-2</v>
      </c>
      <c r="BM180" s="127">
        <f t="array" ref="BM180">BG180*INDEX(Royalty!$U$7:$Z$246,MATCH('Decline and Model'!$E180,Royalty!$AI$7:$AI$246,0),MATCH('Decline and Model'!BM$8,Royalty!$U$1:$Z$1,0))</f>
        <v>3.6738643697084822E-2</v>
      </c>
      <c r="BN180" s="127">
        <f t="array" ref="BN180">BH180*INDEX(Royalty!$U$7:$Z$246,MATCH('Decline and Model'!$E180,Royalty!$AI$7:$AI$246,0),MATCH('Decline and Model'!BN$8,Royalty!$U$1:$Z$1,0))</f>
        <v>2.8423137042172749E-2</v>
      </c>
      <c r="BO180" s="127">
        <f t="array" ref="BO180">BI180*INDEX(Royalty!$U$7:$Z$246,MATCH('Decline and Model'!$E180,Royalty!$AI$7:$AI$246,0),MATCH('Decline and Model'!BO$8,Royalty!$U$1:$Z$1,0))</f>
        <v>7.1667534234551274E-3</v>
      </c>
      <c r="BP180" s="135">
        <f t="shared" si="121"/>
        <v>0.05</v>
      </c>
      <c r="BQ180" s="7"/>
      <c r="BR180" s="7"/>
      <c r="BS180">
        <v>172</v>
      </c>
      <c r="BT180" s="120">
        <f t="shared" si="122"/>
        <v>2698.2686189492265</v>
      </c>
      <c r="BU180" s="113">
        <f t="shared" si="123"/>
        <v>10251.229806695899</v>
      </c>
      <c r="BV180" s="113">
        <f t="shared" si="124"/>
        <v>3075.3689420087694</v>
      </c>
      <c r="BW180" s="113">
        <f t="shared" si="157"/>
        <v>262538.82861307316</v>
      </c>
      <c r="BX180" s="113">
        <f t="shared" si="150"/>
        <v>5803.2765659834622</v>
      </c>
      <c r="BY180" s="120">
        <f t="shared" si="151"/>
        <v>32137.228445347173</v>
      </c>
      <c r="BZ180" s="153">
        <f t="shared" si="158"/>
        <v>0</v>
      </c>
      <c r="CA180" s="120">
        <f t="shared" si="160"/>
        <v>32137.228445347173</v>
      </c>
      <c r="CB180" s="120">
        <f t="shared" si="152"/>
        <v>8034.3071113367932</v>
      </c>
      <c r="CC180" s="153">
        <f t="shared" si="153"/>
        <v>29906.197899993844</v>
      </c>
      <c r="CD180" s="7">
        <f t="shared" si="125"/>
        <v>8143.7699071640245</v>
      </c>
      <c r="CE180" s="11">
        <f>SUM($CD$9:CD180)</f>
        <v>25323664.756489672</v>
      </c>
      <c r="CF180" s="11">
        <f t="shared" si="154"/>
        <v>12000000</v>
      </c>
      <c r="CG180">
        <f t="shared" si="155"/>
        <v>13323664.756489672</v>
      </c>
    </row>
    <row r="181" spans="1:85">
      <c r="A181">
        <f t="shared" si="126"/>
        <v>2031</v>
      </c>
      <c r="B181">
        <f t="shared" si="127"/>
        <v>30.416666666666668</v>
      </c>
      <c r="C181">
        <f t="shared" si="161"/>
        <v>15</v>
      </c>
      <c r="E181" s="97">
        <v>48061</v>
      </c>
      <c r="F181" s="2">
        <f>$F$6*EXP(-$F$3*COUNT($E$9:$E181))</f>
        <v>0.14035786423182955</v>
      </c>
      <c r="G181" s="260">
        <f>$F$6/(1+$F$5*$F$3*COUNT($E$9:$E181))^(1/$F$5)</f>
        <v>3.3126109764815466</v>
      </c>
      <c r="H181" s="260">
        <f>$H$6/(1+$H$5*$H$3*COUNT($E$9:$E181))^(1/$H$5)</f>
        <v>103.71844521211177</v>
      </c>
      <c r="I181" s="260">
        <f t="shared" si="128"/>
        <v>19.755894326116529</v>
      </c>
      <c r="J181" s="260">
        <f t="shared" si="129"/>
        <v>8.2263543973949229</v>
      </c>
      <c r="K181" s="260">
        <f t="shared" si="129"/>
        <v>5.5968448625888128</v>
      </c>
      <c r="L181" s="260">
        <f t="shared" si="129"/>
        <v>2.6690213234583431</v>
      </c>
      <c r="M181" s="260">
        <f t="shared" si="112"/>
        <v>3.2656493321070621</v>
      </c>
      <c r="N181" s="19">
        <f t="shared" si="130"/>
        <v>4.2692183703848157</v>
      </c>
      <c r="O181" s="19">
        <f t="shared" si="131"/>
        <v>100.75858386798038</v>
      </c>
      <c r="P181" s="19">
        <f t="shared" si="132"/>
        <v>3154.7693752017331</v>
      </c>
      <c r="Q181" s="19">
        <f t="shared" si="133"/>
        <v>600.9084524193778</v>
      </c>
      <c r="R181" s="19">
        <f t="shared" si="134"/>
        <v>250.21827958742892</v>
      </c>
      <c r="S181" s="19">
        <f t="shared" si="135"/>
        <v>170.23736457040974</v>
      </c>
      <c r="T181" s="19">
        <f t="shared" si="136"/>
        <v>81.182731921857936</v>
      </c>
      <c r="U181" s="19">
        <f t="shared" si="137"/>
        <v>99.330167184923141</v>
      </c>
      <c r="V181" s="261">
        <f t="shared" si="156"/>
        <v>1016.1580143499569</v>
      </c>
      <c r="W181" s="261">
        <f>SUM(O$9:O181)</f>
        <v>559269.8832962981</v>
      </c>
      <c r="X181" s="261">
        <f>SUM(P$9:P181)</f>
        <v>2387749.4202261874</v>
      </c>
      <c r="Y181" s="261">
        <f>SUM(Q$9:Q181)</f>
        <v>454809.41337641649</v>
      </c>
      <c r="Z181" s="261">
        <f>SUM($V$9:V181)</f>
        <v>1252107.9958346998</v>
      </c>
      <c r="AB181" s="257">
        <f t="array" ref="AB181">(INDEX(PriceDeck!$C$18:$O$77,MATCH('Decline and Model'!$A181,PriceDeck!$B$18:$B$77,0),MATCH('Decline and Model'!AB$8,PriceDeck!$C$13:$O$13,0))*(1+$AE$6))</f>
        <v>92.4</v>
      </c>
      <c r="AC181" s="257">
        <f t="array" ref="AC181">INDEX(PriceDeck!$C$18:$O$77,MATCH('Decline and Model'!$A181,PriceDeck!$B$18:$B$77,0),MATCH('Decline and Model'!AC$8,PriceDeck!$C$13:$O$13,0))*(1+$AE$6)</f>
        <v>105.5</v>
      </c>
      <c r="AD181" s="257">
        <f t="array" ref="AD181">INDEX(PriceDeck!$C$18:$O$77,MATCH('Decline and Model'!$A181,PriceDeck!$B$18:$B$77,0),MATCH('Decline and Model'!AD$8,PriceDeck!$C$13:$O$13,0))*(1+$AE$6)</f>
        <v>18.399999999999999</v>
      </c>
      <c r="AE181" s="257">
        <f t="array" ref="AE181">INDEX(PriceDeck!$C$18:$O$77,MATCH('Decline and Model'!$A181,PriceDeck!$B$18:$B$77,0),MATCH('Decline and Model'!AE$8,PriceDeck!$C$13:$O$13,0))*(1+$AE$6)</f>
        <v>37.1</v>
      </c>
      <c r="AF181" s="257">
        <f t="array" ref="AF181">INDEX(PriceDeck!$C$18:$O$77,MATCH('Decline and Model'!$A181,PriceDeck!$B$18:$B$77,0),MATCH('Decline and Model'!AF$8,PriceDeck!$C$13:$O$13,0))*(1+$AE$6)</f>
        <v>109.5</v>
      </c>
      <c r="AG181" s="257">
        <f t="array" ref="AG181">INDEX(PriceDeck!$C$18:$O$77,MATCH('Decline and Model'!$A181,PriceDeck!$B$18:$B$77,0),MATCH('Decline and Model'!AG$8,PriceDeck!$C$13:$O$13,0))*(1+$AE$6)</f>
        <v>77.3</v>
      </c>
      <c r="AH181" s="258">
        <f t="array" ref="AH181">INDEX(PriceDeck!$C$18:$O$77,MATCH('Decline and Model'!$A181,PriceDeck!$B$18:$B$77,0),MATCH('Decline and Model'!AH$8,PriceDeck!$C$13:$O$13,0))</f>
        <v>0.85</v>
      </c>
      <c r="AI181" s="258">
        <f t="shared" si="138"/>
        <v>4.8499999999999996</v>
      </c>
      <c r="AJ181" s="259">
        <f t="shared" si="113"/>
        <v>4.8499999999999996</v>
      </c>
      <c r="AK181" s="120">
        <v>4.8499999999999996</v>
      </c>
      <c r="AL181" s="120"/>
      <c r="AN181" s="7">
        <f t="shared" si="139"/>
        <v>10630.030598071929</v>
      </c>
      <c r="AO181" s="7">
        <f t="shared" si="140"/>
        <v>15300.631469728403</v>
      </c>
      <c r="AP181" s="7">
        <f t="shared" si="141"/>
        <v>4604.016344408692</v>
      </c>
      <c r="AQ181" s="7">
        <f t="shared" si="142"/>
        <v>6315.8062255622017</v>
      </c>
      <c r="AR181" s="7">
        <f t="shared" si="143"/>
        <v>8889.5091454434441</v>
      </c>
      <c r="AS181" s="7">
        <f t="shared" si="144"/>
        <v>7678.2219233945589</v>
      </c>
      <c r="AT181" s="7">
        <f t="shared" si="145"/>
        <v>53418.215706609226</v>
      </c>
      <c r="AU181">
        <f>SUM($AT$9:AT181)</f>
        <v>66816931.225205399</v>
      </c>
      <c r="AV181" s="7">
        <f>AT181/(1+$AR$5)^(COUNT($E$9:E181))</f>
        <v>14436.740807144915</v>
      </c>
      <c r="AW181" s="7">
        <f t="shared" si="159"/>
        <v>0</v>
      </c>
      <c r="AX181" s="7">
        <f t="shared" si="146"/>
        <v>0</v>
      </c>
      <c r="AY181" s="117">
        <f t="shared" si="147"/>
        <v>0</v>
      </c>
      <c r="AZ181" s="117">
        <f t="shared" si="148"/>
        <v>53418.215706609226</v>
      </c>
      <c r="BA181" s="120">
        <f t="shared" si="149"/>
        <v>2670.9107853304613</v>
      </c>
      <c r="BB181" s="119">
        <f t="shared" si="114"/>
        <v>204.06512565004311</v>
      </c>
      <c r="BC181" s="17"/>
      <c r="BD181" s="126">
        <f t="shared" si="115"/>
        <v>0.19899636214836575</v>
      </c>
      <c r="BE181" s="127">
        <f t="shared" si="116"/>
        <v>0.28643097241893306</v>
      </c>
      <c r="BF181" s="127">
        <f t="shared" si="117"/>
        <v>8.6188134206793721E-2</v>
      </c>
      <c r="BG181" s="127">
        <f t="shared" si="118"/>
        <v>0.11823319334083957</v>
      </c>
      <c r="BH181" s="127">
        <f t="shared" si="119"/>
        <v>0.16641344207877726</v>
      </c>
      <c r="BI181" s="128">
        <f t="shared" si="120"/>
        <v>0.14373789580629071</v>
      </c>
      <c r="BJ181" s="126">
        <f t="array" ref="BJ181">BD181*INDEX(Royalty!$U$7:$Z$246,MATCH('Decline and Model'!$E181,Royalty!$AI$7:$AI$246,0),MATCH('Decline and Model'!BJ$8,Royalty!$U$1:$Z$1,0))</f>
        <v>6.3835751692849885E-2</v>
      </c>
      <c r="BK181" s="127">
        <f t="array" ref="BK181">BE181*INDEX(Royalty!$U$7:$Z$246,MATCH('Decline and Model'!$E181,Royalty!$AI$7:$AI$246,0),MATCH('Decline and Model'!BK$8,Royalty!$U$1:$Z$1,0))</f>
        <v>8.9073281946024152E-2</v>
      </c>
      <c r="BL181" s="127">
        <f t="array" ref="BL181">BF181*INDEX(Royalty!$U$7:$Z$246,MATCH('Decline and Model'!$E181,Royalty!$AI$7:$AI$246,0),MATCH('Decline and Model'!BL$8,Royalty!$U$1:$Z$1,0))</f>
        <v>2.7749161114020704E-2</v>
      </c>
      <c r="BM181" s="127">
        <f t="array" ref="BM181">BG181*INDEX(Royalty!$U$7:$Z$246,MATCH('Decline and Model'!$E181,Royalty!$AI$7:$AI$246,0),MATCH('Decline and Model'!BM$8,Royalty!$U$1:$Z$1,0))</f>
        <v>3.6841893586804536E-2</v>
      </c>
      <c r="BN181" s="127">
        <f t="array" ref="BN181">BH181*INDEX(Royalty!$U$7:$Z$246,MATCH('Decline and Model'!$E181,Royalty!$AI$7:$AI$246,0),MATCH('Decline and Model'!BN$8,Royalty!$U$1:$Z$1,0))</f>
        <v>2.850301712128752E-2</v>
      </c>
      <c r="BO181" s="127">
        <f t="array" ref="BO181">BI181*INDEX(Royalty!$U$7:$Z$246,MATCH('Decline and Model'!$E181,Royalty!$AI$7:$AI$246,0),MATCH('Decline and Model'!BO$8,Royalty!$U$1:$Z$1,0))</f>
        <v>7.1868947903145353E-3</v>
      </c>
      <c r="BP181" s="135">
        <f t="shared" si="121"/>
        <v>0.05</v>
      </c>
      <c r="BQ181" s="7"/>
      <c r="BR181" s="7"/>
      <c r="BS181">
        <v>173</v>
      </c>
      <c r="BT181" s="120">
        <f t="shared" si="122"/>
        <v>2670.9107853304613</v>
      </c>
      <c r="BU181" s="113">
        <f t="shared" si="123"/>
        <v>10161.58014349957</v>
      </c>
      <c r="BV181" s="113">
        <f t="shared" si="124"/>
        <v>3048.4740430498709</v>
      </c>
      <c r="BW181" s="113">
        <f t="shared" si="157"/>
        <v>256735.5520470897</v>
      </c>
      <c r="BX181" s="113">
        <f t="shared" si="150"/>
        <v>5674.9983258495913</v>
      </c>
      <c r="BY181" s="120">
        <f t="shared" si="151"/>
        <v>31862.252408879729</v>
      </c>
      <c r="BZ181" s="153">
        <f t="shared" si="158"/>
        <v>0</v>
      </c>
      <c r="CA181" s="120">
        <f t="shared" si="160"/>
        <v>31862.252408879729</v>
      </c>
      <c r="CB181" s="120">
        <f t="shared" si="152"/>
        <v>7965.5631022199323</v>
      </c>
      <c r="CC181" s="153">
        <f t="shared" si="153"/>
        <v>29571.687632509391</v>
      </c>
      <c r="CD181" s="7">
        <f t="shared" si="125"/>
        <v>7992.0076687917144</v>
      </c>
      <c r="CE181" s="11">
        <f>SUM($CD$9:CD181)</f>
        <v>25331656.764158465</v>
      </c>
      <c r="CF181" s="11">
        <f t="shared" si="154"/>
        <v>12000000</v>
      </c>
      <c r="CG181">
        <f t="shared" si="155"/>
        <v>13331656.764158465</v>
      </c>
    </row>
    <row r="182" spans="1:85">
      <c r="A182">
        <f t="shared" si="126"/>
        <v>2031</v>
      </c>
      <c r="B182">
        <f t="shared" si="127"/>
        <v>30.416666666666668</v>
      </c>
      <c r="C182">
        <f t="shared" si="161"/>
        <v>15</v>
      </c>
      <c r="E182" s="97">
        <v>48092</v>
      </c>
      <c r="F182" s="2">
        <f>$F$6*EXP(-$F$3*COUNT($E$9:$E182))</f>
        <v>0.1335125304173925</v>
      </c>
      <c r="G182" s="260">
        <f>$F$6/(1+$F$5*$F$3*COUNT($E$9:$E182))^(1/$F$5)</f>
        <v>3.2426765104815445</v>
      </c>
      <c r="H182" s="260">
        <f>$H$6/(1+$H$5*$H$3*COUNT($E$9:$E182))^(1/$H$5)</f>
        <v>102.95936390442206</v>
      </c>
      <c r="I182" s="260">
        <f t="shared" si="128"/>
        <v>19.611307410366106</v>
      </c>
      <c r="J182" s="260">
        <f t="shared" si="129"/>
        <v>8.1661484056764468</v>
      </c>
      <c r="K182" s="260">
        <f t="shared" si="129"/>
        <v>5.5558833893567172</v>
      </c>
      <c r="L182" s="260">
        <f t="shared" si="129"/>
        <v>2.6494876311404609</v>
      </c>
      <c r="M182" s="260">
        <f t="shared" si="112"/>
        <v>3.2417491149335174</v>
      </c>
      <c r="N182" s="19">
        <f t="shared" si="130"/>
        <v>4.0610061335290224</v>
      </c>
      <c r="O182" s="19">
        <f t="shared" si="131"/>
        <v>98.631410527146983</v>
      </c>
      <c r="P182" s="19">
        <f t="shared" si="132"/>
        <v>3131.680652092838</v>
      </c>
      <c r="Q182" s="19">
        <f t="shared" si="133"/>
        <v>596.51060039863569</v>
      </c>
      <c r="R182" s="19">
        <f t="shared" si="134"/>
        <v>248.38701400599194</v>
      </c>
      <c r="S182" s="19">
        <f t="shared" si="135"/>
        <v>168.99145309293348</v>
      </c>
      <c r="T182" s="19">
        <f t="shared" si="136"/>
        <v>80.588582113855693</v>
      </c>
      <c r="U182" s="19">
        <f t="shared" si="137"/>
        <v>98.603202245894494</v>
      </c>
      <c r="V182" s="261">
        <f t="shared" si="156"/>
        <v>1007.3313325916224</v>
      </c>
      <c r="W182" s="261">
        <f>SUM(O$9:O182)</f>
        <v>559368.51470682526</v>
      </c>
      <c r="X182" s="261">
        <f>SUM(P$9:P182)</f>
        <v>2390881.1008782801</v>
      </c>
      <c r="Y182" s="261">
        <f>SUM(Q$9:Q182)</f>
        <v>455405.92397681513</v>
      </c>
      <c r="Z182" s="261">
        <f>SUM($V$9:V182)</f>
        <v>1253115.3271672914</v>
      </c>
      <c r="AB182" s="257">
        <f t="array" ref="AB182">(INDEX(PriceDeck!$C$18:$O$77,MATCH('Decline and Model'!$A182,PriceDeck!$B$18:$B$77,0),MATCH('Decline and Model'!AB$8,PriceDeck!$C$13:$O$13,0))*(1+$AE$6))</f>
        <v>92.4</v>
      </c>
      <c r="AC182" s="257">
        <f t="array" ref="AC182">INDEX(PriceDeck!$C$18:$O$77,MATCH('Decline and Model'!$A182,PriceDeck!$B$18:$B$77,0),MATCH('Decline and Model'!AC$8,PriceDeck!$C$13:$O$13,0))*(1+$AE$6)</f>
        <v>105.5</v>
      </c>
      <c r="AD182" s="257">
        <f t="array" ref="AD182">INDEX(PriceDeck!$C$18:$O$77,MATCH('Decline and Model'!$A182,PriceDeck!$B$18:$B$77,0),MATCH('Decline and Model'!AD$8,PriceDeck!$C$13:$O$13,0))*(1+$AE$6)</f>
        <v>18.399999999999999</v>
      </c>
      <c r="AE182" s="257">
        <f t="array" ref="AE182">INDEX(PriceDeck!$C$18:$O$77,MATCH('Decline and Model'!$A182,PriceDeck!$B$18:$B$77,0),MATCH('Decline and Model'!AE$8,PriceDeck!$C$13:$O$13,0))*(1+$AE$6)</f>
        <v>37.1</v>
      </c>
      <c r="AF182" s="257">
        <f t="array" ref="AF182">INDEX(PriceDeck!$C$18:$O$77,MATCH('Decline and Model'!$A182,PriceDeck!$B$18:$B$77,0),MATCH('Decline and Model'!AF$8,PriceDeck!$C$13:$O$13,0))*(1+$AE$6)</f>
        <v>109.5</v>
      </c>
      <c r="AG182" s="257">
        <f t="array" ref="AG182">INDEX(PriceDeck!$C$18:$O$77,MATCH('Decline and Model'!$A182,PriceDeck!$B$18:$B$77,0),MATCH('Decline and Model'!AG$8,PriceDeck!$C$13:$O$13,0))*(1+$AE$6)</f>
        <v>77.3</v>
      </c>
      <c r="AH182" s="258">
        <f t="array" ref="AH182">INDEX(PriceDeck!$C$18:$O$77,MATCH('Decline and Model'!$A182,PriceDeck!$B$18:$B$77,0),MATCH('Decline and Model'!AH$8,PriceDeck!$C$13:$O$13,0))</f>
        <v>0.85</v>
      </c>
      <c r="AI182" s="258">
        <f t="shared" si="138"/>
        <v>4.8499999999999996</v>
      </c>
      <c r="AJ182" s="259">
        <f t="shared" si="113"/>
        <v>4.8499999999999996</v>
      </c>
      <c r="AK182" s="120">
        <v>4.8499999999999996</v>
      </c>
      <c r="AL182" s="120"/>
      <c r="AN182" s="7">
        <f t="shared" si="139"/>
        <v>10405.613810614006</v>
      </c>
      <c r="AO182" s="7">
        <f t="shared" si="140"/>
        <v>15188.651162650263</v>
      </c>
      <c r="AP182" s="7">
        <f t="shared" si="141"/>
        <v>4570.3210577102518</v>
      </c>
      <c r="AQ182" s="7">
        <f t="shared" si="142"/>
        <v>6269.5829097478327</v>
      </c>
      <c r="AR182" s="7">
        <f t="shared" si="143"/>
        <v>8824.4497414671987</v>
      </c>
      <c r="AS182" s="7">
        <f t="shared" si="144"/>
        <v>7622.0275336076438</v>
      </c>
      <c r="AT182" s="7">
        <f t="shared" si="145"/>
        <v>52880.646215797198</v>
      </c>
      <c r="AU182">
        <f>SUM($AT$9:AT182)</f>
        <v>66869811.871421196</v>
      </c>
      <c r="AV182" s="7">
        <f>AT182/(1+$AR$5)^(COUNT($E$9:E182))</f>
        <v>14183.781280490253</v>
      </c>
      <c r="AW182" s="7">
        <f t="shared" si="159"/>
        <v>0</v>
      </c>
      <c r="AX182" s="7">
        <f t="shared" si="146"/>
        <v>0</v>
      </c>
      <c r="AY182" s="117">
        <f t="shared" si="147"/>
        <v>0</v>
      </c>
      <c r="AZ182" s="117">
        <f t="shared" si="148"/>
        <v>52880.646215797198</v>
      </c>
      <c r="BA182" s="120">
        <f t="shared" si="149"/>
        <v>2644.0323107898603</v>
      </c>
      <c r="BB182" s="119">
        <f t="shared" si="114"/>
        <v>212.89180740837764</v>
      </c>
      <c r="BC182" s="17"/>
      <c r="BD182" s="126">
        <f t="shared" si="115"/>
        <v>0.19677546617245206</v>
      </c>
      <c r="BE182" s="127">
        <f t="shared" si="116"/>
        <v>0.28722514283709549</v>
      </c>
      <c r="BF182" s="127">
        <f t="shared" si="117"/>
        <v>8.6427103009663026E-2</v>
      </c>
      <c r="BG182" s="127">
        <f t="shared" si="118"/>
        <v>0.11856101160645235</v>
      </c>
      <c r="BH182" s="127">
        <f t="shared" si="119"/>
        <v>0.16687484690440571</v>
      </c>
      <c r="BI182" s="128">
        <f t="shared" si="120"/>
        <v>0.14413642946993133</v>
      </c>
      <c r="BJ182" s="126">
        <f t="array" ref="BJ182">BD182*INDEX(Royalty!$U$7:$Z$246,MATCH('Decline and Model'!$E182,Royalty!$AI$7:$AI$246,0),MATCH('Decline and Model'!BJ$8,Royalty!$U$1:$Z$1,0))</f>
        <v>6.3123313724017194E-2</v>
      </c>
      <c r="BK182" s="127">
        <f t="array" ref="BK182">BE182*INDEX(Royalty!$U$7:$Z$246,MATCH('Decline and Model'!$E182,Royalty!$AI$7:$AI$246,0),MATCH('Decline and Model'!BK$8,Royalty!$U$1:$Z$1,0))</f>
        <v>8.9320250229421624E-2</v>
      </c>
      <c r="BL182" s="127">
        <f t="array" ref="BL182">BF182*INDEX(Royalty!$U$7:$Z$246,MATCH('Decline and Model'!$E182,Royalty!$AI$7:$AI$246,0),MATCH('Decline and Model'!BL$8,Royalty!$U$1:$Z$1,0))</f>
        <v>2.7826099591376934E-2</v>
      </c>
      <c r="BM182" s="127">
        <f t="array" ref="BM182">BG182*INDEX(Royalty!$U$7:$Z$246,MATCH('Decline and Model'!$E182,Royalty!$AI$7:$AI$246,0),MATCH('Decline and Model'!BM$8,Royalty!$U$1:$Z$1,0))</f>
        <v>3.6944042952107563E-2</v>
      </c>
      <c r="BN182" s="127">
        <f t="array" ref="BN182">BH182*INDEX(Royalty!$U$7:$Z$246,MATCH('Decline and Model'!$E182,Royalty!$AI$7:$AI$246,0),MATCH('Decline and Model'!BN$8,Royalty!$U$1:$Z$1,0))</f>
        <v>2.8582045771139656E-2</v>
      </c>
      <c r="BO182" s="127">
        <f t="array" ref="BO182">BI182*INDEX(Royalty!$U$7:$Z$246,MATCH('Decline and Model'!$E182,Royalty!$AI$7:$AI$246,0),MATCH('Decline and Model'!BO$8,Royalty!$U$1:$Z$1,0))</f>
        <v>7.206821473496567E-3</v>
      </c>
      <c r="BP182" s="135">
        <f t="shared" si="121"/>
        <v>0.05</v>
      </c>
      <c r="BQ182" s="7"/>
      <c r="BR182" s="7"/>
      <c r="BS182">
        <v>174</v>
      </c>
      <c r="BT182" s="120">
        <f t="shared" si="122"/>
        <v>2644.0323107898603</v>
      </c>
      <c r="BU182" s="113">
        <f t="shared" si="123"/>
        <v>10073.313325916224</v>
      </c>
      <c r="BV182" s="113">
        <f t="shared" si="124"/>
        <v>3021.9939977748672</v>
      </c>
      <c r="BW182" s="113">
        <f t="shared" si="157"/>
        <v>251060.55372124011</v>
      </c>
      <c r="BX182" s="113">
        <f t="shared" si="150"/>
        <v>5549.5556057369968</v>
      </c>
      <c r="BY182" s="120">
        <f t="shared" si="151"/>
        <v>31591.750975579249</v>
      </c>
      <c r="BZ182" s="153">
        <f t="shared" si="158"/>
        <v>0</v>
      </c>
      <c r="CA182" s="120">
        <f t="shared" si="160"/>
        <v>31591.750975579249</v>
      </c>
      <c r="CB182" s="120">
        <f t="shared" si="152"/>
        <v>7897.9377438948122</v>
      </c>
      <c r="CC182" s="153">
        <f t="shared" si="153"/>
        <v>29243.368837421433</v>
      </c>
      <c r="CD182" s="7">
        <f t="shared" si="125"/>
        <v>7843.7306874434744</v>
      </c>
      <c r="CE182" s="11">
        <f>SUM($CD$9:CD182)</f>
        <v>25339500.494845908</v>
      </c>
      <c r="CF182" s="11">
        <f t="shared" si="154"/>
        <v>12000000</v>
      </c>
      <c r="CG182">
        <f t="shared" si="155"/>
        <v>13339500.494845908</v>
      </c>
    </row>
    <row r="183" spans="1:85">
      <c r="A183">
        <f t="shared" si="126"/>
        <v>2031</v>
      </c>
      <c r="B183">
        <f t="shared" si="127"/>
        <v>30.416666666666668</v>
      </c>
      <c r="C183">
        <f t="shared" si="161"/>
        <v>15</v>
      </c>
      <c r="E183" s="97">
        <v>48122</v>
      </c>
      <c r="F183" s="2">
        <f>$F$6*EXP(-$F$3*COUNT($E$9:$E183))</f>
        <v>0.12700104747257046</v>
      </c>
      <c r="G183" s="260">
        <f>$F$6/(1+$F$5*$F$3*COUNT($E$9:$E183))^(1/$F$5)</f>
        <v>3.1744415255148541</v>
      </c>
      <c r="H183" s="260">
        <f>$H$6/(1+$H$5*$H$3*COUNT($E$9:$E183))^(1/$H$5)</f>
        <v>102.20975727639316</v>
      </c>
      <c r="I183" s="260">
        <f t="shared" si="128"/>
        <v>19.46852519550346</v>
      </c>
      <c r="J183" s="260">
        <f t="shared" si="129"/>
        <v>8.106693891407641</v>
      </c>
      <c r="K183" s="260">
        <f t="shared" si="129"/>
        <v>5.5154331878861305</v>
      </c>
      <c r="L183" s="260">
        <f t="shared" si="129"/>
        <v>2.6301977539125176</v>
      </c>
      <c r="M183" s="260">
        <f t="shared" si="112"/>
        <v>3.2181472148167218</v>
      </c>
      <c r="N183" s="19">
        <f t="shared" si="130"/>
        <v>3.8629485272906852</v>
      </c>
      <c r="O183" s="19">
        <f t="shared" si="131"/>
        <v>96.555929734410157</v>
      </c>
      <c r="P183" s="19">
        <f t="shared" si="132"/>
        <v>3108.8801171569589</v>
      </c>
      <c r="Q183" s="19">
        <f t="shared" si="133"/>
        <v>592.16764136323025</v>
      </c>
      <c r="R183" s="19">
        <f t="shared" si="134"/>
        <v>246.5786058636491</v>
      </c>
      <c r="S183" s="19">
        <f t="shared" si="135"/>
        <v>167.76109279820315</v>
      </c>
      <c r="T183" s="19">
        <f t="shared" si="136"/>
        <v>80.001848348172416</v>
      </c>
      <c r="U183" s="19">
        <f t="shared" si="137"/>
        <v>97.885311117341956</v>
      </c>
      <c r="V183" s="261">
        <f t="shared" si="156"/>
        <v>998.63996511662901</v>
      </c>
      <c r="W183" s="261">
        <f>SUM(O$9:O183)</f>
        <v>559465.07063655963</v>
      </c>
      <c r="X183" s="261">
        <f>SUM(P$9:P183)</f>
        <v>2393989.9809954371</v>
      </c>
      <c r="Y183" s="261">
        <f>SUM(Q$9:Q183)</f>
        <v>455998.09161817835</v>
      </c>
      <c r="Z183" s="261">
        <f>SUM($V$9:V183)</f>
        <v>1254113.9671324082</v>
      </c>
      <c r="AB183" s="257">
        <f t="array" ref="AB183">(INDEX(PriceDeck!$C$18:$O$77,MATCH('Decline and Model'!$A183,PriceDeck!$B$18:$B$77,0),MATCH('Decline and Model'!AB$8,PriceDeck!$C$13:$O$13,0))*(1+$AE$6))</f>
        <v>92.4</v>
      </c>
      <c r="AC183" s="257">
        <f t="array" ref="AC183">INDEX(PriceDeck!$C$18:$O$77,MATCH('Decline and Model'!$A183,PriceDeck!$B$18:$B$77,0),MATCH('Decline and Model'!AC$8,PriceDeck!$C$13:$O$13,0))*(1+$AE$6)</f>
        <v>105.5</v>
      </c>
      <c r="AD183" s="257">
        <f t="array" ref="AD183">INDEX(PriceDeck!$C$18:$O$77,MATCH('Decline and Model'!$A183,PriceDeck!$B$18:$B$77,0),MATCH('Decline and Model'!AD$8,PriceDeck!$C$13:$O$13,0))*(1+$AE$6)</f>
        <v>18.399999999999999</v>
      </c>
      <c r="AE183" s="257">
        <f t="array" ref="AE183">INDEX(PriceDeck!$C$18:$O$77,MATCH('Decline and Model'!$A183,PriceDeck!$B$18:$B$77,0),MATCH('Decline and Model'!AE$8,PriceDeck!$C$13:$O$13,0))*(1+$AE$6)</f>
        <v>37.1</v>
      </c>
      <c r="AF183" s="257">
        <f t="array" ref="AF183">INDEX(PriceDeck!$C$18:$O$77,MATCH('Decline and Model'!$A183,PriceDeck!$B$18:$B$77,0),MATCH('Decline and Model'!AF$8,PriceDeck!$C$13:$O$13,0))*(1+$AE$6)</f>
        <v>109.5</v>
      </c>
      <c r="AG183" s="257">
        <f t="array" ref="AG183">INDEX(PriceDeck!$C$18:$O$77,MATCH('Decline and Model'!$A183,PriceDeck!$B$18:$B$77,0),MATCH('Decline and Model'!AG$8,PriceDeck!$C$13:$O$13,0))*(1+$AE$6)</f>
        <v>77.3</v>
      </c>
      <c r="AH183" s="258">
        <f t="array" ref="AH183">INDEX(PriceDeck!$C$18:$O$77,MATCH('Decline and Model'!$A183,PriceDeck!$B$18:$B$77,0),MATCH('Decline and Model'!AH$8,PriceDeck!$C$13:$O$13,0))</f>
        <v>0.85</v>
      </c>
      <c r="AI183" s="258">
        <f t="shared" si="138"/>
        <v>4.8499999999999996</v>
      </c>
      <c r="AJ183" s="259">
        <f t="shared" si="113"/>
        <v>4.8499999999999996</v>
      </c>
      <c r="AK183" s="120">
        <v>4.8499999999999996</v>
      </c>
      <c r="AL183" s="120"/>
      <c r="AN183" s="7">
        <f t="shared" si="139"/>
        <v>10186.650586980271</v>
      </c>
      <c r="AO183" s="7">
        <f t="shared" si="140"/>
        <v>15078.068568211249</v>
      </c>
      <c r="AP183" s="7">
        <f t="shared" si="141"/>
        <v>4537.0463478911433</v>
      </c>
      <c r="AQ183" s="7">
        <f t="shared" si="142"/>
        <v>6223.9365428133369</v>
      </c>
      <c r="AR183" s="7">
        <f t="shared" si="143"/>
        <v>8760.202394124879</v>
      </c>
      <c r="AS183" s="7">
        <f t="shared" si="144"/>
        <v>7566.5345493705327</v>
      </c>
      <c r="AT183" s="7">
        <f t="shared" si="145"/>
        <v>52352.438989391412</v>
      </c>
      <c r="AU183">
        <f>SUM($AT$9:AT183)</f>
        <v>66922164.310410589</v>
      </c>
      <c r="AV183" s="7">
        <f>AT183/(1+$AR$5)^(COUNT($E$9:E183))</f>
        <v>13936.306249444548</v>
      </c>
      <c r="AW183" s="7">
        <f t="shared" si="159"/>
        <v>0</v>
      </c>
      <c r="AX183" s="7">
        <f t="shared" si="146"/>
        <v>0</v>
      </c>
      <c r="AY183" s="117">
        <f t="shared" si="147"/>
        <v>0</v>
      </c>
      <c r="AZ183" s="117">
        <f t="shared" si="148"/>
        <v>52352.438989391412</v>
      </c>
      <c r="BA183" s="120">
        <f t="shared" si="149"/>
        <v>2617.6219494695706</v>
      </c>
      <c r="BB183" s="119">
        <f t="shared" si="114"/>
        <v>221.58317488337104</v>
      </c>
      <c r="BC183" s="17"/>
      <c r="BD183" s="126">
        <f t="shared" si="115"/>
        <v>0.19457833834722529</v>
      </c>
      <c r="BE183" s="127">
        <f t="shared" si="116"/>
        <v>0.28801081399983364</v>
      </c>
      <c r="BF183" s="127">
        <f t="shared" si="117"/>
        <v>8.6663514355281912E-2</v>
      </c>
      <c r="BG183" s="127">
        <f t="shared" si="118"/>
        <v>0.11888532154298566</v>
      </c>
      <c r="BH183" s="127">
        <f t="shared" si="119"/>
        <v>0.1673313137502539</v>
      </c>
      <c r="BI183" s="128">
        <f t="shared" si="120"/>
        <v>0.14453069800441962</v>
      </c>
      <c r="BJ183" s="126">
        <f t="array" ref="BJ183">BD183*INDEX(Royalty!$U$7:$Z$246,MATCH('Decline and Model'!$E183,Royalty!$AI$7:$AI$246,0),MATCH('Decline and Model'!BJ$8,Royalty!$U$1:$Z$1,0))</f>
        <v>6.2418500305447981E-2</v>
      </c>
      <c r="BK183" s="127">
        <f t="array" ref="BK183">BE183*INDEX(Royalty!$U$7:$Z$246,MATCH('Decline and Model'!$E183,Royalty!$AI$7:$AI$246,0),MATCH('Decline and Model'!BK$8,Royalty!$U$1:$Z$1,0))</f>
        <v>8.9564575444688779E-2</v>
      </c>
      <c r="BL183" s="127">
        <f t="array" ref="BL183">BF183*INDEX(Royalty!$U$7:$Z$246,MATCH('Decline and Model'!$E183,Royalty!$AI$7:$AI$246,0),MATCH('Decline and Model'!BL$8,Royalty!$U$1:$Z$1,0))</f>
        <v>2.7902214668923696E-2</v>
      </c>
      <c r="BM183" s="127">
        <f t="array" ref="BM183">BG183*INDEX(Royalty!$U$7:$Z$246,MATCH('Decline and Model'!$E183,Royalty!$AI$7:$AI$246,0),MATCH('Decline and Model'!BM$8,Royalty!$U$1:$Z$1,0))</f>
        <v>3.7045099109293975E-2</v>
      </c>
      <c r="BN183" s="127">
        <f t="array" ref="BN183">BH183*INDEX(Royalty!$U$7:$Z$246,MATCH('Decline and Model'!$E183,Royalty!$AI$7:$AI$246,0),MATCH('Decline and Model'!BN$8,Royalty!$U$1:$Z$1,0))</f>
        <v>2.86602286520415E-2</v>
      </c>
      <c r="BO183" s="127">
        <f t="array" ref="BO183">BI183*INDEX(Royalty!$U$7:$Z$246,MATCH('Decline and Model'!$E183,Royalty!$AI$7:$AI$246,0),MATCH('Decline and Model'!BO$8,Royalty!$U$1:$Z$1,0))</f>
        <v>7.2265349002209808E-3</v>
      </c>
      <c r="BP183" s="135">
        <f t="shared" si="121"/>
        <v>0.05</v>
      </c>
      <c r="BQ183" s="7"/>
      <c r="BR183" s="7"/>
      <c r="BS183">
        <v>175</v>
      </c>
      <c r="BT183" s="120">
        <f t="shared" si="122"/>
        <v>2617.6219494695706</v>
      </c>
      <c r="BU183" s="113">
        <f t="shared" si="123"/>
        <v>9986.3996511662899</v>
      </c>
      <c r="BV183" s="113">
        <f t="shared" si="124"/>
        <v>2995.9198953498872</v>
      </c>
      <c r="BW183" s="113">
        <f t="shared" si="157"/>
        <v>245510.99811550311</v>
      </c>
      <c r="BX183" s="113">
        <f t="shared" si="150"/>
        <v>5426.8857280334587</v>
      </c>
      <c r="BY183" s="120">
        <f t="shared" si="151"/>
        <v>31325.611765372207</v>
      </c>
      <c r="BZ183" s="153">
        <f t="shared" si="158"/>
        <v>0</v>
      </c>
      <c r="CA183" s="120">
        <f t="shared" si="160"/>
        <v>31325.611765372207</v>
      </c>
      <c r="CB183" s="120">
        <f t="shared" si="152"/>
        <v>7831.4029413430517</v>
      </c>
      <c r="CC183" s="153">
        <f t="shared" si="153"/>
        <v>28921.094552062616</v>
      </c>
      <c r="CD183" s="7">
        <f t="shared" si="125"/>
        <v>7698.8434259645619</v>
      </c>
      <c r="CE183" s="11">
        <f>SUM($CD$9:CD183)</f>
        <v>25347199.338271871</v>
      </c>
      <c r="CF183" s="11">
        <f t="shared" si="154"/>
        <v>12000000</v>
      </c>
      <c r="CG183">
        <f t="shared" si="155"/>
        <v>13347199.338271871</v>
      </c>
    </row>
    <row r="184" spans="1:85">
      <c r="A184">
        <f t="shared" si="126"/>
        <v>2031</v>
      </c>
      <c r="B184">
        <f t="shared" si="127"/>
        <v>30.416666666666668</v>
      </c>
      <c r="C184">
        <f t="shared" si="161"/>
        <v>15</v>
      </c>
      <c r="E184" s="97">
        <v>48153</v>
      </c>
      <c r="F184" s="2">
        <f>$F$6*EXP(-$F$3*COUNT($E$9:$E184))</f>
        <v>0.12080713329832099</v>
      </c>
      <c r="G184" s="260">
        <f>$F$6/(1+$F$5*$F$3*COUNT($E$9:$E184))^(1/$F$5)</f>
        <v>3.1078593372277012</v>
      </c>
      <c r="H184" s="260">
        <f>$H$6/(1+$H$5*$H$3*COUNT($E$9:$E184))^(1/$H$5)</f>
        <v>101.46945865484433</v>
      </c>
      <c r="I184" s="260">
        <f t="shared" si="128"/>
        <v>19.327515934256063</v>
      </c>
      <c r="J184" s="260">
        <f t="shared" si="129"/>
        <v>8.0479776350242247</v>
      </c>
      <c r="K184" s="260">
        <f t="shared" si="129"/>
        <v>5.4754852641747425</v>
      </c>
      <c r="L184" s="260">
        <f t="shared" si="129"/>
        <v>2.6111474027179939</v>
      </c>
      <c r="M184" s="260">
        <f t="shared" si="112"/>
        <v>3.1948383839325274</v>
      </c>
      <c r="N184" s="19">
        <f t="shared" si="130"/>
        <v>3.6745503044905967</v>
      </c>
      <c r="O184" s="19">
        <f t="shared" si="131"/>
        <v>94.530721507342577</v>
      </c>
      <c r="P184" s="19">
        <f t="shared" si="132"/>
        <v>3086.3627007515151</v>
      </c>
      <c r="Q184" s="19">
        <f t="shared" si="133"/>
        <v>587.8786096669553</v>
      </c>
      <c r="R184" s="19">
        <f t="shared" si="134"/>
        <v>244.79265306532017</v>
      </c>
      <c r="S184" s="19">
        <f t="shared" si="135"/>
        <v>166.54601011864841</v>
      </c>
      <c r="T184" s="19">
        <f t="shared" si="136"/>
        <v>79.422400166005659</v>
      </c>
      <c r="U184" s="19">
        <f t="shared" si="137"/>
        <v>97.176334177947709</v>
      </c>
      <c r="V184" s="261">
        <f t="shared" si="156"/>
        <v>990.08102091649971</v>
      </c>
      <c r="W184" s="261">
        <f>SUM(O$9:O184)</f>
        <v>559559.60135806701</v>
      </c>
      <c r="X184" s="261">
        <f>SUM(P$9:P184)</f>
        <v>2397076.3436961886</v>
      </c>
      <c r="Y184" s="261">
        <f>SUM(Q$9:Q184)</f>
        <v>456585.9702278453</v>
      </c>
      <c r="Z184" s="261">
        <f>SUM($V$9:V184)</f>
        <v>1255104.0481533248</v>
      </c>
      <c r="AB184" s="257">
        <f t="array" ref="AB184">(INDEX(PriceDeck!$C$18:$O$77,MATCH('Decline and Model'!$A184,PriceDeck!$B$18:$B$77,0),MATCH('Decline and Model'!AB$8,PriceDeck!$C$13:$O$13,0))*(1+$AE$6))</f>
        <v>92.4</v>
      </c>
      <c r="AC184" s="257">
        <f t="array" ref="AC184">INDEX(PriceDeck!$C$18:$O$77,MATCH('Decline and Model'!$A184,PriceDeck!$B$18:$B$77,0),MATCH('Decline and Model'!AC$8,PriceDeck!$C$13:$O$13,0))*(1+$AE$6)</f>
        <v>105.5</v>
      </c>
      <c r="AD184" s="257">
        <f t="array" ref="AD184">INDEX(PriceDeck!$C$18:$O$77,MATCH('Decline and Model'!$A184,PriceDeck!$B$18:$B$77,0),MATCH('Decline and Model'!AD$8,PriceDeck!$C$13:$O$13,0))*(1+$AE$6)</f>
        <v>18.399999999999999</v>
      </c>
      <c r="AE184" s="257">
        <f t="array" ref="AE184">INDEX(PriceDeck!$C$18:$O$77,MATCH('Decline and Model'!$A184,PriceDeck!$B$18:$B$77,0),MATCH('Decline and Model'!AE$8,PriceDeck!$C$13:$O$13,0))*(1+$AE$6)</f>
        <v>37.1</v>
      </c>
      <c r="AF184" s="257">
        <f t="array" ref="AF184">INDEX(PriceDeck!$C$18:$O$77,MATCH('Decline and Model'!$A184,PriceDeck!$B$18:$B$77,0),MATCH('Decline and Model'!AF$8,PriceDeck!$C$13:$O$13,0))*(1+$AE$6)</f>
        <v>109.5</v>
      </c>
      <c r="AG184" s="257">
        <f t="array" ref="AG184">INDEX(PriceDeck!$C$18:$O$77,MATCH('Decline and Model'!$A184,PriceDeck!$B$18:$B$77,0),MATCH('Decline and Model'!AG$8,PriceDeck!$C$13:$O$13,0))*(1+$AE$6)</f>
        <v>77.3</v>
      </c>
      <c r="AH184" s="258">
        <f t="array" ref="AH184">INDEX(PriceDeck!$C$18:$O$77,MATCH('Decline and Model'!$A184,PriceDeck!$B$18:$B$77,0),MATCH('Decline and Model'!AH$8,PriceDeck!$C$13:$O$13,0))</f>
        <v>0.85</v>
      </c>
      <c r="AI184" s="258">
        <f t="shared" si="138"/>
        <v>4.8499999999999996</v>
      </c>
      <c r="AJ184" s="259">
        <f t="shared" si="113"/>
        <v>4.8499999999999996</v>
      </c>
      <c r="AK184" s="120">
        <v>4.8499999999999996</v>
      </c>
      <c r="AL184" s="120"/>
      <c r="AN184" s="7">
        <f t="shared" si="139"/>
        <v>9972.9911190246421</v>
      </c>
      <c r="AO184" s="7">
        <f t="shared" si="140"/>
        <v>14968.859098644847</v>
      </c>
      <c r="AP184" s="7">
        <f t="shared" si="141"/>
        <v>4504.1848164018911</v>
      </c>
      <c r="AQ184" s="7">
        <f t="shared" si="142"/>
        <v>6178.8569754018563</v>
      </c>
      <c r="AR184" s="7">
        <f t="shared" si="143"/>
        <v>8696.7528181776197</v>
      </c>
      <c r="AS184" s="7">
        <f t="shared" si="144"/>
        <v>7511.7306319553572</v>
      </c>
      <c r="AT184" s="7">
        <f t="shared" si="145"/>
        <v>51833.375459606221</v>
      </c>
      <c r="AU184">
        <f>SUM($AT$9:AT184)</f>
        <v>66973997.685870193</v>
      </c>
      <c r="AV184" s="7">
        <f>AT184/(1+$AR$5)^(COUNT($E$9:E184))</f>
        <v>13694.170907299487</v>
      </c>
      <c r="AW184" s="7">
        <f t="shared" si="159"/>
        <v>0</v>
      </c>
      <c r="AX184" s="7">
        <f t="shared" si="146"/>
        <v>0</v>
      </c>
      <c r="AY184" s="117">
        <f t="shared" si="147"/>
        <v>0</v>
      </c>
      <c r="AZ184" s="117">
        <f t="shared" si="148"/>
        <v>51833.375459606221</v>
      </c>
      <c r="BA184" s="120">
        <f t="shared" si="149"/>
        <v>2591.6687729803111</v>
      </c>
      <c r="BB184" s="119">
        <f t="shared" si="114"/>
        <v>230.14211908350035</v>
      </c>
      <c r="BC184" s="17"/>
      <c r="BD184" s="126">
        <f t="shared" si="115"/>
        <v>0.19240481698508327</v>
      </c>
      <c r="BE184" s="127">
        <f t="shared" si="116"/>
        <v>0.28878804372503364</v>
      </c>
      <c r="BF184" s="127">
        <f t="shared" si="117"/>
        <v>8.6897385641265146E-2</v>
      </c>
      <c r="BG184" s="127">
        <f t="shared" si="118"/>
        <v>0.11920614701655004</v>
      </c>
      <c r="BH184" s="127">
        <f t="shared" si="119"/>
        <v>0.16778287620791751</v>
      </c>
      <c r="BI184" s="128">
        <f t="shared" si="120"/>
        <v>0.14492073042415024</v>
      </c>
      <c r="BJ184" s="126">
        <f t="array" ref="BJ184">BD184*INDEX(Royalty!$U$7:$Z$246,MATCH('Decline and Model'!$E184,Royalty!$AI$7:$AI$246,0),MATCH('Decline and Model'!BJ$8,Royalty!$U$1:$Z$1,0))</f>
        <v>6.1721259569613038E-2</v>
      </c>
      <c r="BK184" s="127">
        <f t="array" ref="BK184">BE184*INDEX(Royalty!$U$7:$Z$246,MATCH('Decline and Model'!$E184,Royalty!$AI$7:$AI$246,0),MATCH('Decline and Model'!BK$8,Royalty!$U$1:$Z$1,0))</f>
        <v>8.9806275571825578E-2</v>
      </c>
      <c r="BL184" s="127">
        <f t="array" ref="BL184">BF184*INDEX(Royalty!$U$7:$Z$246,MATCH('Decline and Model'!$E184,Royalty!$AI$7:$AI$246,0),MATCH('Decline and Model'!BL$8,Royalty!$U$1:$Z$1,0))</f>
        <v>2.7977511948002982E-2</v>
      </c>
      <c r="BM184" s="127">
        <f t="array" ref="BM184">BG184*INDEX(Royalty!$U$7:$Z$246,MATCH('Decline and Model'!$E184,Royalty!$AI$7:$AI$246,0),MATCH('Decline and Model'!BM$8,Royalty!$U$1:$Z$1,0))</f>
        <v>3.7145069495130724E-2</v>
      </c>
      <c r="BN184" s="127">
        <f t="array" ref="BN184">BH184*INDEX(Royalty!$U$7:$Z$246,MATCH('Decline and Model'!$E184,Royalty!$AI$7:$AI$246,0),MATCH('Decline and Model'!BN$8,Royalty!$U$1:$Z$1,0))</f>
        <v>2.8737571517505601E-2</v>
      </c>
      <c r="BO184" s="127">
        <f t="array" ref="BO184">BI184*INDEX(Royalty!$U$7:$Z$246,MATCH('Decline and Model'!$E184,Royalty!$AI$7:$AI$246,0),MATCH('Decline and Model'!BO$8,Royalty!$U$1:$Z$1,0))</f>
        <v>7.246036521207512E-3</v>
      </c>
      <c r="BP184" s="135">
        <f t="shared" si="121"/>
        <v>0.05</v>
      </c>
      <c r="BQ184" s="7"/>
      <c r="BR184" s="7"/>
      <c r="BS184">
        <v>176</v>
      </c>
      <c r="BT184" s="120">
        <f t="shared" si="122"/>
        <v>2591.6687729803111</v>
      </c>
      <c r="BU184" s="113">
        <f t="shared" si="123"/>
        <v>9900.8102091649962</v>
      </c>
      <c r="BV184" s="113">
        <f t="shared" si="124"/>
        <v>2970.2430627494991</v>
      </c>
      <c r="BW184" s="113">
        <f t="shared" si="157"/>
        <v>240084.11238746965</v>
      </c>
      <c r="BX184" s="113">
        <f t="shared" si="150"/>
        <v>5306.9274005809439</v>
      </c>
      <c r="BY184" s="120">
        <f t="shared" si="151"/>
        <v>31063.72601413048</v>
      </c>
      <c r="BZ184" s="153">
        <f t="shared" si="158"/>
        <v>0</v>
      </c>
      <c r="CA184" s="120">
        <f t="shared" si="160"/>
        <v>31063.72601413048</v>
      </c>
      <c r="CB184" s="120">
        <f t="shared" si="152"/>
        <v>7765.9315035326199</v>
      </c>
      <c r="CC184" s="153">
        <f t="shared" si="153"/>
        <v>28604.7219111788</v>
      </c>
      <c r="CD184" s="7">
        <f t="shared" si="125"/>
        <v>7557.2533552772948</v>
      </c>
      <c r="CE184" s="11">
        <f>SUM($CD$9:CD184)</f>
        <v>25354756.591627147</v>
      </c>
      <c r="CF184" s="11">
        <f t="shared" si="154"/>
        <v>12000000</v>
      </c>
      <c r="CG184">
        <f t="shared" si="155"/>
        <v>13354756.591627147</v>
      </c>
    </row>
    <row r="185" spans="1:85">
      <c r="A185">
        <f t="shared" si="126"/>
        <v>2031</v>
      </c>
      <c r="B185">
        <f t="shared" si="127"/>
        <v>30.416666666666668</v>
      </c>
      <c r="C185">
        <f t="shared" si="161"/>
        <v>15</v>
      </c>
      <c r="E185" s="97">
        <v>48183</v>
      </c>
      <c r="F185" s="2">
        <f>$F$6*EXP(-$F$3*COUNT($E$9:$E185))</f>
        <v>0.11491529988294304</v>
      </c>
      <c r="G185" s="260">
        <f>$F$6/(1+$F$5*$F$3*COUNT($E$9:$E185))^(1/$F$5)</f>
        <v>3.0428846906452494</v>
      </c>
      <c r="H185" s="260">
        <f>$H$6/(1+$H$5*$H$3*COUNT($E$9:$E185))^(1/$H$5)</f>
        <v>100.73830514148842</v>
      </c>
      <c r="I185" s="260">
        <f t="shared" si="128"/>
        <v>19.188248598378745</v>
      </c>
      <c r="J185" s="260">
        <f t="shared" si="129"/>
        <v>7.9899867163649096</v>
      </c>
      <c r="K185" s="260">
        <f t="shared" si="129"/>
        <v>5.4360308279206988</v>
      </c>
      <c r="L185" s="260">
        <f t="shared" si="129"/>
        <v>2.5923323856409684</v>
      </c>
      <c r="M185" s="260">
        <f t="shared" si="112"/>
        <v>3.1718174933120067</v>
      </c>
      <c r="N185" s="19">
        <f t="shared" si="130"/>
        <v>3.4953403714395175</v>
      </c>
      <c r="O185" s="19">
        <f t="shared" si="131"/>
        <v>92.554409340459671</v>
      </c>
      <c r="P185" s="19">
        <f t="shared" si="132"/>
        <v>3064.1234480536064</v>
      </c>
      <c r="Q185" s="19">
        <f t="shared" si="133"/>
        <v>583.64256153402016</v>
      </c>
      <c r="R185" s="19">
        <f t="shared" si="134"/>
        <v>243.02876262276601</v>
      </c>
      <c r="S185" s="19">
        <f t="shared" si="135"/>
        <v>165.34593768258793</v>
      </c>
      <c r="T185" s="19">
        <f t="shared" si="136"/>
        <v>78.85011006324612</v>
      </c>
      <c r="U185" s="19">
        <f t="shared" si="137"/>
        <v>96.476115421573539</v>
      </c>
      <c r="V185" s="261">
        <f t="shared" si="156"/>
        <v>981.65168577619954</v>
      </c>
      <c r="W185" s="261">
        <f>SUM(O$9:O185)</f>
        <v>559652.1557674075</v>
      </c>
      <c r="X185" s="261">
        <f>SUM(P$9:P185)</f>
        <v>2400140.467144242</v>
      </c>
      <c r="Y185" s="261">
        <f>SUM(Q$9:Q185)</f>
        <v>457169.61278937932</v>
      </c>
      <c r="Z185" s="261">
        <f>SUM($V$9:V185)</f>
        <v>1256085.6998391009</v>
      </c>
      <c r="AB185" s="257">
        <f t="array" ref="AB185">(INDEX(PriceDeck!$C$18:$O$77,MATCH('Decline and Model'!$A185,PriceDeck!$B$18:$B$77,0),MATCH('Decline and Model'!AB$8,PriceDeck!$C$13:$O$13,0))*(1+$AE$6))</f>
        <v>92.4</v>
      </c>
      <c r="AC185" s="257">
        <f t="array" ref="AC185">INDEX(PriceDeck!$C$18:$O$77,MATCH('Decline and Model'!$A185,PriceDeck!$B$18:$B$77,0),MATCH('Decline and Model'!AC$8,PriceDeck!$C$13:$O$13,0))*(1+$AE$6)</f>
        <v>105.5</v>
      </c>
      <c r="AD185" s="257">
        <f t="array" ref="AD185">INDEX(PriceDeck!$C$18:$O$77,MATCH('Decline and Model'!$A185,PriceDeck!$B$18:$B$77,0),MATCH('Decline and Model'!AD$8,PriceDeck!$C$13:$O$13,0))*(1+$AE$6)</f>
        <v>18.399999999999999</v>
      </c>
      <c r="AE185" s="257">
        <f t="array" ref="AE185">INDEX(PriceDeck!$C$18:$O$77,MATCH('Decline and Model'!$A185,PriceDeck!$B$18:$B$77,0),MATCH('Decline and Model'!AE$8,PriceDeck!$C$13:$O$13,0))*(1+$AE$6)</f>
        <v>37.1</v>
      </c>
      <c r="AF185" s="257">
        <f t="array" ref="AF185">INDEX(PriceDeck!$C$18:$O$77,MATCH('Decline and Model'!$A185,PriceDeck!$B$18:$B$77,0),MATCH('Decline and Model'!AF$8,PriceDeck!$C$13:$O$13,0))*(1+$AE$6)</f>
        <v>109.5</v>
      </c>
      <c r="AG185" s="257">
        <f t="array" ref="AG185">INDEX(PriceDeck!$C$18:$O$77,MATCH('Decline and Model'!$A185,PriceDeck!$B$18:$B$77,0),MATCH('Decline and Model'!AG$8,PriceDeck!$C$13:$O$13,0))*(1+$AE$6)</f>
        <v>77.3</v>
      </c>
      <c r="AH185" s="258">
        <f t="array" ref="AH185">INDEX(PriceDeck!$C$18:$O$77,MATCH('Decline and Model'!$A185,PriceDeck!$B$18:$B$77,0),MATCH('Decline and Model'!AH$8,PriceDeck!$C$13:$O$13,0))</f>
        <v>0.85</v>
      </c>
      <c r="AI185" s="258">
        <f t="shared" si="138"/>
        <v>4.8499999999999996</v>
      </c>
      <c r="AJ185" s="259">
        <f t="shared" si="113"/>
        <v>4.8499999999999996</v>
      </c>
      <c r="AK185" s="120">
        <v>4.8499999999999996</v>
      </c>
      <c r="AL185" s="120"/>
      <c r="AN185" s="7">
        <f t="shared" si="139"/>
        <v>9764.4901854184955</v>
      </c>
      <c r="AO185" s="7">
        <f t="shared" si="140"/>
        <v>14860.998723059989</v>
      </c>
      <c r="AP185" s="7">
        <f t="shared" si="141"/>
        <v>4471.7292322588946</v>
      </c>
      <c r="AQ185" s="7">
        <f t="shared" si="142"/>
        <v>6134.3342880240125</v>
      </c>
      <c r="AR185" s="7">
        <f t="shared" si="143"/>
        <v>8634.0870519254495</v>
      </c>
      <c r="AS185" s="7">
        <f t="shared" si="144"/>
        <v>7457.6037220876342</v>
      </c>
      <c r="AT185" s="7">
        <f t="shared" si="145"/>
        <v>51323.24320277448</v>
      </c>
      <c r="AU185">
        <f>SUM($AT$9:AT185)</f>
        <v>67025320.929072969</v>
      </c>
      <c r="AV185" s="7">
        <f>AT185/(1+$AR$5)^(COUNT($E$9:E185))</f>
        <v>13457.234940691462</v>
      </c>
      <c r="AW185" s="7">
        <f t="shared" si="159"/>
        <v>0</v>
      </c>
      <c r="AX185" s="7">
        <f t="shared" si="146"/>
        <v>0</v>
      </c>
      <c r="AY185" s="117">
        <f t="shared" si="147"/>
        <v>0</v>
      </c>
      <c r="AZ185" s="117">
        <f t="shared" si="148"/>
        <v>51323.24320277448</v>
      </c>
      <c r="BA185" s="120">
        <f t="shared" si="149"/>
        <v>2566.1621601387242</v>
      </c>
      <c r="BB185" s="119">
        <f t="shared" si="114"/>
        <v>238.57145422380052</v>
      </c>
      <c r="BC185" s="17"/>
      <c r="BD185" s="126">
        <f t="shared" si="115"/>
        <v>0.19025473793305872</v>
      </c>
      <c r="BE185" s="127">
        <f t="shared" si="116"/>
        <v>0.28955689071217189</v>
      </c>
      <c r="BF185" s="127">
        <f t="shared" si="117"/>
        <v>8.7128734530501337E-2</v>
      </c>
      <c r="BG185" s="127">
        <f t="shared" si="118"/>
        <v>0.11952351225715988</v>
      </c>
      <c r="BH185" s="127">
        <f t="shared" si="119"/>
        <v>0.16822956838118719</v>
      </c>
      <c r="BI185" s="128">
        <f t="shared" si="120"/>
        <v>0.14530655618592092</v>
      </c>
      <c r="BJ185" s="126">
        <f t="array" ref="BJ185">BD185*INDEX(Royalty!$U$7:$Z$246,MATCH('Decline and Model'!$E185,Royalty!$AI$7:$AI$246,0),MATCH('Decline and Model'!BJ$8,Royalty!$U$1:$Z$1,0))</f>
        <v>6.1031538858122313E-2</v>
      </c>
      <c r="BK185" s="127">
        <f t="array" ref="BK185">BE185*INDEX(Royalty!$U$7:$Z$246,MATCH('Decline and Model'!$E185,Royalty!$AI$7:$AI$246,0),MATCH('Decline and Model'!BK$8,Royalty!$U$1:$Z$1,0))</f>
        <v>9.004536886498575E-2</v>
      </c>
      <c r="BL185" s="127">
        <f t="array" ref="BL185">BF185*INDEX(Royalty!$U$7:$Z$246,MATCH('Decline and Model'!$E185,Royalty!$AI$7:$AI$246,0),MATCH('Decline and Model'!BL$8,Royalty!$U$1:$Z$1,0))</f>
        <v>2.8051997115364439E-2</v>
      </c>
      <c r="BM185" s="127">
        <f t="array" ref="BM185">BG185*INDEX(Royalty!$U$7:$Z$246,MATCH('Decline and Model'!$E185,Royalty!$AI$7:$AI$246,0),MATCH('Decline and Model'!BM$8,Royalty!$U$1:$Z$1,0))</f>
        <v>3.7243961659778536E-2</v>
      </c>
      <c r="BN185" s="127">
        <f t="array" ref="BN185">BH185*INDEX(Royalty!$U$7:$Z$246,MATCH('Decline and Model'!$E185,Royalty!$AI$7:$AI$246,0),MATCH('Decline and Model'!BN$8,Royalty!$U$1:$Z$1,0))</f>
        <v>2.8814080208772401E-2</v>
      </c>
      <c r="BO185" s="127">
        <f t="array" ref="BO185">BI185*INDEX(Royalty!$U$7:$Z$246,MATCH('Decline and Model'!$E185,Royalty!$AI$7:$AI$246,0),MATCH('Decline and Model'!BO$8,Royalty!$U$1:$Z$1,0))</f>
        <v>7.2653278092960462E-3</v>
      </c>
      <c r="BP185" s="135">
        <f t="shared" si="121"/>
        <v>0.05</v>
      </c>
      <c r="BQ185" s="7"/>
      <c r="BR185" s="7"/>
      <c r="BS185">
        <v>177</v>
      </c>
      <c r="BT185" s="120">
        <f t="shared" si="122"/>
        <v>2566.1621601387242</v>
      </c>
      <c r="BU185" s="113">
        <f t="shared" si="123"/>
        <v>9816.5168577619952</v>
      </c>
      <c r="BV185" s="113">
        <f t="shared" si="124"/>
        <v>2944.9550573285987</v>
      </c>
      <c r="BW185" s="113">
        <f t="shared" si="157"/>
        <v>234777.18498688869</v>
      </c>
      <c r="BX185" s="113">
        <f t="shared" si="150"/>
        <v>5189.6206860508964</v>
      </c>
      <c r="BY185" s="120">
        <f t="shared" si="151"/>
        <v>30805.988441494264</v>
      </c>
      <c r="BZ185" s="153">
        <f t="shared" si="158"/>
        <v>0</v>
      </c>
      <c r="CA185" s="120">
        <f t="shared" si="160"/>
        <v>30805.988441494264</v>
      </c>
      <c r="CB185" s="120">
        <f t="shared" si="152"/>
        <v>7701.4971103735661</v>
      </c>
      <c r="CC185" s="153">
        <f t="shared" si="153"/>
        <v>28294.112017171596</v>
      </c>
      <c r="CD185" s="7">
        <f t="shared" si="125"/>
        <v>7418.8708486126279</v>
      </c>
      <c r="CE185" s="11">
        <f>SUM($CD$9:CD185)</f>
        <v>25362175.462475758</v>
      </c>
      <c r="CF185" s="11">
        <f t="shared" si="154"/>
        <v>12000000</v>
      </c>
      <c r="CG185">
        <f t="shared" si="155"/>
        <v>13362175.462475758</v>
      </c>
    </row>
    <row r="186" spans="1:85">
      <c r="A186">
        <f t="shared" si="126"/>
        <v>2032</v>
      </c>
      <c r="B186">
        <f t="shared" si="127"/>
        <v>30.416666666666668</v>
      </c>
      <c r="C186">
        <f t="shared" si="161"/>
        <v>15</v>
      </c>
      <c r="E186" s="97">
        <v>48214</v>
      </c>
      <c r="F186" s="2">
        <f>$F$6*EXP(-$F$3*COUNT($E$9:$E186))</f>
        <v>0.10931081457397879</v>
      </c>
      <c r="G186" s="260">
        <f>$F$6/(1+$F$5*$F$3*COUNT($E$9:$E186))^(1/$F$5)</f>
        <v>2.9794737119361043</v>
      </c>
      <c r="H186" s="260">
        <f>$H$6/(1+$H$5*$H$3*COUNT($E$9:$E186))^(1/$H$5)</f>
        <v>100.01613750854231</v>
      </c>
      <c r="I186" s="260">
        <f t="shared" si="128"/>
        <v>19.050692858769963</v>
      </c>
      <c r="J186" s="260">
        <f t="shared" si="129"/>
        <v>7.9327085063918128</v>
      </c>
      <c r="K186" s="260">
        <f t="shared" si="129"/>
        <v>5.3970612868895307</v>
      </c>
      <c r="L186" s="260">
        <f t="shared" si="129"/>
        <v>2.573748605219822</v>
      </c>
      <c r="M186" s="260">
        <f t="shared" si="112"/>
        <v>3.1490795295546752</v>
      </c>
      <c r="N186" s="19">
        <f t="shared" si="130"/>
        <v>3.3248706099585217</v>
      </c>
      <c r="O186" s="19">
        <f t="shared" si="131"/>
        <v>90.625658738056515</v>
      </c>
      <c r="P186" s="19">
        <f t="shared" si="132"/>
        <v>3042.1575158848286</v>
      </c>
      <c r="Q186" s="19">
        <f t="shared" si="133"/>
        <v>579.45857445425304</v>
      </c>
      <c r="R186" s="19">
        <f t="shared" si="134"/>
        <v>241.28655040275098</v>
      </c>
      <c r="S186" s="19">
        <f t="shared" si="135"/>
        <v>164.1606141428899</v>
      </c>
      <c r="T186" s="19">
        <f t="shared" si="136"/>
        <v>78.284853408769592</v>
      </c>
      <c r="U186" s="19">
        <f t="shared" si="137"/>
        <v>95.784502357288034</v>
      </c>
      <c r="V186" s="261">
        <f t="shared" si="156"/>
        <v>973.34921988564815</v>
      </c>
      <c r="W186" s="261">
        <f>SUM(O$9:O186)</f>
        <v>559742.78142614558</v>
      </c>
      <c r="X186" s="261">
        <f>SUM(P$9:P186)</f>
        <v>2403182.6246601269</v>
      </c>
      <c r="Y186" s="261">
        <f>SUM(Q$9:Q186)</f>
        <v>457749.07136383356</v>
      </c>
      <c r="Z186" s="261">
        <f>SUM($V$9:V186)</f>
        <v>1257059.0490589866</v>
      </c>
      <c r="AB186" s="257">
        <f t="array" ref="AB186">(INDEX(PriceDeck!$C$18:$O$77,MATCH('Decline and Model'!$A186,PriceDeck!$B$18:$B$77,0),MATCH('Decline and Model'!AB$8,PriceDeck!$C$13:$O$13,0))*(1+$AE$6))</f>
        <v>94.248000000000005</v>
      </c>
      <c r="AC186" s="257">
        <f t="array" ref="AC186">INDEX(PriceDeck!$C$18:$O$77,MATCH('Decline and Model'!$A186,PriceDeck!$B$18:$B$77,0),MATCH('Decline and Model'!AC$8,PriceDeck!$C$13:$O$13,0))*(1+$AE$6)</f>
        <v>107.61</v>
      </c>
      <c r="AD186" s="257">
        <f t="array" ref="AD186">INDEX(PriceDeck!$C$18:$O$77,MATCH('Decline and Model'!$A186,PriceDeck!$B$18:$B$77,0),MATCH('Decline and Model'!AD$8,PriceDeck!$C$13:$O$13,0))*(1+$AE$6)</f>
        <v>18.767999999999997</v>
      </c>
      <c r="AE186" s="257">
        <f t="array" ref="AE186">INDEX(PriceDeck!$C$18:$O$77,MATCH('Decline and Model'!$A186,PriceDeck!$B$18:$B$77,0),MATCH('Decline and Model'!AE$8,PriceDeck!$C$13:$O$13,0))*(1+$AE$6)</f>
        <v>37.841999999999999</v>
      </c>
      <c r="AF186" s="257">
        <f t="array" ref="AF186">INDEX(PriceDeck!$C$18:$O$77,MATCH('Decline and Model'!$A186,PriceDeck!$B$18:$B$77,0),MATCH('Decline and Model'!AF$8,PriceDeck!$C$13:$O$13,0))*(1+$AE$6)</f>
        <v>111.69</v>
      </c>
      <c r="AG186" s="257">
        <f t="array" ref="AG186">INDEX(PriceDeck!$C$18:$O$77,MATCH('Decline and Model'!$A186,PriceDeck!$B$18:$B$77,0),MATCH('Decline and Model'!AG$8,PriceDeck!$C$13:$O$13,0))*(1+$AE$6)</f>
        <v>78.846000000000004</v>
      </c>
      <c r="AH186" s="258">
        <f t="array" ref="AH186">INDEX(PriceDeck!$C$18:$O$77,MATCH('Decline and Model'!$A186,PriceDeck!$B$18:$B$77,0),MATCH('Decline and Model'!AH$8,PriceDeck!$C$13:$O$13,0))</f>
        <v>0.85</v>
      </c>
      <c r="AI186" s="258">
        <f t="shared" si="138"/>
        <v>4.9470000000000001</v>
      </c>
      <c r="AJ186" s="259">
        <f t="shared" si="113"/>
        <v>4.9470000000000001</v>
      </c>
      <c r="AK186" s="120">
        <v>4.9470000000000001</v>
      </c>
      <c r="AL186" s="120"/>
      <c r="AN186" s="7">
        <f t="shared" si="139"/>
        <v>9752.2271368022612</v>
      </c>
      <c r="AO186" s="7">
        <f t="shared" si="140"/>
        <v>15049.553231082247</v>
      </c>
      <c r="AP186" s="7">
        <f t="shared" si="141"/>
        <v>4528.4659779588292</v>
      </c>
      <c r="AQ186" s="7">
        <f t="shared" si="142"/>
        <v>6212.1659603952394</v>
      </c>
      <c r="AR186" s="7">
        <f t="shared" si="143"/>
        <v>8743.6352772254759</v>
      </c>
      <c r="AS186" s="7">
        <f t="shared" si="144"/>
        <v>7552.2248728627328</v>
      </c>
      <c r="AT186" s="7">
        <f t="shared" si="145"/>
        <v>51838.272456326784</v>
      </c>
      <c r="AU186">
        <f>SUM($AT$9:AT186)</f>
        <v>67077159.201529294</v>
      </c>
      <c r="AV186" s="7">
        <f>AT186/(1+$AR$5)^(COUNT($E$9:E186))</f>
        <v>13489.869618738803</v>
      </c>
      <c r="AW186" s="7">
        <f t="shared" si="159"/>
        <v>0</v>
      </c>
      <c r="AX186" s="7">
        <f t="shared" si="146"/>
        <v>0</v>
      </c>
      <c r="AY186" s="117">
        <f t="shared" si="147"/>
        <v>0</v>
      </c>
      <c r="AZ186" s="117">
        <f t="shared" si="148"/>
        <v>51838.272456326784</v>
      </c>
      <c r="BA186" s="120">
        <f t="shared" si="149"/>
        <v>2591.9136228163393</v>
      </c>
      <c r="BB186" s="119">
        <f t="shared" si="114"/>
        <v>246.8739201143519</v>
      </c>
      <c r="BC186" s="17"/>
      <c r="BD186" s="126">
        <f t="shared" si="115"/>
        <v>0.18812793472271694</v>
      </c>
      <c r="BE186" s="127">
        <f t="shared" si="116"/>
        <v>0.29031741448871279</v>
      </c>
      <c r="BF186" s="127">
        <f t="shared" si="117"/>
        <v>8.7357578935023647E-2</v>
      </c>
      <c r="BG186" s="127">
        <f t="shared" si="118"/>
        <v>0.11983744183660684</v>
      </c>
      <c r="BH186" s="127">
        <f t="shared" si="119"/>
        <v>0.16867142485490619</v>
      </c>
      <c r="BI186" s="128">
        <f t="shared" si="120"/>
        <v>0.14568820516203362</v>
      </c>
      <c r="BJ186" s="126">
        <f t="array" ref="BJ186">BD186*INDEX(Royalty!$U$7:$Z$246,MATCH('Decline and Model'!$E186,Royalty!$AI$7:$AI$246,0),MATCH('Decline and Model'!BJ$8,Royalty!$U$1:$Z$1,0))</f>
        <v>6.1359931874900776E-2</v>
      </c>
      <c r="BK186" s="127">
        <f t="array" ref="BK186">BE186*INDEX(Royalty!$U$7:$Z$246,MATCH('Decline and Model'!$E186,Royalty!$AI$7:$AI$246,0),MATCH('Decline and Model'!BK$8,Royalty!$U$1:$Z$1,0))</f>
        <v>9.1784523284797345E-2</v>
      </c>
      <c r="BL186" s="127">
        <f t="array" ref="BL186">BF186*INDEX(Royalty!$U$7:$Z$246,MATCH('Decline and Model'!$E186,Royalty!$AI$7:$AI$246,0),MATCH('Decline and Model'!BL$8,Royalty!$U$1:$Z$1,0))</f>
        <v>2.8596281840826458E-2</v>
      </c>
      <c r="BM186" s="127">
        <f t="array" ref="BM186">BG186*INDEX(Royalty!$U$7:$Z$246,MATCH('Decline and Model'!$E186,Royalty!$AI$7:$AI$246,0),MATCH('Decline and Model'!BM$8,Royalty!$U$1:$Z$1,0))</f>
        <v>3.7964268596938827E-2</v>
      </c>
      <c r="BN186" s="127">
        <f t="array" ref="BN186">BH186*INDEX(Royalty!$U$7:$Z$246,MATCH('Decline and Model'!$E186,Royalty!$AI$7:$AI$246,0),MATCH('Decline and Model'!BN$8,Royalty!$U$1:$Z$1,0))</f>
        <v>2.9585108598440591E-2</v>
      </c>
      <c r="BO186" s="127">
        <f t="array" ref="BO186">BI186*INDEX(Royalty!$U$7:$Z$246,MATCH('Decline and Model'!$E186,Royalty!$AI$7:$AI$246,0),MATCH('Decline and Model'!BO$8,Royalty!$U$1:$Z$1,0))</f>
        <v>7.2844102581016814E-3</v>
      </c>
      <c r="BP186" s="135">
        <f t="shared" si="121"/>
        <v>0.05</v>
      </c>
      <c r="BQ186" s="7"/>
      <c r="BR186" s="7"/>
      <c r="BS186">
        <v>178</v>
      </c>
      <c r="BT186" s="120">
        <f t="shared" si="122"/>
        <v>2591.9136228163393</v>
      </c>
      <c r="BU186" s="113">
        <f t="shared" si="123"/>
        <v>9733.492198856482</v>
      </c>
      <c r="BV186" s="113">
        <f t="shared" si="124"/>
        <v>2920.0476596569442</v>
      </c>
      <c r="BW186" s="113">
        <f t="shared" si="157"/>
        <v>229587.56430083781</v>
      </c>
      <c r="BX186" s="113">
        <f t="shared" si="150"/>
        <v>5074.9069719964773</v>
      </c>
      <c r="BY186" s="120">
        <f t="shared" si="151"/>
        <v>31517.912003000543</v>
      </c>
      <c r="BZ186" s="153">
        <f t="shared" si="158"/>
        <v>0</v>
      </c>
      <c r="CA186" s="120">
        <f t="shared" si="160"/>
        <v>31517.912003000543</v>
      </c>
      <c r="CB186" s="120">
        <f t="shared" si="152"/>
        <v>7879.4780007501358</v>
      </c>
      <c r="CC186" s="153">
        <f t="shared" si="153"/>
        <v>28713.340974246887</v>
      </c>
      <c r="CD186" s="7">
        <f t="shared" si="125"/>
        <v>7472.0704936166703</v>
      </c>
      <c r="CE186" s="11">
        <f>SUM($CD$9:CD186)</f>
        <v>25369647.532969374</v>
      </c>
      <c r="CF186" s="11">
        <f t="shared" si="154"/>
        <v>12000000</v>
      </c>
      <c r="CG186">
        <f t="shared" si="155"/>
        <v>13369647.532969374</v>
      </c>
    </row>
    <row r="187" spans="1:85">
      <c r="A187">
        <f t="shared" si="126"/>
        <v>2032</v>
      </c>
      <c r="B187">
        <f t="shared" si="127"/>
        <v>30.416666666666668</v>
      </c>
      <c r="C187">
        <f t="shared" si="161"/>
        <v>15</v>
      </c>
      <c r="E187" s="97">
        <v>48245</v>
      </c>
      <c r="F187" s="2">
        <f>$F$6*EXP(-$F$3*COUNT($E$9:$E187))</f>
        <v>0.10397966323891003</v>
      </c>
      <c r="G187" s="260">
        <f>$F$6/(1+$F$5*$F$3*COUNT($E$9:$E187))^(1/$F$5)</f>
        <v>2.917583861954455</v>
      </c>
      <c r="H187" s="260">
        <f>$H$6/(1+$H$5*$H$3*COUNT($E$9:$E187))^(1/$H$5)</f>
        <v>99.302800097741041</v>
      </c>
      <c r="I187" s="260">
        <f t="shared" si="128"/>
        <v>18.914819066236387</v>
      </c>
      <c r="J187" s="260">
        <f t="shared" si="129"/>
        <v>7.8761306591808316</v>
      </c>
      <c r="K187" s="260">
        <f t="shared" si="129"/>
        <v>5.3585682414647682</v>
      </c>
      <c r="L187" s="260">
        <f t="shared" si="129"/>
        <v>2.5553920558485359</v>
      </c>
      <c r="M187" s="260">
        <f t="shared" si="112"/>
        <v>3.1266195916488746</v>
      </c>
      <c r="N187" s="19">
        <f t="shared" si="130"/>
        <v>3.1627147568501801</v>
      </c>
      <c r="O187" s="19">
        <f t="shared" si="131"/>
        <v>88.743175801114674</v>
      </c>
      <c r="P187" s="19">
        <f t="shared" si="132"/>
        <v>3020.4601696396235</v>
      </c>
      <c r="Q187" s="19">
        <f t="shared" si="133"/>
        <v>575.32574659802344</v>
      </c>
      <c r="R187" s="19">
        <f t="shared" si="134"/>
        <v>239.56564088341696</v>
      </c>
      <c r="S187" s="19">
        <f t="shared" si="135"/>
        <v>162.98978401122002</v>
      </c>
      <c r="T187" s="19">
        <f t="shared" si="136"/>
        <v>77.726508365392974</v>
      </c>
      <c r="U187" s="19">
        <f t="shared" si="137"/>
        <v>95.101345912653272</v>
      </c>
      <c r="V187" s="261">
        <f t="shared" si="156"/>
        <v>965.17095553534659</v>
      </c>
      <c r="W187" s="261">
        <f>SUM(O$9:O187)</f>
        <v>559831.5246019467</v>
      </c>
      <c r="X187" s="261">
        <f>SUM(P$9:P187)</f>
        <v>2406203.0848297663</v>
      </c>
      <c r="Y187" s="261">
        <f>SUM(Q$9:Q187)</f>
        <v>458324.39711043157</v>
      </c>
      <c r="Z187" s="261">
        <f>SUM($V$9:V187)</f>
        <v>1258024.2200145219</v>
      </c>
      <c r="AB187" s="257">
        <f t="array" ref="AB187">(INDEX(PriceDeck!$C$18:$O$77,MATCH('Decline and Model'!$A187,PriceDeck!$B$18:$B$77,0),MATCH('Decline and Model'!AB$8,PriceDeck!$C$13:$O$13,0))*(1+$AE$6))</f>
        <v>94.248000000000005</v>
      </c>
      <c r="AC187" s="257">
        <f t="array" ref="AC187">INDEX(PriceDeck!$C$18:$O$77,MATCH('Decline and Model'!$A187,PriceDeck!$B$18:$B$77,0),MATCH('Decline and Model'!AC$8,PriceDeck!$C$13:$O$13,0))*(1+$AE$6)</f>
        <v>107.61</v>
      </c>
      <c r="AD187" s="257">
        <f t="array" ref="AD187">INDEX(PriceDeck!$C$18:$O$77,MATCH('Decline and Model'!$A187,PriceDeck!$B$18:$B$77,0),MATCH('Decline and Model'!AD$8,PriceDeck!$C$13:$O$13,0))*(1+$AE$6)</f>
        <v>18.767999999999997</v>
      </c>
      <c r="AE187" s="257">
        <f t="array" ref="AE187">INDEX(PriceDeck!$C$18:$O$77,MATCH('Decline and Model'!$A187,PriceDeck!$B$18:$B$77,0),MATCH('Decline and Model'!AE$8,PriceDeck!$C$13:$O$13,0))*(1+$AE$6)</f>
        <v>37.841999999999999</v>
      </c>
      <c r="AF187" s="257">
        <f t="array" ref="AF187">INDEX(PriceDeck!$C$18:$O$77,MATCH('Decline and Model'!$A187,PriceDeck!$B$18:$B$77,0),MATCH('Decline and Model'!AF$8,PriceDeck!$C$13:$O$13,0))*(1+$AE$6)</f>
        <v>111.69</v>
      </c>
      <c r="AG187" s="257">
        <f t="array" ref="AG187">INDEX(PriceDeck!$C$18:$O$77,MATCH('Decline and Model'!$A187,PriceDeck!$B$18:$B$77,0),MATCH('Decline and Model'!AG$8,PriceDeck!$C$13:$O$13,0))*(1+$AE$6)</f>
        <v>78.846000000000004</v>
      </c>
      <c r="AH187" s="258">
        <f t="array" ref="AH187">INDEX(PriceDeck!$C$18:$O$77,MATCH('Decline and Model'!$A187,PriceDeck!$B$18:$B$77,0),MATCH('Decline and Model'!AH$8,PriceDeck!$C$13:$O$13,0))</f>
        <v>0.85</v>
      </c>
      <c r="AI187" s="258">
        <f t="shared" si="138"/>
        <v>4.9470000000000001</v>
      </c>
      <c r="AJ187" s="259">
        <f t="shared" si="113"/>
        <v>4.9470000000000001</v>
      </c>
      <c r="AK187" s="120">
        <v>4.9470000000000001</v>
      </c>
      <c r="AL187" s="120"/>
      <c r="AN187" s="7">
        <f t="shared" si="139"/>
        <v>9549.6531479579498</v>
      </c>
      <c r="AO187" s="7">
        <f t="shared" si="140"/>
        <v>14942.216459207217</v>
      </c>
      <c r="AP187" s="7">
        <f t="shared" si="141"/>
        <v>4496.1679480999692</v>
      </c>
      <c r="AQ187" s="7">
        <f t="shared" si="142"/>
        <v>6167.8594065525876</v>
      </c>
      <c r="AR187" s="7">
        <f t="shared" si="143"/>
        <v>8681.2737193307403</v>
      </c>
      <c r="AS187" s="7">
        <f t="shared" si="144"/>
        <v>7498.3607198290601</v>
      </c>
      <c r="AT187" s="7">
        <f t="shared" si="145"/>
        <v>51335.531400977525</v>
      </c>
      <c r="AU187">
        <f>SUM($AT$9:AT187)</f>
        <v>67128494.732930273</v>
      </c>
      <c r="AV187" s="7">
        <f>AT187/(1+$AR$5)^(COUNT($E$9:E187))</f>
        <v>13258.389831870647</v>
      </c>
      <c r="AW187" s="7">
        <f t="shared" si="159"/>
        <v>0</v>
      </c>
      <c r="AX187" s="7">
        <f t="shared" si="146"/>
        <v>0</v>
      </c>
      <c r="AY187" s="117">
        <f t="shared" si="147"/>
        <v>0</v>
      </c>
      <c r="AZ187" s="117">
        <f t="shared" si="148"/>
        <v>51335.531400977525</v>
      </c>
      <c r="BA187" s="120">
        <f t="shared" si="149"/>
        <v>2566.7765700488762</v>
      </c>
      <c r="BB187" s="119">
        <f t="shared" si="114"/>
        <v>255.05218446465346</v>
      </c>
      <c r="BC187" s="17"/>
      <c r="BD187" s="126">
        <f t="shared" si="115"/>
        <v>0.18602423871619075</v>
      </c>
      <c r="BE187" s="127">
        <f t="shared" si="116"/>
        <v>0.29106967535788847</v>
      </c>
      <c r="BF187" s="127">
        <f t="shared" si="117"/>
        <v>8.7583937000296708E-2</v>
      </c>
      <c r="BG187" s="127">
        <f t="shared" si="118"/>
        <v>0.12014796064690469</v>
      </c>
      <c r="BH187" s="127">
        <f t="shared" si="119"/>
        <v>0.16910848066463052</v>
      </c>
      <c r="BI187" s="128">
        <f t="shared" si="120"/>
        <v>0.14606570761408885</v>
      </c>
      <c r="BJ187" s="126">
        <f t="array" ref="BJ187">BD187*INDEX(Royalty!$U$7:$Z$246,MATCH('Decline and Model'!$E187,Royalty!$AI$7:$AI$246,0),MATCH('Decline and Model'!BJ$8,Royalty!$U$1:$Z$1,0))</f>
        <v>6.0673788991143493E-2</v>
      </c>
      <c r="BK187" s="127">
        <f t="array" ref="BK187">BE187*INDEX(Royalty!$U$7:$Z$246,MATCH('Decline and Model'!$E187,Royalty!$AI$7:$AI$246,0),MATCH('Decline and Model'!BK$8,Royalty!$U$1:$Z$1,0))</f>
        <v>9.2022352301650137E-2</v>
      </c>
      <c r="BL187" s="127">
        <f t="array" ref="BL187">BF187*INDEX(Royalty!$U$7:$Z$246,MATCH('Decline and Model'!$E187,Royalty!$AI$7:$AI$246,0),MATCH('Decline and Model'!BL$8,Royalty!$U$1:$Z$1,0))</f>
        <v>2.8670379579229983E-2</v>
      </c>
      <c r="BM187" s="127">
        <f t="array" ref="BM187">BG187*INDEX(Royalty!$U$7:$Z$246,MATCH('Decline and Model'!$E187,Royalty!$AI$7:$AI$246,0),MATCH('Decline and Model'!BM$8,Royalty!$U$1:$Z$1,0))</f>
        <v>3.8062640352359164E-2</v>
      </c>
      <c r="BN187" s="127">
        <f t="array" ref="BN187">BH187*INDEX(Royalty!$U$7:$Z$246,MATCH('Decline and Model'!$E187,Royalty!$AI$7:$AI$246,0),MATCH('Decline and Model'!BN$8,Royalty!$U$1:$Z$1,0))</f>
        <v>2.966176855198872E-2</v>
      </c>
      <c r="BO187" s="127">
        <f t="array" ref="BO187">BI187*INDEX(Royalty!$U$7:$Z$246,MATCH('Decline and Model'!$E187,Royalty!$AI$7:$AI$246,0),MATCH('Decline and Model'!BO$8,Royalty!$U$1:$Z$1,0))</f>
        <v>7.3032853807044433E-3</v>
      </c>
      <c r="BP187" s="135">
        <f t="shared" si="121"/>
        <v>0.05</v>
      </c>
      <c r="BQ187" s="7"/>
      <c r="BR187" s="7"/>
      <c r="BS187">
        <v>179</v>
      </c>
      <c r="BT187" s="120">
        <f t="shared" si="122"/>
        <v>2566.7765700488762</v>
      </c>
      <c r="BU187" s="113">
        <f t="shared" si="123"/>
        <v>9651.7095553534655</v>
      </c>
      <c r="BV187" s="113">
        <f t="shared" si="124"/>
        <v>2895.51286660604</v>
      </c>
      <c r="BW187" s="113">
        <f t="shared" si="157"/>
        <v>224512.65732884133</v>
      </c>
      <c r="BX187" s="113">
        <f t="shared" si="150"/>
        <v>4962.7289415667847</v>
      </c>
      <c r="BY187" s="120">
        <f t="shared" si="151"/>
        <v>31258.803467402358</v>
      </c>
      <c r="BZ187" s="153">
        <f t="shared" si="158"/>
        <v>0</v>
      </c>
      <c r="CA187" s="120">
        <f t="shared" si="160"/>
        <v>31258.803467402358</v>
      </c>
      <c r="CB187" s="120">
        <f t="shared" si="152"/>
        <v>7814.7008668505896</v>
      </c>
      <c r="CC187" s="153">
        <f t="shared" si="153"/>
        <v>28406.831542118554</v>
      </c>
      <c r="CD187" s="7">
        <f t="shared" si="125"/>
        <v>7336.6114306262998</v>
      </c>
      <c r="CE187" s="11">
        <f>SUM($CD$9:CD187)</f>
        <v>25376984.144400001</v>
      </c>
      <c r="CF187" s="11">
        <f t="shared" si="154"/>
        <v>12000000</v>
      </c>
      <c r="CG187">
        <f t="shared" si="155"/>
        <v>13376984.144400001</v>
      </c>
    </row>
    <row r="188" spans="1:85">
      <c r="A188">
        <f t="shared" si="126"/>
        <v>2032</v>
      </c>
      <c r="B188">
        <f t="shared" si="127"/>
        <v>30.416666666666668</v>
      </c>
      <c r="C188">
        <f t="shared" si="161"/>
        <v>15</v>
      </c>
      <c r="E188" s="97">
        <v>48274</v>
      </c>
      <c r="F188" s="2">
        <f>$F$6*EXP(-$F$3*COUNT($E$9:$E188))</f>
        <v>9.8908515222526555E-2</v>
      </c>
      <c r="G188" s="260">
        <f>$F$6/(1+$F$5*$F$3*COUNT($E$9:$E188))^(1/$F$5)</f>
        <v>2.8571738914888671</v>
      </c>
      <c r="H188" s="260">
        <f>$H$6/(1+$H$5*$H$3*COUNT($E$9:$E188))^(1/$H$5)</f>
        <v>98.598140722627832</v>
      </c>
      <c r="I188" s="260">
        <f t="shared" si="128"/>
        <v>18.780598232881491</v>
      </c>
      <c r="J188" s="260">
        <f t="shared" si="129"/>
        <v>7.8202411041718527</v>
      </c>
      <c r="K188" s="260">
        <f t="shared" si="129"/>
        <v>5.3205434793753268</v>
      </c>
      <c r="L188" s="260">
        <f t="shared" si="129"/>
        <v>2.5372588212622893</v>
      </c>
      <c r="M188" s="260">
        <f t="shared" si="112"/>
        <v>3.1044328878953107</v>
      </c>
      <c r="N188" s="19">
        <f t="shared" si="130"/>
        <v>3.0084673380185163</v>
      </c>
      <c r="O188" s="19">
        <f t="shared" si="131"/>
        <v>86.905705866119717</v>
      </c>
      <c r="P188" s="19">
        <f t="shared" si="132"/>
        <v>2999.0267803132633</v>
      </c>
      <c r="Q188" s="19">
        <f t="shared" si="133"/>
        <v>571.24319625014539</v>
      </c>
      <c r="R188" s="19">
        <f t="shared" si="134"/>
        <v>237.86566691856052</v>
      </c>
      <c r="S188" s="19">
        <f t="shared" si="135"/>
        <v>161.83319749766619</v>
      </c>
      <c r="T188" s="19">
        <f t="shared" si="136"/>
        <v>77.174955813394632</v>
      </c>
      <c r="U188" s="19">
        <f t="shared" si="137"/>
        <v>94.426500340149033</v>
      </c>
      <c r="V188" s="261">
        <f t="shared" si="156"/>
        <v>957.11429489282375</v>
      </c>
      <c r="W188" s="261">
        <f>SUM(O$9:O188)</f>
        <v>559918.43030781287</v>
      </c>
      <c r="X188" s="261">
        <f>SUM(P$9:P188)</f>
        <v>2409202.1116100796</v>
      </c>
      <c r="Y188" s="261">
        <f>SUM(Q$9:Q188)</f>
        <v>458895.64030668174</v>
      </c>
      <c r="Z188" s="261">
        <f>SUM($V$9:V188)</f>
        <v>1258981.3343094147</v>
      </c>
      <c r="AB188" s="257">
        <f t="array" ref="AB188">(INDEX(PriceDeck!$C$18:$O$77,MATCH('Decline and Model'!$A188,PriceDeck!$B$18:$B$77,0),MATCH('Decline and Model'!AB$8,PriceDeck!$C$13:$O$13,0))*(1+$AE$6))</f>
        <v>94.248000000000005</v>
      </c>
      <c r="AC188" s="257">
        <f t="array" ref="AC188">INDEX(PriceDeck!$C$18:$O$77,MATCH('Decline and Model'!$A188,PriceDeck!$B$18:$B$77,0),MATCH('Decline and Model'!AC$8,PriceDeck!$C$13:$O$13,0))*(1+$AE$6)</f>
        <v>107.61</v>
      </c>
      <c r="AD188" s="257">
        <f t="array" ref="AD188">INDEX(PriceDeck!$C$18:$O$77,MATCH('Decline and Model'!$A188,PriceDeck!$B$18:$B$77,0),MATCH('Decline and Model'!AD$8,PriceDeck!$C$13:$O$13,0))*(1+$AE$6)</f>
        <v>18.767999999999997</v>
      </c>
      <c r="AE188" s="257">
        <f t="array" ref="AE188">INDEX(PriceDeck!$C$18:$O$77,MATCH('Decline and Model'!$A188,PriceDeck!$B$18:$B$77,0),MATCH('Decline and Model'!AE$8,PriceDeck!$C$13:$O$13,0))*(1+$AE$6)</f>
        <v>37.841999999999999</v>
      </c>
      <c r="AF188" s="257">
        <f t="array" ref="AF188">INDEX(PriceDeck!$C$18:$O$77,MATCH('Decline and Model'!$A188,PriceDeck!$B$18:$B$77,0),MATCH('Decline and Model'!AF$8,PriceDeck!$C$13:$O$13,0))*(1+$AE$6)</f>
        <v>111.69</v>
      </c>
      <c r="AG188" s="257">
        <f t="array" ref="AG188">INDEX(PriceDeck!$C$18:$O$77,MATCH('Decline and Model'!$A188,PriceDeck!$B$18:$B$77,0),MATCH('Decline and Model'!AG$8,PriceDeck!$C$13:$O$13,0))*(1+$AE$6)</f>
        <v>78.846000000000004</v>
      </c>
      <c r="AH188" s="258">
        <f t="array" ref="AH188">INDEX(PriceDeck!$C$18:$O$77,MATCH('Decline and Model'!$A188,PriceDeck!$B$18:$B$77,0),MATCH('Decline and Model'!AH$8,PriceDeck!$C$13:$O$13,0))</f>
        <v>0.85</v>
      </c>
      <c r="AI188" s="258">
        <f t="shared" si="138"/>
        <v>4.9470000000000001</v>
      </c>
      <c r="AJ188" s="259">
        <f t="shared" si="113"/>
        <v>4.9470000000000001</v>
      </c>
      <c r="AK188" s="120">
        <v>4.9470000000000001</v>
      </c>
      <c r="AL188" s="120"/>
      <c r="AN188" s="7">
        <f t="shared" si="139"/>
        <v>9351.9230082531431</v>
      </c>
      <c r="AO188" s="7">
        <f t="shared" si="140"/>
        <v>14836.185482209714</v>
      </c>
      <c r="AP188" s="7">
        <f t="shared" si="141"/>
        <v>4464.2628367275429</v>
      </c>
      <c r="AQ188" s="7">
        <f t="shared" si="142"/>
        <v>6124.0918597066839</v>
      </c>
      <c r="AR188" s="7">
        <f t="shared" si="143"/>
        <v>8619.6708147980462</v>
      </c>
      <c r="AS188" s="7">
        <f t="shared" si="144"/>
        <v>7445.1518458193914</v>
      </c>
      <c r="AT188" s="7">
        <f t="shared" si="145"/>
        <v>50841.285847514519</v>
      </c>
      <c r="AU188">
        <f>SUM($AT$9:AT188)</f>
        <v>67179336.018777788</v>
      </c>
      <c r="AV188" s="7">
        <f>AT188/(1+$AR$5)^(COUNT($E$9:E188))</f>
        <v>13031.809965095377</v>
      </c>
      <c r="AW188" s="7">
        <f t="shared" si="159"/>
        <v>0</v>
      </c>
      <c r="AX188" s="7">
        <f t="shared" si="146"/>
        <v>0</v>
      </c>
      <c r="AY188" s="117">
        <f t="shared" si="147"/>
        <v>0</v>
      </c>
      <c r="AZ188" s="117">
        <f t="shared" si="148"/>
        <v>50841.285847514519</v>
      </c>
      <c r="BA188" s="120">
        <f t="shared" si="149"/>
        <v>2542.0642923757259</v>
      </c>
      <c r="BB188" s="119">
        <f t="shared" si="114"/>
        <v>263.10884510717631</v>
      </c>
      <c r="BC188" s="17"/>
      <c r="BD188" s="126">
        <f t="shared" si="115"/>
        <v>0.18394347924837803</v>
      </c>
      <c r="BE188" s="127">
        <f t="shared" si="116"/>
        <v>0.29181373434785013</v>
      </c>
      <c r="BF188" s="127">
        <f t="shared" si="117"/>
        <v>8.7807827089915899E-2</v>
      </c>
      <c r="BG188" s="127">
        <f t="shared" si="118"/>
        <v>0.12045509387929992</v>
      </c>
      <c r="BH188" s="127">
        <f t="shared" si="119"/>
        <v>0.169540771267087</v>
      </c>
      <c r="BI188" s="128">
        <f t="shared" si="120"/>
        <v>0.14643909416746909</v>
      </c>
      <c r="BJ188" s="126">
        <f t="array" ref="BJ188">BD188*INDEX(Royalty!$U$7:$Z$246,MATCH('Decline and Model'!$E188,Royalty!$AI$7:$AI$246,0),MATCH('Decline and Model'!BJ$8,Royalty!$U$1:$Z$1,0))</f>
        <v>5.9995127104054663E-2</v>
      </c>
      <c r="BK188" s="127">
        <f t="array" ref="BK188">BE188*INDEX(Royalty!$U$7:$Z$246,MATCH('Decline and Model'!$E188,Royalty!$AI$7:$AI$246,0),MATCH('Decline and Model'!BK$8,Royalty!$U$1:$Z$1,0))</f>
        <v>9.2257588275384855E-2</v>
      </c>
      <c r="BL188" s="127">
        <f t="array" ref="BL188">BF188*INDEX(Royalty!$U$7:$Z$246,MATCH('Decline and Model'!$E188,Royalty!$AI$7:$AI$246,0),MATCH('Decline and Model'!BL$8,Royalty!$U$1:$Z$1,0))</f>
        <v>2.8743669432064391E-2</v>
      </c>
      <c r="BM188" s="127">
        <f t="array" ref="BM188">BG188*INDEX(Royalty!$U$7:$Z$246,MATCH('Decline and Model'!$E188,Royalty!$AI$7:$AI$246,0),MATCH('Decline and Model'!BM$8,Royalty!$U$1:$Z$1,0))</f>
        <v>3.8159939563281876E-2</v>
      </c>
      <c r="BN188" s="127">
        <f t="array" ref="BN188">BH188*INDEX(Royalty!$U$7:$Z$246,MATCH('Decline and Model'!$E188,Royalty!$AI$7:$AI$246,0),MATCH('Decline and Model'!BN$8,Royalty!$U$1:$Z$1,0))</f>
        <v>2.9737592684207687E-2</v>
      </c>
      <c r="BO188" s="127">
        <f t="array" ref="BO188">BI188*INDEX(Royalty!$U$7:$Z$246,MATCH('Decline and Model'!$E188,Royalty!$AI$7:$AI$246,0),MATCH('Decline and Model'!BO$8,Royalty!$U$1:$Z$1,0))</f>
        <v>7.3219547083734548E-3</v>
      </c>
      <c r="BP188" s="135">
        <f t="shared" si="121"/>
        <v>0.05</v>
      </c>
      <c r="BQ188" s="7"/>
      <c r="BR188" s="7"/>
      <c r="BS188">
        <v>180</v>
      </c>
      <c r="BT188" s="120">
        <f t="shared" si="122"/>
        <v>2542.0642923757259</v>
      </c>
      <c r="BU188" s="113">
        <f t="shared" si="123"/>
        <v>9571.1429489282382</v>
      </c>
      <c r="BV188" s="113">
        <f t="shared" si="124"/>
        <v>2871.3428846784714</v>
      </c>
      <c r="BW188" s="113">
        <f t="shared" si="157"/>
        <v>219549.92838727456</v>
      </c>
      <c r="BX188" s="113">
        <f t="shared" si="150"/>
        <v>4853.0305448684139</v>
      </c>
      <c r="BY188" s="120">
        <f t="shared" si="151"/>
        <v>31003.705176663665</v>
      </c>
      <c r="BZ188" s="153">
        <f t="shared" si="158"/>
        <v>0</v>
      </c>
      <c r="CA188" s="120">
        <f t="shared" si="160"/>
        <v>31003.705176663665</v>
      </c>
      <c r="CB188" s="120">
        <f t="shared" si="152"/>
        <v>7750.9262941659163</v>
      </c>
      <c r="CC188" s="153">
        <f t="shared" si="153"/>
        <v>28105.809427366163</v>
      </c>
      <c r="CD188" s="7">
        <f t="shared" si="125"/>
        <v>7204.1759225200203</v>
      </c>
      <c r="CE188" s="11">
        <f>SUM($CD$9:CD188)</f>
        <v>25384188.320322521</v>
      </c>
      <c r="CF188" s="11">
        <f t="shared" si="154"/>
        <v>12000000</v>
      </c>
      <c r="CG188">
        <f t="shared" si="155"/>
        <v>13384188.320322521</v>
      </c>
    </row>
    <row r="189" spans="1:85">
      <c r="A189">
        <f t="shared" si="126"/>
        <v>2032</v>
      </c>
      <c r="B189">
        <f t="shared" si="127"/>
        <v>30.416666666666668</v>
      </c>
      <c r="C189">
        <f t="shared" si="161"/>
        <v>16</v>
      </c>
      <c r="E189" s="97">
        <v>48305</v>
      </c>
      <c r="F189" s="2">
        <f>$F$6*EXP(-$F$3*COUNT($E$9:$E189))</f>
        <v>9.4084690013343963E-2</v>
      </c>
      <c r="G189" s="260">
        <f>$F$6/(1+$F$5*$F$3*COUNT($E$9:$E189))^(1/$F$5)</f>
        <v>2.7982037981497827</v>
      </c>
      <c r="H189" s="260">
        <f>$H$6/(1+$H$5*$H$3*COUNT($E$9:$E189))^(1/$H$5)</f>
        <v>97.902010573998794</v>
      </c>
      <c r="I189" s="260">
        <f t="shared" si="128"/>
        <v>18.648002014095006</v>
      </c>
      <c r="J189" s="260">
        <f t="shared" si="129"/>
        <v>7.7650280386691604</v>
      </c>
      <c r="K189" s="260">
        <f t="shared" si="129"/>
        <v>5.2829789705931152</v>
      </c>
      <c r="L189" s="260">
        <f t="shared" si="129"/>
        <v>2.5193450721042354</v>
      </c>
      <c r="M189" s="260">
        <f t="shared" si="112"/>
        <v>3.0825147329299045</v>
      </c>
      <c r="N189" s="19">
        <f t="shared" si="130"/>
        <v>2.8617426545725455</v>
      </c>
      <c r="O189" s="19">
        <f t="shared" si="131"/>
        <v>85.112032193722555</v>
      </c>
      <c r="P189" s="19">
        <f t="shared" si="132"/>
        <v>2977.8528216257969</v>
      </c>
      <c r="Q189" s="19">
        <f t="shared" si="133"/>
        <v>567.21006126205646</v>
      </c>
      <c r="R189" s="19">
        <f t="shared" si="134"/>
        <v>236.18626950952032</v>
      </c>
      <c r="S189" s="19">
        <f t="shared" si="135"/>
        <v>160.6906103555406</v>
      </c>
      <c r="T189" s="19">
        <f t="shared" si="136"/>
        <v>76.630079276503835</v>
      </c>
      <c r="U189" s="19">
        <f t="shared" si="137"/>
        <v>93.759823126617931</v>
      </c>
      <c r="V189" s="261">
        <f t="shared" si="156"/>
        <v>949.17670785677024</v>
      </c>
      <c r="W189" s="261">
        <f>SUM(O$9:O189)</f>
        <v>560003.54234000656</v>
      </c>
      <c r="X189" s="261">
        <f>SUM(P$9:P189)</f>
        <v>2412179.9644317054</v>
      </c>
      <c r="Y189" s="261">
        <f>SUM(Q$9:Q189)</f>
        <v>459462.85036794381</v>
      </c>
      <c r="Z189" s="261">
        <f>SUM($V$9:V189)</f>
        <v>1259930.5110172716</v>
      </c>
      <c r="AB189" s="257">
        <f t="array" ref="AB189">(INDEX(PriceDeck!$C$18:$O$77,MATCH('Decline and Model'!$A189,PriceDeck!$B$18:$B$77,0),MATCH('Decline and Model'!AB$8,PriceDeck!$C$13:$O$13,0))*(1+$AE$6))</f>
        <v>94.248000000000005</v>
      </c>
      <c r="AC189" s="257">
        <f t="array" ref="AC189">INDEX(PriceDeck!$C$18:$O$77,MATCH('Decline and Model'!$A189,PriceDeck!$B$18:$B$77,0),MATCH('Decline and Model'!AC$8,PriceDeck!$C$13:$O$13,0))*(1+$AE$6)</f>
        <v>107.61</v>
      </c>
      <c r="AD189" s="257">
        <f t="array" ref="AD189">INDEX(PriceDeck!$C$18:$O$77,MATCH('Decline and Model'!$A189,PriceDeck!$B$18:$B$77,0),MATCH('Decline and Model'!AD$8,PriceDeck!$C$13:$O$13,0))*(1+$AE$6)</f>
        <v>18.767999999999997</v>
      </c>
      <c r="AE189" s="257">
        <f t="array" ref="AE189">INDEX(PriceDeck!$C$18:$O$77,MATCH('Decline and Model'!$A189,PriceDeck!$B$18:$B$77,0),MATCH('Decline and Model'!AE$8,PriceDeck!$C$13:$O$13,0))*(1+$AE$6)</f>
        <v>37.841999999999999</v>
      </c>
      <c r="AF189" s="257">
        <f t="array" ref="AF189">INDEX(PriceDeck!$C$18:$O$77,MATCH('Decline and Model'!$A189,PriceDeck!$B$18:$B$77,0),MATCH('Decline and Model'!AF$8,PriceDeck!$C$13:$O$13,0))*(1+$AE$6)</f>
        <v>111.69</v>
      </c>
      <c r="AG189" s="257">
        <f t="array" ref="AG189">INDEX(PriceDeck!$C$18:$O$77,MATCH('Decline and Model'!$A189,PriceDeck!$B$18:$B$77,0),MATCH('Decline and Model'!AG$8,PriceDeck!$C$13:$O$13,0))*(1+$AE$6)</f>
        <v>78.846000000000004</v>
      </c>
      <c r="AH189" s="258">
        <f t="array" ref="AH189">INDEX(PriceDeck!$C$18:$O$77,MATCH('Decline and Model'!$A189,PriceDeck!$B$18:$B$77,0),MATCH('Decline and Model'!AH$8,PriceDeck!$C$13:$O$13,0))</f>
        <v>0.85</v>
      </c>
      <c r="AI189" s="258">
        <f t="shared" si="138"/>
        <v>4.9470000000000001</v>
      </c>
      <c r="AJ189" s="259">
        <f t="shared" si="113"/>
        <v>4.9470000000000001</v>
      </c>
      <c r="AK189" s="120">
        <v>4.9470000000000001</v>
      </c>
      <c r="AL189" s="120"/>
      <c r="AN189" s="7">
        <f t="shared" si="139"/>
        <v>9158.905784366485</v>
      </c>
      <c r="AO189" s="7">
        <f t="shared" si="140"/>
        <v>14731.437908582817</v>
      </c>
      <c r="AP189" s="7">
        <f t="shared" si="141"/>
        <v>4432.7439061546766</v>
      </c>
      <c r="AQ189" s="7">
        <f t="shared" si="142"/>
        <v>6080.8540770743675</v>
      </c>
      <c r="AR189" s="7">
        <f t="shared" si="143"/>
        <v>8558.8135543927128</v>
      </c>
      <c r="AS189" s="7">
        <f t="shared" si="144"/>
        <v>7392.5870142413178</v>
      </c>
      <c r="AT189" s="7">
        <f t="shared" si="145"/>
        <v>50355.342244812382</v>
      </c>
      <c r="AU189">
        <f>SUM($AT$9:AT189)</f>
        <v>67229691.361022606</v>
      </c>
      <c r="AV189" s="7">
        <f>AT189/(1+$AR$5)^(COUNT($E$9:E189))</f>
        <v>12810.003678722782</v>
      </c>
      <c r="AW189" s="7">
        <f t="shared" si="159"/>
        <v>0</v>
      </c>
      <c r="AX189" s="7">
        <f t="shared" si="146"/>
        <v>0</v>
      </c>
      <c r="AY189" s="117">
        <f t="shared" si="147"/>
        <v>0</v>
      </c>
      <c r="AZ189" s="117">
        <f t="shared" si="148"/>
        <v>50355.342244812382</v>
      </c>
      <c r="BA189" s="120">
        <f t="shared" si="149"/>
        <v>2517.7671122406191</v>
      </c>
      <c r="BB189" s="119">
        <f t="shared" si="114"/>
        <v>271.04643214322982</v>
      </c>
      <c r="BC189" s="17"/>
      <c r="BD189" s="126">
        <f t="shared" si="115"/>
        <v>0.18188548376533054</v>
      </c>
      <c r="BE189" s="127">
        <f t="shared" si="116"/>
        <v>0.29254965316218168</v>
      </c>
      <c r="BF189" s="127">
        <f t="shared" si="117"/>
        <v>8.802926777071679E-2</v>
      </c>
      <c r="BG189" s="127">
        <f t="shared" si="118"/>
        <v>0.12075886700384443</v>
      </c>
      <c r="BH189" s="127">
        <f t="shared" si="119"/>
        <v>0.16996833251142174</v>
      </c>
      <c r="BI189" s="128">
        <f t="shared" si="120"/>
        <v>0.14680839578650473</v>
      </c>
      <c r="BJ189" s="126">
        <f t="array" ref="BJ189">BD189*INDEX(Royalty!$U$7:$Z$246,MATCH('Decline and Model'!$E189,Royalty!$AI$7:$AI$246,0),MATCH('Decline and Model'!BJ$8,Royalty!$U$1:$Z$1,0))</f>
        <v>5.9323889933324166E-2</v>
      </c>
      <c r="BK189" s="127">
        <f t="array" ref="BK189">BE189*INDEX(Royalty!$U$7:$Z$246,MATCH('Decline and Model'!$E189,Royalty!$AI$7:$AI$246,0),MATCH('Decline and Model'!BK$8,Royalty!$U$1:$Z$1,0))</f>
        <v>9.2490250713732527E-2</v>
      </c>
      <c r="BL189" s="127">
        <f t="array" ref="BL189">BF189*INDEX(Royalty!$U$7:$Z$246,MATCH('Decline and Model'!$E189,Royalty!$AI$7:$AI$246,0),MATCH('Decline and Model'!BL$8,Royalty!$U$1:$Z$1,0))</f>
        <v>2.8816157477136208E-2</v>
      </c>
      <c r="BM189" s="127">
        <f t="array" ref="BM189">BG189*INDEX(Royalty!$U$7:$Z$246,MATCH('Decline and Model'!$E189,Royalty!$AI$7:$AI$246,0),MATCH('Decline and Model'!BM$8,Royalty!$U$1:$Z$1,0))</f>
        <v>3.8256174298569895E-2</v>
      </c>
      <c r="BN189" s="127">
        <f t="array" ref="BN189">BH189*INDEX(Royalty!$U$7:$Z$246,MATCH('Decline and Model'!$E189,Royalty!$AI$7:$AI$246,0),MATCH('Decline and Model'!BN$8,Royalty!$U$1:$Z$1,0))</f>
        <v>2.9812587283067623E-2</v>
      </c>
      <c r="BO189" s="127">
        <f t="array" ref="BO189">BI189*INDEX(Royalty!$U$7:$Z$246,MATCH('Decline and Model'!$E189,Royalty!$AI$7:$AI$246,0),MATCH('Decline and Model'!BO$8,Royalty!$U$1:$Z$1,0))</f>
        <v>7.3404197893252371E-3</v>
      </c>
      <c r="BP189" s="135">
        <f t="shared" si="121"/>
        <v>0.05</v>
      </c>
      <c r="BQ189" s="7"/>
      <c r="BR189" s="7"/>
      <c r="BS189">
        <v>181</v>
      </c>
      <c r="BT189" s="120">
        <f t="shared" si="122"/>
        <v>2517.7671122406191</v>
      </c>
      <c r="BU189" s="113">
        <f t="shared" si="123"/>
        <v>9491.7670785677019</v>
      </c>
      <c r="BV189" s="113">
        <f t="shared" si="124"/>
        <v>2847.5301235703109</v>
      </c>
      <c r="BW189" s="113">
        <f t="shared" si="157"/>
        <v>214696.89784240615</v>
      </c>
      <c r="BX189" s="113">
        <f t="shared" si="150"/>
        <v>4745.7569709600621</v>
      </c>
      <c r="BY189" s="120">
        <f t="shared" si="151"/>
        <v>30752.520959473692</v>
      </c>
      <c r="BZ189" s="153">
        <f t="shared" si="158"/>
        <v>0</v>
      </c>
      <c r="CA189" s="120">
        <f t="shared" si="160"/>
        <v>30752.520959473692</v>
      </c>
      <c r="CB189" s="120">
        <f t="shared" si="152"/>
        <v>7688.1302398684229</v>
      </c>
      <c r="CC189" s="153">
        <f t="shared" si="153"/>
        <v>27810.147690565329</v>
      </c>
      <c r="CD189" s="7">
        <f t="shared" si="125"/>
        <v>7074.6832081886305</v>
      </c>
      <c r="CE189" s="11">
        <f>SUM($CD$9:CD189)</f>
        <v>25391263.003530711</v>
      </c>
      <c r="CF189" s="11">
        <f t="shared" si="154"/>
        <v>12000000</v>
      </c>
      <c r="CG189">
        <f t="shared" si="155"/>
        <v>13391263.003530711</v>
      </c>
    </row>
    <row r="190" spans="1:85">
      <c r="A190">
        <f t="shared" si="126"/>
        <v>2032</v>
      </c>
      <c r="B190">
        <f t="shared" si="127"/>
        <v>30.416666666666668</v>
      </c>
      <c r="C190">
        <f t="shared" si="161"/>
        <v>16</v>
      </c>
      <c r="E190" s="97">
        <v>48335</v>
      </c>
      <c r="F190" s="2">
        <f>$F$6*EXP(-$F$3*COUNT($E$9:$E190))</f>
        <v>8.9496125535721352E-2</v>
      </c>
      <c r="G190" s="260">
        <f>$F$6/(1+$F$5*$F$3*COUNT($E$9:$E190))^(1/$F$5)</f>
        <v>2.740634784830668</v>
      </c>
      <c r="H190" s="260">
        <f>$H$6/(1+$H$5*$H$3*COUNT($E$9:$E190))^(1/$H$5)</f>
        <v>97.214264128383874</v>
      </c>
      <c r="I190" s="260">
        <f t="shared" si="128"/>
        <v>18.517002691120737</v>
      </c>
      <c r="J190" s="260">
        <f t="shared" si="129"/>
        <v>7.7104799205826753</v>
      </c>
      <c r="K190" s="260">
        <f t="shared" si="129"/>
        <v>5.2458668623945046</v>
      </c>
      <c r="L190" s="260">
        <f t="shared" si="129"/>
        <v>2.5016470635704118</v>
      </c>
      <c r="M190" s="260">
        <f t="shared" si="112"/>
        <v>3.0608605448422579</v>
      </c>
      <c r="N190" s="19">
        <f t="shared" si="130"/>
        <v>2.7221738183781912</v>
      </c>
      <c r="O190" s="19">
        <f t="shared" si="131"/>
        <v>83.360974705266159</v>
      </c>
      <c r="P190" s="19">
        <f t="shared" si="132"/>
        <v>2956.9338672383428</v>
      </c>
      <c r="Q190" s="19">
        <f t="shared" si="133"/>
        <v>563.22549852158909</v>
      </c>
      <c r="R190" s="19">
        <f t="shared" si="134"/>
        <v>234.52709758438971</v>
      </c>
      <c r="S190" s="19">
        <f t="shared" si="135"/>
        <v>159.5617837311662</v>
      </c>
      <c r="T190" s="19">
        <f t="shared" si="136"/>
        <v>76.091764850266699</v>
      </c>
      <c r="U190" s="19">
        <f t="shared" si="137"/>
        <v>93.101174905618677</v>
      </c>
      <c r="V190" s="261">
        <f t="shared" si="156"/>
        <v>941.35572998583598</v>
      </c>
      <c r="W190" s="261">
        <f>SUM(O$9:O190)</f>
        <v>560086.90331471188</v>
      </c>
      <c r="X190" s="261">
        <f>SUM(P$9:P190)</f>
        <v>2415136.8982989439</v>
      </c>
      <c r="Y190" s="261">
        <f>SUM(Q$9:Q190)</f>
        <v>460026.0758664654</v>
      </c>
      <c r="Z190" s="261">
        <f>SUM($V$9:V190)</f>
        <v>1260871.8667472573</v>
      </c>
      <c r="AB190" s="257">
        <f t="array" ref="AB190">(INDEX(PriceDeck!$C$18:$O$77,MATCH('Decline and Model'!$A190,PriceDeck!$B$18:$B$77,0),MATCH('Decline and Model'!AB$8,PriceDeck!$C$13:$O$13,0))*(1+$AE$6))</f>
        <v>94.248000000000005</v>
      </c>
      <c r="AC190" s="257">
        <f t="array" ref="AC190">INDEX(PriceDeck!$C$18:$O$77,MATCH('Decline and Model'!$A190,PriceDeck!$B$18:$B$77,0),MATCH('Decline and Model'!AC$8,PriceDeck!$C$13:$O$13,0))*(1+$AE$6)</f>
        <v>107.61</v>
      </c>
      <c r="AD190" s="257">
        <f t="array" ref="AD190">INDEX(PriceDeck!$C$18:$O$77,MATCH('Decline and Model'!$A190,PriceDeck!$B$18:$B$77,0),MATCH('Decline and Model'!AD$8,PriceDeck!$C$13:$O$13,0))*(1+$AE$6)</f>
        <v>18.767999999999997</v>
      </c>
      <c r="AE190" s="257">
        <f t="array" ref="AE190">INDEX(PriceDeck!$C$18:$O$77,MATCH('Decline and Model'!$A190,PriceDeck!$B$18:$B$77,0),MATCH('Decline and Model'!AE$8,PriceDeck!$C$13:$O$13,0))*(1+$AE$6)</f>
        <v>37.841999999999999</v>
      </c>
      <c r="AF190" s="257">
        <f t="array" ref="AF190">INDEX(PriceDeck!$C$18:$O$77,MATCH('Decline and Model'!$A190,PriceDeck!$B$18:$B$77,0),MATCH('Decline and Model'!AF$8,PriceDeck!$C$13:$O$13,0))*(1+$AE$6)</f>
        <v>111.69</v>
      </c>
      <c r="AG190" s="257">
        <f t="array" ref="AG190">INDEX(PriceDeck!$C$18:$O$77,MATCH('Decline and Model'!$A190,PriceDeck!$B$18:$B$77,0),MATCH('Decline and Model'!AG$8,PriceDeck!$C$13:$O$13,0))*(1+$AE$6)</f>
        <v>78.846000000000004</v>
      </c>
      <c r="AH190" s="258">
        <f t="array" ref="AH190">INDEX(PriceDeck!$C$18:$O$77,MATCH('Decline and Model'!$A190,PriceDeck!$B$18:$B$77,0),MATCH('Decline and Model'!AH$8,PriceDeck!$C$13:$O$13,0))</f>
        <v>0.85</v>
      </c>
      <c r="AI190" s="258">
        <f t="shared" si="138"/>
        <v>4.9470000000000001</v>
      </c>
      <c r="AJ190" s="259">
        <f t="shared" si="113"/>
        <v>4.9470000000000001</v>
      </c>
      <c r="AK190" s="120">
        <v>4.9470000000000001</v>
      </c>
      <c r="AL190" s="120"/>
      <c r="AN190" s="7">
        <f t="shared" si="139"/>
        <v>8970.4744880336912</v>
      </c>
      <c r="AO190" s="7">
        <f t="shared" si="140"/>
        <v>14627.951841228081</v>
      </c>
      <c r="AP190" s="7">
        <f t="shared" si="141"/>
        <v>4401.6045674638253</v>
      </c>
      <c r="AQ190" s="7">
        <f t="shared" si="142"/>
        <v>6038.137019954791</v>
      </c>
      <c r="AR190" s="7">
        <f t="shared" si="143"/>
        <v>8498.6892161262876</v>
      </c>
      <c r="AS190" s="7">
        <f t="shared" si="144"/>
        <v>7340.6552366084106</v>
      </c>
      <c r="AT190" s="7">
        <f t="shared" si="145"/>
        <v>49877.512369415083</v>
      </c>
      <c r="AU190">
        <f>SUM($AT$9:AT190)</f>
        <v>67279568.873392016</v>
      </c>
      <c r="AV190" s="7">
        <f>AT190/(1+$AR$5)^(COUNT($E$9:E190))</f>
        <v>12592.848469353699</v>
      </c>
      <c r="AW190" s="7">
        <f t="shared" si="159"/>
        <v>0</v>
      </c>
      <c r="AX190" s="7">
        <f t="shared" si="146"/>
        <v>0</v>
      </c>
      <c r="AY190" s="117">
        <f t="shared" si="147"/>
        <v>0</v>
      </c>
      <c r="AZ190" s="117">
        <f t="shared" si="148"/>
        <v>49877.512369415083</v>
      </c>
      <c r="BA190" s="120">
        <f t="shared" si="149"/>
        <v>2493.8756184707545</v>
      </c>
      <c r="BB190" s="119">
        <f t="shared" si="114"/>
        <v>278.86741001416408</v>
      </c>
      <c r="BC190" s="17"/>
      <c r="BD190" s="126">
        <f t="shared" si="115"/>
        <v>0.1798500779588677</v>
      </c>
      <c r="BE190" s="127">
        <f t="shared" si="116"/>
        <v>0.29327749413176324</v>
      </c>
      <c r="BF190" s="127">
        <f t="shared" si="117"/>
        <v>8.8248277798290753E-2</v>
      </c>
      <c r="BG190" s="127">
        <f t="shared" si="118"/>
        <v>0.12105930574952611</v>
      </c>
      <c r="BH190" s="127">
        <f t="shared" si="119"/>
        <v>0.17039120061123353</v>
      </c>
      <c r="BI190" s="128">
        <f t="shared" si="120"/>
        <v>0.14717364375031872</v>
      </c>
      <c r="BJ190" s="126">
        <f t="array" ref="BJ190">BD190*INDEX(Royalty!$U$7:$Z$246,MATCH('Decline and Model'!$E190,Royalty!$AI$7:$AI$246,0),MATCH('Decline and Model'!BJ$8,Royalty!$U$1:$Z$1,0))</f>
        <v>5.8660020626480305E-2</v>
      </c>
      <c r="BK190" s="127">
        <f t="array" ref="BK190">BE190*INDEX(Royalty!$U$7:$Z$246,MATCH('Decline and Model'!$E190,Royalty!$AI$7:$AI$246,0),MATCH('Decline and Model'!BK$8,Royalty!$U$1:$Z$1,0))</f>
        <v>9.2720359322745319E-2</v>
      </c>
      <c r="BL190" s="127">
        <f t="array" ref="BL190">BF190*INDEX(Royalty!$U$7:$Z$246,MATCH('Decline and Model'!$E190,Royalty!$AI$7:$AI$246,0),MATCH('Decline and Model'!BL$8,Royalty!$U$1:$Z$1,0))</f>
        <v>2.8887849854040686E-2</v>
      </c>
      <c r="BM190" s="127">
        <f t="array" ref="BM190">BG190*INDEX(Royalty!$U$7:$Z$246,MATCH('Decline and Model'!$E190,Royalty!$AI$7:$AI$246,0),MATCH('Decline and Model'!BM$8,Royalty!$U$1:$Z$1,0))</f>
        <v>3.8351352709116562E-2</v>
      </c>
      <c r="BN190" s="127">
        <f t="array" ref="BN190">BH190*INDEX(Royalty!$U$7:$Z$246,MATCH('Decline and Model'!$E190,Royalty!$AI$7:$AI$246,0),MATCH('Decline and Model'!BN$8,Royalty!$U$1:$Z$1,0))</f>
        <v>2.9886758700463961E-2</v>
      </c>
      <c r="BO190" s="127">
        <f t="array" ref="BO190">BI190*INDEX(Royalty!$U$7:$Z$246,MATCH('Decline and Model'!$E190,Royalty!$AI$7:$AI$246,0),MATCH('Decline and Model'!BO$8,Royalty!$U$1:$Z$1,0))</f>
        <v>7.358682187515936E-3</v>
      </c>
      <c r="BP190" s="135">
        <f t="shared" si="121"/>
        <v>0.05</v>
      </c>
      <c r="BQ190" s="7"/>
      <c r="BR190" s="7"/>
      <c r="BS190">
        <v>182</v>
      </c>
      <c r="BT190" s="120">
        <f t="shared" si="122"/>
        <v>2493.8756184707545</v>
      </c>
      <c r="BU190" s="113">
        <f t="shared" si="123"/>
        <v>9413.5572998583593</v>
      </c>
      <c r="BV190" s="113">
        <f t="shared" si="124"/>
        <v>2824.0671899575082</v>
      </c>
      <c r="BW190" s="113">
        <f t="shared" si="157"/>
        <v>209951.14087144608</v>
      </c>
      <c r="BX190" s="113">
        <f t="shared" si="150"/>
        <v>4640.854620466167</v>
      </c>
      <c r="BY190" s="120">
        <f t="shared" si="151"/>
        <v>30505.157640662292</v>
      </c>
      <c r="BZ190" s="153">
        <f t="shared" si="158"/>
        <v>0</v>
      </c>
      <c r="CA190" s="120">
        <f t="shared" si="160"/>
        <v>30505.157640662292</v>
      </c>
      <c r="CB190" s="120">
        <f t="shared" si="152"/>
        <v>7626.2894101655729</v>
      </c>
      <c r="CC190" s="153">
        <f t="shared" si="153"/>
        <v>27519.722850962884</v>
      </c>
      <c r="CD190" s="7">
        <f t="shared" si="125"/>
        <v>6948.0550115264296</v>
      </c>
      <c r="CE190" s="11">
        <f>SUM($CD$9:CD190)</f>
        <v>25398211.058542237</v>
      </c>
      <c r="CF190" s="11">
        <f t="shared" si="154"/>
        <v>12000000</v>
      </c>
      <c r="CG190">
        <f t="shared" si="155"/>
        <v>13398211.058542237</v>
      </c>
    </row>
    <row r="191" spans="1:85">
      <c r="A191">
        <f t="shared" si="126"/>
        <v>2032</v>
      </c>
      <c r="B191">
        <f t="shared" si="127"/>
        <v>30.416666666666668</v>
      </c>
      <c r="C191">
        <f t="shared" si="161"/>
        <v>16</v>
      </c>
      <c r="E191" s="97">
        <v>48366</v>
      </c>
      <c r="F191" s="2">
        <f>$F$6*EXP(-$F$3*COUNT($E$9:$E191))</f>
        <v>8.5131347988387826E-2</v>
      </c>
      <c r="G191" s="260">
        <f>$F$6/(1+$F$5*$F$3*COUNT($E$9:$E191))^(1/$F$5)</f>
        <v>2.684429219680545</v>
      </c>
      <c r="H191" s="260">
        <f>$H$6/(1+$H$5*$H$3*COUNT($E$9:$E191))^(1/$H$5)</f>
        <v>96.534759059452554</v>
      </c>
      <c r="I191" s="260">
        <f t="shared" si="128"/>
        <v>18.387573154181439</v>
      </c>
      <c r="J191" s="260">
        <f t="shared" si="129"/>
        <v>7.6565854614011508</v>
      </c>
      <c r="K191" s="260">
        <f t="shared" si="129"/>
        <v>5.2091994745796013</v>
      </c>
      <c r="L191" s="260">
        <f t="shared" si="129"/>
        <v>2.4841611331299123</v>
      </c>
      <c r="M191" s="260">
        <f t="shared" si="112"/>
        <v>3.0394658423861918</v>
      </c>
      <c r="N191" s="19">
        <f t="shared" si="130"/>
        <v>2.5894118346467967</v>
      </c>
      <c r="O191" s="19">
        <f t="shared" si="131"/>
        <v>81.651388765283244</v>
      </c>
      <c r="P191" s="19">
        <f t="shared" si="132"/>
        <v>2936.2655880583488</v>
      </c>
      <c r="Q191" s="19">
        <f t="shared" si="133"/>
        <v>559.28868343968543</v>
      </c>
      <c r="R191" s="19">
        <f t="shared" si="134"/>
        <v>232.887807784285</v>
      </c>
      <c r="S191" s="19">
        <f t="shared" si="135"/>
        <v>158.44648401846288</v>
      </c>
      <c r="T191" s="19">
        <f t="shared" si="136"/>
        <v>75.559901132701498</v>
      </c>
      <c r="U191" s="19">
        <f t="shared" si="137"/>
        <v>92.450419372580001</v>
      </c>
      <c r="V191" s="261">
        <f t="shared" si="156"/>
        <v>933.6489604992114</v>
      </c>
      <c r="W191" s="261">
        <f>SUM(O$9:O191)</f>
        <v>560168.55470347719</v>
      </c>
      <c r="X191" s="261">
        <f>SUM(P$9:P191)</f>
        <v>2418073.163887002</v>
      </c>
      <c r="Y191" s="261">
        <f>SUM(Q$9:Q191)</f>
        <v>460585.36454990506</v>
      </c>
      <c r="Z191" s="261">
        <f>SUM($V$9:V191)</f>
        <v>1261805.5157077566</v>
      </c>
      <c r="AB191" s="257">
        <f t="array" ref="AB191">(INDEX(PriceDeck!$C$18:$O$77,MATCH('Decline and Model'!$A191,PriceDeck!$B$18:$B$77,0),MATCH('Decline and Model'!AB$8,PriceDeck!$C$13:$O$13,0))*(1+$AE$6))</f>
        <v>94.248000000000005</v>
      </c>
      <c r="AC191" s="257">
        <f t="array" ref="AC191">INDEX(PriceDeck!$C$18:$O$77,MATCH('Decline and Model'!$A191,PriceDeck!$B$18:$B$77,0),MATCH('Decline and Model'!AC$8,PriceDeck!$C$13:$O$13,0))*(1+$AE$6)</f>
        <v>107.61</v>
      </c>
      <c r="AD191" s="257">
        <f t="array" ref="AD191">INDEX(PriceDeck!$C$18:$O$77,MATCH('Decline and Model'!$A191,PriceDeck!$B$18:$B$77,0),MATCH('Decline and Model'!AD$8,PriceDeck!$C$13:$O$13,0))*(1+$AE$6)</f>
        <v>18.767999999999997</v>
      </c>
      <c r="AE191" s="257">
        <f t="array" ref="AE191">INDEX(PriceDeck!$C$18:$O$77,MATCH('Decline and Model'!$A191,PriceDeck!$B$18:$B$77,0),MATCH('Decline and Model'!AE$8,PriceDeck!$C$13:$O$13,0))*(1+$AE$6)</f>
        <v>37.841999999999999</v>
      </c>
      <c r="AF191" s="257">
        <f t="array" ref="AF191">INDEX(PriceDeck!$C$18:$O$77,MATCH('Decline and Model'!$A191,PriceDeck!$B$18:$B$77,0),MATCH('Decline and Model'!AF$8,PriceDeck!$C$13:$O$13,0))*(1+$AE$6)</f>
        <v>111.69</v>
      </c>
      <c r="AG191" s="257">
        <f t="array" ref="AG191">INDEX(PriceDeck!$C$18:$O$77,MATCH('Decline and Model'!$A191,PriceDeck!$B$18:$B$77,0),MATCH('Decline and Model'!AG$8,PriceDeck!$C$13:$O$13,0))*(1+$AE$6)</f>
        <v>78.846000000000004</v>
      </c>
      <c r="AH191" s="258">
        <f t="array" ref="AH191">INDEX(PriceDeck!$C$18:$O$77,MATCH('Decline and Model'!$A191,PriceDeck!$B$18:$B$77,0),MATCH('Decline and Model'!AH$8,PriceDeck!$C$13:$O$13,0))</f>
        <v>0.85</v>
      </c>
      <c r="AI191" s="258">
        <f t="shared" si="138"/>
        <v>4.9470000000000001</v>
      </c>
      <c r="AJ191" s="259">
        <f t="shared" si="113"/>
        <v>4.9470000000000001</v>
      </c>
      <c r="AK191" s="120">
        <v>4.9470000000000001</v>
      </c>
      <c r="AL191" s="120"/>
      <c r="AN191" s="7">
        <f t="shared" si="139"/>
        <v>8786.5059450321296</v>
      </c>
      <c r="AO191" s="7">
        <f t="shared" si="140"/>
        <v>14525.705864124651</v>
      </c>
      <c r="AP191" s="7">
        <f t="shared" si="141"/>
        <v>4370.8383764954606</v>
      </c>
      <c r="AQ191" s="7">
        <f t="shared" si="142"/>
        <v>5995.9318482266726</v>
      </c>
      <c r="AR191" s="7">
        <f t="shared" si="143"/>
        <v>8439.2853575114295</v>
      </c>
      <c r="AS191" s="7">
        <f t="shared" si="144"/>
        <v>7289.3457658504431</v>
      </c>
      <c r="AT191" s="7">
        <f t="shared" si="145"/>
        <v>49407.613157240783</v>
      </c>
      <c r="AU191">
        <f>SUM($AT$9:AT191)</f>
        <v>67328976.486549258</v>
      </c>
      <c r="AV191" s="7">
        <f>AT191/(1+$AR$5)^(COUNT($E$9:E191))</f>
        <v>12380.225537353796</v>
      </c>
      <c r="AW191" s="7">
        <f t="shared" si="159"/>
        <v>0</v>
      </c>
      <c r="AX191" s="7">
        <f t="shared" si="146"/>
        <v>0</v>
      </c>
      <c r="AY191" s="117">
        <f t="shared" si="147"/>
        <v>0</v>
      </c>
      <c r="AZ191" s="117">
        <f t="shared" si="148"/>
        <v>49407.613157240783</v>
      </c>
      <c r="BA191" s="120">
        <f t="shared" si="149"/>
        <v>2470.3806578620392</v>
      </c>
      <c r="BB191" s="119">
        <f t="shared" si="114"/>
        <v>286.57417950078866</v>
      </c>
      <c r="BC191" s="17"/>
      <c r="BD191" s="126">
        <f t="shared" si="115"/>
        <v>0.17783708589744837</v>
      </c>
      <c r="BE191" s="127">
        <f t="shared" si="116"/>
        <v>0.29399732016797253</v>
      </c>
      <c r="BF191" s="127">
        <f t="shared" si="117"/>
        <v>8.8464876102902892E-2</v>
      </c>
      <c r="BG191" s="127">
        <f t="shared" si="118"/>
        <v>0.12135643608495095</v>
      </c>
      <c r="BH191" s="127">
        <f t="shared" si="119"/>
        <v>0.1708094121173841</v>
      </c>
      <c r="BI191" s="128">
        <f t="shared" si="120"/>
        <v>0.14753486962934123</v>
      </c>
      <c r="BJ191" s="126">
        <f t="array" ref="BJ191">BD191*INDEX(Royalty!$U$7:$Z$246,MATCH('Decline and Model'!$E191,Royalty!$AI$7:$AI$246,0),MATCH('Decline and Model'!BJ$8,Royalty!$U$1:$Z$1,0))</f>
        <v>5.8003461801575014E-2</v>
      </c>
      <c r="BK191" s="127">
        <f t="array" ref="BK191">BE191*INDEX(Royalty!$U$7:$Z$246,MATCH('Decline and Model'!$E191,Royalty!$AI$7:$AI$246,0),MATCH('Decline and Model'!BK$8,Royalty!$U$1:$Z$1,0))</f>
        <v>9.2947933992001075E-2</v>
      </c>
      <c r="BL191" s="127">
        <f t="array" ref="BL191">BF191*INDEX(Royalty!$U$7:$Z$246,MATCH('Decline and Model'!$E191,Royalty!$AI$7:$AI$246,0),MATCH('Decline and Model'!BL$8,Royalty!$U$1:$Z$1,0))</f>
        <v>2.8958752759552075E-2</v>
      </c>
      <c r="BM191" s="127">
        <f t="array" ref="BM191">BG191*INDEX(Royalty!$U$7:$Z$246,MATCH('Decline and Model'!$E191,Royalty!$AI$7:$AI$246,0),MATCH('Decline and Model'!BM$8,Royalty!$U$1:$Z$1,0))</f>
        <v>3.8445483021725763E-2</v>
      </c>
      <c r="BN191" s="127">
        <f t="array" ref="BN191">BH191*INDEX(Royalty!$U$7:$Z$246,MATCH('Decline and Model'!$E191,Royalty!$AI$7:$AI$246,0),MATCH('Decline and Model'!BN$8,Royalty!$U$1:$Z$1,0))</f>
        <v>2.9960113347448327E-2</v>
      </c>
      <c r="BO191" s="127">
        <f t="array" ref="BO191">BI191*INDEX(Royalty!$U$7:$Z$246,MATCH('Decline and Model'!$E191,Royalty!$AI$7:$AI$246,0),MATCH('Decline and Model'!BO$8,Royalty!$U$1:$Z$1,0))</f>
        <v>7.3767434814670622E-3</v>
      </c>
      <c r="BP191" s="135">
        <f t="shared" si="121"/>
        <v>0.05</v>
      </c>
      <c r="BQ191" s="7"/>
      <c r="BR191" s="7"/>
      <c r="BS191">
        <v>183</v>
      </c>
      <c r="BT191" s="120">
        <f t="shared" si="122"/>
        <v>2470.3806578620392</v>
      </c>
      <c r="BU191" s="113">
        <f t="shared" si="123"/>
        <v>9336.4896049921135</v>
      </c>
      <c r="BV191" s="113">
        <f t="shared" si="124"/>
        <v>2800.9468814976344</v>
      </c>
      <c r="BW191" s="113">
        <f t="shared" si="157"/>
        <v>205310.28625097993</v>
      </c>
      <c r="BX191" s="113">
        <f t="shared" si="150"/>
        <v>4538.2710787959186</v>
      </c>
      <c r="BY191" s="120">
        <f t="shared" si="151"/>
        <v>30261.524934093071</v>
      </c>
      <c r="BZ191" s="153">
        <f t="shared" si="158"/>
        <v>0</v>
      </c>
      <c r="CA191" s="120">
        <f t="shared" si="160"/>
        <v>30261.524934093071</v>
      </c>
      <c r="CB191" s="120">
        <f t="shared" si="152"/>
        <v>7565.3812335232678</v>
      </c>
      <c r="CC191" s="153">
        <f t="shared" si="153"/>
        <v>27234.414779365721</v>
      </c>
      <c r="CD191" s="7">
        <f t="shared" si="125"/>
        <v>6824.2154558922766</v>
      </c>
      <c r="CE191" s="11">
        <f>SUM($CD$9:CD191)</f>
        <v>25405035.27399813</v>
      </c>
      <c r="CF191" s="11">
        <f t="shared" si="154"/>
        <v>12000000</v>
      </c>
      <c r="CG191">
        <f t="shared" si="155"/>
        <v>13405035.27399813</v>
      </c>
    </row>
    <row r="192" spans="1:85">
      <c r="A192">
        <f t="shared" si="126"/>
        <v>2032</v>
      </c>
      <c r="B192">
        <f t="shared" si="127"/>
        <v>30.416666666666668</v>
      </c>
      <c r="C192">
        <f t="shared" si="161"/>
        <v>16</v>
      </c>
      <c r="E192" s="97">
        <v>48396</v>
      </c>
      <c r="F192" s="2">
        <f>$F$6*EXP(-$F$3*COUNT($E$9:$E192))</f>
        <v>8.0979443153964104E-2</v>
      </c>
      <c r="G192" s="260">
        <f>$F$6/(1+$F$5*$F$3*COUNT($E$9:$E192))^(1/$F$5)</f>
        <v>2.6295505975283797</v>
      </c>
      <c r="H192" s="260">
        <f>$H$6/(1+$H$5*$H$3*COUNT($E$9:$E192))^(1/$H$5)</f>
        <v>95.863356152237074</v>
      </c>
      <c r="I192" s="260">
        <f t="shared" si="128"/>
        <v>18.259686886140393</v>
      </c>
      <c r="J192" s="260">
        <f t="shared" si="129"/>
        <v>7.6033336193888594</v>
      </c>
      <c r="K192" s="260">
        <f t="shared" si="129"/>
        <v>5.1729692948435737</v>
      </c>
      <c r="L192" s="260">
        <f t="shared" si="129"/>
        <v>2.466883698317567</v>
      </c>
      <c r="M192" s="260">
        <f t="shared" si="112"/>
        <v>3.0183262422790071</v>
      </c>
      <c r="N192" s="19">
        <f t="shared" si="130"/>
        <v>2.4631247292664082</v>
      </c>
      <c r="O192" s="19">
        <f t="shared" si="131"/>
        <v>79.982164008154882</v>
      </c>
      <c r="P192" s="19">
        <f t="shared" si="132"/>
        <v>2915.8437496305446</v>
      </c>
      <c r="Q192" s="19">
        <f t="shared" si="133"/>
        <v>555.39880945343702</v>
      </c>
      <c r="R192" s="19">
        <f t="shared" si="134"/>
        <v>231.26806425641115</v>
      </c>
      <c r="S192" s="19">
        <f t="shared" si="135"/>
        <v>157.3444827181587</v>
      </c>
      <c r="T192" s="19">
        <f t="shared" si="136"/>
        <v>75.034379157159336</v>
      </c>
      <c r="U192" s="19">
        <f t="shared" si="137"/>
        <v>91.80742320265314</v>
      </c>
      <c r="V192" s="261">
        <f t="shared" si="156"/>
        <v>926.05406034623525</v>
      </c>
      <c r="W192" s="261">
        <f>SUM(O$9:O192)</f>
        <v>560248.53686748538</v>
      </c>
      <c r="X192" s="261">
        <f>SUM(P$9:P192)</f>
        <v>2420989.0076366328</v>
      </c>
      <c r="Y192" s="261">
        <f>SUM(Q$9:Q192)</f>
        <v>461140.76335935848</v>
      </c>
      <c r="Z192" s="261">
        <f>SUM($V$9:V192)</f>
        <v>1262731.5697681028</v>
      </c>
      <c r="AB192" s="257">
        <f t="array" ref="AB192">(INDEX(PriceDeck!$C$18:$O$77,MATCH('Decline and Model'!$A192,PriceDeck!$B$18:$B$77,0),MATCH('Decline and Model'!AB$8,PriceDeck!$C$13:$O$13,0))*(1+$AE$6))</f>
        <v>94.248000000000005</v>
      </c>
      <c r="AC192" s="257">
        <f t="array" ref="AC192">INDEX(PriceDeck!$C$18:$O$77,MATCH('Decline and Model'!$A192,PriceDeck!$B$18:$B$77,0),MATCH('Decline and Model'!AC$8,PriceDeck!$C$13:$O$13,0))*(1+$AE$6)</f>
        <v>107.61</v>
      </c>
      <c r="AD192" s="257">
        <f t="array" ref="AD192">INDEX(PriceDeck!$C$18:$O$77,MATCH('Decline and Model'!$A192,PriceDeck!$B$18:$B$77,0),MATCH('Decline and Model'!AD$8,PriceDeck!$C$13:$O$13,0))*(1+$AE$6)</f>
        <v>18.767999999999997</v>
      </c>
      <c r="AE192" s="257">
        <f t="array" ref="AE192">INDEX(PriceDeck!$C$18:$O$77,MATCH('Decline and Model'!$A192,PriceDeck!$B$18:$B$77,0),MATCH('Decline and Model'!AE$8,PriceDeck!$C$13:$O$13,0))*(1+$AE$6)</f>
        <v>37.841999999999999</v>
      </c>
      <c r="AF192" s="257">
        <f t="array" ref="AF192">INDEX(PriceDeck!$C$18:$O$77,MATCH('Decline and Model'!$A192,PriceDeck!$B$18:$B$77,0),MATCH('Decline and Model'!AF$8,PriceDeck!$C$13:$O$13,0))*(1+$AE$6)</f>
        <v>111.69</v>
      </c>
      <c r="AG192" s="257">
        <f t="array" ref="AG192">INDEX(PriceDeck!$C$18:$O$77,MATCH('Decline and Model'!$A192,PriceDeck!$B$18:$B$77,0),MATCH('Decline and Model'!AG$8,PriceDeck!$C$13:$O$13,0))*(1+$AE$6)</f>
        <v>78.846000000000004</v>
      </c>
      <c r="AH192" s="258">
        <f t="array" ref="AH192">INDEX(PriceDeck!$C$18:$O$77,MATCH('Decline and Model'!$A192,PriceDeck!$B$18:$B$77,0),MATCH('Decline and Model'!AH$8,PriceDeck!$C$13:$O$13,0))</f>
        <v>0.85</v>
      </c>
      <c r="AI192" s="258">
        <f t="shared" si="138"/>
        <v>4.9470000000000001</v>
      </c>
      <c r="AJ192" s="259">
        <f t="shared" si="113"/>
        <v>4.9470000000000001</v>
      </c>
      <c r="AK192" s="120">
        <v>4.9470000000000001</v>
      </c>
      <c r="AL192" s="120"/>
      <c r="AN192" s="7">
        <f t="shared" si="139"/>
        <v>8606.8806689175472</v>
      </c>
      <c r="AO192" s="7">
        <f t="shared" si="140"/>
        <v>14424.679029422305</v>
      </c>
      <c r="AP192" s="7">
        <f t="shared" si="141"/>
        <v>4340.4390299643237</v>
      </c>
      <c r="AQ192" s="7">
        <f t="shared" si="142"/>
        <v>5954.2299150205617</v>
      </c>
      <c r="AR192" s="7">
        <f t="shared" si="143"/>
        <v>8380.5898080631268</v>
      </c>
      <c r="AS192" s="7">
        <f t="shared" si="144"/>
        <v>7238.6480898363898</v>
      </c>
      <c r="AT192" s="7">
        <f t="shared" si="145"/>
        <v>48945.466541224254</v>
      </c>
      <c r="AU192">
        <f>SUM($AT$9:AT192)</f>
        <v>67377921.953090489</v>
      </c>
      <c r="AV192" s="7">
        <f>AT192/(1+$AR$5)^(COUNT($E$9:E192))</f>
        <v>12172.019659403482</v>
      </c>
      <c r="AW192" s="7">
        <f t="shared" si="159"/>
        <v>0</v>
      </c>
      <c r="AX192" s="7">
        <f t="shared" si="146"/>
        <v>0</v>
      </c>
      <c r="AY192" s="117">
        <f t="shared" si="147"/>
        <v>0</v>
      </c>
      <c r="AZ192" s="117">
        <f t="shared" si="148"/>
        <v>48945.466541224254</v>
      </c>
      <c r="BA192" s="120">
        <f t="shared" si="149"/>
        <v>2447.273327061213</v>
      </c>
      <c r="BB192" s="119">
        <f t="shared" si="114"/>
        <v>294.16907965376481</v>
      </c>
      <c r="BC192" s="17"/>
      <c r="BD192" s="126">
        <f t="shared" si="115"/>
        <v>0.17584633015334347</v>
      </c>
      <c r="BE192" s="127">
        <f t="shared" si="116"/>
        <v>0.29470919471720919</v>
      </c>
      <c r="BF192" s="127">
        <f t="shared" si="117"/>
        <v>8.867908177580848E-2</v>
      </c>
      <c r="BG192" s="127">
        <f t="shared" si="118"/>
        <v>0.12165028419957177</v>
      </c>
      <c r="BH192" s="127">
        <f t="shared" si="119"/>
        <v>0.17122300389157771</v>
      </c>
      <c r="BI192" s="128">
        <f t="shared" si="120"/>
        <v>0.14789210526248939</v>
      </c>
      <c r="BJ192" s="126">
        <f t="array" ref="BJ192">BD192*INDEX(Royalty!$U$7:$Z$246,MATCH('Decline and Model'!$E192,Royalty!$AI$7:$AI$246,0),MATCH('Decline and Model'!BJ$8,Royalty!$U$1:$Z$1,0))</f>
        <v>5.7354155588662588E-2</v>
      </c>
      <c r="BK192" s="127">
        <f t="array" ref="BK192">BE192*INDEX(Royalty!$U$7:$Z$246,MATCH('Decline and Model'!$E192,Royalty!$AI$7:$AI$246,0),MATCH('Decline and Model'!BK$8,Royalty!$U$1:$Z$1,0))</f>
        <v>9.3172994780226046E-2</v>
      </c>
      <c r="BL192" s="127">
        <f t="array" ref="BL192">BF192*INDEX(Royalty!$U$7:$Z$246,MATCH('Decline and Model'!$E192,Royalty!$AI$7:$AI$246,0),MATCH('Decline and Model'!BL$8,Royalty!$U$1:$Z$1,0))</f>
        <v>2.9028872443144362E-2</v>
      </c>
      <c r="BM192" s="127">
        <f t="array" ref="BM192">BG192*INDEX(Royalty!$U$7:$Z$246,MATCH('Decline and Model'!$E192,Royalty!$AI$7:$AI$246,0),MATCH('Decline and Model'!BM$8,Royalty!$U$1:$Z$1,0))</f>
        <v>3.8538573533165248E-2</v>
      </c>
      <c r="BN192" s="127">
        <f t="array" ref="BN192">BH192*INDEX(Royalty!$U$7:$Z$246,MATCH('Decline and Model'!$E192,Royalty!$AI$7:$AI$246,0),MATCH('Decline and Model'!BN$8,Royalty!$U$1:$Z$1,0))</f>
        <v>3.00326576895944E-2</v>
      </c>
      <c r="BO192" s="127">
        <f t="array" ref="BO192">BI192*INDEX(Royalty!$U$7:$Z$246,MATCH('Decline and Model'!$E192,Royalty!$AI$7:$AI$246,0),MATCH('Decline and Model'!BO$8,Royalty!$U$1:$Z$1,0))</f>
        <v>7.3946052631244695E-3</v>
      </c>
      <c r="BP192" s="135">
        <f t="shared" si="121"/>
        <v>0.05</v>
      </c>
      <c r="BQ192" s="7"/>
      <c r="BR192" s="7"/>
      <c r="BS192">
        <v>184</v>
      </c>
      <c r="BT192" s="120">
        <f t="shared" si="122"/>
        <v>2447.273327061213</v>
      </c>
      <c r="BU192" s="113">
        <f t="shared" si="123"/>
        <v>9260.540603462352</v>
      </c>
      <c r="BV192" s="113">
        <f t="shared" si="124"/>
        <v>2778.162181038706</v>
      </c>
      <c r="BW192" s="113">
        <f t="shared" si="157"/>
        <v>200772.01517218401</v>
      </c>
      <c r="BX192" s="113">
        <f t="shared" si="150"/>
        <v>4437.9550899542382</v>
      </c>
      <c r="BY192" s="120">
        <f t="shared" si="151"/>
        <v>30021.535339707742</v>
      </c>
      <c r="BZ192" s="153">
        <f t="shared" si="158"/>
        <v>0</v>
      </c>
      <c r="CA192" s="120">
        <f t="shared" si="160"/>
        <v>30021.535339707742</v>
      </c>
      <c r="CB192" s="120">
        <f t="shared" si="152"/>
        <v>7505.3838349269354</v>
      </c>
      <c r="CC192" s="153">
        <f t="shared" si="153"/>
        <v>26954.106594735043</v>
      </c>
      <c r="CD192" s="7">
        <f t="shared" si="125"/>
        <v>6703.09098180609</v>
      </c>
      <c r="CE192" s="11">
        <f>SUM($CD$9:CD192)</f>
        <v>25411738.364979938</v>
      </c>
      <c r="CF192" s="11">
        <f t="shared" si="154"/>
        <v>12000000</v>
      </c>
      <c r="CG192">
        <f t="shared" si="155"/>
        <v>13411738.364979938</v>
      </c>
    </row>
    <row r="193" spans="1:85">
      <c r="A193">
        <f t="shared" si="126"/>
        <v>2032</v>
      </c>
      <c r="B193">
        <f t="shared" si="127"/>
        <v>30.416666666666668</v>
      </c>
      <c r="C193">
        <f t="shared" si="161"/>
        <v>16</v>
      </c>
      <c r="E193" s="97">
        <v>48427</v>
      </c>
      <c r="F193" s="2">
        <f>$F$6*EXP(-$F$3*COUNT($E$9:$E193))</f>
        <v>7.7030029107733641E-2</v>
      </c>
      <c r="G193" s="260">
        <f>$F$6/(1+$F$5*$F$3*COUNT($E$9:$E193))^(1/$F$5)</f>
        <v>2.5759635027021655</v>
      </c>
      <c r="H193" s="260">
        <f>$H$6/(1+$H$5*$H$3*COUNT($E$9:$E193))^(1/$H$5)</f>
        <v>95.199919220068949</v>
      </c>
      <c r="I193" s="260">
        <f t="shared" si="128"/>
        <v>18.133317946679799</v>
      </c>
      <c r="J193" s="260">
        <f t="shared" si="129"/>
        <v>7.550713592997468</v>
      </c>
      <c r="K193" s="260">
        <f t="shared" si="129"/>
        <v>5.1371689742943873</v>
      </c>
      <c r="L193" s="260">
        <f t="shared" si="129"/>
        <v>2.4498112545964408</v>
      </c>
      <c r="M193" s="260">
        <f t="shared" si="112"/>
        <v>2.9974374565861708</v>
      </c>
      <c r="N193" s="19">
        <f t="shared" si="130"/>
        <v>2.342996718693565</v>
      </c>
      <c r="O193" s="19">
        <f t="shared" si="131"/>
        <v>78.352223207190875</v>
      </c>
      <c r="P193" s="19">
        <f t="shared" si="132"/>
        <v>2895.6642096104306</v>
      </c>
      <c r="Q193" s="19">
        <f t="shared" si="133"/>
        <v>551.5550875448439</v>
      </c>
      <c r="R193" s="19">
        <f t="shared" si="134"/>
        <v>229.66753845367299</v>
      </c>
      <c r="S193" s="19">
        <f t="shared" si="135"/>
        <v>156.25555630145428</v>
      </c>
      <c r="T193" s="19">
        <f t="shared" si="136"/>
        <v>74.515092327308409</v>
      </c>
      <c r="U193" s="19">
        <f t="shared" si="137"/>
        <v>91.172055971162692</v>
      </c>
      <c r="V193" s="261">
        <f t="shared" si="156"/>
        <v>918.56875034237351</v>
      </c>
      <c r="W193" s="261">
        <f>SUM(O$9:O193)</f>
        <v>560326.88909069262</v>
      </c>
      <c r="X193" s="261">
        <f>SUM(P$9:P193)</f>
        <v>2423884.6718462431</v>
      </c>
      <c r="Y193" s="261">
        <f>SUM(Q$9:Q193)</f>
        <v>461692.31844690331</v>
      </c>
      <c r="Z193" s="261">
        <f>SUM($V$9:V193)</f>
        <v>1263650.1385184452</v>
      </c>
      <c r="AB193" s="257">
        <f t="array" ref="AB193">(INDEX(PriceDeck!$C$18:$O$77,MATCH('Decline and Model'!$A193,PriceDeck!$B$18:$B$77,0),MATCH('Decline and Model'!AB$8,PriceDeck!$C$13:$O$13,0))*(1+$AE$6))</f>
        <v>94.248000000000005</v>
      </c>
      <c r="AC193" s="257">
        <f t="array" ref="AC193">INDEX(PriceDeck!$C$18:$O$77,MATCH('Decline and Model'!$A193,PriceDeck!$B$18:$B$77,0),MATCH('Decline and Model'!AC$8,PriceDeck!$C$13:$O$13,0))*(1+$AE$6)</f>
        <v>107.61</v>
      </c>
      <c r="AD193" s="257">
        <f t="array" ref="AD193">INDEX(PriceDeck!$C$18:$O$77,MATCH('Decline and Model'!$A193,PriceDeck!$B$18:$B$77,0),MATCH('Decline and Model'!AD$8,PriceDeck!$C$13:$O$13,0))*(1+$AE$6)</f>
        <v>18.767999999999997</v>
      </c>
      <c r="AE193" s="257">
        <f t="array" ref="AE193">INDEX(PriceDeck!$C$18:$O$77,MATCH('Decline and Model'!$A193,PriceDeck!$B$18:$B$77,0),MATCH('Decline and Model'!AE$8,PriceDeck!$C$13:$O$13,0))*(1+$AE$6)</f>
        <v>37.841999999999999</v>
      </c>
      <c r="AF193" s="257">
        <f t="array" ref="AF193">INDEX(PriceDeck!$C$18:$O$77,MATCH('Decline and Model'!$A193,PriceDeck!$B$18:$B$77,0),MATCH('Decline and Model'!AF$8,PriceDeck!$C$13:$O$13,0))*(1+$AE$6)</f>
        <v>111.69</v>
      </c>
      <c r="AG193" s="257">
        <f t="array" ref="AG193">INDEX(PriceDeck!$C$18:$O$77,MATCH('Decline and Model'!$A193,PriceDeck!$B$18:$B$77,0),MATCH('Decline and Model'!AG$8,PriceDeck!$C$13:$O$13,0))*(1+$AE$6)</f>
        <v>78.846000000000004</v>
      </c>
      <c r="AH193" s="258">
        <f t="array" ref="AH193">INDEX(PriceDeck!$C$18:$O$77,MATCH('Decline and Model'!$A193,PriceDeck!$B$18:$B$77,0),MATCH('Decline and Model'!AH$8,PriceDeck!$C$13:$O$13,0))</f>
        <v>0.85</v>
      </c>
      <c r="AI193" s="258">
        <f t="shared" si="138"/>
        <v>4.9470000000000001</v>
      </c>
      <c r="AJ193" s="259">
        <f t="shared" si="113"/>
        <v>4.9470000000000001</v>
      </c>
      <c r="AK193" s="120">
        <v>4.9470000000000001</v>
      </c>
      <c r="AL193" s="120"/>
      <c r="AN193" s="7">
        <f t="shared" si="139"/>
        <v>8431.4827393258092</v>
      </c>
      <c r="AO193" s="7">
        <f t="shared" si="140"/>
        <v>14324.850844942801</v>
      </c>
      <c r="AP193" s="7">
        <f t="shared" si="141"/>
        <v>4310.4003616985337</v>
      </c>
      <c r="AQ193" s="7">
        <f t="shared" si="142"/>
        <v>5913.0227615596323</v>
      </c>
      <c r="AR193" s="7">
        <f t="shared" si="143"/>
        <v>8322.5906620370752</v>
      </c>
      <c r="AS193" s="7">
        <f t="shared" si="144"/>
        <v>7188.5519251022943</v>
      </c>
      <c r="AT193" s="7">
        <f t="shared" si="145"/>
        <v>48490.899294666138</v>
      </c>
      <c r="AU193">
        <f>SUM($AT$9:AT193)</f>
        <v>67426412.852385148</v>
      </c>
      <c r="AV193" s="7">
        <f>AT193/(1+$AR$5)^(COUNT($E$9:E193))</f>
        <v>11968.119065911858</v>
      </c>
      <c r="AW193" s="7">
        <f t="shared" si="159"/>
        <v>0</v>
      </c>
      <c r="AX193" s="7">
        <f t="shared" si="146"/>
        <v>0</v>
      </c>
      <c r="AY193" s="117">
        <f t="shared" si="147"/>
        <v>0</v>
      </c>
      <c r="AZ193" s="117">
        <f t="shared" si="148"/>
        <v>48490.899294666138</v>
      </c>
      <c r="BA193" s="120">
        <f t="shared" si="149"/>
        <v>2424.5449647333071</v>
      </c>
      <c r="BB193" s="119">
        <f t="shared" si="114"/>
        <v>301.65438965762655</v>
      </c>
      <c r="BC193" s="17"/>
      <c r="BD193" s="126">
        <f t="shared" si="115"/>
        <v>0.17387763192614678</v>
      </c>
      <c r="BE193" s="127">
        <f t="shared" si="116"/>
        <v>0.29541318171672876</v>
      </c>
      <c r="BF193" s="127">
        <f t="shared" si="117"/>
        <v>8.8890914055963194E-2</v>
      </c>
      <c r="BG193" s="127">
        <f t="shared" si="118"/>
        <v>0.1219408764854573</v>
      </c>
      <c r="BH193" s="127">
        <f t="shared" si="119"/>
        <v>0.17163201308070061</v>
      </c>
      <c r="BI193" s="128">
        <f t="shared" si="120"/>
        <v>0.14824538273500354</v>
      </c>
      <c r="BJ193" s="126">
        <f t="array" ref="BJ193">BD193*INDEX(Royalty!$U$7:$Z$246,MATCH('Decline and Model'!$E193,Royalty!$AI$7:$AI$246,0),MATCH('Decline and Model'!BJ$8,Royalty!$U$1:$Z$1,0))</f>
        <v>5.671204367008402E-2</v>
      </c>
      <c r="BK193" s="127">
        <f t="array" ref="BK193">BE193*INDEX(Royalty!$U$7:$Z$246,MATCH('Decline and Model'!$E193,Royalty!$AI$7:$AI$246,0),MATCH('Decline and Model'!BK$8,Royalty!$U$1:$Z$1,0))</f>
        <v>9.3395561901331733E-2</v>
      </c>
      <c r="BL193" s="127">
        <f t="array" ref="BL193">BF193*INDEX(Royalty!$U$7:$Z$246,MATCH('Decline and Model'!$E193,Royalty!$AI$7:$AI$246,0),MATCH('Decline and Model'!BL$8,Royalty!$U$1:$Z$1,0))</f>
        <v>2.9098215202640876E-2</v>
      </c>
      <c r="BM193" s="127">
        <f t="array" ref="BM193">BG193*INDEX(Royalty!$U$7:$Z$246,MATCH('Decline and Model'!$E193,Royalty!$AI$7:$AI$246,0),MATCH('Decline and Model'!BM$8,Royalty!$U$1:$Z$1,0))</f>
        <v>3.863063260439107E-2</v>
      </c>
      <c r="BN193" s="127">
        <f t="array" ref="BN193">BH193*INDEX(Royalty!$U$7:$Z$246,MATCH('Decline and Model'!$E193,Royalty!$AI$7:$AI$246,0),MATCH('Decline and Model'!BN$8,Royalty!$U$1:$Z$1,0))</f>
        <v>3.0104398242497006E-2</v>
      </c>
      <c r="BO193" s="127">
        <f t="array" ref="BO193">BI193*INDEX(Royalty!$U$7:$Z$246,MATCH('Decline and Model'!$E193,Royalty!$AI$7:$AI$246,0),MATCH('Decline and Model'!BO$8,Royalty!$U$1:$Z$1,0))</f>
        <v>7.4122691367501771E-3</v>
      </c>
      <c r="BP193" s="135">
        <f t="shared" si="121"/>
        <v>0.05</v>
      </c>
      <c r="BQ193" s="7"/>
      <c r="BR193" s="7"/>
      <c r="BS193">
        <v>185</v>
      </c>
      <c r="BT193" s="120">
        <f t="shared" si="122"/>
        <v>2424.5449647333071</v>
      </c>
      <c r="BU193" s="113">
        <f t="shared" si="123"/>
        <v>9185.6875034237346</v>
      </c>
      <c r="BV193" s="113">
        <f t="shared" si="124"/>
        <v>2755.7062510271207</v>
      </c>
      <c r="BW193" s="113">
        <f t="shared" si="157"/>
        <v>196334.06008222976</v>
      </c>
      <c r="BX193" s="113">
        <f t="shared" si="150"/>
        <v>4339.8565309316591</v>
      </c>
      <c r="BY193" s="120">
        <f t="shared" si="151"/>
        <v>29785.10404455032</v>
      </c>
      <c r="BZ193" s="153">
        <f t="shared" si="158"/>
        <v>0</v>
      </c>
      <c r="CA193" s="120">
        <f t="shared" si="160"/>
        <v>29785.10404455032</v>
      </c>
      <c r="CB193" s="120">
        <f t="shared" si="152"/>
        <v>7446.2760111375801</v>
      </c>
      <c r="CC193" s="153">
        <f t="shared" si="153"/>
        <v>26678.684564344399</v>
      </c>
      <c r="CD193" s="7">
        <f t="shared" si="125"/>
        <v>6584.6102677477047</v>
      </c>
      <c r="CE193" s="11">
        <f>SUM($CD$9:CD193)</f>
        <v>25418322.975247685</v>
      </c>
      <c r="CF193" s="11">
        <f t="shared" si="154"/>
        <v>12000000</v>
      </c>
      <c r="CG193">
        <f t="shared" si="155"/>
        <v>13418322.975247685</v>
      </c>
    </row>
    <row r="194" spans="1:85">
      <c r="A194">
        <f t="shared" si="126"/>
        <v>2032</v>
      </c>
      <c r="B194">
        <f t="shared" si="127"/>
        <v>30.416666666666668</v>
      </c>
      <c r="C194">
        <f t="shared" si="161"/>
        <v>16</v>
      </c>
      <c r="E194" s="97">
        <v>48458</v>
      </c>
      <c r="F194" s="2">
        <f>$F$6*EXP(-$F$3*COUNT($E$9:$E194))</f>
        <v>7.3273230257422661E-2</v>
      </c>
      <c r="G194" s="260">
        <f>$F$6/(1+$F$5*$F$3*COUNT($E$9:$E194))^(1/$F$5)</f>
        <v>2.5236335731880759</v>
      </c>
      <c r="H194" s="260">
        <f>$H$6/(1+$H$5*$H$3*COUNT($E$9:$E194))^(1/$H$5)</f>
        <v>94.544315024131564</v>
      </c>
      <c r="I194" s="260">
        <f t="shared" si="128"/>
        <v>18.008440956977438</v>
      </c>
      <c r="J194" s="260">
        <f t="shared" si="129"/>
        <v>7.498714814485405</v>
      </c>
      <c r="K194" s="260">
        <f t="shared" si="129"/>
        <v>5.1017913231117085</v>
      </c>
      <c r="L194" s="260">
        <f t="shared" si="129"/>
        <v>2.4329403732876518</v>
      </c>
      <c r="M194" s="260">
        <f t="shared" si="112"/>
        <v>2.9767952901883707</v>
      </c>
      <c r="N194" s="19">
        <f t="shared" si="130"/>
        <v>2.2287274203299394</v>
      </c>
      <c r="O194" s="19">
        <f t="shared" si="131"/>
        <v>76.760521184470647</v>
      </c>
      <c r="P194" s="19">
        <f t="shared" si="132"/>
        <v>2875.7229153173353</v>
      </c>
      <c r="Q194" s="19">
        <f t="shared" si="133"/>
        <v>547.75674577473046</v>
      </c>
      <c r="R194" s="19">
        <f t="shared" si="134"/>
        <v>228.08590894059773</v>
      </c>
      <c r="S194" s="19">
        <f t="shared" si="135"/>
        <v>155.17948607798112</v>
      </c>
      <c r="T194" s="19">
        <f t="shared" si="136"/>
        <v>74.001936354166077</v>
      </c>
      <c r="U194" s="19">
        <f t="shared" si="137"/>
        <v>90.544190076562941</v>
      </c>
      <c r="V194" s="261">
        <f t="shared" si="156"/>
        <v>911.19080936904686</v>
      </c>
      <c r="W194" s="261">
        <f>SUM(O$9:O194)</f>
        <v>560403.64961187704</v>
      </c>
      <c r="X194" s="261">
        <f>SUM(P$9:P194)</f>
        <v>2426760.3947615605</v>
      </c>
      <c r="Y194" s="261">
        <f>SUM(Q$9:Q194)</f>
        <v>462240.07519267802</v>
      </c>
      <c r="Z194" s="261">
        <f>SUM($V$9:V194)</f>
        <v>1264561.3293278143</v>
      </c>
      <c r="AB194" s="257">
        <f t="array" ref="AB194">(INDEX(PriceDeck!$C$18:$O$77,MATCH('Decline and Model'!$A194,PriceDeck!$B$18:$B$77,0),MATCH('Decline and Model'!AB$8,PriceDeck!$C$13:$O$13,0))*(1+$AE$6))</f>
        <v>94.248000000000005</v>
      </c>
      <c r="AC194" s="257">
        <f t="array" ref="AC194">INDEX(PriceDeck!$C$18:$O$77,MATCH('Decline and Model'!$A194,PriceDeck!$B$18:$B$77,0),MATCH('Decline and Model'!AC$8,PriceDeck!$C$13:$O$13,0))*(1+$AE$6)</f>
        <v>107.61</v>
      </c>
      <c r="AD194" s="257">
        <f t="array" ref="AD194">INDEX(PriceDeck!$C$18:$O$77,MATCH('Decline and Model'!$A194,PriceDeck!$B$18:$B$77,0),MATCH('Decline and Model'!AD$8,PriceDeck!$C$13:$O$13,0))*(1+$AE$6)</f>
        <v>18.767999999999997</v>
      </c>
      <c r="AE194" s="257">
        <f t="array" ref="AE194">INDEX(PriceDeck!$C$18:$O$77,MATCH('Decline and Model'!$A194,PriceDeck!$B$18:$B$77,0),MATCH('Decline and Model'!AE$8,PriceDeck!$C$13:$O$13,0))*(1+$AE$6)</f>
        <v>37.841999999999999</v>
      </c>
      <c r="AF194" s="257">
        <f t="array" ref="AF194">INDEX(PriceDeck!$C$18:$O$77,MATCH('Decline and Model'!$A194,PriceDeck!$B$18:$B$77,0),MATCH('Decline and Model'!AF$8,PriceDeck!$C$13:$O$13,0))*(1+$AE$6)</f>
        <v>111.69</v>
      </c>
      <c r="AG194" s="257">
        <f t="array" ref="AG194">INDEX(PriceDeck!$C$18:$O$77,MATCH('Decline and Model'!$A194,PriceDeck!$B$18:$B$77,0),MATCH('Decline and Model'!AG$8,PriceDeck!$C$13:$O$13,0))*(1+$AE$6)</f>
        <v>78.846000000000004</v>
      </c>
      <c r="AH194" s="258">
        <f t="array" ref="AH194">INDEX(PriceDeck!$C$18:$O$77,MATCH('Decline and Model'!$A194,PriceDeck!$B$18:$B$77,0),MATCH('Decline and Model'!AH$8,PriceDeck!$C$13:$O$13,0))</f>
        <v>0.85</v>
      </c>
      <c r="AI194" s="258">
        <f t="shared" si="138"/>
        <v>4.9470000000000001</v>
      </c>
      <c r="AJ194" s="259">
        <f t="shared" si="113"/>
        <v>4.9470000000000001</v>
      </c>
      <c r="AK194" s="120">
        <v>4.9470000000000001</v>
      </c>
      <c r="AL194" s="120"/>
      <c r="AN194" s="7">
        <f t="shared" si="139"/>
        <v>8260.1996846608872</v>
      </c>
      <c r="AO194" s="7">
        <f t="shared" si="140"/>
        <v>14226.201262074857</v>
      </c>
      <c r="AP194" s="7">
        <f t="shared" si="141"/>
        <v>4280.7163389971374</v>
      </c>
      <c r="AQ194" s="7">
        <f t="shared" si="142"/>
        <v>5872.3021121629617</v>
      </c>
      <c r="AR194" s="7">
        <f t="shared" si="143"/>
        <v>8265.2762713968095</v>
      </c>
      <c r="AS194" s="7">
        <f t="shared" si="144"/>
        <v>7139.0472107766818</v>
      </c>
      <c r="AT194" s="7">
        <f t="shared" si="145"/>
        <v>48043.742880069338</v>
      </c>
      <c r="AU194">
        <f>SUM($AT$9:AT194)</f>
        <v>67474456.595265225</v>
      </c>
      <c r="AV194" s="7">
        <f>AT194/(1+$AR$5)^(COUNT($E$9:E194))</f>
        <v>11768.415323092448</v>
      </c>
      <c r="AW194" s="7">
        <f t="shared" si="159"/>
        <v>0</v>
      </c>
      <c r="AX194" s="7">
        <f t="shared" si="146"/>
        <v>0</v>
      </c>
      <c r="AY194" s="117">
        <f t="shared" si="147"/>
        <v>0</v>
      </c>
      <c r="AZ194" s="117">
        <f t="shared" si="148"/>
        <v>48043.742880069338</v>
      </c>
      <c r="BA194" s="120">
        <f t="shared" si="149"/>
        <v>2402.187144003467</v>
      </c>
      <c r="BB194" s="119">
        <f t="shared" si="114"/>
        <v>309.0323306309532</v>
      </c>
      <c r="BC194" s="17"/>
      <c r="BD194" s="126">
        <f t="shared" si="115"/>
        <v>0.17193081116266615</v>
      </c>
      <c r="BE194" s="127">
        <f t="shared" si="116"/>
        <v>0.29610934555177032</v>
      </c>
      <c r="BF194" s="127">
        <f t="shared" si="117"/>
        <v>8.9100392317122468E-2</v>
      </c>
      <c r="BG194" s="127">
        <f t="shared" si="118"/>
        <v>0.1222282395195952</v>
      </c>
      <c r="BH194" s="127">
        <f t="shared" si="119"/>
        <v>0.17203647709191305</v>
      </c>
      <c r="BI194" s="128">
        <f t="shared" si="120"/>
        <v>0.14859473435693274</v>
      </c>
      <c r="BJ194" s="126">
        <f t="array" ref="BJ194">BD194*INDEX(Royalty!$U$7:$Z$246,MATCH('Decline and Model'!$E194,Royalty!$AI$7:$AI$246,0),MATCH('Decline and Model'!BJ$8,Royalty!$U$1:$Z$1,0))</f>
        <v>5.6077067319570829E-2</v>
      </c>
      <c r="BK194" s="127">
        <f t="array" ref="BK194">BE194*INDEX(Royalty!$U$7:$Z$246,MATCH('Decline and Model'!$E194,Royalty!$AI$7:$AI$246,0),MATCH('Decline and Model'!BK$8,Royalty!$U$1:$Z$1,0))</f>
        <v>9.3615655710860654E-2</v>
      </c>
      <c r="BL194" s="127">
        <f t="array" ref="BL194">BF194*INDEX(Royalty!$U$7:$Z$246,MATCH('Decline and Model'!$E194,Royalty!$AI$7:$AI$246,0),MATCH('Decline and Model'!BL$8,Royalty!$U$1:$Z$1,0))</f>
        <v>2.9166787379991309E-2</v>
      </c>
      <c r="BM194" s="127">
        <f t="array" ref="BM194">BG194*INDEX(Royalty!$U$7:$Z$246,MATCH('Decline and Model'!$E194,Royalty!$AI$7:$AI$246,0),MATCH('Decline and Model'!BM$8,Royalty!$U$1:$Z$1,0))</f>
        <v>3.8721668654941255E-2</v>
      </c>
      <c r="BN194" s="127">
        <f t="array" ref="BN194">BH194*INDEX(Royalty!$U$7:$Z$246,MATCH('Decline and Model'!$E194,Royalty!$AI$7:$AI$246,0),MATCH('Decline and Model'!BN$8,Royalty!$U$1:$Z$1,0))</f>
        <v>3.0175341567403251E-2</v>
      </c>
      <c r="BO194" s="127">
        <f t="array" ref="BO194">BI194*INDEX(Royalty!$U$7:$Z$246,MATCH('Decline and Model'!$E194,Royalty!$AI$7:$AI$246,0),MATCH('Decline and Model'!BO$8,Royalty!$U$1:$Z$1,0))</f>
        <v>7.4297367178466373E-3</v>
      </c>
      <c r="BP194" s="135">
        <f t="shared" si="121"/>
        <v>0.05</v>
      </c>
      <c r="BQ194" s="7"/>
      <c r="BR194" s="7"/>
      <c r="BS194">
        <v>186</v>
      </c>
      <c r="BT194" s="120">
        <f t="shared" si="122"/>
        <v>2402.187144003467</v>
      </c>
      <c r="BU194" s="113">
        <f t="shared" si="123"/>
        <v>9111.9080936904684</v>
      </c>
      <c r="BV194" s="113">
        <f t="shared" si="124"/>
        <v>2733.5724281071407</v>
      </c>
      <c r="BW194" s="113">
        <f t="shared" si="157"/>
        <v>191994.20355129809</v>
      </c>
      <c r="BX194" s="113">
        <f t="shared" si="150"/>
        <v>4243.9263866602987</v>
      </c>
      <c r="BY194" s="120">
        <f t="shared" si="151"/>
        <v>29552.148827607969</v>
      </c>
      <c r="BZ194" s="153">
        <f t="shared" si="158"/>
        <v>0</v>
      </c>
      <c r="CA194" s="120">
        <f t="shared" si="160"/>
        <v>29552.148827607969</v>
      </c>
      <c r="CB194" s="120">
        <f t="shared" si="152"/>
        <v>7388.0372069019922</v>
      </c>
      <c r="CC194" s="153">
        <f t="shared" si="153"/>
        <v>26408.038007366275</v>
      </c>
      <c r="CD194" s="7">
        <f t="shared" si="125"/>
        <v>6468.7041539309921</v>
      </c>
      <c r="CE194" s="11">
        <f>SUM($CD$9:CD194)</f>
        <v>25424791.679401617</v>
      </c>
      <c r="CF194" s="11">
        <f t="shared" si="154"/>
        <v>12000000</v>
      </c>
      <c r="CG194">
        <f t="shared" si="155"/>
        <v>13424791.679401617</v>
      </c>
    </row>
    <row r="195" spans="1:85">
      <c r="A195">
        <f t="shared" si="126"/>
        <v>2032</v>
      </c>
      <c r="B195">
        <f t="shared" si="127"/>
        <v>30.416666666666668</v>
      </c>
      <c r="C195">
        <f t="shared" si="161"/>
        <v>16</v>
      </c>
      <c r="E195" s="97">
        <v>48488</v>
      </c>
      <c r="F195" s="2">
        <f>$F$6*EXP(-$F$3*COUNT($E$9:$E195))</f>
        <v>6.9699652649076543E-2</v>
      </c>
      <c r="G195" s="260">
        <f>$F$6/(1+$F$5*$F$3*COUNT($E$9:$E195))^(1/$F$5)</f>
        <v>2.4725274660773668</v>
      </c>
      <c r="H195" s="260">
        <f>$H$6/(1+$H$5*$H$3*COUNT($E$9:$E195))^(1/$H$5)</f>
        <v>93.896413195532716</v>
      </c>
      <c r="I195" s="260">
        <f t="shared" si="128"/>
        <v>17.885031084863375</v>
      </c>
      <c r="J195" s="260">
        <f t="shared" si="129"/>
        <v>7.4473269437371092</v>
      </c>
      <c r="K195" s="260">
        <f t="shared" si="129"/>
        <v>5.066829306341794</v>
      </c>
      <c r="L195" s="260">
        <f t="shared" si="129"/>
        <v>2.4162676995650418</v>
      </c>
      <c r="M195" s="260">
        <f t="shared" si="112"/>
        <v>2.956395638327916</v>
      </c>
      <c r="N195" s="19">
        <f t="shared" si="130"/>
        <v>2.1200311014094115</v>
      </c>
      <c r="O195" s="19">
        <f t="shared" si="131"/>
        <v>75.206043759853245</v>
      </c>
      <c r="P195" s="19">
        <f t="shared" si="132"/>
        <v>2856.0159013641201</v>
      </c>
      <c r="Q195" s="19">
        <f t="shared" si="133"/>
        <v>544.00302883126096</v>
      </c>
      <c r="R195" s="19">
        <f t="shared" si="134"/>
        <v>226.52286120533708</v>
      </c>
      <c r="S195" s="19">
        <f t="shared" si="135"/>
        <v>154.11605806789623</v>
      </c>
      <c r="T195" s="19">
        <f t="shared" si="136"/>
        <v>73.494809195103358</v>
      </c>
      <c r="U195" s="19">
        <f t="shared" si="137"/>
        <v>89.923700665807445</v>
      </c>
      <c r="V195" s="261">
        <f t="shared" si="156"/>
        <v>903.91807263486601</v>
      </c>
      <c r="W195" s="261">
        <f>SUM(O$9:O195)</f>
        <v>560478.85565563687</v>
      </c>
      <c r="X195" s="261">
        <f>SUM(P$9:P195)</f>
        <v>2429616.4106629244</v>
      </c>
      <c r="Y195" s="261">
        <f>SUM(Q$9:Q195)</f>
        <v>462784.07822150929</v>
      </c>
      <c r="Z195" s="261">
        <f>SUM($V$9:V195)</f>
        <v>1265465.2474004491</v>
      </c>
      <c r="AB195" s="257">
        <f t="array" ref="AB195">(INDEX(PriceDeck!$C$18:$O$77,MATCH('Decline and Model'!$A195,PriceDeck!$B$18:$B$77,0),MATCH('Decline and Model'!AB$8,PriceDeck!$C$13:$O$13,0))*(1+$AE$6))</f>
        <v>94.248000000000005</v>
      </c>
      <c r="AC195" s="257">
        <f t="array" ref="AC195">INDEX(PriceDeck!$C$18:$O$77,MATCH('Decline and Model'!$A195,PriceDeck!$B$18:$B$77,0),MATCH('Decline and Model'!AC$8,PriceDeck!$C$13:$O$13,0))*(1+$AE$6)</f>
        <v>107.61</v>
      </c>
      <c r="AD195" s="257">
        <f t="array" ref="AD195">INDEX(PriceDeck!$C$18:$O$77,MATCH('Decline and Model'!$A195,PriceDeck!$B$18:$B$77,0),MATCH('Decline and Model'!AD$8,PriceDeck!$C$13:$O$13,0))*(1+$AE$6)</f>
        <v>18.767999999999997</v>
      </c>
      <c r="AE195" s="257">
        <f t="array" ref="AE195">INDEX(PriceDeck!$C$18:$O$77,MATCH('Decline and Model'!$A195,PriceDeck!$B$18:$B$77,0),MATCH('Decline and Model'!AE$8,PriceDeck!$C$13:$O$13,0))*(1+$AE$6)</f>
        <v>37.841999999999999</v>
      </c>
      <c r="AF195" s="257">
        <f t="array" ref="AF195">INDEX(PriceDeck!$C$18:$O$77,MATCH('Decline and Model'!$A195,PriceDeck!$B$18:$B$77,0),MATCH('Decline and Model'!AF$8,PriceDeck!$C$13:$O$13,0))*(1+$AE$6)</f>
        <v>111.69</v>
      </c>
      <c r="AG195" s="257">
        <f t="array" ref="AG195">INDEX(PriceDeck!$C$18:$O$77,MATCH('Decline and Model'!$A195,PriceDeck!$B$18:$B$77,0),MATCH('Decline and Model'!AG$8,PriceDeck!$C$13:$O$13,0))*(1+$AE$6)</f>
        <v>78.846000000000004</v>
      </c>
      <c r="AH195" s="258">
        <f t="array" ref="AH195">INDEX(PriceDeck!$C$18:$O$77,MATCH('Decline and Model'!$A195,PriceDeck!$B$18:$B$77,0),MATCH('Decline and Model'!AH$8,PriceDeck!$C$13:$O$13,0))</f>
        <v>0.85</v>
      </c>
      <c r="AI195" s="258">
        <f t="shared" si="138"/>
        <v>4.9470000000000001</v>
      </c>
      <c r="AJ195" s="259">
        <f t="shared" si="113"/>
        <v>4.9470000000000001</v>
      </c>
      <c r="AK195" s="120">
        <v>4.9470000000000001</v>
      </c>
      <c r="AL195" s="120"/>
      <c r="AN195" s="7">
        <f t="shared" si="139"/>
        <v>8092.922368997808</v>
      </c>
      <c r="AO195" s="7">
        <f t="shared" si="140"/>
        <v>14128.710664048302</v>
      </c>
      <c r="AP195" s="7">
        <f t="shared" si="141"/>
        <v>4251.3810591017655</v>
      </c>
      <c r="AQ195" s="7">
        <f t="shared" si="142"/>
        <v>5832.0598694053288</v>
      </c>
      <c r="AR195" s="7">
        <f t="shared" si="143"/>
        <v>8208.6352390010943</v>
      </c>
      <c r="AS195" s="7">
        <f t="shared" si="144"/>
        <v>7090.1241026962543</v>
      </c>
      <c r="AT195" s="7">
        <f t="shared" si="145"/>
        <v>47603.833303250547</v>
      </c>
      <c r="AU195">
        <f>SUM($AT$9:AT195)</f>
        <v>67522060.428568482</v>
      </c>
      <c r="AV195" s="7">
        <f>AT195/(1+$AR$5)^(COUNT($E$9:E195))</f>
        <v>11572.803219507263</v>
      </c>
      <c r="AW195" s="7">
        <f t="shared" si="159"/>
        <v>0</v>
      </c>
      <c r="AX195" s="7">
        <f t="shared" si="146"/>
        <v>0</v>
      </c>
      <c r="AY195" s="117">
        <f t="shared" si="147"/>
        <v>0</v>
      </c>
      <c r="AZ195" s="117">
        <f t="shared" si="148"/>
        <v>47603.833303250547</v>
      </c>
      <c r="BA195" s="120">
        <f t="shared" si="149"/>
        <v>2380.1916651625274</v>
      </c>
      <c r="BB195" s="119">
        <f t="shared" si="114"/>
        <v>316.30506736513405</v>
      </c>
      <c r="BC195" s="17"/>
      <c r="BD195" s="126">
        <f t="shared" si="115"/>
        <v>0.1700056866732452</v>
      </c>
      <c r="BE195" s="127">
        <f t="shared" si="116"/>
        <v>0.29679775101396189</v>
      </c>
      <c r="BF195" s="127">
        <f t="shared" si="117"/>
        <v>8.9307536055325765E-2</v>
      </c>
      <c r="BG195" s="127">
        <f t="shared" si="118"/>
        <v>0.12251240004672263</v>
      </c>
      <c r="BH195" s="127">
        <f t="shared" si="119"/>
        <v>0.17243643356848284</v>
      </c>
      <c r="BI195" s="128">
        <f t="shared" si="120"/>
        <v>0.1489401926422618</v>
      </c>
      <c r="BJ195" s="126">
        <f t="array" ref="BJ195">BD195*INDEX(Royalty!$U$7:$Z$246,MATCH('Decline and Model'!$E195,Royalty!$AI$7:$AI$246,0),MATCH('Decline and Model'!BJ$8,Royalty!$U$1:$Z$1,0))</f>
        <v>5.5449167440184612E-2</v>
      </c>
      <c r="BK195" s="127">
        <f t="array" ref="BK195">BE195*INDEX(Royalty!$U$7:$Z$246,MATCH('Decline and Model'!$E195,Royalty!$AI$7:$AI$246,0),MATCH('Decline and Model'!BK$8,Royalty!$U$1:$Z$1,0))</f>
        <v>9.3833296692836118E-2</v>
      </c>
      <c r="BL195" s="127">
        <f t="array" ref="BL195">BF195*INDEX(Royalty!$U$7:$Z$246,MATCH('Decline and Model'!$E195,Royalty!$AI$7:$AI$246,0),MATCH('Decline and Model'!BL$8,Royalty!$U$1:$Z$1,0))</f>
        <v>2.9234595357174719E-2</v>
      </c>
      <c r="BM195" s="127">
        <f t="array" ref="BM195">BG195*INDEX(Royalty!$U$7:$Z$246,MATCH('Decline and Model'!$E195,Royalty!$AI$7:$AI$246,0),MATCH('Decline and Model'!BM$8,Royalty!$U$1:$Z$1,0))</f>
        <v>3.8811690157496546E-2</v>
      </c>
      <c r="BN195" s="127">
        <f t="array" ref="BN195">BH195*INDEX(Royalty!$U$7:$Z$246,MATCH('Decline and Model'!$E195,Royalty!$AI$7:$AI$246,0),MATCH('Decline and Model'!BN$8,Royalty!$U$1:$Z$1,0))</f>
        <v>3.0245494266973705E-2</v>
      </c>
      <c r="BO195" s="127">
        <f t="array" ref="BO195">BI195*INDEX(Royalty!$U$7:$Z$246,MATCH('Decline and Model'!$E195,Royalty!$AI$7:$AI$246,0),MATCH('Decline and Model'!BO$8,Royalty!$U$1:$Z$1,0))</f>
        <v>7.4470096321130903E-3</v>
      </c>
      <c r="BP195" s="135">
        <f t="shared" si="121"/>
        <v>0.05</v>
      </c>
      <c r="BQ195" s="7"/>
      <c r="BR195" s="7"/>
      <c r="BS195">
        <v>187</v>
      </c>
      <c r="BT195" s="120">
        <f t="shared" si="122"/>
        <v>2380.1916651625274</v>
      </c>
      <c r="BU195" s="113">
        <f t="shared" si="123"/>
        <v>9039.1807263486608</v>
      </c>
      <c r="BV195" s="113">
        <f t="shared" si="124"/>
        <v>2711.7542179045981</v>
      </c>
      <c r="BW195" s="113">
        <f t="shared" si="157"/>
        <v>187750.27716463781</v>
      </c>
      <c r="BX195" s="113">
        <f t="shared" si="150"/>
        <v>4150.1167255234232</v>
      </c>
      <c r="BY195" s="120">
        <f t="shared" si="151"/>
        <v>29322.589968311331</v>
      </c>
      <c r="BZ195" s="153">
        <f t="shared" si="158"/>
        <v>0</v>
      </c>
      <c r="CA195" s="120">
        <f t="shared" si="160"/>
        <v>29322.589968311331</v>
      </c>
      <c r="CB195" s="120">
        <f t="shared" si="152"/>
        <v>7330.6474920778328</v>
      </c>
      <c r="CC195" s="153">
        <f t="shared" si="153"/>
        <v>26142.059201756922</v>
      </c>
      <c r="CD195" s="7">
        <f t="shared" si="125"/>
        <v>6355.3055689316461</v>
      </c>
      <c r="CE195" s="11">
        <f>SUM($CD$9:CD195)</f>
        <v>25431146.984970551</v>
      </c>
      <c r="CF195" s="11">
        <f t="shared" si="154"/>
        <v>12000000</v>
      </c>
      <c r="CG195">
        <f t="shared" si="155"/>
        <v>13431146.984970551</v>
      </c>
    </row>
    <row r="196" spans="1:85">
      <c r="A196">
        <f t="shared" si="126"/>
        <v>2032</v>
      </c>
      <c r="B196">
        <f t="shared" si="127"/>
        <v>30.416666666666668</v>
      </c>
      <c r="C196">
        <f t="shared" si="161"/>
        <v>16</v>
      </c>
      <c r="E196" s="97">
        <v>48519</v>
      </c>
      <c r="F196" s="2">
        <f>$F$6*EXP(-$F$3*COUNT($E$9:$E196))</f>
        <v>6.6300360477280704E-2</v>
      </c>
      <c r="G196" s="260">
        <f>$F$6/(1+$F$5*$F$3*COUNT($E$9:$E196))^(1/$F$5)</f>
        <v>2.4226128242508351</v>
      </c>
      <c r="H196" s="260">
        <f>$H$6/(1+$H$5*$H$3*COUNT($E$9:$E196))^(1/$H$5)</f>
        <v>93.256086159806628</v>
      </c>
      <c r="I196" s="260">
        <f t="shared" si="128"/>
        <v>17.763064030439356</v>
      </c>
      <c r="J196" s="260">
        <f t="shared" si="129"/>
        <v>7.3965398622749481</v>
      </c>
      <c r="K196" s="260">
        <f t="shared" si="129"/>
        <v>5.0322760398234694</v>
      </c>
      <c r="L196" s="260">
        <f t="shared" si="129"/>
        <v>2.399789950512357</v>
      </c>
      <c r="M196" s="260">
        <f t="shared" si="112"/>
        <v>2.9362344842316257</v>
      </c>
      <c r="N196" s="19">
        <f t="shared" si="130"/>
        <v>2.0166359645172882</v>
      </c>
      <c r="O196" s="19">
        <f t="shared" si="131"/>
        <v>73.687806737629572</v>
      </c>
      <c r="P196" s="19">
        <f t="shared" si="132"/>
        <v>2836.5392873607852</v>
      </c>
      <c r="Q196" s="19">
        <f t="shared" si="133"/>
        <v>540.29319759253042</v>
      </c>
      <c r="R196" s="19">
        <f t="shared" si="134"/>
        <v>224.97808747752967</v>
      </c>
      <c r="S196" s="19">
        <f t="shared" si="135"/>
        <v>153.06506287796387</v>
      </c>
      <c r="T196" s="19">
        <f t="shared" si="136"/>
        <v>72.993610994750867</v>
      </c>
      <c r="U196" s="19">
        <f t="shared" si="137"/>
        <v>89.31046556204528</v>
      </c>
      <c r="V196" s="261">
        <f t="shared" si="156"/>
        <v>896.74842999595421</v>
      </c>
      <c r="W196" s="261">
        <f>SUM(O$9:O196)</f>
        <v>560552.54346237448</v>
      </c>
      <c r="X196" s="261">
        <f>SUM(P$9:P196)</f>
        <v>2432452.9499502853</v>
      </c>
      <c r="Y196" s="261">
        <f>SUM(Q$9:Q196)</f>
        <v>463324.37141910184</v>
      </c>
      <c r="Z196" s="261">
        <f>SUM($V$9:V196)</f>
        <v>1266361.9958304451</v>
      </c>
      <c r="AB196" s="257">
        <f t="array" ref="AB196">(INDEX(PriceDeck!$C$18:$O$77,MATCH('Decline and Model'!$A196,PriceDeck!$B$18:$B$77,0),MATCH('Decline and Model'!AB$8,PriceDeck!$C$13:$O$13,0))*(1+$AE$6))</f>
        <v>94.248000000000005</v>
      </c>
      <c r="AC196" s="257">
        <f t="array" ref="AC196">INDEX(PriceDeck!$C$18:$O$77,MATCH('Decline and Model'!$A196,PriceDeck!$B$18:$B$77,0),MATCH('Decline and Model'!AC$8,PriceDeck!$C$13:$O$13,0))*(1+$AE$6)</f>
        <v>107.61</v>
      </c>
      <c r="AD196" s="257">
        <f t="array" ref="AD196">INDEX(PriceDeck!$C$18:$O$77,MATCH('Decline and Model'!$A196,PriceDeck!$B$18:$B$77,0),MATCH('Decline and Model'!AD$8,PriceDeck!$C$13:$O$13,0))*(1+$AE$6)</f>
        <v>18.767999999999997</v>
      </c>
      <c r="AE196" s="257">
        <f t="array" ref="AE196">INDEX(PriceDeck!$C$18:$O$77,MATCH('Decline and Model'!$A196,PriceDeck!$B$18:$B$77,0),MATCH('Decline and Model'!AE$8,PriceDeck!$C$13:$O$13,0))*(1+$AE$6)</f>
        <v>37.841999999999999</v>
      </c>
      <c r="AF196" s="257">
        <f t="array" ref="AF196">INDEX(PriceDeck!$C$18:$O$77,MATCH('Decline and Model'!$A196,PriceDeck!$B$18:$B$77,0),MATCH('Decline and Model'!AF$8,PriceDeck!$C$13:$O$13,0))*(1+$AE$6)</f>
        <v>111.69</v>
      </c>
      <c r="AG196" s="257">
        <f t="array" ref="AG196">INDEX(PriceDeck!$C$18:$O$77,MATCH('Decline and Model'!$A196,PriceDeck!$B$18:$B$77,0),MATCH('Decline and Model'!AG$8,PriceDeck!$C$13:$O$13,0))*(1+$AE$6)</f>
        <v>78.846000000000004</v>
      </c>
      <c r="AH196" s="258">
        <f t="array" ref="AH196">INDEX(PriceDeck!$C$18:$O$77,MATCH('Decline and Model'!$A196,PriceDeck!$B$18:$B$77,0),MATCH('Decline and Model'!AH$8,PriceDeck!$C$13:$O$13,0))</f>
        <v>0.85</v>
      </c>
      <c r="AI196" s="258">
        <f t="shared" si="138"/>
        <v>4.9470000000000001</v>
      </c>
      <c r="AJ196" s="259">
        <f t="shared" si="113"/>
        <v>4.9470000000000001</v>
      </c>
      <c r="AK196" s="120">
        <v>4.9470000000000001</v>
      </c>
      <c r="AL196" s="120"/>
      <c r="AN196" s="7">
        <f t="shared" si="139"/>
        <v>7929.5448830363184</v>
      </c>
      <c r="AO196" s="7">
        <f t="shared" si="140"/>
        <v>14032.359854573804</v>
      </c>
      <c r="AP196" s="7">
        <f t="shared" si="141"/>
        <v>4222.3887457782766</v>
      </c>
      <c r="AQ196" s="7">
        <f t="shared" si="142"/>
        <v>5792.2881094279082</v>
      </c>
      <c r="AR196" s="7">
        <f t="shared" si="143"/>
        <v>8152.6564120037237</v>
      </c>
      <c r="AS196" s="7">
        <f t="shared" si="144"/>
        <v>7041.7729677050229</v>
      </c>
      <c r="AT196" s="7">
        <f t="shared" si="145"/>
        <v>47171.010972525051</v>
      </c>
      <c r="AU196">
        <f>SUM($AT$9:AT196)</f>
        <v>67569231.439541012</v>
      </c>
      <c r="AV196" s="7">
        <f>AT196/(1+$AR$5)^(COUNT($E$9:E196))</f>
        <v>11381.180656894638</v>
      </c>
      <c r="AW196" s="7">
        <f t="shared" si="159"/>
        <v>0</v>
      </c>
      <c r="AX196" s="7">
        <f t="shared" si="146"/>
        <v>0</v>
      </c>
      <c r="AY196" s="117">
        <f t="shared" si="147"/>
        <v>0</v>
      </c>
      <c r="AZ196" s="117">
        <f t="shared" si="148"/>
        <v>47171.010972525051</v>
      </c>
      <c r="BA196" s="120">
        <f t="shared" si="149"/>
        <v>2358.5505486262527</v>
      </c>
      <c r="BB196" s="119">
        <f t="shared" si="114"/>
        <v>323.47471000404585</v>
      </c>
      <c r="BC196" s="17"/>
      <c r="BD196" s="126">
        <f t="shared" si="115"/>
        <v>0.16810207624455864</v>
      </c>
      <c r="BE196" s="127">
        <f t="shared" si="116"/>
        <v>0.29747846326098482</v>
      </c>
      <c r="BF196" s="127">
        <f t="shared" si="117"/>
        <v>8.9512364876759246E-2</v>
      </c>
      <c r="BG196" s="127">
        <f t="shared" si="118"/>
        <v>0.12279338496267656</v>
      </c>
      <c r="BH196" s="127">
        <f t="shared" si="119"/>
        <v>0.17283192036635112</v>
      </c>
      <c r="BI196" s="128">
        <f t="shared" si="120"/>
        <v>0.14928179028866972</v>
      </c>
      <c r="BJ196" s="126">
        <f t="array" ref="BJ196">BD196*INDEX(Royalty!$U$7:$Z$246,MATCH('Decline and Model'!$E196,Royalty!$AI$7:$AI$246,0),MATCH('Decline and Model'!BJ$8,Royalty!$U$1:$Z$1,0))</f>
        <v>5.482828460110642E-2</v>
      </c>
      <c r="BK196" s="127">
        <f t="array" ref="BK196">BE196*INDEX(Royalty!$U$7:$Z$246,MATCH('Decline and Model'!$E196,Royalty!$AI$7:$AI$246,0),MATCH('Decline and Model'!BK$8,Royalty!$U$1:$Z$1,0))</f>
        <v>9.4048505447010086E-2</v>
      </c>
      <c r="BL196" s="127">
        <f t="array" ref="BL196">BF196*INDEX(Royalty!$U$7:$Z$246,MATCH('Decline and Model'!$E196,Royalty!$AI$7:$AI$246,0),MATCH('Decline and Model'!BL$8,Royalty!$U$1:$Z$1,0))</f>
        <v>2.9301645552226401E-2</v>
      </c>
      <c r="BM196" s="127">
        <f t="array" ref="BM196">BG196*INDEX(Royalty!$U$7:$Z$246,MATCH('Decline and Model'!$E196,Royalty!$AI$7:$AI$246,0),MATCH('Decline and Model'!BM$8,Royalty!$U$1:$Z$1,0))</f>
        <v>3.8900705632605802E-2</v>
      </c>
      <c r="BN196" s="127">
        <f t="array" ref="BN196">BH196*INDEX(Royalty!$U$7:$Z$246,MATCH('Decline and Model'!$E196,Royalty!$AI$7:$AI$246,0),MATCH('Decline and Model'!BN$8,Royalty!$U$1:$Z$1,0))</f>
        <v>3.031486298117202E-2</v>
      </c>
      <c r="BO196" s="127">
        <f t="array" ref="BO196">BI196*INDEX(Royalty!$U$7:$Z$246,MATCH('Decline and Model'!$E196,Royalty!$AI$7:$AI$246,0),MATCH('Decline and Model'!BO$8,Royalty!$U$1:$Z$1,0))</f>
        <v>7.4640895144334864E-3</v>
      </c>
      <c r="BP196" s="135">
        <f t="shared" si="121"/>
        <v>0.05</v>
      </c>
      <c r="BQ196" s="7"/>
      <c r="BR196" s="7"/>
      <c r="BS196">
        <v>188</v>
      </c>
      <c r="BT196" s="120">
        <f t="shared" si="122"/>
        <v>2358.5505486262527</v>
      </c>
      <c r="BU196" s="113">
        <f t="shared" si="123"/>
        <v>8967.4842999595421</v>
      </c>
      <c r="BV196" s="113">
        <f t="shared" si="124"/>
        <v>2690.2452899878626</v>
      </c>
      <c r="BW196" s="113">
        <f t="shared" si="157"/>
        <v>183600.16043911438</v>
      </c>
      <c r="BX196" s="113">
        <f t="shared" si="150"/>
        <v>4058.3806754063521</v>
      </c>
      <c r="BY196" s="120">
        <f t="shared" si="151"/>
        <v>29096.350158545039</v>
      </c>
      <c r="BZ196" s="153">
        <f t="shared" si="158"/>
        <v>0</v>
      </c>
      <c r="CA196" s="120">
        <f t="shared" si="160"/>
        <v>29096.350158545039</v>
      </c>
      <c r="CB196" s="120">
        <f t="shared" si="152"/>
        <v>7274.0875396362599</v>
      </c>
      <c r="CC196" s="153">
        <f t="shared" si="153"/>
        <v>25880.64329431513</v>
      </c>
      <c r="CD196" s="7">
        <f t="shared" si="125"/>
        <v>6244.3494590525625</v>
      </c>
      <c r="CE196" s="11">
        <f>SUM($CD$9:CD196)</f>
        <v>25437391.334429603</v>
      </c>
      <c r="CF196" s="11">
        <f t="shared" si="154"/>
        <v>12000000</v>
      </c>
      <c r="CG196">
        <f t="shared" si="155"/>
        <v>13437391.334429603</v>
      </c>
    </row>
    <row r="197" spans="1:85">
      <c r="A197">
        <f t="shared" si="126"/>
        <v>2032</v>
      </c>
      <c r="B197">
        <f t="shared" si="127"/>
        <v>30.416666666666668</v>
      </c>
      <c r="C197">
        <f t="shared" si="161"/>
        <v>16</v>
      </c>
      <c r="E197" s="97">
        <v>48549</v>
      </c>
      <c r="F197" s="2">
        <f>$F$6*EXP(-$F$3*COUNT($E$9:$E197))</f>
        <v>6.3066853740993564E-2</v>
      </c>
      <c r="G197" s="260">
        <f>$F$6/(1+$F$5*$F$3*COUNT($E$9:$E197))^(1/$F$5)</f>
        <v>2.3738582442528409</v>
      </c>
      <c r="H197" s="260">
        <f>$H$6/(1+$H$5*$H$3*COUNT($E$9:$E197))^(1/$H$5)</f>
        <v>92.623209063759433</v>
      </c>
      <c r="I197" s="260">
        <f t="shared" si="128"/>
        <v>17.642516012144654</v>
      </c>
      <c r="J197" s="260">
        <f t="shared" si="129"/>
        <v>7.3463436674570337</v>
      </c>
      <c r="K197" s="260">
        <f t="shared" si="129"/>
        <v>4.99812478624058</v>
      </c>
      <c r="L197" s="260">
        <f t="shared" si="129"/>
        <v>2.3835039132407427</v>
      </c>
      <c r="M197" s="260">
        <f t="shared" si="112"/>
        <v>2.9163078968075111</v>
      </c>
      <c r="N197" s="19">
        <f t="shared" si="130"/>
        <v>1.918283467955221</v>
      </c>
      <c r="O197" s="19">
        <f t="shared" si="131"/>
        <v>72.204854929357239</v>
      </c>
      <c r="P197" s="19">
        <f t="shared" si="132"/>
        <v>2817.2892756893493</v>
      </c>
      <c r="Q197" s="19">
        <f t="shared" si="133"/>
        <v>536.62652870273325</v>
      </c>
      <c r="R197" s="19">
        <f t="shared" si="134"/>
        <v>223.45128655181813</v>
      </c>
      <c r="S197" s="19">
        <f t="shared" si="135"/>
        <v>152.02629558148431</v>
      </c>
      <c r="T197" s="19">
        <f t="shared" si="136"/>
        <v>72.498244027739261</v>
      </c>
      <c r="U197" s="19">
        <f t="shared" si="137"/>
        <v>88.704365194561802</v>
      </c>
      <c r="V197" s="261">
        <f t="shared" si="156"/>
        <v>889.67982433313455</v>
      </c>
      <c r="W197" s="261">
        <f>SUM(O$9:O197)</f>
        <v>560624.74831730383</v>
      </c>
      <c r="X197" s="261">
        <f>SUM(P$9:P197)</f>
        <v>2435270.2392259748</v>
      </c>
      <c r="Y197" s="261">
        <f>SUM(Q$9:Q197)</f>
        <v>463860.99794780457</v>
      </c>
      <c r="Z197" s="261">
        <f>SUM($V$9:V197)</f>
        <v>1267251.6756547783</v>
      </c>
      <c r="AB197" s="257">
        <f t="array" ref="AB197">(INDEX(PriceDeck!$C$18:$O$77,MATCH('Decline and Model'!$A197,PriceDeck!$B$18:$B$77,0),MATCH('Decline and Model'!AB$8,PriceDeck!$C$13:$O$13,0))*(1+$AE$6))</f>
        <v>94.248000000000005</v>
      </c>
      <c r="AC197" s="257">
        <f t="array" ref="AC197">INDEX(PriceDeck!$C$18:$O$77,MATCH('Decline and Model'!$A197,PriceDeck!$B$18:$B$77,0),MATCH('Decline and Model'!AC$8,PriceDeck!$C$13:$O$13,0))*(1+$AE$6)</f>
        <v>107.61</v>
      </c>
      <c r="AD197" s="257">
        <f t="array" ref="AD197">INDEX(PriceDeck!$C$18:$O$77,MATCH('Decline and Model'!$A197,PriceDeck!$B$18:$B$77,0),MATCH('Decline and Model'!AD$8,PriceDeck!$C$13:$O$13,0))*(1+$AE$6)</f>
        <v>18.767999999999997</v>
      </c>
      <c r="AE197" s="257">
        <f t="array" ref="AE197">INDEX(PriceDeck!$C$18:$O$77,MATCH('Decline and Model'!$A197,PriceDeck!$B$18:$B$77,0),MATCH('Decline and Model'!AE$8,PriceDeck!$C$13:$O$13,0))*(1+$AE$6)</f>
        <v>37.841999999999999</v>
      </c>
      <c r="AF197" s="257">
        <f t="array" ref="AF197">INDEX(PriceDeck!$C$18:$O$77,MATCH('Decline and Model'!$A197,PriceDeck!$B$18:$B$77,0),MATCH('Decline and Model'!AF$8,PriceDeck!$C$13:$O$13,0))*(1+$AE$6)</f>
        <v>111.69</v>
      </c>
      <c r="AG197" s="257">
        <f t="array" ref="AG197">INDEX(PriceDeck!$C$18:$O$77,MATCH('Decline and Model'!$A197,PriceDeck!$B$18:$B$77,0),MATCH('Decline and Model'!AG$8,PriceDeck!$C$13:$O$13,0))*(1+$AE$6)</f>
        <v>78.846000000000004</v>
      </c>
      <c r="AH197" s="258">
        <f t="array" ref="AH197">INDEX(PriceDeck!$C$18:$O$77,MATCH('Decline and Model'!$A197,PriceDeck!$B$18:$B$77,0),MATCH('Decline and Model'!AH$8,PriceDeck!$C$13:$O$13,0))</f>
        <v>0.85</v>
      </c>
      <c r="AI197" s="258">
        <f t="shared" si="138"/>
        <v>4.9470000000000001</v>
      </c>
      <c r="AJ197" s="259">
        <f t="shared" si="113"/>
        <v>4.9470000000000001</v>
      </c>
      <c r="AK197" s="120">
        <v>4.9470000000000001</v>
      </c>
      <c r="AL197" s="120"/>
      <c r="AN197" s="7">
        <f t="shared" si="139"/>
        <v>7769.9644389481327</v>
      </c>
      <c r="AO197" s="7">
        <f t="shared" si="140"/>
        <v>13937.130046835211</v>
      </c>
      <c r="AP197" s="7">
        <f t="shared" si="141"/>
        <v>4193.7337460045219</v>
      </c>
      <c r="AQ197" s="7">
        <f t="shared" si="142"/>
        <v>5752.9790773945288</v>
      </c>
      <c r="AR197" s="7">
        <f t="shared" si="143"/>
        <v>8097.3288754581981</v>
      </c>
      <c r="AS197" s="7">
        <f t="shared" si="144"/>
        <v>6993.9843781304198</v>
      </c>
      <c r="AT197" s="7">
        <f t="shared" si="145"/>
        <v>46745.120562771015</v>
      </c>
      <c r="AU197">
        <f>SUM($AT$9:AT197)</f>
        <v>67615976.560103789</v>
      </c>
      <c r="AV197" s="7">
        <f>AT197/(1+$AR$5)^(COUNT($E$9:E197))</f>
        <v>11193.448545104391</v>
      </c>
      <c r="AW197" s="7">
        <f t="shared" si="159"/>
        <v>0</v>
      </c>
      <c r="AX197" s="7">
        <f t="shared" si="146"/>
        <v>0</v>
      </c>
      <c r="AY197" s="117">
        <f t="shared" si="147"/>
        <v>0</v>
      </c>
      <c r="AZ197" s="117">
        <f t="shared" si="148"/>
        <v>46745.120562771015</v>
      </c>
      <c r="BA197" s="120">
        <f t="shared" si="149"/>
        <v>2337.2560281385508</v>
      </c>
      <c r="BB197" s="119">
        <f t="shared" si="114"/>
        <v>330.54331566686551</v>
      </c>
      <c r="BC197" s="17"/>
      <c r="BD197" s="126">
        <f t="shared" si="115"/>
        <v>0.16621979674893228</v>
      </c>
      <c r="BE197" s="127">
        <f t="shared" si="116"/>
        <v>0.29815154777748271</v>
      </c>
      <c r="BF197" s="127">
        <f t="shared" si="117"/>
        <v>8.9714898485993344E-2</v>
      </c>
      <c r="BG197" s="127">
        <f t="shared" si="118"/>
        <v>0.12307122129825772</v>
      </c>
      <c r="BH197" s="127">
        <f t="shared" si="119"/>
        <v>0.1732229755314208</v>
      </c>
      <c r="BI197" s="128">
        <f t="shared" si="120"/>
        <v>0.14961956015791314</v>
      </c>
      <c r="BJ197" s="126">
        <f t="array" ref="BJ197">BD197*INDEX(Royalty!$U$7:$Z$246,MATCH('Decline and Model'!$E197,Royalty!$AI$7:$AI$246,0),MATCH('Decline and Model'!BJ$8,Royalty!$U$1:$Z$1,0))</f>
        <v>5.421435907329266E-2</v>
      </c>
      <c r="BK197" s="127">
        <f t="array" ref="BK197">BE197*INDEX(Royalty!$U$7:$Z$246,MATCH('Decline and Model'!$E197,Royalty!$AI$7:$AI$246,0),MATCH('Decline and Model'!BK$8,Royalty!$U$1:$Z$1,0))</f>
        <v>9.4261302676504358E-2</v>
      </c>
      <c r="BL197" s="127">
        <f t="array" ref="BL197">BF197*INDEX(Royalty!$U$7:$Z$246,MATCH('Decline and Model'!$E197,Royalty!$AI$7:$AI$246,0),MATCH('Decline and Model'!BL$8,Royalty!$U$1:$Z$1,0))</f>
        <v>2.9367944415387502E-2</v>
      </c>
      <c r="BM197" s="127">
        <f t="array" ref="BM197">BG197*INDEX(Royalty!$U$7:$Z$246,MATCH('Decline and Model'!$E197,Royalty!$AI$7:$AI$246,0),MATCH('Decline and Model'!BM$8,Royalty!$U$1:$Z$1,0))</f>
        <v>3.8988723643574141E-2</v>
      </c>
      <c r="BN197" s="127">
        <f t="array" ref="BN197">BH197*INDEX(Royalty!$U$7:$Z$246,MATCH('Decline and Model'!$E197,Royalty!$AI$7:$AI$246,0),MATCH('Decline and Model'!BN$8,Royalty!$U$1:$Z$1,0))</f>
        <v>3.0383454383281296E-2</v>
      </c>
      <c r="BO197" s="127">
        <f t="array" ref="BO197">BI197*INDEX(Royalty!$U$7:$Z$246,MATCH('Decline and Model'!$E197,Royalty!$AI$7:$AI$246,0),MATCH('Decline and Model'!BO$8,Royalty!$U$1:$Z$1,0))</f>
        <v>7.4809780078956573E-3</v>
      </c>
      <c r="BP197" s="135">
        <f t="shared" si="121"/>
        <v>0.05</v>
      </c>
      <c r="BQ197" s="7"/>
      <c r="BR197" s="7"/>
      <c r="BS197">
        <v>189</v>
      </c>
      <c r="BT197" s="120">
        <f t="shared" si="122"/>
        <v>2337.2560281385508</v>
      </c>
      <c r="BU197" s="113">
        <f t="shared" si="123"/>
        <v>8896.7982433313446</v>
      </c>
      <c r="BV197" s="113">
        <f t="shared" si="124"/>
        <v>2669.0394729994036</v>
      </c>
      <c r="BW197" s="113">
        <f t="shared" si="157"/>
        <v>179541.77976370804</v>
      </c>
      <c r="BX197" s="113">
        <f t="shared" si="150"/>
        <v>3968.6724002767469</v>
      </c>
      <c r="BY197" s="120">
        <f t="shared" si="151"/>
        <v>28873.35441802497</v>
      </c>
      <c r="BZ197" s="153">
        <f t="shared" si="158"/>
        <v>0</v>
      </c>
      <c r="CA197" s="120">
        <f t="shared" si="160"/>
        <v>28873.35441802497</v>
      </c>
      <c r="CB197" s="120">
        <f t="shared" si="152"/>
        <v>7218.3386045062425</v>
      </c>
      <c r="CC197" s="153">
        <f t="shared" si="153"/>
        <v>25623.688213795474</v>
      </c>
      <c r="CD197" s="7">
        <f t="shared" si="125"/>
        <v>6135.7727203156701</v>
      </c>
      <c r="CE197" s="11">
        <f>SUM($CD$9:CD197)</f>
        <v>25443527.107149918</v>
      </c>
      <c r="CF197" s="11">
        <f t="shared" si="154"/>
        <v>12000000</v>
      </c>
      <c r="CG197">
        <f t="shared" si="155"/>
        <v>13443527.107149918</v>
      </c>
    </row>
    <row r="198" spans="1:85">
      <c r="A198">
        <f t="shared" si="126"/>
        <v>2033</v>
      </c>
      <c r="B198">
        <f t="shared" si="127"/>
        <v>30.416666666666668</v>
      </c>
      <c r="C198">
        <f t="shared" si="161"/>
        <v>16</v>
      </c>
      <c r="E198" s="97">
        <v>48580</v>
      </c>
      <c r="F198" s="2">
        <f>$F$6*EXP(-$F$3*COUNT($E$9:$E198))</f>
        <v>5.9991046989116073E-2</v>
      </c>
      <c r="G198" s="260">
        <f>$F$6/(1+$F$5*$F$3*COUNT($E$9:$E198))^(1/$F$5)</f>
        <v>2.3262332453088006</v>
      </c>
      <c r="H198" s="260">
        <f>$H$6/(1+$H$5*$H$3*COUNT($E$9:$E198))^(1/$H$5)</f>
        <v>91.997659704572058</v>
      </c>
      <c r="I198" s="260">
        <f t="shared" si="128"/>
        <v>17.523363753251818</v>
      </c>
      <c r="J198" s="260">
        <f t="shared" si="129"/>
        <v>7.2967286668540572</v>
      </c>
      <c r="K198" s="260">
        <f t="shared" si="129"/>
        <v>4.9643689512962403</v>
      </c>
      <c r="L198" s="260">
        <f t="shared" si="129"/>
        <v>2.3674064430643207</v>
      </c>
      <c r="M198" s="260">
        <f t="shared" si="112"/>
        <v>2.8966120284125254</v>
      </c>
      <c r="N198" s="19">
        <f t="shared" si="130"/>
        <v>1.8247276792522806</v>
      </c>
      <c r="O198" s="19">
        <f t="shared" si="131"/>
        <v>70.756261211476016</v>
      </c>
      <c r="P198" s="19">
        <f t="shared" si="132"/>
        <v>2798.2621493474003</v>
      </c>
      <c r="Q198" s="19">
        <f t="shared" si="133"/>
        <v>533.00231416140946</v>
      </c>
      <c r="R198" s="19">
        <f t="shared" si="134"/>
        <v>221.94216361681092</v>
      </c>
      <c r="S198" s="19">
        <f t="shared" si="135"/>
        <v>150.99955560192731</v>
      </c>
      <c r="T198" s="19">
        <f t="shared" si="136"/>
        <v>72.008612643206419</v>
      </c>
      <c r="U198" s="19">
        <f t="shared" si="137"/>
        <v>88.105282530880984</v>
      </c>
      <c r="V198" s="261">
        <f t="shared" si="156"/>
        <v>882.71024998381972</v>
      </c>
      <c r="W198" s="261">
        <f>SUM(O$9:O198)</f>
        <v>560695.50457851531</v>
      </c>
      <c r="X198" s="261">
        <f>SUM(P$9:P198)</f>
        <v>2438068.5013753222</v>
      </c>
      <c r="Y198" s="261">
        <f>SUM(Q$9:Q198)</f>
        <v>464394.00026196596</v>
      </c>
      <c r="Z198" s="261">
        <f>SUM($V$9:V198)</f>
        <v>1268134.385904762</v>
      </c>
      <c r="AB198" s="257">
        <f t="array" ref="AB198">(INDEX(PriceDeck!$C$18:$O$77,MATCH('Decline and Model'!$A198,PriceDeck!$B$18:$B$77,0),MATCH('Decline and Model'!AB$8,PriceDeck!$C$13:$O$13,0))*(1+$AE$6))</f>
        <v>96.132960000000011</v>
      </c>
      <c r="AC198" s="257">
        <f t="array" ref="AC198">INDEX(PriceDeck!$C$18:$O$77,MATCH('Decline and Model'!$A198,PriceDeck!$B$18:$B$77,0),MATCH('Decline and Model'!AC$8,PriceDeck!$C$13:$O$13,0))*(1+$AE$6)</f>
        <v>109.76220000000001</v>
      </c>
      <c r="AD198" s="257">
        <f t="array" ref="AD198">INDEX(PriceDeck!$C$18:$O$77,MATCH('Decline and Model'!$A198,PriceDeck!$B$18:$B$77,0),MATCH('Decline and Model'!AD$8,PriceDeck!$C$13:$O$13,0))*(1+$AE$6)</f>
        <v>19.143359999999998</v>
      </c>
      <c r="AE198" s="257">
        <f t="array" ref="AE198">INDEX(PriceDeck!$C$18:$O$77,MATCH('Decline and Model'!$A198,PriceDeck!$B$18:$B$77,0),MATCH('Decline and Model'!AE$8,PriceDeck!$C$13:$O$13,0))*(1+$AE$6)</f>
        <v>38.598840000000003</v>
      </c>
      <c r="AF198" s="257">
        <f t="array" ref="AF198">INDEX(PriceDeck!$C$18:$O$77,MATCH('Decline and Model'!$A198,PriceDeck!$B$18:$B$77,0),MATCH('Decline and Model'!AF$8,PriceDeck!$C$13:$O$13,0))*(1+$AE$6)</f>
        <v>113.9238</v>
      </c>
      <c r="AG198" s="257">
        <f t="array" ref="AG198">INDEX(PriceDeck!$C$18:$O$77,MATCH('Decline and Model'!$A198,PriceDeck!$B$18:$B$77,0),MATCH('Decline and Model'!AG$8,PriceDeck!$C$13:$O$13,0))*(1+$AE$6)</f>
        <v>80.422920000000005</v>
      </c>
      <c r="AH198" s="258">
        <f t="array" ref="AH198">INDEX(PriceDeck!$C$18:$O$77,MATCH('Decline and Model'!$A198,PriceDeck!$B$18:$B$77,0),MATCH('Decline and Model'!AH$8,PriceDeck!$C$13:$O$13,0))</f>
        <v>0.85</v>
      </c>
      <c r="AI198" s="258">
        <f t="shared" si="138"/>
        <v>5.0459399999999999</v>
      </c>
      <c r="AJ198" s="259">
        <f t="shared" si="113"/>
        <v>5.0459399999999999</v>
      </c>
      <c r="AK198" s="120">
        <v>5.0459399999999999</v>
      </c>
      <c r="AL198" s="120"/>
      <c r="AN198" s="7">
        <f t="shared" si="139"/>
        <v>7766.3628943462736</v>
      </c>
      <c r="AO198" s="7">
        <f t="shared" si="140"/>
        <v>14119.86290987802</v>
      </c>
      <c r="AP198" s="7">
        <f t="shared" si="141"/>
        <v>4248.7187372955132</v>
      </c>
      <c r="AQ198" s="7">
        <f t="shared" si="142"/>
        <v>5828.4076867498961</v>
      </c>
      <c r="AR198" s="7">
        <f t="shared" si="143"/>
        <v>8203.4947850421195</v>
      </c>
      <c r="AS198" s="7">
        <f t="shared" si="144"/>
        <v>7085.6840885584397</v>
      </c>
      <c r="AT198" s="7">
        <f t="shared" si="145"/>
        <v>47252.531101870263</v>
      </c>
      <c r="AU198">
        <f>SUM($AT$9:AT198)</f>
        <v>67663229.091205657</v>
      </c>
      <c r="AV198" s="7">
        <f>AT198/(1+$AR$5)^(COUNT($E$9:E198))</f>
        <v>11229.700914991006</v>
      </c>
      <c r="AW198" s="7">
        <f t="shared" si="159"/>
        <v>0</v>
      </c>
      <c r="AX198" s="7">
        <f t="shared" si="146"/>
        <v>0</v>
      </c>
      <c r="AY198" s="117">
        <f t="shared" si="147"/>
        <v>0</v>
      </c>
      <c r="AZ198" s="117">
        <f t="shared" si="148"/>
        <v>47252.531101870263</v>
      </c>
      <c r="BA198" s="120">
        <f t="shared" si="149"/>
        <v>2362.6265550935132</v>
      </c>
      <c r="BB198" s="119">
        <f t="shared" si="114"/>
        <v>337.51289001618034</v>
      </c>
      <c r="BC198" s="17"/>
      <c r="BD198" s="126">
        <f t="shared" si="115"/>
        <v>0.16435866425023907</v>
      </c>
      <c r="BE198" s="127">
        <f t="shared" si="116"/>
        <v>0.29881707033719412</v>
      </c>
      <c r="BF198" s="127">
        <f t="shared" si="117"/>
        <v>8.9915156674588131E-2</v>
      </c>
      <c r="BG198" s="127">
        <f t="shared" si="118"/>
        <v>0.12334593620359961</v>
      </c>
      <c r="BH198" s="127">
        <f t="shared" si="119"/>
        <v>0.17360963727755577</v>
      </c>
      <c r="BI198" s="128">
        <f t="shared" si="120"/>
        <v>0.14995353525682326</v>
      </c>
      <c r="BJ198" s="126">
        <f t="array" ref="BJ198">BD198*INDEX(Royalty!$U$7:$Z$246,MATCH('Decline and Model'!$E198,Royalty!$AI$7:$AI$246,0),MATCH('Decline and Model'!BJ$8,Royalty!$U$1:$Z$1,0))</f>
        <v>5.4507945547501747E-2</v>
      </c>
      <c r="BK198" s="127">
        <f t="array" ref="BK198">BE198*INDEX(Royalty!$U$7:$Z$246,MATCH('Decline and Model'!$E198,Royalty!$AI$7:$AI$246,0),MATCH('Decline and Model'!BK$8,Royalty!$U$1:$Z$1,0))</f>
        <v>9.6049284716800576E-2</v>
      </c>
      <c r="BL198" s="127">
        <f t="array" ref="BL198">BF198*INDEX(Royalty!$U$7:$Z$246,MATCH('Decline and Model'!$E198,Royalty!$AI$7:$AI$246,0),MATCH('Decline and Model'!BL$8,Royalty!$U$1:$Z$1,0))</f>
        <v>2.9927569988289479E-2</v>
      </c>
      <c r="BM198" s="127">
        <f t="array" ref="BM198">BG198*INDEX(Royalty!$U$7:$Z$246,MATCH('Decline and Model'!$E198,Royalty!$AI$7:$AI$246,0),MATCH('Decline and Model'!BM$8,Royalty!$U$1:$Z$1,0))</f>
        <v>3.972927690053378E-2</v>
      </c>
      <c r="BN198" s="127">
        <f t="array" ref="BN198">BH198*INDEX(Royalty!$U$7:$Z$246,MATCH('Decline and Model'!$E198,Royalty!$AI$7:$AI$246,0),MATCH('Decline and Model'!BN$8,Royalty!$U$1:$Z$1,0))</f>
        <v>3.1181295020315393E-2</v>
      </c>
      <c r="BO198" s="127">
        <f t="array" ref="BO198">BI198*INDEX(Royalty!$U$7:$Z$246,MATCH('Decline and Model'!$E198,Royalty!$AI$7:$AI$246,0),MATCH('Decline and Model'!BO$8,Royalty!$U$1:$Z$1,0))</f>
        <v>7.4976767628411635E-3</v>
      </c>
      <c r="BP198" s="135">
        <f t="shared" si="121"/>
        <v>0.05</v>
      </c>
      <c r="BQ198" s="7"/>
      <c r="BR198" s="7"/>
      <c r="BS198">
        <v>190</v>
      </c>
      <c r="BT198" s="120">
        <f t="shared" si="122"/>
        <v>2362.6265550935132</v>
      </c>
      <c r="BU198" s="113">
        <f t="shared" si="123"/>
        <v>8827.1024998381981</v>
      </c>
      <c r="BV198" s="113">
        <f t="shared" si="124"/>
        <v>2648.1307499514592</v>
      </c>
      <c r="BW198" s="113">
        <f t="shared" si="157"/>
        <v>175573.10736343128</v>
      </c>
      <c r="BX198" s="113">
        <f t="shared" si="150"/>
        <v>3880.9470772825825</v>
      </c>
      <c r="BY198" s="120">
        <f t="shared" si="151"/>
        <v>29533.724219704513</v>
      </c>
      <c r="BZ198" s="153">
        <f t="shared" si="158"/>
        <v>0</v>
      </c>
      <c r="CA198" s="120">
        <f t="shared" si="160"/>
        <v>29533.724219704513</v>
      </c>
      <c r="CB198" s="120">
        <f t="shared" si="152"/>
        <v>7383.4310549261281</v>
      </c>
      <c r="CC198" s="153">
        <f t="shared" si="153"/>
        <v>26031.240242060965</v>
      </c>
      <c r="CD198" s="7">
        <f t="shared" si="125"/>
        <v>6186.3996604628974</v>
      </c>
      <c r="CE198" s="11">
        <f>SUM($CD$9:CD198)</f>
        <v>25449713.506810382</v>
      </c>
      <c r="CF198" s="11">
        <f t="shared" si="154"/>
        <v>12000000</v>
      </c>
      <c r="CG198">
        <f t="shared" si="155"/>
        <v>13449713.506810382</v>
      </c>
    </row>
    <row r="199" spans="1:85">
      <c r="A199">
        <f t="shared" si="126"/>
        <v>2033</v>
      </c>
      <c r="B199">
        <f t="shared" si="127"/>
        <v>30.416666666666668</v>
      </c>
      <c r="C199">
        <f t="shared" si="161"/>
        <v>16</v>
      </c>
      <c r="E199" s="97">
        <v>48611</v>
      </c>
      <c r="F199" s="2">
        <f>$F$6*EXP(-$F$3*COUNT($E$9:$E199))</f>
        <v>5.7065249102652135E-2</v>
      </c>
      <c r="G199" s="260">
        <f>$F$6/(1+$F$5*$F$3*COUNT($E$9:$E199))^(1/$F$5)</f>
        <v>2.2797082394420665</v>
      </c>
      <c r="H199" s="260">
        <f>$H$6/(1+$H$5*$H$3*COUNT($E$9:$E199))^(1/$H$5)</f>
        <v>91.379318461082889</v>
      </c>
      <c r="I199" s="260">
        <f t="shared" si="128"/>
        <v>17.405584468777693</v>
      </c>
      <c r="J199" s="260">
        <f t="shared" si="129"/>
        <v>7.2476853727990314</v>
      </c>
      <c r="K199" s="260">
        <f t="shared" si="129"/>
        <v>4.9310020800047205</v>
      </c>
      <c r="L199" s="260">
        <f t="shared" si="129"/>
        <v>2.3514944617318663</v>
      </c>
      <c r="M199" s="260">
        <f t="shared" si="112"/>
        <v>2.8771431126889526</v>
      </c>
      <c r="N199" s="19">
        <f t="shared" si="130"/>
        <v>1.7357346602056691</v>
      </c>
      <c r="O199" s="19">
        <f t="shared" si="131"/>
        <v>69.341125616362859</v>
      </c>
      <c r="P199" s="19">
        <f t="shared" si="132"/>
        <v>2779.454269857938</v>
      </c>
      <c r="Q199" s="19">
        <f t="shared" si="133"/>
        <v>529.41986092532147</v>
      </c>
      <c r="R199" s="19">
        <f t="shared" si="134"/>
        <v>220.45043008930389</v>
      </c>
      <c r="S199" s="19">
        <f t="shared" si="135"/>
        <v>149.98464660014358</v>
      </c>
      <c r="T199" s="19">
        <f t="shared" si="136"/>
        <v>71.524623211010933</v>
      </c>
      <c r="U199" s="19">
        <f t="shared" si="137"/>
        <v>87.513103010955646</v>
      </c>
      <c r="V199" s="261">
        <f t="shared" si="156"/>
        <v>875.83775122658108</v>
      </c>
      <c r="W199" s="261">
        <f>SUM(O$9:O199)</f>
        <v>560764.84570413164</v>
      </c>
      <c r="X199" s="261">
        <f>SUM(P$9:P199)</f>
        <v>2440847.9556451803</v>
      </c>
      <c r="Y199" s="261">
        <f>SUM(Q$9:Q199)</f>
        <v>464923.42012289126</v>
      </c>
      <c r="Z199" s="261">
        <f>SUM($V$9:V199)</f>
        <v>1269010.2236559885</v>
      </c>
      <c r="AB199" s="257">
        <f t="array" ref="AB199">(INDEX(PriceDeck!$C$18:$O$77,MATCH('Decline and Model'!$A199,PriceDeck!$B$18:$B$77,0),MATCH('Decline and Model'!AB$8,PriceDeck!$C$13:$O$13,0))*(1+$AE$6))</f>
        <v>96.132960000000011</v>
      </c>
      <c r="AC199" s="257">
        <f t="array" ref="AC199">INDEX(PriceDeck!$C$18:$O$77,MATCH('Decline and Model'!$A199,PriceDeck!$B$18:$B$77,0),MATCH('Decline and Model'!AC$8,PriceDeck!$C$13:$O$13,0))*(1+$AE$6)</f>
        <v>109.76220000000001</v>
      </c>
      <c r="AD199" s="257">
        <f t="array" ref="AD199">INDEX(PriceDeck!$C$18:$O$77,MATCH('Decline and Model'!$A199,PriceDeck!$B$18:$B$77,0),MATCH('Decline and Model'!AD$8,PriceDeck!$C$13:$O$13,0))*(1+$AE$6)</f>
        <v>19.143359999999998</v>
      </c>
      <c r="AE199" s="257">
        <f t="array" ref="AE199">INDEX(PriceDeck!$C$18:$O$77,MATCH('Decline and Model'!$A199,PriceDeck!$B$18:$B$77,0),MATCH('Decline and Model'!AE$8,PriceDeck!$C$13:$O$13,0))*(1+$AE$6)</f>
        <v>38.598840000000003</v>
      </c>
      <c r="AF199" s="257">
        <f t="array" ref="AF199">INDEX(PriceDeck!$C$18:$O$77,MATCH('Decline and Model'!$A199,PriceDeck!$B$18:$B$77,0),MATCH('Decline and Model'!AF$8,PriceDeck!$C$13:$O$13,0))*(1+$AE$6)</f>
        <v>113.9238</v>
      </c>
      <c r="AG199" s="257">
        <f t="array" ref="AG199">INDEX(PriceDeck!$C$18:$O$77,MATCH('Decline and Model'!$A199,PriceDeck!$B$18:$B$77,0),MATCH('Decline and Model'!AG$8,PriceDeck!$C$13:$O$13,0))*(1+$AE$6)</f>
        <v>80.422920000000005</v>
      </c>
      <c r="AH199" s="258">
        <f t="array" ref="AH199">INDEX(PriceDeck!$C$18:$O$77,MATCH('Decline and Model'!$A199,PriceDeck!$B$18:$B$77,0),MATCH('Decline and Model'!AH$8,PriceDeck!$C$13:$O$13,0))</f>
        <v>0.85</v>
      </c>
      <c r="AI199" s="258">
        <f t="shared" si="138"/>
        <v>5.0459399999999999</v>
      </c>
      <c r="AJ199" s="259">
        <f t="shared" si="113"/>
        <v>5.0459399999999999</v>
      </c>
      <c r="AK199" s="120">
        <v>5.0459399999999999</v>
      </c>
      <c r="AL199" s="120"/>
      <c r="AN199" s="7">
        <f t="shared" si="139"/>
        <v>7611.0344981283442</v>
      </c>
      <c r="AO199" s="7">
        <f t="shared" si="140"/>
        <v>14024.959478446963</v>
      </c>
      <c r="AP199" s="7">
        <f t="shared" si="141"/>
        <v>4220.1619453543763</v>
      </c>
      <c r="AQ199" s="7">
        <f t="shared" si="142"/>
        <v>5789.2333765754865</v>
      </c>
      <c r="AR199" s="7">
        <f t="shared" si="143"/>
        <v>8148.3568697665678</v>
      </c>
      <c r="AS199" s="7">
        <f t="shared" si="144"/>
        <v>7038.0592824018458</v>
      </c>
      <c r="AT199" s="7">
        <f t="shared" si="145"/>
        <v>46831.805450673586</v>
      </c>
      <c r="AU199">
        <f>SUM($AT$9:AT199)</f>
        <v>67710060.896656334</v>
      </c>
      <c r="AV199" s="7">
        <f>AT199/(1+$AR$5)^(COUNT($E$9:E199))</f>
        <v>11045.859225987211</v>
      </c>
      <c r="AW199" s="7">
        <f t="shared" si="159"/>
        <v>0</v>
      </c>
      <c r="AX199" s="7">
        <f t="shared" si="146"/>
        <v>0</v>
      </c>
      <c r="AY199" s="117">
        <f t="shared" si="147"/>
        <v>0</v>
      </c>
      <c r="AZ199" s="117">
        <f t="shared" si="148"/>
        <v>46831.805450673586</v>
      </c>
      <c r="BA199" s="120">
        <f t="shared" si="149"/>
        <v>2341.5902725336796</v>
      </c>
      <c r="BB199" s="119">
        <f t="shared" si="114"/>
        <v>344.38538877341898</v>
      </c>
      <c r="BC199" s="17"/>
      <c r="BD199" s="126">
        <f t="shared" si="115"/>
        <v>0.16251849410642089</v>
      </c>
      <c r="BE199" s="127">
        <f t="shared" si="116"/>
        <v>0.29947509696629132</v>
      </c>
      <c r="BF199" s="127">
        <f t="shared" si="117"/>
        <v>9.0113159310061947E-2</v>
      </c>
      <c r="BG199" s="127">
        <f t="shared" si="118"/>
        <v>0.12361755693303556</v>
      </c>
      <c r="BH199" s="127">
        <f t="shared" si="119"/>
        <v>0.17399194396528159</v>
      </c>
      <c r="BI199" s="128">
        <f t="shared" si="120"/>
        <v>0.15028374871890865</v>
      </c>
      <c r="BJ199" s="126">
        <f t="array" ref="BJ199">BD199*INDEX(Royalty!$U$7:$Z$246,MATCH('Decline and Model'!$E199,Royalty!$AI$7:$AI$246,0),MATCH('Decline and Model'!BJ$8,Royalty!$U$1:$Z$1,0))</f>
        <v>5.3897671094037793E-2</v>
      </c>
      <c r="BK199" s="127">
        <f t="array" ref="BK199">BE199*INDEX(Royalty!$U$7:$Z$246,MATCH('Decline and Model'!$E199,Royalty!$AI$7:$AI$246,0),MATCH('Decline and Model'!BK$8,Royalty!$U$1:$Z$1,0))</f>
        <v>9.6260795347629241E-2</v>
      </c>
      <c r="BL199" s="127">
        <f t="array" ref="BL199">BF199*INDEX(Royalty!$U$7:$Z$246,MATCH('Decline and Model'!$E199,Royalty!$AI$7:$AI$246,0),MATCH('Decline and Model'!BL$8,Royalty!$U$1:$Z$1,0))</f>
        <v>2.9993473646250664E-2</v>
      </c>
      <c r="BM199" s="127">
        <f t="array" ref="BM199">BG199*INDEX(Royalty!$U$7:$Z$246,MATCH('Decline and Model'!$E199,Royalty!$AI$7:$AI$246,0),MATCH('Decline and Model'!BM$8,Royalty!$U$1:$Z$1,0))</f>
        <v>3.981676494840812E-2</v>
      </c>
      <c r="BN199" s="127">
        <f t="array" ref="BN199">BH199*INDEX(Royalty!$U$7:$Z$246,MATCH('Decline and Model'!$E199,Royalty!$AI$7:$AI$246,0),MATCH('Decline and Model'!BN$8,Royalty!$U$1:$Z$1,0))</f>
        <v>3.1249959512708522E-2</v>
      </c>
      <c r="BO199" s="127">
        <f t="array" ref="BO199">BI199*INDEX(Royalty!$U$7:$Z$246,MATCH('Decline and Model'!$E199,Royalty!$AI$7:$AI$246,0),MATCH('Decline and Model'!BO$8,Royalty!$U$1:$Z$1,0))</f>
        <v>7.5141874359454328E-3</v>
      </c>
      <c r="BP199" s="135">
        <f t="shared" si="121"/>
        <v>0.05</v>
      </c>
      <c r="BQ199" s="7"/>
      <c r="BR199" s="7"/>
      <c r="BS199">
        <v>191</v>
      </c>
      <c r="BT199" s="120">
        <f t="shared" si="122"/>
        <v>2341.5902725336796</v>
      </c>
      <c r="BU199" s="113">
        <f t="shared" si="123"/>
        <v>8758.3775122658117</v>
      </c>
      <c r="BV199" s="113">
        <f t="shared" si="124"/>
        <v>2627.5132536797432</v>
      </c>
      <c r="BW199" s="113">
        <f t="shared" si="157"/>
        <v>171692.16028614869</v>
      </c>
      <c r="BX199" s="113">
        <f t="shared" si="150"/>
        <v>3795.1608743563515</v>
      </c>
      <c r="BY199" s="120">
        <f t="shared" si="151"/>
        <v>29309.163537837998</v>
      </c>
      <c r="BZ199" s="153">
        <f t="shared" si="158"/>
        <v>0</v>
      </c>
      <c r="CA199" s="120">
        <f t="shared" si="160"/>
        <v>29309.163537837998</v>
      </c>
      <c r="CB199" s="120">
        <f t="shared" si="152"/>
        <v>7327.2908844594995</v>
      </c>
      <c r="CC199" s="153">
        <f t="shared" si="153"/>
        <v>25777.033527734849</v>
      </c>
      <c r="CD199" s="7">
        <f t="shared" si="125"/>
        <v>6079.8314493941079</v>
      </c>
      <c r="CE199" s="11">
        <f>SUM($CD$9:CD199)</f>
        <v>25455793.338259775</v>
      </c>
      <c r="CF199" s="11">
        <f t="shared" si="154"/>
        <v>12000000</v>
      </c>
      <c r="CG199">
        <f t="shared" si="155"/>
        <v>13455793.338259775</v>
      </c>
    </row>
    <row r="200" spans="1:85">
      <c r="A200">
        <f t="shared" si="126"/>
        <v>2033</v>
      </c>
      <c r="B200">
        <f t="shared" si="127"/>
        <v>30.416666666666668</v>
      </c>
      <c r="C200">
        <f t="shared" si="161"/>
        <v>16</v>
      </c>
      <c r="E200" s="97">
        <v>48639</v>
      </c>
      <c r="F200" s="2">
        <f>$F$6*EXP(-$F$3*COUNT($E$9:$E200))</f>
        <v>5.4282144062905636E-2</v>
      </c>
      <c r="G200" s="260">
        <f>$F$6/(1+$F$5*$F$3*COUNT($E$9:$E200))^(1/$F$5)</f>
        <v>2.2342545026479153</v>
      </c>
      <c r="H200" s="260">
        <f>$H$6/(1+$H$5*$H$3*COUNT($E$9:$E200))^(1/$H$5)</f>
        <v>90.768068227171483</v>
      </c>
      <c r="I200" s="260">
        <f t="shared" si="128"/>
        <v>17.289155852794568</v>
      </c>
      <c r="J200" s="260">
        <f t="shared" si="129"/>
        <v>7.1992044971036577</v>
      </c>
      <c r="K200" s="260">
        <f t="shared" si="129"/>
        <v>4.8980178530967011</v>
      </c>
      <c r="L200" s="260">
        <f t="shared" si="129"/>
        <v>2.3357649557125462</v>
      </c>
      <c r="M200" s="260">
        <f t="shared" si="112"/>
        <v>2.857897462466942</v>
      </c>
      <c r="N200" s="19">
        <f t="shared" si="130"/>
        <v>1.6510818819133799</v>
      </c>
      <c r="O200" s="19">
        <f t="shared" si="131"/>
        <v>67.958574455540756</v>
      </c>
      <c r="P200" s="19">
        <f t="shared" si="132"/>
        <v>2760.8620752431325</v>
      </c>
      <c r="Q200" s="19">
        <f t="shared" si="133"/>
        <v>525.87849052250147</v>
      </c>
      <c r="R200" s="19">
        <f t="shared" si="134"/>
        <v>218.9758034535696</v>
      </c>
      <c r="S200" s="19">
        <f t="shared" si="135"/>
        <v>148.98137636502466</v>
      </c>
      <c r="T200" s="19">
        <f t="shared" si="136"/>
        <v>71.046184069589955</v>
      </c>
      <c r="U200" s="19">
        <f t="shared" si="137"/>
        <v>86.927714483369485</v>
      </c>
      <c r="V200" s="261">
        <f t="shared" si="156"/>
        <v>869.06042081641544</v>
      </c>
      <c r="W200" s="261">
        <f>SUM(O$9:O200)</f>
        <v>560832.80427858722</v>
      </c>
      <c r="X200" s="261">
        <f>SUM(P$9:P200)</f>
        <v>2443608.8177204235</v>
      </c>
      <c r="Y200" s="261">
        <f>SUM(Q$9:Q200)</f>
        <v>465449.29861341376</v>
      </c>
      <c r="Z200" s="261">
        <f>SUM($V$9:V200)</f>
        <v>1269879.284076805</v>
      </c>
      <c r="AB200" s="257">
        <f t="array" ref="AB200">(INDEX(PriceDeck!$C$18:$O$77,MATCH('Decline and Model'!$A200,PriceDeck!$B$18:$B$77,0),MATCH('Decline and Model'!AB$8,PriceDeck!$C$13:$O$13,0))*(1+$AE$6))</f>
        <v>96.132960000000011</v>
      </c>
      <c r="AC200" s="257">
        <f t="array" ref="AC200">INDEX(PriceDeck!$C$18:$O$77,MATCH('Decline and Model'!$A200,PriceDeck!$B$18:$B$77,0),MATCH('Decline and Model'!AC$8,PriceDeck!$C$13:$O$13,0))*(1+$AE$6)</f>
        <v>109.76220000000001</v>
      </c>
      <c r="AD200" s="257">
        <f t="array" ref="AD200">INDEX(PriceDeck!$C$18:$O$77,MATCH('Decline and Model'!$A200,PriceDeck!$B$18:$B$77,0),MATCH('Decline and Model'!AD$8,PriceDeck!$C$13:$O$13,0))*(1+$AE$6)</f>
        <v>19.143359999999998</v>
      </c>
      <c r="AE200" s="257">
        <f t="array" ref="AE200">INDEX(PriceDeck!$C$18:$O$77,MATCH('Decline and Model'!$A200,PriceDeck!$B$18:$B$77,0),MATCH('Decline and Model'!AE$8,PriceDeck!$C$13:$O$13,0))*(1+$AE$6)</f>
        <v>38.598840000000003</v>
      </c>
      <c r="AF200" s="257">
        <f t="array" ref="AF200">INDEX(PriceDeck!$C$18:$O$77,MATCH('Decline and Model'!$A200,PriceDeck!$B$18:$B$77,0),MATCH('Decline and Model'!AF$8,PriceDeck!$C$13:$O$13,0))*(1+$AE$6)</f>
        <v>113.9238</v>
      </c>
      <c r="AG200" s="257">
        <f t="array" ref="AG200">INDEX(PriceDeck!$C$18:$O$77,MATCH('Decline and Model'!$A200,PriceDeck!$B$18:$B$77,0),MATCH('Decline and Model'!AG$8,PriceDeck!$C$13:$O$13,0))*(1+$AE$6)</f>
        <v>80.422920000000005</v>
      </c>
      <c r="AH200" s="258">
        <f t="array" ref="AH200">INDEX(PriceDeck!$C$18:$O$77,MATCH('Decline and Model'!$A200,PriceDeck!$B$18:$B$77,0),MATCH('Decline and Model'!AH$8,PriceDeck!$C$13:$O$13,0))</f>
        <v>0.85</v>
      </c>
      <c r="AI200" s="258">
        <f t="shared" si="138"/>
        <v>5.0459399999999999</v>
      </c>
      <c r="AJ200" s="259">
        <f t="shared" si="113"/>
        <v>5.0459399999999999</v>
      </c>
      <c r="AK200" s="120">
        <v>5.0459399999999999</v>
      </c>
      <c r="AL200" s="120"/>
      <c r="AN200" s="7">
        <f t="shared" si="139"/>
        <v>7459.2826411039559</v>
      </c>
      <c r="AO200" s="7">
        <f t="shared" si="140"/>
        <v>13931.144379952331</v>
      </c>
      <c r="AP200" s="7">
        <f t="shared" si="141"/>
        <v>4191.9326368009251</v>
      </c>
      <c r="AQ200" s="7">
        <f t="shared" si="142"/>
        <v>5750.5083092933692</v>
      </c>
      <c r="AR200" s="7">
        <f t="shared" si="143"/>
        <v>8093.851264707152</v>
      </c>
      <c r="AS200" s="7">
        <f t="shared" si="144"/>
        <v>6990.9806276788659</v>
      </c>
      <c r="AT200" s="7">
        <f t="shared" si="145"/>
        <v>46417.699859536602</v>
      </c>
      <c r="AU200">
        <f>SUM($AT$9:AT200)</f>
        <v>67756478.596515864</v>
      </c>
      <c r="AV200" s="7">
        <f>AT200/(1+$AR$5)^(COUNT($E$9:E200))</f>
        <v>10865.699978225914</v>
      </c>
      <c r="AW200" s="7">
        <f t="shared" si="159"/>
        <v>0</v>
      </c>
      <c r="AX200" s="7">
        <f t="shared" si="146"/>
        <v>0</v>
      </c>
      <c r="AY200" s="117">
        <f t="shared" si="147"/>
        <v>0</v>
      </c>
      <c r="AZ200" s="117">
        <f t="shared" si="148"/>
        <v>46417.699859536602</v>
      </c>
      <c r="BA200" s="120">
        <f t="shared" si="149"/>
        <v>2320.8849929768303</v>
      </c>
      <c r="BB200" s="119">
        <f t="shared" si="114"/>
        <v>351.16271918358461</v>
      </c>
      <c r="BC200" s="17"/>
      <c r="BD200" s="126">
        <f t="shared" si="115"/>
        <v>0.16069910106869356</v>
      </c>
      <c r="BE200" s="127">
        <f t="shared" si="116"/>
        <v>0.30012569390790594</v>
      </c>
      <c r="BF200" s="127">
        <f t="shared" si="117"/>
        <v>9.0308926325216976E-2</v>
      </c>
      <c r="BG200" s="127">
        <f t="shared" si="118"/>
        <v>0.12388611083045548</v>
      </c>
      <c r="BH200" s="127">
        <f t="shared" si="119"/>
        <v>0.17436993408117477</v>
      </c>
      <c r="BI200" s="128">
        <f t="shared" si="120"/>
        <v>0.15061023378655322</v>
      </c>
      <c r="BJ200" s="126">
        <f t="array" ref="BJ200">BD200*INDEX(Royalty!$U$7:$Z$246,MATCH('Decline and Model'!$E200,Royalty!$AI$7:$AI$246,0),MATCH('Decline and Model'!BJ$8,Royalty!$U$1:$Z$1,0))</f>
        <v>5.329428716485865E-2</v>
      </c>
      <c r="BK200" s="127">
        <f t="array" ref="BK200">BE200*INDEX(Royalty!$U$7:$Z$246,MATCH('Decline and Model'!$E200,Royalty!$AI$7:$AI$246,0),MATCH('Decline and Model'!BK$8,Royalty!$U$1:$Z$1,0))</f>
        <v>9.6469917841235472E-2</v>
      </c>
      <c r="BL200" s="127">
        <f t="array" ref="BL200">BF200*INDEX(Royalty!$U$7:$Z$246,MATCH('Decline and Model'!$E200,Royalty!$AI$7:$AI$246,0),MATCH('Decline and Model'!BL$8,Royalty!$U$1:$Z$1,0))</f>
        <v>3.0058633195142452E-2</v>
      </c>
      <c r="BM200" s="127">
        <f t="array" ref="BM200">BG200*INDEX(Royalty!$U$7:$Z$246,MATCH('Decline and Model'!$E200,Royalty!$AI$7:$AI$246,0),MATCH('Decline and Model'!BM$8,Royalty!$U$1:$Z$1,0))</f>
        <v>3.9903265180857628E-2</v>
      </c>
      <c r="BN200" s="127">
        <f t="array" ref="BN200">BH200*INDEX(Royalty!$U$7:$Z$246,MATCH('Decline and Model'!$E200,Royalty!$AI$7:$AI$246,0),MATCH('Decline and Model'!BN$8,Royalty!$U$1:$Z$1,0))</f>
        <v>3.131784872383328E-2</v>
      </c>
      <c r="BO200" s="127">
        <f t="array" ref="BO200">BI200*INDEX(Royalty!$U$7:$Z$246,MATCH('Decline and Model'!$E200,Royalty!$AI$7:$AI$246,0),MATCH('Decline and Model'!BO$8,Royalty!$U$1:$Z$1,0))</f>
        <v>7.5305116893276611E-3</v>
      </c>
      <c r="BP200" s="135">
        <f t="shared" si="121"/>
        <v>0.05</v>
      </c>
      <c r="BQ200" s="7"/>
      <c r="BR200" s="7"/>
      <c r="BS200">
        <v>192</v>
      </c>
      <c r="BT200" s="120">
        <f t="shared" si="122"/>
        <v>2320.8849929768303</v>
      </c>
      <c r="BU200" s="113">
        <f t="shared" si="123"/>
        <v>8690.6042081641535</v>
      </c>
      <c r="BV200" s="113">
        <f t="shared" si="124"/>
        <v>2607.1812624492463</v>
      </c>
      <c r="BW200" s="113">
        <f t="shared" si="157"/>
        <v>167896.99941179235</v>
      </c>
      <c r="BX200" s="113">
        <f t="shared" si="150"/>
        <v>3711.2709283143176</v>
      </c>
      <c r="BY200" s="120">
        <f t="shared" si="151"/>
        <v>29087.758467632055</v>
      </c>
      <c r="BZ200" s="153">
        <f t="shared" si="158"/>
        <v>0</v>
      </c>
      <c r="CA200" s="120">
        <f t="shared" si="160"/>
        <v>29087.758467632055</v>
      </c>
      <c r="CB200" s="120">
        <f t="shared" si="152"/>
        <v>7271.9396169080137</v>
      </c>
      <c r="CC200" s="153">
        <f t="shared" si="153"/>
        <v>25527.089779038361</v>
      </c>
      <c r="CD200" s="7">
        <f t="shared" si="125"/>
        <v>5975.5157988355586</v>
      </c>
      <c r="CE200" s="11">
        <f>SUM($CD$9:CD200)</f>
        <v>25461768.854058612</v>
      </c>
      <c r="CF200" s="11">
        <f t="shared" si="154"/>
        <v>12000000</v>
      </c>
      <c r="CG200">
        <f t="shared" si="155"/>
        <v>13461768.854058612</v>
      </c>
    </row>
    <row r="201" spans="1:85">
      <c r="A201">
        <f t="shared" si="126"/>
        <v>2033</v>
      </c>
      <c r="B201">
        <f t="shared" si="127"/>
        <v>30.416666666666668</v>
      </c>
      <c r="C201">
        <f t="shared" si="161"/>
        <v>17</v>
      </c>
      <c r="E201" s="97">
        <v>48670</v>
      </c>
      <c r="F201" s="2">
        <f>$F$6*EXP(-$F$3*COUNT($E$9:$E201))</f>
        <v>5.1634772657622632E-2</v>
      </c>
      <c r="G201" s="260">
        <f>$F$6/(1+$F$5*$F$3*COUNT($E$9:$E201))^(1/$F$5)</f>
        <v>2.1898441470840995</v>
      </c>
      <c r="H201" s="260">
        <f>$H$6/(1+$H$5*$H$3*COUNT($E$9:$E201))^(1/$H$5)</f>
        <v>90.163794347169883</v>
      </c>
      <c r="I201" s="260">
        <f t="shared" si="128"/>
        <v>17.174056066127594</v>
      </c>
      <c r="J201" s="260">
        <f t="shared" si="129"/>
        <v>7.1512769459355301</v>
      </c>
      <c r="K201" s="260">
        <f t="shared" si="129"/>
        <v>4.8654100835339475</v>
      </c>
      <c r="L201" s="260">
        <f t="shared" si="129"/>
        <v>2.3202149745338381</v>
      </c>
      <c r="M201" s="260">
        <f t="shared" si="129"/>
        <v>2.8388714677308915</v>
      </c>
      <c r="N201" s="19">
        <f t="shared" si="130"/>
        <v>1.5705576683360218</v>
      </c>
      <c r="O201" s="19">
        <f t="shared" si="131"/>
        <v>66.607759473808031</v>
      </c>
      <c r="P201" s="19">
        <f t="shared" si="132"/>
        <v>2742.4820780597506</v>
      </c>
      <c r="Q201" s="19">
        <f t="shared" si="133"/>
        <v>522.3775386780477</v>
      </c>
      <c r="R201" s="19">
        <f t="shared" si="134"/>
        <v>217.51800710553906</v>
      </c>
      <c r="S201" s="19">
        <f t="shared" si="135"/>
        <v>147.98955670749092</v>
      </c>
      <c r="T201" s="19">
        <f t="shared" si="136"/>
        <v>70.573205475404251</v>
      </c>
      <c r="U201" s="19">
        <f t="shared" si="137"/>
        <v>86.349007143481288</v>
      </c>
      <c r="V201" s="261">
        <f t="shared" si="156"/>
        <v>862.37639856882606</v>
      </c>
      <c r="W201" s="261">
        <f>SUM(O$9:O201)</f>
        <v>560899.41203806107</v>
      </c>
      <c r="X201" s="261">
        <f>SUM(P$9:P201)</f>
        <v>2446351.299798483</v>
      </c>
      <c r="Y201" s="261">
        <f>SUM(Q$9:Q201)</f>
        <v>465971.67615209182</v>
      </c>
      <c r="Z201" s="261">
        <f>SUM($V$9:V201)</f>
        <v>1270741.6604753737</v>
      </c>
      <c r="AB201" s="257">
        <f t="array" ref="AB201">(INDEX(PriceDeck!$C$18:$O$77,MATCH('Decline and Model'!$A201,PriceDeck!$B$18:$B$77,0),MATCH('Decline and Model'!AB$8,PriceDeck!$C$13:$O$13,0))*(1+$AE$6))</f>
        <v>96.132960000000011</v>
      </c>
      <c r="AC201" s="257">
        <f t="array" ref="AC201">INDEX(PriceDeck!$C$18:$O$77,MATCH('Decline and Model'!$A201,PriceDeck!$B$18:$B$77,0),MATCH('Decline and Model'!AC$8,PriceDeck!$C$13:$O$13,0))*(1+$AE$6)</f>
        <v>109.76220000000001</v>
      </c>
      <c r="AD201" s="257">
        <f t="array" ref="AD201">INDEX(PriceDeck!$C$18:$O$77,MATCH('Decline and Model'!$A201,PriceDeck!$B$18:$B$77,0),MATCH('Decline and Model'!AD$8,PriceDeck!$C$13:$O$13,0))*(1+$AE$6)</f>
        <v>19.143359999999998</v>
      </c>
      <c r="AE201" s="257">
        <f t="array" ref="AE201">INDEX(PriceDeck!$C$18:$O$77,MATCH('Decline and Model'!$A201,PriceDeck!$B$18:$B$77,0),MATCH('Decline and Model'!AE$8,PriceDeck!$C$13:$O$13,0))*(1+$AE$6)</f>
        <v>38.598840000000003</v>
      </c>
      <c r="AF201" s="257">
        <f t="array" ref="AF201">INDEX(PriceDeck!$C$18:$O$77,MATCH('Decline and Model'!$A201,PriceDeck!$B$18:$B$77,0),MATCH('Decline and Model'!AF$8,PriceDeck!$C$13:$O$13,0))*(1+$AE$6)</f>
        <v>113.9238</v>
      </c>
      <c r="AG201" s="257">
        <f t="array" ref="AG201">INDEX(PriceDeck!$C$18:$O$77,MATCH('Decline and Model'!$A201,PriceDeck!$B$18:$B$77,0),MATCH('Decline and Model'!AG$8,PriceDeck!$C$13:$O$13,0))*(1+$AE$6)</f>
        <v>80.422920000000005</v>
      </c>
      <c r="AH201" s="258">
        <f t="array" ref="AH201">INDEX(PriceDeck!$C$18:$O$77,MATCH('Decline and Model'!$A201,PriceDeck!$B$18:$B$77,0),MATCH('Decline and Model'!AH$8,PriceDeck!$C$13:$O$13,0))</f>
        <v>0.85</v>
      </c>
      <c r="AI201" s="258">
        <f t="shared" si="138"/>
        <v>5.0459399999999999</v>
      </c>
      <c r="AJ201" s="259">
        <f t="shared" ref="AJ201:AJ248" si="162">AI201/$AJ$6</f>
        <v>5.0459399999999999</v>
      </c>
      <c r="AK201" s="120">
        <v>5.0459399999999999</v>
      </c>
      <c r="AL201" s="120"/>
      <c r="AN201" s="7">
        <f t="shared" si="139"/>
        <v>7311.0142169160126</v>
      </c>
      <c r="AO201" s="7">
        <f t="shared" si="140"/>
        <v>13838.400016964817</v>
      </c>
      <c r="AP201" s="7">
        <f t="shared" si="141"/>
        <v>4164.0255165038916</v>
      </c>
      <c r="AQ201" s="7">
        <f t="shared" si="142"/>
        <v>5712.2252210233692</v>
      </c>
      <c r="AR201" s="7">
        <f t="shared" si="143"/>
        <v>8039.9677459388586</v>
      </c>
      <c r="AS201" s="7">
        <f t="shared" si="144"/>
        <v>6944.439293579625</v>
      </c>
      <c r="AT201" s="7">
        <f t="shared" si="145"/>
        <v>46010.072010926575</v>
      </c>
      <c r="AU201">
        <f>SUM($AT$9:AT201)</f>
        <v>67802488.668526784</v>
      </c>
      <c r="AV201" s="7">
        <f>AT201/(1+$AR$5)^(COUNT($E$9:E201))</f>
        <v>10689.133379113857</v>
      </c>
      <c r="AW201" s="7">
        <f t="shared" si="159"/>
        <v>0</v>
      </c>
      <c r="AX201" s="7">
        <f t="shared" si="146"/>
        <v>0</v>
      </c>
      <c r="AY201" s="117">
        <f t="shared" si="147"/>
        <v>0</v>
      </c>
      <c r="AZ201" s="117">
        <f t="shared" si="148"/>
        <v>46010.072010926575</v>
      </c>
      <c r="BA201" s="120">
        <f t="shared" si="149"/>
        <v>2300.5036005463289</v>
      </c>
      <c r="BB201" s="119">
        <f t="shared" ref="BB201:BB248" si="163">MAX($BA$7-V201,0)</f>
        <v>357.846741431174</v>
      </c>
      <c r="BC201" s="17"/>
      <c r="BD201" s="126">
        <f t="shared" ref="BD201:BD248" si="164">AN201/$AT201</f>
        <v>0.15890029937748798</v>
      </c>
      <c r="BE201" s="127">
        <f t="shared" ref="BE201:BE248" si="165">AO201/$AT201</f>
        <v>0.30076892758782126</v>
      </c>
      <c r="BF201" s="127">
        <f t="shared" ref="BF201:BF248" si="166">AP201/$AT201</f>
        <v>9.0502477707816012E-2</v>
      </c>
      <c r="BG201" s="127">
        <f t="shared" ref="BG201:BG248" si="167">AQ201/$AT201</f>
        <v>0.12415162531514441</v>
      </c>
      <c r="BH201" s="127">
        <f t="shared" ref="BH201:BH248" si="168">AR201/$AT201</f>
        <v>0.17474364621793048</v>
      </c>
      <c r="BI201" s="128">
        <f t="shared" ref="BI201:BI248" si="169">AS201/$AT201</f>
        <v>0.15093302379379983</v>
      </c>
      <c r="BJ201" s="126">
        <f t="array" ref="BJ201">BD201*INDEX(Royalty!$U$7:$Z$246,MATCH('Decline and Model'!$E201,Royalty!$AI$7:$AI$246,0),MATCH('Decline and Model'!BJ$8,Royalty!$U$1:$Z$1,0))</f>
        <v>5.2697732154617719E-2</v>
      </c>
      <c r="BK201" s="127">
        <f t="array" ref="BK201">BE201*INDEX(Royalty!$U$7:$Z$246,MATCH('Decline and Model'!$E201,Royalty!$AI$7:$AI$246,0),MATCH('Decline and Model'!BK$8,Royalty!$U$1:$Z$1,0))</f>
        <v>9.6676673548972997E-2</v>
      </c>
      <c r="BL201" s="127">
        <f t="array" ref="BL201">BF201*INDEX(Royalty!$U$7:$Z$246,MATCH('Decline and Model'!$E201,Royalty!$AI$7:$AI$246,0),MATCH('Decline and Model'!BL$8,Royalty!$U$1:$Z$1,0))</f>
        <v>3.0123055287738325E-2</v>
      </c>
      <c r="BM201" s="127">
        <f t="array" ref="BM201">BG201*INDEX(Royalty!$U$7:$Z$246,MATCH('Decline and Model'!$E201,Royalty!$AI$7:$AI$246,0),MATCH('Decline and Model'!BM$8,Royalty!$U$1:$Z$1,0))</f>
        <v>3.9988786429534171E-2</v>
      </c>
      <c r="BN201" s="127">
        <f t="array" ref="BN201">BH201*INDEX(Royalty!$U$7:$Z$246,MATCH('Decline and Model'!$E201,Royalty!$AI$7:$AI$246,0),MATCH('Decline and Model'!BN$8,Royalty!$U$1:$Z$1,0))</f>
        <v>3.1384969585160939E-2</v>
      </c>
      <c r="BO201" s="127">
        <f t="array" ref="BO201">BI201*INDEX(Royalty!$U$7:$Z$246,MATCH('Decline and Model'!$E201,Royalty!$AI$7:$AI$246,0),MATCH('Decline and Model'!BO$8,Royalty!$U$1:$Z$1,0))</f>
        <v>7.5466511896899917E-3</v>
      </c>
      <c r="BP201" s="135">
        <f t="shared" ref="BP201:BP248" si="170">MAX(SUM(BJ201:BO201)-BB201*$BA$5,$BA$4)</f>
        <v>0.05</v>
      </c>
      <c r="BQ201" s="7"/>
      <c r="BR201" s="7"/>
      <c r="BS201">
        <v>193</v>
      </c>
      <c r="BT201" s="120">
        <f t="shared" ref="BT201:BT248" si="171">AY201+BA201</f>
        <v>2300.5036005463289</v>
      </c>
      <c r="BU201" s="113">
        <f t="shared" ref="BU201:BU248" si="172">V201*$AP$3</f>
        <v>8623.7639856882597</v>
      </c>
      <c r="BV201" s="113">
        <f t="shared" ref="BV201:BV248" si="173">V201*$AP$2</f>
        <v>2587.1291957064782</v>
      </c>
      <c r="BW201" s="113">
        <f t="shared" si="157"/>
        <v>164185.72848347804</v>
      </c>
      <c r="BX201" s="113">
        <f t="shared" si="150"/>
        <v>3629.2353234398715</v>
      </c>
      <c r="BY201" s="120">
        <f t="shared" si="151"/>
        <v>28869.439905545638</v>
      </c>
      <c r="BZ201" s="153">
        <f t="shared" si="158"/>
        <v>0</v>
      </c>
      <c r="CA201" s="120">
        <f t="shared" si="160"/>
        <v>28869.439905545638</v>
      </c>
      <c r="CB201" s="120">
        <f t="shared" si="152"/>
        <v>7217.3599763864095</v>
      </c>
      <c r="CC201" s="153">
        <f t="shared" si="153"/>
        <v>25281.315252599099</v>
      </c>
      <c r="CD201" s="7">
        <f t="shared" ref="CD201:CD248" si="174">CC201/(1+$AR$5)^$BS201</f>
        <v>5873.3955180570292</v>
      </c>
      <c r="CE201" s="11">
        <f>SUM($CD$9:CD201)</f>
        <v>25467642.249576669</v>
      </c>
      <c r="CF201" s="11">
        <f t="shared" si="154"/>
        <v>12000000</v>
      </c>
      <c r="CG201">
        <f t="shared" si="155"/>
        <v>13467642.249576669</v>
      </c>
    </row>
    <row r="202" spans="1:85">
      <c r="A202">
        <f t="shared" ref="A202:A249" si="175">YEAR(E202)</f>
        <v>2033</v>
      </c>
      <c r="B202">
        <f t="shared" ref="B202:B248" si="176">$B$4</f>
        <v>30.416666666666668</v>
      </c>
      <c r="C202">
        <f t="shared" si="161"/>
        <v>17</v>
      </c>
      <c r="E202" s="97">
        <v>48700</v>
      </c>
      <c r="F202" s="2">
        <f>$F$6*EXP(-$F$3*COUNT($E$9:$E202))</f>
        <v>4.9116515079335538E-2</v>
      </c>
      <c r="G202" s="260">
        <f>$F$6/(1+$F$5*$F$3*COUNT($E$9:$E202))^(1/$F$5)</f>
        <v>2.1464500942391087</v>
      </c>
      <c r="H202" s="260">
        <f>$H$6/(1+$H$5*$H$3*COUNT($E$9:$E202))^(1/$H$5)</f>
        <v>89.566384553230392</v>
      </c>
      <c r="I202" s="260">
        <f t="shared" ref="I202:I248" si="177">H202*$F$7</f>
        <v>17.060263724424836</v>
      </c>
      <c r="J202" s="260">
        <f t="shared" ref="J202:M221" si="178">$I202*J$7</f>
        <v>7.1038938148505011</v>
      </c>
      <c r="K202" s="260">
        <f t="shared" si="178"/>
        <v>4.8331727131295557</v>
      </c>
      <c r="L202" s="260">
        <f t="shared" si="178"/>
        <v>2.3048416291697951</v>
      </c>
      <c r="M202" s="260">
        <f t="shared" si="178"/>
        <v>2.8200615936474254</v>
      </c>
      <c r="N202" s="19">
        <f t="shared" ref="N202:N248" si="179">(F202*$B202)*(1+$Q$6)</f>
        <v>1.493960666996456</v>
      </c>
      <c r="O202" s="19">
        <f t="shared" ref="O202:O248" si="180">(G202*$B202)*(1+$Q$6)</f>
        <v>65.287857033106221</v>
      </c>
      <c r="P202" s="19">
        <f t="shared" ref="P202:P248" si="181">(H202*$B202)*(1+$Q$6)</f>
        <v>2724.3108634940913</v>
      </c>
      <c r="Q202" s="19">
        <f t="shared" ref="Q202:Q248" si="182">(I202*$B202)*(1+$Q$6)</f>
        <v>518.91635495125547</v>
      </c>
      <c r="R202" s="19">
        <f t="shared" ref="R202:R248" si="183">(J202*$B202)*(1+$Q$6)</f>
        <v>216.07677020170274</v>
      </c>
      <c r="S202" s="19">
        <f t="shared" ref="S202:S248" si="184">(K202*$B202)*(1+$Q$6)</f>
        <v>147.00900335769066</v>
      </c>
      <c r="T202" s="19">
        <f t="shared" ref="T202:T248" si="185">(L202*$B202)*(1+$Q$6)</f>
        <v>70.105599553914601</v>
      </c>
      <c r="U202" s="19">
        <f t="shared" ref="U202:U248" si="186">(M202*$B202)*(1+$Q$6)</f>
        <v>85.776873473442521</v>
      </c>
      <c r="V202" s="261">
        <f t="shared" si="156"/>
        <v>855.78386999091026</v>
      </c>
      <c r="W202" s="261">
        <f>SUM(O$9:O202)</f>
        <v>560964.69989509415</v>
      </c>
      <c r="X202" s="261">
        <f>SUM(P$9:P202)</f>
        <v>2449075.610661977</v>
      </c>
      <c r="Y202" s="261">
        <f>SUM(Q$9:Q202)</f>
        <v>466490.5925070431</v>
      </c>
      <c r="Z202" s="261">
        <f>SUM($V$9:V202)</f>
        <v>1271597.4443453646</v>
      </c>
      <c r="AB202" s="257">
        <f t="array" ref="AB202">(INDEX(PriceDeck!$C$18:$O$77,MATCH('Decline and Model'!$A202,PriceDeck!$B$18:$B$77,0),MATCH('Decline and Model'!AB$8,PriceDeck!$C$13:$O$13,0))*(1+$AE$6))</f>
        <v>96.132960000000011</v>
      </c>
      <c r="AC202" s="257">
        <f t="array" ref="AC202">INDEX(PriceDeck!$C$18:$O$77,MATCH('Decline and Model'!$A202,PriceDeck!$B$18:$B$77,0),MATCH('Decline and Model'!AC$8,PriceDeck!$C$13:$O$13,0))*(1+$AE$6)</f>
        <v>109.76220000000001</v>
      </c>
      <c r="AD202" s="257">
        <f t="array" ref="AD202">INDEX(PriceDeck!$C$18:$O$77,MATCH('Decline and Model'!$A202,PriceDeck!$B$18:$B$77,0),MATCH('Decline and Model'!AD$8,PriceDeck!$C$13:$O$13,0))*(1+$AE$6)</f>
        <v>19.143359999999998</v>
      </c>
      <c r="AE202" s="257">
        <f t="array" ref="AE202">INDEX(PriceDeck!$C$18:$O$77,MATCH('Decline and Model'!$A202,PriceDeck!$B$18:$B$77,0),MATCH('Decline and Model'!AE$8,PriceDeck!$C$13:$O$13,0))*(1+$AE$6)</f>
        <v>38.598840000000003</v>
      </c>
      <c r="AF202" s="257">
        <f t="array" ref="AF202">INDEX(PriceDeck!$C$18:$O$77,MATCH('Decline and Model'!$A202,PriceDeck!$B$18:$B$77,0),MATCH('Decline and Model'!AF$8,PriceDeck!$C$13:$O$13,0))*(1+$AE$6)</f>
        <v>113.9238</v>
      </c>
      <c r="AG202" s="257">
        <f t="array" ref="AG202">INDEX(PriceDeck!$C$18:$O$77,MATCH('Decline and Model'!$A202,PriceDeck!$B$18:$B$77,0),MATCH('Decline and Model'!AG$8,PriceDeck!$C$13:$O$13,0))*(1+$AE$6)</f>
        <v>80.422920000000005</v>
      </c>
      <c r="AH202" s="258">
        <f t="array" ref="AH202">INDEX(PriceDeck!$C$18:$O$77,MATCH('Decline and Model'!$A202,PriceDeck!$B$18:$B$77,0),MATCH('Decline and Model'!AH$8,PriceDeck!$C$13:$O$13,0))</f>
        <v>0.85</v>
      </c>
      <c r="AI202" s="258">
        <f t="shared" ref="AI202:AI248" si="187">AK202*(1+$AE$6)</f>
        <v>5.0459399999999999</v>
      </c>
      <c r="AJ202" s="259">
        <f t="shared" si="162"/>
        <v>5.0459399999999999</v>
      </c>
      <c r="AK202" s="120">
        <v>5.0459399999999999</v>
      </c>
      <c r="AL202" s="120"/>
      <c r="AN202" s="7">
        <f t="shared" ref="AN202:AN248" si="188">O202*AC202</f>
        <v>7166.1388212392121</v>
      </c>
      <c r="AO202" s="7">
        <f t="shared" ref="AO202:AO248" si="189">P202*AJ202</f>
        <v>13746.709158539375</v>
      </c>
      <c r="AP202" s="7">
        <f t="shared" ref="AP202:AP248" si="190">R202*AD202</f>
        <v>4136.4353996084674</v>
      </c>
      <c r="AQ202" s="7">
        <f t="shared" ref="AQ202:AQ248" si="191">S202*AE202</f>
        <v>5674.3769991629651</v>
      </c>
      <c r="AR202" s="7">
        <f t="shared" ref="AR202:AR248" si="192">T202*AF202</f>
        <v>7986.6963024602564</v>
      </c>
      <c r="AS202" s="7">
        <f t="shared" ref="AS202:AS248" si="193">U202*AG202</f>
        <v>6898.4266332047901</v>
      </c>
      <c r="AT202" s="7">
        <f t="shared" ref="AT202:AT248" si="194">SUM(AN202:AS202)</f>
        <v>45608.78331421507</v>
      </c>
      <c r="AU202">
        <f>SUM($AT$9:AT202)</f>
        <v>67848097.451840997</v>
      </c>
      <c r="AV202" s="7">
        <f>AT202/(1+$AR$5)^(COUNT($E$9:E202))</f>
        <v>10516.072225582047</v>
      </c>
      <c r="AW202" s="7">
        <f t="shared" si="159"/>
        <v>0</v>
      </c>
      <c r="AX202" s="7">
        <f t="shared" ref="AX202:AX248" si="195">MIN(AT202,AW202)</f>
        <v>0</v>
      </c>
      <c r="AY202" s="117">
        <f t="shared" ref="AY202:AY248" si="196">AX202*$AX$7</f>
        <v>0</v>
      </c>
      <c r="AZ202" s="117">
        <f t="shared" ref="AZ202:AZ248" si="197">AT202-AX202</f>
        <v>45608.78331421507</v>
      </c>
      <c r="BA202" s="120">
        <f t="shared" ref="BA202:BA248" si="198">AZ202*BP202</f>
        <v>2280.4391657107535</v>
      </c>
      <c r="BB202" s="119">
        <f t="shared" si="163"/>
        <v>364.4392700090898</v>
      </c>
      <c r="BC202" s="17"/>
      <c r="BD202" s="126">
        <f t="shared" si="164"/>
        <v>0.15712190285518346</v>
      </c>
      <c r="BE202" s="127">
        <f t="shared" si="165"/>
        <v>0.30140486458131155</v>
      </c>
      <c r="BF202" s="127">
        <f t="shared" si="166"/>
        <v>9.069383349060417E-2</v>
      </c>
      <c r="BG202" s="127">
        <f t="shared" si="167"/>
        <v>0.12441412786809443</v>
      </c>
      <c r="BH202" s="127">
        <f t="shared" si="168"/>
        <v>0.1751131190550968</v>
      </c>
      <c r="BI202" s="128">
        <f t="shared" si="169"/>
        <v>0.1512521521497095</v>
      </c>
      <c r="BJ202" s="126">
        <f t="array" ref="BJ202">BD202*INDEX(Royalty!$U$7:$Z$246,MATCH('Decline and Model'!$E202,Royalty!$AI$7:$AI$246,0),MATCH('Decline and Model'!BJ$8,Royalty!$U$1:$Z$1,0))</f>
        <v>5.2107944319325666E-2</v>
      </c>
      <c r="BK202" s="127">
        <f t="array" ref="BK202">BE202*INDEX(Royalty!$U$7:$Z$246,MATCH('Decline and Model'!$E202,Royalty!$AI$7:$AI$246,0),MATCH('Decline and Model'!BK$8,Royalty!$U$1:$Z$1,0))</f>
        <v>9.6881083870246715E-2</v>
      </c>
      <c r="BL202" s="127">
        <f t="array" ref="BL202">BF202*INDEX(Royalty!$U$7:$Z$246,MATCH('Decline and Model'!$E202,Royalty!$AI$7:$AI$246,0),MATCH('Decline and Model'!BL$8,Royalty!$U$1:$Z$1,0))</f>
        <v>3.0186746591783789E-2</v>
      </c>
      <c r="BM202" s="127">
        <f t="array" ref="BM202">BG202*INDEX(Royalty!$U$7:$Z$246,MATCH('Decline and Model'!$E202,Royalty!$AI$7:$AI$246,0),MATCH('Decline and Model'!BM$8,Royalty!$U$1:$Z$1,0))</f>
        <v>4.0073337545965225E-2</v>
      </c>
      <c r="BN202" s="127">
        <f t="array" ref="BN202">BH202*INDEX(Royalty!$U$7:$Z$246,MATCH('Decline and Model'!$E202,Royalty!$AI$7:$AI$246,0),MATCH('Decline and Model'!BN$8,Royalty!$U$1:$Z$1,0))</f>
        <v>3.1451329043762064E-2</v>
      </c>
      <c r="BO202" s="127">
        <f t="array" ref="BO202">BI202*INDEX(Royalty!$U$7:$Z$246,MATCH('Decline and Model'!$E202,Royalty!$AI$7:$AI$246,0),MATCH('Decline and Model'!BO$8,Royalty!$U$1:$Z$1,0))</f>
        <v>7.562607607485475E-3</v>
      </c>
      <c r="BP202" s="135">
        <f t="shared" si="170"/>
        <v>0.05</v>
      </c>
      <c r="BQ202" s="7"/>
      <c r="BR202" s="7"/>
      <c r="BS202">
        <v>194</v>
      </c>
      <c r="BT202" s="120">
        <f t="shared" si="171"/>
        <v>2280.4391657107535</v>
      </c>
      <c r="BU202" s="113">
        <f t="shared" si="172"/>
        <v>8557.8386999091017</v>
      </c>
      <c r="BV202" s="113">
        <f t="shared" si="173"/>
        <v>2567.3516099727308</v>
      </c>
      <c r="BW202" s="113">
        <f t="shared" si="157"/>
        <v>160556.49316003817</v>
      </c>
      <c r="BX202" s="113">
        <f t="shared" ref="BX202:BX248" si="199">BW202*$BW$5</f>
        <v>3549.0130705402889</v>
      </c>
      <c r="BY202" s="120">
        <f t="shared" ref="BY202:BY248" si="200">AT202-BT202-BU202-BV202-BX202</f>
        <v>28654.140768082194</v>
      </c>
      <c r="BZ202" s="153">
        <f t="shared" si="158"/>
        <v>0</v>
      </c>
      <c r="CA202" s="120">
        <f t="shared" si="160"/>
        <v>28654.140768082194</v>
      </c>
      <c r="CB202" s="120">
        <f t="shared" ref="CB202:CB248" si="201">CA202*$AP$4</f>
        <v>7163.5351920205485</v>
      </c>
      <c r="CC202" s="153">
        <f t="shared" ref="CC202:CC248" si="202">CA202-CB202+BX202</f>
        <v>25039.618646601932</v>
      </c>
      <c r="CD202" s="7">
        <f t="shared" si="174"/>
        <v>5773.4150980218628</v>
      </c>
      <c r="CE202" s="11">
        <f>SUM($CD$9:CD202)</f>
        <v>25473415.664674692</v>
      </c>
      <c r="CF202" s="11">
        <f t="shared" ref="CF202:CF248" si="203">$CD$6</f>
        <v>12000000</v>
      </c>
      <c r="CG202">
        <f t="shared" ref="CG202:CG248" si="204">IF(CE202&gt;CF202,CE202-CF202,0)</f>
        <v>13473415.664674692</v>
      </c>
    </row>
    <row r="203" spans="1:85">
      <c r="A203">
        <f t="shared" si="175"/>
        <v>2033</v>
      </c>
      <c r="B203">
        <f t="shared" si="176"/>
        <v>30.416666666666668</v>
      </c>
      <c r="C203">
        <f t="shared" si="161"/>
        <v>17</v>
      </c>
      <c r="E203" s="97">
        <v>48731</v>
      </c>
      <c r="F203" s="2">
        <f>$F$6*EXP(-$F$3*COUNT($E$9:$E203))</f>
        <v>4.6721074372397045E-2</v>
      </c>
      <c r="G203" s="260">
        <f>$F$6/(1+$F$5*$F$3*COUNT($E$9:$E203))^(1/$F$5)</f>
        <v>2.1040460490408575</v>
      </c>
      <c r="H203" s="260">
        <f>$H$6/(1+$H$5*$H$3*COUNT($E$9:$E203))^(1/$H$5)</f>
        <v>88.975728904582269</v>
      </c>
      <c r="I203" s="260">
        <f t="shared" si="177"/>
        <v>16.947757886587098</v>
      </c>
      <c r="J203" s="260">
        <f t="shared" si="178"/>
        <v>7.0570463839748676</v>
      </c>
      <c r="K203" s="260">
        <f t="shared" si="178"/>
        <v>4.8012998092701249</v>
      </c>
      <c r="L203" s="260">
        <f t="shared" si="178"/>
        <v>2.2896420904779169</v>
      </c>
      <c r="M203" s="260">
        <f t="shared" si="178"/>
        <v>2.8014643786528475</v>
      </c>
      <c r="N203" s="19">
        <f t="shared" si="179"/>
        <v>1.4210993454937435</v>
      </c>
      <c r="O203" s="19">
        <f t="shared" si="180"/>
        <v>63.998067324992753</v>
      </c>
      <c r="P203" s="19">
        <f t="shared" si="181"/>
        <v>2706.3450875143776</v>
      </c>
      <c r="Q203" s="19">
        <f t="shared" si="182"/>
        <v>515.49430238369087</v>
      </c>
      <c r="R203" s="19">
        <f t="shared" si="183"/>
        <v>214.6518275125689</v>
      </c>
      <c r="S203" s="19">
        <f t="shared" si="184"/>
        <v>146.03953586529963</v>
      </c>
      <c r="T203" s="19">
        <f t="shared" si="185"/>
        <v>69.643280252036647</v>
      </c>
      <c r="U203" s="19">
        <f t="shared" si="186"/>
        <v>85.211208184024116</v>
      </c>
      <c r="V203" s="261">
        <f t="shared" ref="V203:V248" si="205">SUM(O203,R203:U203)+P203/$AX$3</f>
        <v>849.28106495772408</v>
      </c>
      <c r="W203" s="261">
        <f>SUM(O$9:O203)</f>
        <v>561028.69796241913</v>
      </c>
      <c r="X203" s="261">
        <f>SUM(P$9:P203)</f>
        <v>2451781.9557494912</v>
      </c>
      <c r="Y203" s="261">
        <f>SUM(Q$9:Q203)</f>
        <v>467006.08680942678</v>
      </c>
      <c r="Z203" s="261">
        <f>SUM($V$9:V203)</f>
        <v>1272446.7254103222</v>
      </c>
      <c r="AB203" s="257">
        <f t="array" ref="AB203">(INDEX(PriceDeck!$C$18:$O$77,MATCH('Decline and Model'!$A203,PriceDeck!$B$18:$B$77,0),MATCH('Decline and Model'!AB$8,PriceDeck!$C$13:$O$13,0))*(1+$AE$6))</f>
        <v>96.132960000000011</v>
      </c>
      <c r="AC203" s="257">
        <f t="array" ref="AC203">INDEX(PriceDeck!$C$18:$O$77,MATCH('Decline and Model'!$A203,PriceDeck!$B$18:$B$77,0),MATCH('Decline and Model'!AC$8,PriceDeck!$C$13:$O$13,0))*(1+$AE$6)</f>
        <v>109.76220000000001</v>
      </c>
      <c r="AD203" s="257">
        <f t="array" ref="AD203">INDEX(PriceDeck!$C$18:$O$77,MATCH('Decline and Model'!$A203,PriceDeck!$B$18:$B$77,0),MATCH('Decline and Model'!AD$8,PriceDeck!$C$13:$O$13,0))*(1+$AE$6)</f>
        <v>19.143359999999998</v>
      </c>
      <c r="AE203" s="257">
        <f t="array" ref="AE203">INDEX(PriceDeck!$C$18:$O$77,MATCH('Decline and Model'!$A203,PriceDeck!$B$18:$B$77,0),MATCH('Decline and Model'!AE$8,PriceDeck!$C$13:$O$13,0))*(1+$AE$6)</f>
        <v>38.598840000000003</v>
      </c>
      <c r="AF203" s="257">
        <f t="array" ref="AF203">INDEX(PriceDeck!$C$18:$O$77,MATCH('Decline and Model'!$A203,PriceDeck!$B$18:$B$77,0),MATCH('Decline and Model'!AF$8,PriceDeck!$C$13:$O$13,0))*(1+$AE$6)</f>
        <v>113.9238</v>
      </c>
      <c r="AG203" s="257">
        <f t="array" ref="AG203">INDEX(PriceDeck!$C$18:$O$77,MATCH('Decline and Model'!$A203,PriceDeck!$B$18:$B$77,0),MATCH('Decline and Model'!AG$8,PriceDeck!$C$13:$O$13,0))*(1+$AE$6)</f>
        <v>80.422920000000005</v>
      </c>
      <c r="AH203" s="258">
        <f t="array" ref="AH203">INDEX(PriceDeck!$C$18:$O$77,MATCH('Decline and Model'!$A203,PriceDeck!$B$18:$B$77,0),MATCH('Decline and Model'!AH$8,PriceDeck!$C$13:$O$13,0))</f>
        <v>0.85</v>
      </c>
      <c r="AI203" s="258">
        <f t="shared" si="187"/>
        <v>5.0459399999999999</v>
      </c>
      <c r="AJ203" s="259">
        <f t="shared" si="162"/>
        <v>5.0459399999999999</v>
      </c>
      <c r="AK203" s="120">
        <v>5.0459399999999999</v>
      </c>
      <c r="AL203" s="120"/>
      <c r="AN203" s="7">
        <f t="shared" si="188"/>
        <v>7024.5686653393204</v>
      </c>
      <c r="AO203" s="7">
        <f t="shared" si="189"/>
        <v>13656.054930892298</v>
      </c>
      <c r="AP203" s="7">
        <f t="shared" si="190"/>
        <v>4109.1572087310105</v>
      </c>
      <c r="AQ203" s="7">
        <f t="shared" si="191"/>
        <v>5636.9566785389625</v>
      </c>
      <c r="AR203" s="7">
        <f t="shared" si="192"/>
        <v>7934.0271307769726</v>
      </c>
      <c r="AS203" s="7">
        <f t="shared" si="193"/>
        <v>6852.934178887117</v>
      </c>
      <c r="AT203" s="7">
        <f t="shared" si="194"/>
        <v>45213.698793165684</v>
      </c>
      <c r="AU203">
        <f>SUM($AT$9:AT203)</f>
        <v>67893311.15063417</v>
      </c>
      <c r="AV203" s="7">
        <f>AT203/(1+$AR$5)^(COUNT($E$9:E203))</f>
        <v>10346.431818699017</v>
      </c>
      <c r="AW203" s="7">
        <f t="shared" si="159"/>
        <v>0</v>
      </c>
      <c r="AX203" s="7">
        <f t="shared" si="195"/>
        <v>0</v>
      </c>
      <c r="AY203" s="117">
        <f t="shared" si="196"/>
        <v>0</v>
      </c>
      <c r="AZ203" s="117">
        <f t="shared" si="197"/>
        <v>45213.698793165684</v>
      </c>
      <c r="BA203" s="120">
        <f t="shared" si="198"/>
        <v>2260.6849396582843</v>
      </c>
      <c r="BB203" s="119">
        <f t="shared" si="163"/>
        <v>370.94207504227597</v>
      </c>
      <c r="BC203" s="17"/>
      <c r="BD203" s="126">
        <f t="shared" si="164"/>
        <v>0.15536372499568926</v>
      </c>
      <c r="BE203" s="127">
        <f t="shared" si="165"/>
        <v>0.30203357158110877</v>
      </c>
      <c r="BF203" s="127">
        <f t="shared" si="166"/>
        <v>9.0883013741670113E-2</v>
      </c>
      <c r="BG203" s="127">
        <f t="shared" si="167"/>
        <v>0.12467364601878185</v>
      </c>
      <c r="BH203" s="127">
        <f t="shared" si="168"/>
        <v>0.17547839134046356</v>
      </c>
      <c r="BI203" s="128">
        <f t="shared" si="169"/>
        <v>0.15156765232228642</v>
      </c>
      <c r="BJ203" s="126">
        <f t="array" ref="BJ203">BD203*INDEX(Royalty!$U$7:$Z$246,MATCH('Decline and Model'!$E203,Royalty!$AI$7:$AI$246,0),MATCH('Decline and Model'!BJ$8,Royalty!$U$1:$Z$1,0))</f>
        <v>5.1524861806059294E-2</v>
      </c>
      <c r="BK203" s="127">
        <f t="array" ref="BK203">BE203*INDEX(Royalty!$U$7:$Z$246,MATCH('Decline and Model'!$E203,Royalty!$AI$7:$AI$246,0),MATCH('Decline and Model'!BK$8,Royalty!$U$1:$Z$1,0))</f>
        <v>9.7083170242216119E-2</v>
      </c>
      <c r="BL203" s="127">
        <f t="array" ref="BL203">BF203*INDEX(Royalty!$U$7:$Z$246,MATCH('Decline and Model'!$E203,Royalty!$AI$7:$AI$246,0),MATCH('Decline and Model'!BL$8,Royalty!$U$1:$Z$1,0))</f>
        <v>3.0249713786788167E-2</v>
      </c>
      <c r="BM203" s="127">
        <f t="array" ref="BM203">BG203*INDEX(Royalty!$U$7:$Z$246,MATCH('Decline and Model'!$E203,Royalty!$AI$7:$AI$246,0),MATCH('Decline and Model'!BM$8,Royalty!$U$1:$Z$1,0))</f>
        <v>4.0156927397294873E-2</v>
      </c>
      <c r="BN203" s="127">
        <f t="array" ref="BN203">BH203*INDEX(Royalty!$U$7:$Z$246,MATCH('Decline and Model'!$E203,Royalty!$AI$7:$AI$246,0),MATCH('Decline and Model'!BN$8,Royalty!$U$1:$Z$1,0))</f>
        <v>3.1516934058963823E-2</v>
      </c>
      <c r="BO203" s="127">
        <f t="array" ref="BO203">BI203*INDEX(Royalty!$U$7:$Z$246,MATCH('Decline and Model'!$E203,Royalty!$AI$7:$AI$246,0),MATCH('Decline and Model'!BO$8,Royalty!$U$1:$Z$1,0))</f>
        <v>7.5783826161143208E-3</v>
      </c>
      <c r="BP203" s="135">
        <f t="shared" si="170"/>
        <v>0.05</v>
      </c>
      <c r="BQ203" s="7"/>
      <c r="BR203" s="7"/>
      <c r="BS203">
        <v>195</v>
      </c>
      <c r="BT203" s="120">
        <f t="shared" si="171"/>
        <v>2260.6849396582843</v>
      </c>
      <c r="BU203" s="113">
        <f t="shared" si="172"/>
        <v>8492.8106495772408</v>
      </c>
      <c r="BV203" s="113">
        <f t="shared" si="173"/>
        <v>2547.8431948731723</v>
      </c>
      <c r="BW203" s="113">
        <f t="shared" ref="BW203:BW248" si="206">BW202-BX202</f>
        <v>157007.48008949787</v>
      </c>
      <c r="BX203" s="113">
        <f t="shared" si="199"/>
        <v>3470.5640864664342</v>
      </c>
      <c r="BY203" s="120">
        <f t="shared" si="200"/>
        <v>28441.795922590547</v>
      </c>
      <c r="BZ203" s="153">
        <f t="shared" ref="BZ203:BZ248" si="207">MIN(BZ202+BY203,0)</f>
        <v>0</v>
      </c>
      <c r="CA203" s="120">
        <f t="shared" si="160"/>
        <v>28441.795922590547</v>
      </c>
      <c r="CB203" s="120">
        <f t="shared" si="201"/>
        <v>7110.4489806476367</v>
      </c>
      <c r="CC203" s="153">
        <f t="shared" si="202"/>
        <v>24801.911028409344</v>
      </c>
      <c r="CD203" s="7">
        <f t="shared" si="174"/>
        <v>5675.5206558695609</v>
      </c>
      <c r="CE203" s="11">
        <f>SUM($CD$9:CD203)</f>
        <v>25479091.185330562</v>
      </c>
      <c r="CF203" s="11">
        <f t="shared" si="203"/>
        <v>12000000</v>
      </c>
      <c r="CG203">
        <f t="shared" si="204"/>
        <v>13479091.185330562</v>
      </c>
    </row>
    <row r="204" spans="1:85">
      <c r="A204">
        <f t="shared" si="175"/>
        <v>2033</v>
      </c>
      <c r="B204">
        <f t="shared" si="176"/>
        <v>30.416666666666668</v>
      </c>
      <c r="C204">
        <f t="shared" si="161"/>
        <v>17</v>
      </c>
      <c r="E204" s="97">
        <v>48761</v>
      </c>
      <c r="F204" s="2">
        <f>$F$6*EXP(-$F$3*COUNT($E$9:$E204))</f>
        <v>4.4442460687310267E-2</v>
      </c>
      <c r="G204" s="260">
        <f>$F$6/(1+$F$5*$F$3*COUNT($E$9:$E204))^(1/$F$5)</f>
        <v>2.0626064748701158</v>
      </c>
      <c r="H204" s="260">
        <f>$H$6/(1+$H$5*$H$3*COUNT($E$9:$E204))^(1/$H$5)</f>
        <v>88.391719728610155</v>
      </c>
      <c r="I204" s="260">
        <f t="shared" si="177"/>
        <v>16.836518043544789</v>
      </c>
      <c r="J204" s="260">
        <f t="shared" si="178"/>
        <v>7.0107261133320504</v>
      </c>
      <c r="K204" s="260">
        <f t="shared" si="178"/>
        <v>4.7697855617362386</v>
      </c>
      <c r="L204" s="260">
        <f t="shared" si="178"/>
        <v>2.274613587682901</v>
      </c>
      <c r="M204" s="260">
        <f t="shared" si="178"/>
        <v>2.7830764325979538</v>
      </c>
      <c r="N204" s="19">
        <f t="shared" si="179"/>
        <v>1.3517915125723541</v>
      </c>
      <c r="O204" s="19">
        <f t="shared" si="180"/>
        <v>62.737613610632692</v>
      </c>
      <c r="P204" s="19">
        <f t="shared" si="181"/>
        <v>2688.5814750785589</v>
      </c>
      <c r="Q204" s="19">
        <f t="shared" si="182"/>
        <v>512.11075715782067</v>
      </c>
      <c r="R204" s="19">
        <f t="shared" si="183"/>
        <v>213.24291928051653</v>
      </c>
      <c r="S204" s="19">
        <f t="shared" si="184"/>
        <v>145.08097750281058</v>
      </c>
      <c r="T204" s="19">
        <f t="shared" si="185"/>
        <v>69.186163292021575</v>
      </c>
      <c r="U204" s="19">
        <f t="shared" si="186"/>
        <v>84.651908158187766</v>
      </c>
      <c r="V204" s="261">
        <f t="shared" si="205"/>
        <v>842.86625643224215</v>
      </c>
      <c r="W204" s="261">
        <f>SUM(O$9:O204)</f>
        <v>561091.43557602982</v>
      </c>
      <c r="X204" s="261">
        <f>SUM(P$9:P204)</f>
        <v>2454470.5372245698</v>
      </c>
      <c r="Y204" s="261">
        <f>SUM(Q$9:Q204)</f>
        <v>467518.19756658463</v>
      </c>
      <c r="Z204" s="261">
        <f>SUM($V$9:V204)</f>
        <v>1273289.5916667543</v>
      </c>
      <c r="AB204" s="257">
        <f t="array" ref="AB204">(INDEX(PriceDeck!$C$18:$O$77,MATCH('Decline and Model'!$A204,PriceDeck!$B$18:$B$77,0),MATCH('Decline and Model'!AB$8,PriceDeck!$C$13:$O$13,0))*(1+$AE$6))</f>
        <v>96.132960000000011</v>
      </c>
      <c r="AC204" s="257">
        <f t="array" ref="AC204">INDEX(PriceDeck!$C$18:$O$77,MATCH('Decline and Model'!$A204,PriceDeck!$B$18:$B$77,0),MATCH('Decline and Model'!AC$8,PriceDeck!$C$13:$O$13,0))*(1+$AE$6)</f>
        <v>109.76220000000001</v>
      </c>
      <c r="AD204" s="257">
        <f t="array" ref="AD204">INDEX(PriceDeck!$C$18:$O$77,MATCH('Decline and Model'!$A204,PriceDeck!$B$18:$B$77,0),MATCH('Decline and Model'!AD$8,PriceDeck!$C$13:$O$13,0))*(1+$AE$6)</f>
        <v>19.143359999999998</v>
      </c>
      <c r="AE204" s="257">
        <f t="array" ref="AE204">INDEX(PriceDeck!$C$18:$O$77,MATCH('Decline and Model'!$A204,PriceDeck!$B$18:$B$77,0),MATCH('Decline and Model'!AE$8,PriceDeck!$C$13:$O$13,0))*(1+$AE$6)</f>
        <v>38.598840000000003</v>
      </c>
      <c r="AF204" s="257">
        <f t="array" ref="AF204">INDEX(PriceDeck!$C$18:$O$77,MATCH('Decline and Model'!$A204,PriceDeck!$B$18:$B$77,0),MATCH('Decline and Model'!AF$8,PriceDeck!$C$13:$O$13,0))*(1+$AE$6)</f>
        <v>113.9238</v>
      </c>
      <c r="AG204" s="257">
        <f t="array" ref="AG204">INDEX(PriceDeck!$C$18:$O$77,MATCH('Decline and Model'!$A204,PriceDeck!$B$18:$B$77,0),MATCH('Decline and Model'!AG$8,PriceDeck!$C$13:$O$13,0))*(1+$AE$6)</f>
        <v>80.422920000000005</v>
      </c>
      <c r="AH204" s="258">
        <f t="array" ref="AH204">INDEX(PriceDeck!$C$18:$O$77,MATCH('Decline and Model'!$A204,PriceDeck!$B$18:$B$77,0),MATCH('Decline and Model'!AH$8,PriceDeck!$C$13:$O$13,0))</f>
        <v>0.85</v>
      </c>
      <c r="AI204" s="258">
        <f t="shared" si="187"/>
        <v>5.0459399999999999</v>
      </c>
      <c r="AJ204" s="259">
        <f t="shared" si="162"/>
        <v>5.0459399999999999</v>
      </c>
      <c r="AK204" s="120">
        <v>5.0459399999999999</v>
      </c>
      <c r="AL204" s="120"/>
      <c r="AN204" s="7">
        <f t="shared" si="188"/>
        <v>6886.2184926529881</v>
      </c>
      <c r="AO204" s="7">
        <f t="shared" si="189"/>
        <v>13566.420808357903</v>
      </c>
      <c r="AP204" s="7">
        <f t="shared" si="190"/>
        <v>4082.1859712378687</v>
      </c>
      <c r="AQ204" s="7">
        <f t="shared" si="191"/>
        <v>5599.9574376745859</v>
      </c>
      <c r="AR204" s="7">
        <f t="shared" si="192"/>
        <v>7881.9506296476075</v>
      </c>
      <c r="AS204" s="7">
        <f t="shared" si="193"/>
        <v>6807.9536376532824</v>
      </c>
      <c r="AT204" s="7">
        <f t="shared" si="194"/>
        <v>44824.686977224243</v>
      </c>
      <c r="AU204">
        <f>SUM($AT$9:AT204)</f>
        <v>67938135.837611392</v>
      </c>
      <c r="AV204" s="7">
        <f>AT204/(1+$AR$5)^(COUNT($E$9:E204))</f>
        <v>10180.129881417526</v>
      </c>
      <c r="AW204" s="7">
        <f t="shared" si="159"/>
        <v>0</v>
      </c>
      <c r="AX204" s="7">
        <f t="shared" si="195"/>
        <v>0</v>
      </c>
      <c r="AY204" s="117">
        <f t="shared" si="196"/>
        <v>0</v>
      </c>
      <c r="AZ204" s="117">
        <f t="shared" si="197"/>
        <v>44824.686977224243</v>
      </c>
      <c r="BA204" s="120">
        <f t="shared" si="198"/>
        <v>2241.2343488612123</v>
      </c>
      <c r="BB204" s="119">
        <f t="shared" si="163"/>
        <v>377.3568835677579</v>
      </c>
      <c r="BC204" s="17"/>
      <c r="BD204" s="126">
        <f t="shared" si="164"/>
        <v>0.15362557905093518</v>
      </c>
      <c r="BE204" s="127">
        <f t="shared" si="165"/>
        <v>0.30265511536647433</v>
      </c>
      <c r="BF204" s="127">
        <f t="shared" si="166"/>
        <v>9.107003855513944E-2</v>
      </c>
      <c r="BG204" s="127">
        <f t="shared" si="167"/>
        <v>0.12493020733240069</v>
      </c>
      <c r="BH204" s="127">
        <f t="shared" si="168"/>
        <v>0.17583950187209305</v>
      </c>
      <c r="BI204" s="128">
        <f t="shared" si="169"/>
        <v>0.15187955782295712</v>
      </c>
      <c r="BJ204" s="126">
        <f t="array" ref="BJ204">BD204*INDEX(Royalty!$U$7:$Z$246,MATCH('Decline and Model'!$E204,Royalty!$AI$7:$AI$246,0),MATCH('Decline and Model'!BJ$8,Royalty!$U$1:$Z$1,0))</f>
        <v>5.0948422681645275E-2</v>
      </c>
      <c r="BK204" s="127">
        <f t="array" ref="BK204">BE204*INDEX(Royalty!$U$7:$Z$246,MATCH('Decline and Model'!$E204,Royalty!$AI$7:$AI$246,0),MATCH('Decline and Model'!BK$8,Royalty!$U$1:$Z$1,0))</f>
        <v>9.7282954129854021E-2</v>
      </c>
      <c r="BL204" s="127">
        <f t="array" ref="BL204">BF204*INDEX(Royalty!$U$7:$Z$246,MATCH('Decline and Model'!$E204,Royalty!$AI$7:$AI$246,0),MATCH('Decline and Model'!BL$8,Royalty!$U$1:$Z$1,0))</f>
        <v>3.0311963560926993E-2</v>
      </c>
      <c r="BM204" s="127">
        <f t="array" ref="BM204">BG204*INDEX(Royalty!$U$7:$Z$246,MATCH('Decline and Model'!$E204,Royalty!$AI$7:$AI$246,0),MATCH('Decline and Model'!BM$8,Royalty!$U$1:$Z$1,0))</f>
        <v>4.0239564862171728E-2</v>
      </c>
      <c r="BN204" s="127">
        <f t="array" ref="BN204">BH204*INDEX(Royalty!$U$7:$Z$246,MATCH('Decline and Model'!$E204,Royalty!$AI$7:$AI$246,0),MATCH('Decline and Model'!BN$8,Royalty!$U$1:$Z$1,0))</f>
        <v>3.1581791599122611E-2</v>
      </c>
      <c r="BO204" s="127">
        <f t="array" ref="BO204">BI204*INDEX(Royalty!$U$7:$Z$246,MATCH('Decline and Model'!$E204,Royalty!$AI$7:$AI$246,0),MATCH('Decline and Model'!BO$8,Royalty!$U$1:$Z$1,0))</f>
        <v>7.593977891147856E-3</v>
      </c>
      <c r="BP204" s="135">
        <f t="shared" si="170"/>
        <v>0.05</v>
      </c>
      <c r="BQ204" s="7"/>
      <c r="BR204" s="7"/>
      <c r="BS204">
        <v>196</v>
      </c>
      <c r="BT204" s="120">
        <f t="shared" si="171"/>
        <v>2241.2343488612123</v>
      </c>
      <c r="BU204" s="113">
        <f t="shared" si="172"/>
        <v>8428.6625643224215</v>
      </c>
      <c r="BV204" s="113">
        <f t="shared" si="173"/>
        <v>2528.5987692967265</v>
      </c>
      <c r="BW204" s="113">
        <f t="shared" si="206"/>
        <v>153536.91600303142</v>
      </c>
      <c r="BX204" s="113">
        <f t="shared" si="199"/>
        <v>3393.8491740851591</v>
      </c>
      <c r="BY204" s="120">
        <f t="shared" si="200"/>
        <v>28232.34212065873</v>
      </c>
      <c r="BZ204" s="153">
        <f t="shared" si="207"/>
        <v>0</v>
      </c>
      <c r="CA204" s="120">
        <f t="shared" si="160"/>
        <v>28232.34212065873</v>
      </c>
      <c r="CB204" s="120">
        <f t="shared" si="201"/>
        <v>7058.0855301646825</v>
      </c>
      <c r="CC204" s="153">
        <f t="shared" si="202"/>
        <v>24568.10576457921</v>
      </c>
      <c r="CD204" s="7">
        <f t="shared" si="174"/>
        <v>5579.6598814153449</v>
      </c>
      <c r="CE204" s="11">
        <f>SUM($CD$9:CD204)</f>
        <v>25484670.845211979</v>
      </c>
      <c r="CF204" s="11">
        <f t="shared" si="203"/>
        <v>12000000</v>
      </c>
      <c r="CG204">
        <f t="shared" si="204"/>
        <v>13484670.845211979</v>
      </c>
    </row>
    <row r="205" spans="1:85">
      <c r="A205">
        <f t="shared" si="175"/>
        <v>2033</v>
      </c>
      <c r="B205">
        <f t="shared" si="176"/>
        <v>30.416666666666668</v>
      </c>
      <c r="C205">
        <f t="shared" si="161"/>
        <v>17</v>
      </c>
      <c r="E205" s="97">
        <v>48792</v>
      </c>
      <c r="F205" s="2">
        <f>$F$6*EXP(-$F$3*COUNT($E$9:$E205))</f>
        <v>4.2274976302985719E-2</v>
      </c>
      <c r="G205" s="260">
        <f>$F$6/(1+$F$5*$F$3*COUNT($E$9:$E205))^(1/$F$5)</f>
        <v>2.0221065694443863</v>
      </c>
      <c r="H205" s="260">
        <f>$H$6/(1+$H$5*$H$3*COUNT($E$9:$E205))^(1/$H$5)</f>
        <v>87.814251563693929</v>
      </c>
      <c r="I205" s="260">
        <f t="shared" si="177"/>
        <v>16.72652410737027</v>
      </c>
      <c r="J205" s="260">
        <f t="shared" si="178"/>
        <v>6.9649246383089807</v>
      </c>
      <c r="K205" s="260">
        <f t="shared" si="178"/>
        <v>4.7386242796179978</v>
      </c>
      <c r="L205" s="260">
        <f t="shared" si="178"/>
        <v>2.2597534069057237</v>
      </c>
      <c r="M205" s="260">
        <f t="shared" si="178"/>
        <v>2.7648944349483058</v>
      </c>
      <c r="N205" s="19">
        <f t="shared" si="179"/>
        <v>1.285863862549149</v>
      </c>
      <c r="O205" s="19">
        <f t="shared" si="180"/>
        <v>61.505741487266754</v>
      </c>
      <c r="P205" s="19">
        <f t="shared" si="181"/>
        <v>2671.0168183956903</v>
      </c>
      <c r="Q205" s="19">
        <f t="shared" si="182"/>
        <v>508.76510826584575</v>
      </c>
      <c r="R205" s="19">
        <f t="shared" si="183"/>
        <v>211.84979108189816</v>
      </c>
      <c r="S205" s="19">
        <f t="shared" si="184"/>
        <v>144.13315517171409</v>
      </c>
      <c r="T205" s="19">
        <f t="shared" si="185"/>
        <v>68.734166126715763</v>
      </c>
      <c r="U205" s="19">
        <f t="shared" si="186"/>
        <v>84.098872396344305</v>
      </c>
      <c r="V205" s="261">
        <f t="shared" si="205"/>
        <v>836.53775922734189</v>
      </c>
      <c r="W205" s="261">
        <f>SUM(O$9:O205)</f>
        <v>561152.94131751708</v>
      </c>
      <c r="X205" s="261">
        <f>SUM(P$9:P205)</f>
        <v>2457141.5540429656</v>
      </c>
      <c r="Y205" s="261">
        <f>SUM(Q$9:Q205)</f>
        <v>468026.96267485048</v>
      </c>
      <c r="Z205" s="261">
        <f>SUM($V$9:V205)</f>
        <v>1274126.1294259818</v>
      </c>
      <c r="AB205" s="257">
        <f t="array" ref="AB205">(INDEX(PriceDeck!$C$18:$O$77,MATCH('Decline and Model'!$A205,PriceDeck!$B$18:$B$77,0),MATCH('Decline and Model'!AB$8,PriceDeck!$C$13:$O$13,0))*(1+$AE$6))</f>
        <v>96.132960000000011</v>
      </c>
      <c r="AC205" s="257">
        <f t="array" ref="AC205">INDEX(PriceDeck!$C$18:$O$77,MATCH('Decline and Model'!$A205,PriceDeck!$B$18:$B$77,0),MATCH('Decline and Model'!AC$8,PriceDeck!$C$13:$O$13,0))*(1+$AE$6)</f>
        <v>109.76220000000001</v>
      </c>
      <c r="AD205" s="257">
        <f t="array" ref="AD205">INDEX(PriceDeck!$C$18:$O$77,MATCH('Decline and Model'!$A205,PriceDeck!$B$18:$B$77,0),MATCH('Decline and Model'!AD$8,PriceDeck!$C$13:$O$13,0))*(1+$AE$6)</f>
        <v>19.143359999999998</v>
      </c>
      <c r="AE205" s="257">
        <f t="array" ref="AE205">INDEX(PriceDeck!$C$18:$O$77,MATCH('Decline and Model'!$A205,PriceDeck!$B$18:$B$77,0),MATCH('Decline and Model'!AE$8,PriceDeck!$C$13:$O$13,0))*(1+$AE$6)</f>
        <v>38.598840000000003</v>
      </c>
      <c r="AF205" s="257">
        <f t="array" ref="AF205">INDEX(PriceDeck!$C$18:$O$77,MATCH('Decline and Model'!$A205,PriceDeck!$B$18:$B$77,0),MATCH('Decline and Model'!AF$8,PriceDeck!$C$13:$O$13,0))*(1+$AE$6)</f>
        <v>113.9238</v>
      </c>
      <c r="AG205" s="257">
        <f t="array" ref="AG205">INDEX(PriceDeck!$C$18:$O$77,MATCH('Decline and Model'!$A205,PriceDeck!$B$18:$B$77,0),MATCH('Decline and Model'!AG$8,PriceDeck!$C$13:$O$13,0))*(1+$AE$6)</f>
        <v>80.422920000000005</v>
      </c>
      <c r="AH205" s="258">
        <f t="array" ref="AH205">INDEX(PriceDeck!$C$18:$O$77,MATCH('Decline and Model'!$A205,PriceDeck!$B$18:$B$77,0),MATCH('Decline and Model'!AH$8,PriceDeck!$C$13:$O$13,0))</f>
        <v>0.85</v>
      </c>
      <c r="AI205" s="258">
        <f t="shared" si="187"/>
        <v>5.0459399999999999</v>
      </c>
      <c r="AJ205" s="259">
        <f t="shared" si="162"/>
        <v>5.0459399999999999</v>
      </c>
      <c r="AK205" s="120">
        <v>5.0459399999999999</v>
      </c>
      <c r="AL205" s="120"/>
      <c r="AN205" s="7">
        <f t="shared" si="188"/>
        <v>6751.005498273671</v>
      </c>
      <c r="AO205" s="7">
        <f t="shared" si="189"/>
        <v>13477.790604615549</v>
      </c>
      <c r="AP205" s="7">
        <f t="shared" si="190"/>
        <v>4055.5168166055655</v>
      </c>
      <c r="AQ205" s="7">
        <f t="shared" si="191"/>
        <v>5563.3725951681654</v>
      </c>
      <c r="AR205" s="7">
        <f t="shared" si="192"/>
        <v>7830.4573949867408</v>
      </c>
      <c r="AS205" s="7">
        <f t="shared" si="193"/>
        <v>6763.4768868214069</v>
      </c>
      <c r="AT205" s="7">
        <f t="shared" si="194"/>
        <v>44441.619796471103</v>
      </c>
      <c r="AU205">
        <f>SUM($AT$9:AT205)</f>
        <v>67982577.457407862</v>
      </c>
      <c r="AV205" s="7">
        <f>AT205/(1+$AR$5)^(COUNT($E$9:E205))</f>
        <v>10017.086479329246</v>
      </c>
      <c r="AW205" s="7">
        <f t="shared" ref="AW205:AW248" si="208">AW204-AX204</f>
        <v>0</v>
      </c>
      <c r="AX205" s="7">
        <f t="shared" si="195"/>
        <v>0</v>
      </c>
      <c r="AY205" s="117">
        <f t="shared" si="196"/>
        <v>0</v>
      </c>
      <c r="AZ205" s="117">
        <f t="shared" si="197"/>
        <v>44441.619796471103</v>
      </c>
      <c r="BA205" s="120">
        <f t="shared" si="198"/>
        <v>2222.0809898235552</v>
      </c>
      <c r="BB205" s="119">
        <f t="shared" si="163"/>
        <v>383.68538077265816</v>
      </c>
      <c r="BC205" s="17"/>
      <c r="BD205" s="126">
        <f t="shared" si="164"/>
        <v>0.15190727811432597</v>
      </c>
      <c r="BE205" s="127">
        <f t="shared" si="165"/>
        <v>0.30326956277335682</v>
      </c>
      <c r="BF205" s="127">
        <f t="shared" si="166"/>
        <v>9.1254928042195135E-2</v>
      </c>
      <c r="BG205" s="127">
        <f t="shared" si="167"/>
        <v>0.12518383939754432</v>
      </c>
      <c r="BH205" s="127">
        <f t="shared" si="168"/>
        <v>0.17619648948098243</v>
      </c>
      <c r="BI205" s="128">
        <f t="shared" si="169"/>
        <v>0.15218790219159523</v>
      </c>
      <c r="BJ205" s="126">
        <f t="array" ref="BJ205">BD205*INDEX(Royalty!$U$7:$Z$246,MATCH('Decline and Model'!$E205,Royalty!$AI$7:$AI$246,0),MATCH('Decline and Model'!BJ$8,Royalty!$U$1:$Z$1,0))</f>
        <v>5.0378564960336977E-2</v>
      </c>
      <c r="BK205" s="127">
        <f t="array" ref="BK205">BE205*INDEX(Royalty!$U$7:$Z$246,MATCH('Decline and Model'!$E205,Royalty!$AI$7:$AI$246,0),MATCH('Decline and Model'!BK$8,Royalty!$U$1:$Z$1,0))</f>
        <v>9.7480457016354313E-2</v>
      </c>
      <c r="BL205" s="127">
        <f t="array" ref="BL205">BF205*INDEX(Royalty!$U$7:$Z$246,MATCH('Decline and Model'!$E205,Royalty!$AI$7:$AI$246,0),MATCH('Decline and Model'!BL$8,Royalty!$U$1:$Z$1,0))</f>
        <v>3.0373502608053205E-2</v>
      </c>
      <c r="BM205" s="127">
        <f t="array" ref="BM205">BG205*INDEX(Royalty!$U$7:$Z$246,MATCH('Decline and Model'!$E205,Royalty!$AI$7:$AI$246,0),MATCH('Decline and Model'!BM$8,Royalty!$U$1:$Z$1,0))</f>
        <v>4.0321258826781253E-2</v>
      </c>
      <c r="BN205" s="127">
        <f t="array" ref="BN205">BH205*INDEX(Royalty!$U$7:$Z$246,MATCH('Decline and Model'!$E205,Royalty!$AI$7:$AI$246,0),MATCH('Decline and Model'!BN$8,Royalty!$U$1:$Z$1,0))</f>
        <v>3.1645908638510127E-2</v>
      </c>
      <c r="BO205" s="127">
        <f t="array" ref="BO205">BI205*INDEX(Royalty!$U$7:$Z$246,MATCH('Decline and Model'!$E205,Royalty!$AI$7:$AI$246,0),MATCH('Decline and Model'!BO$8,Royalty!$U$1:$Z$1,0))</f>
        <v>7.6093951095797616E-3</v>
      </c>
      <c r="BP205" s="135">
        <f t="shared" si="170"/>
        <v>0.05</v>
      </c>
      <c r="BQ205" s="7"/>
      <c r="BR205" s="7"/>
      <c r="BS205">
        <v>197</v>
      </c>
      <c r="BT205" s="120">
        <f t="shared" si="171"/>
        <v>2222.0809898235552</v>
      </c>
      <c r="BU205" s="113">
        <f t="shared" si="172"/>
        <v>8365.3775922734185</v>
      </c>
      <c r="BV205" s="113">
        <f t="shared" si="173"/>
        <v>2509.6132776820259</v>
      </c>
      <c r="BW205" s="113">
        <f t="shared" si="206"/>
        <v>150143.06682894626</v>
      </c>
      <c r="BX205" s="113">
        <f t="shared" si="199"/>
        <v>3318.8300026944094</v>
      </c>
      <c r="BY205" s="120">
        <f t="shared" si="200"/>
        <v>28025.717933997694</v>
      </c>
      <c r="BZ205" s="153">
        <f t="shared" si="207"/>
        <v>0</v>
      </c>
      <c r="CA205" s="120">
        <f t="shared" si="160"/>
        <v>28025.717933997694</v>
      </c>
      <c r="CB205" s="120">
        <f t="shared" si="201"/>
        <v>7006.4294834994234</v>
      </c>
      <c r="CC205" s="153">
        <f t="shared" si="202"/>
        <v>24338.118453192681</v>
      </c>
      <c r="CD205" s="7">
        <f t="shared" si="174"/>
        <v>5485.7819855870503</v>
      </c>
      <c r="CE205" s="11">
        <f>SUM($CD$9:CD205)</f>
        <v>25490156.627197567</v>
      </c>
      <c r="CF205" s="11">
        <f t="shared" si="203"/>
        <v>12000000</v>
      </c>
      <c r="CG205">
        <f t="shared" si="204"/>
        <v>13490156.627197567</v>
      </c>
    </row>
    <row r="206" spans="1:85">
      <c r="A206">
        <f t="shared" si="175"/>
        <v>2033</v>
      </c>
      <c r="B206">
        <f t="shared" si="176"/>
        <v>30.416666666666668</v>
      </c>
      <c r="C206">
        <f t="shared" si="161"/>
        <v>17</v>
      </c>
      <c r="E206" s="97">
        <v>48823</v>
      </c>
      <c r="F206" s="2">
        <f>$F$6*EXP(-$F$3*COUNT($E$9:$E206))</f>
        <v>4.0213201379470473E-2</v>
      </c>
      <c r="G206" s="260">
        <f>$F$6/(1+$F$5*$F$3*COUNT($E$9:$E206))^(1/$F$5)</f>
        <v>1.98252224153935</v>
      </c>
      <c r="H206" s="260">
        <f>$H$6/(1+$H$5*$H$3*COUNT($E$9:$E206))^(1/$H$5)</f>
        <v>87.243221103746379</v>
      </c>
      <c r="I206" s="260">
        <f t="shared" si="177"/>
        <v>16.617756400713596</v>
      </c>
      <c r="J206" s="260">
        <f t="shared" si="178"/>
        <v>6.9196337652571414</v>
      </c>
      <c r="K206" s="260">
        <f t="shared" si="178"/>
        <v>4.7078103883221614</v>
      </c>
      <c r="L206" s="260">
        <f t="shared" si="178"/>
        <v>2.2450588897364065</v>
      </c>
      <c r="M206" s="260">
        <f t="shared" si="178"/>
        <v>2.7469151330379575</v>
      </c>
      <c r="N206" s="19">
        <f t="shared" si="179"/>
        <v>1.2231515419588936</v>
      </c>
      <c r="O206" s="19">
        <f t="shared" si="180"/>
        <v>60.301718180155234</v>
      </c>
      <c r="P206" s="19">
        <f t="shared" si="181"/>
        <v>2653.6479752389523</v>
      </c>
      <c r="Q206" s="19">
        <f t="shared" si="182"/>
        <v>505.45675718837191</v>
      </c>
      <c r="R206" s="19">
        <f t="shared" si="183"/>
        <v>210.47219369323807</v>
      </c>
      <c r="S206" s="19">
        <f t="shared" si="184"/>
        <v>143.19589931146575</v>
      </c>
      <c r="T206" s="19">
        <f t="shared" si="185"/>
        <v>68.287207896149042</v>
      </c>
      <c r="U206" s="19">
        <f t="shared" si="186"/>
        <v>83.552001963237885</v>
      </c>
      <c r="V206" s="261">
        <f t="shared" si="205"/>
        <v>830.29392880824719</v>
      </c>
      <c r="W206" s="261">
        <f>SUM(O$9:O206)</f>
        <v>561213.24303569726</v>
      </c>
      <c r="X206" s="261">
        <f>SUM(P$9:P206)</f>
        <v>2459795.2020182046</v>
      </c>
      <c r="Y206" s="261">
        <f>SUM(Q$9:Q206)</f>
        <v>468532.41943203885</v>
      </c>
      <c r="Z206" s="261">
        <f>SUM($V$9:V206)</f>
        <v>1274956.4233547901</v>
      </c>
      <c r="AB206" s="257">
        <f t="array" ref="AB206">(INDEX(PriceDeck!$C$18:$O$77,MATCH('Decline and Model'!$A206,PriceDeck!$B$18:$B$77,0),MATCH('Decline and Model'!AB$8,PriceDeck!$C$13:$O$13,0))*(1+$AE$6))</f>
        <v>96.132960000000011</v>
      </c>
      <c r="AC206" s="257">
        <f t="array" ref="AC206">INDEX(PriceDeck!$C$18:$O$77,MATCH('Decline and Model'!$A206,PriceDeck!$B$18:$B$77,0),MATCH('Decline and Model'!AC$8,PriceDeck!$C$13:$O$13,0))*(1+$AE$6)</f>
        <v>109.76220000000001</v>
      </c>
      <c r="AD206" s="257">
        <f t="array" ref="AD206">INDEX(PriceDeck!$C$18:$O$77,MATCH('Decline and Model'!$A206,PriceDeck!$B$18:$B$77,0),MATCH('Decline and Model'!AD$8,PriceDeck!$C$13:$O$13,0))*(1+$AE$6)</f>
        <v>19.143359999999998</v>
      </c>
      <c r="AE206" s="257">
        <f t="array" ref="AE206">INDEX(PriceDeck!$C$18:$O$77,MATCH('Decline and Model'!$A206,PriceDeck!$B$18:$B$77,0),MATCH('Decline and Model'!AE$8,PriceDeck!$C$13:$O$13,0))*(1+$AE$6)</f>
        <v>38.598840000000003</v>
      </c>
      <c r="AF206" s="257">
        <f t="array" ref="AF206">INDEX(PriceDeck!$C$18:$O$77,MATCH('Decline and Model'!$A206,PriceDeck!$B$18:$B$77,0),MATCH('Decline and Model'!AF$8,PriceDeck!$C$13:$O$13,0))*(1+$AE$6)</f>
        <v>113.9238</v>
      </c>
      <c r="AG206" s="257">
        <f t="array" ref="AG206">INDEX(PriceDeck!$C$18:$O$77,MATCH('Decline and Model'!$A206,PriceDeck!$B$18:$B$77,0),MATCH('Decline and Model'!AG$8,PriceDeck!$C$13:$O$13,0))*(1+$AE$6)</f>
        <v>80.422920000000005</v>
      </c>
      <c r="AH206" s="258">
        <f t="array" ref="AH206">INDEX(PriceDeck!$C$18:$O$77,MATCH('Decline and Model'!$A206,PriceDeck!$B$18:$B$77,0),MATCH('Decline and Model'!AH$8,PriceDeck!$C$13:$O$13,0))</f>
        <v>0.85</v>
      </c>
      <c r="AI206" s="258">
        <f t="shared" si="187"/>
        <v>5.0459399999999999</v>
      </c>
      <c r="AJ206" s="259">
        <f t="shared" si="162"/>
        <v>5.0459399999999999</v>
      </c>
      <c r="AK206" s="120">
        <v>5.0459399999999999</v>
      </c>
      <c r="AL206" s="120"/>
      <c r="AN206" s="7">
        <f t="shared" si="188"/>
        <v>6618.8492512338353</v>
      </c>
      <c r="AO206" s="7">
        <f t="shared" si="189"/>
        <v>13390.148464177239</v>
      </c>
      <c r="AP206" s="7">
        <f t="shared" si="190"/>
        <v>4029.1449738593856</v>
      </c>
      <c r="AQ206" s="7">
        <f t="shared" si="191"/>
        <v>5527.1956061793771</v>
      </c>
      <c r="AR206" s="7">
        <f t="shared" si="192"/>
        <v>7779.5382149193038</v>
      </c>
      <c r="AS206" s="7">
        <f t="shared" si="193"/>
        <v>6719.4959697293234</v>
      </c>
      <c r="AT206" s="7">
        <f t="shared" si="194"/>
        <v>44064.372480098464</v>
      </c>
      <c r="AU206">
        <f>SUM($AT$9:AT206)</f>
        <v>68026641.829887956</v>
      </c>
      <c r="AV206" s="7">
        <f>AT206/(1+$AR$5)^(COUNT($E$9:E206))</f>
        <v>9857.2239443069793</v>
      </c>
      <c r="AW206" s="7">
        <f t="shared" si="208"/>
        <v>0</v>
      </c>
      <c r="AX206" s="7">
        <f t="shared" si="195"/>
        <v>0</v>
      </c>
      <c r="AY206" s="117">
        <f t="shared" si="196"/>
        <v>0</v>
      </c>
      <c r="AZ206" s="117">
        <f t="shared" si="197"/>
        <v>44064.372480098464</v>
      </c>
      <c r="BA206" s="120">
        <f t="shared" si="198"/>
        <v>2203.2186240049232</v>
      </c>
      <c r="BB206" s="119">
        <f t="shared" si="163"/>
        <v>389.92921119175287</v>
      </c>
      <c r="BC206" s="17"/>
      <c r="BD206" s="126">
        <f t="shared" si="164"/>
        <v>0.15020863520122107</v>
      </c>
      <c r="BE206" s="127">
        <f t="shared" si="165"/>
        <v>0.30387698066561275</v>
      </c>
      <c r="BF206" s="127">
        <f t="shared" si="166"/>
        <v>9.143770232241788E-2</v>
      </c>
      <c r="BG206" s="127">
        <f t="shared" si="167"/>
        <v>0.12543456981432602</v>
      </c>
      <c r="BH206" s="127">
        <f t="shared" si="168"/>
        <v>0.176549393014343</v>
      </c>
      <c r="BI206" s="128">
        <f t="shared" si="169"/>
        <v>0.15249271898207931</v>
      </c>
      <c r="BJ206" s="126">
        <f t="array" ref="BJ206">BD206*INDEX(Royalty!$U$7:$Z$246,MATCH('Decline and Model'!$E206,Royalty!$AI$7:$AI$246,0),MATCH('Decline and Model'!BJ$8,Royalty!$U$1:$Z$1,0))</f>
        <v>4.981522663050484E-2</v>
      </c>
      <c r="BK206" s="127">
        <f t="array" ref="BK206">BE206*INDEX(Royalty!$U$7:$Z$246,MATCH('Decline and Model'!$E206,Royalty!$AI$7:$AI$246,0),MATCH('Decline and Model'!BK$8,Royalty!$U$1:$Z$1,0))</f>
        <v>9.7675700393881348E-2</v>
      </c>
      <c r="BL206" s="127">
        <f t="array" ref="BL206">BF206*INDEX(Royalty!$U$7:$Z$246,MATCH('Decline and Model'!$E206,Royalty!$AI$7:$AI$246,0),MATCH('Decline and Model'!BL$8,Royalty!$U$1:$Z$1,0))</f>
        <v>3.0434337624814858E-2</v>
      </c>
      <c r="BM206" s="127">
        <f t="array" ref="BM206">BG206*INDEX(Royalty!$U$7:$Z$246,MATCH('Decline and Model'!$E206,Royalty!$AI$7:$AI$246,0),MATCH('Decline and Model'!BM$8,Royalty!$U$1:$Z$1,0))</f>
        <v>4.0402018181019433E-2</v>
      </c>
      <c r="BN206" s="127">
        <f t="array" ref="BN206">BH206*INDEX(Royalty!$U$7:$Z$246,MATCH('Decline and Model'!$E206,Royalty!$AI$7:$AI$246,0),MATCH('Decline and Model'!BN$8,Royalty!$U$1:$Z$1,0))</f>
        <v>3.1709292154310204E-2</v>
      </c>
      <c r="BO206" s="127">
        <f t="array" ref="BO206">BI206*INDEX(Royalty!$U$7:$Z$246,MATCH('Decline and Model'!$E206,Royalty!$AI$7:$AI$246,0),MATCH('Decline and Model'!BO$8,Royalty!$U$1:$Z$1,0))</f>
        <v>7.6246359491039658E-3</v>
      </c>
      <c r="BP206" s="135">
        <f t="shared" si="170"/>
        <v>0.05</v>
      </c>
      <c r="BQ206" s="7"/>
      <c r="BR206" s="7"/>
      <c r="BS206">
        <v>198</v>
      </c>
      <c r="BT206" s="120">
        <f t="shared" si="171"/>
        <v>2203.2186240049232</v>
      </c>
      <c r="BU206" s="113">
        <f t="shared" si="172"/>
        <v>8302.9392880824726</v>
      </c>
      <c r="BV206" s="113">
        <f t="shared" si="173"/>
        <v>2490.8817864247417</v>
      </c>
      <c r="BW206" s="113">
        <f t="shared" si="206"/>
        <v>146824.23682625184</v>
      </c>
      <c r="BX206" s="113">
        <f t="shared" si="199"/>
        <v>3245.4690888712407</v>
      </c>
      <c r="BY206" s="120">
        <f t="shared" si="200"/>
        <v>27821.863692715087</v>
      </c>
      <c r="BZ206" s="153">
        <f t="shared" si="207"/>
        <v>0</v>
      </c>
      <c r="CA206" s="120">
        <f t="shared" si="160"/>
        <v>27821.863692715087</v>
      </c>
      <c r="CB206" s="120">
        <f t="shared" si="201"/>
        <v>6955.4659231787718</v>
      </c>
      <c r="CC206" s="153">
        <f t="shared" si="202"/>
        <v>24111.866858407553</v>
      </c>
      <c r="CD206" s="7">
        <f t="shared" si="174"/>
        <v>5393.837650722985</v>
      </c>
      <c r="CE206" s="11">
        <f>SUM($CD$9:CD206)</f>
        <v>25495550.464848291</v>
      </c>
      <c r="CF206" s="11">
        <f t="shared" si="203"/>
        <v>12000000</v>
      </c>
      <c r="CG206">
        <f t="shared" si="204"/>
        <v>13495550.464848291</v>
      </c>
    </row>
    <row r="207" spans="1:85">
      <c r="A207">
        <f t="shared" si="175"/>
        <v>2033</v>
      </c>
      <c r="B207">
        <f t="shared" si="176"/>
        <v>30.416666666666668</v>
      </c>
      <c r="C207">
        <f t="shared" si="161"/>
        <v>17</v>
      </c>
      <c r="E207" s="97">
        <v>48853</v>
      </c>
      <c r="F207" s="2">
        <f>$F$6*EXP(-$F$3*COUNT($E$9:$E207))</f>
        <v>3.8251980405524987E-2</v>
      </c>
      <c r="G207" s="260">
        <f>$F$6/(1+$F$5*$F$3*COUNT($E$9:$E207))^(1/$F$5)</f>
        <v>1.9438300885163606</v>
      </c>
      <c r="H207" s="260">
        <f>$H$6/(1+$H$5*$H$3*COUNT($E$9:$E207))^(1/$H$5)</f>
        <v>86.678527144393314</v>
      </c>
      <c r="I207" s="260">
        <f t="shared" si="177"/>
        <v>16.510195646551107</v>
      </c>
      <c r="J207" s="260">
        <f t="shared" si="178"/>
        <v>6.8748454672238806</v>
      </c>
      <c r="K207" s="260">
        <f t="shared" si="178"/>
        <v>4.6773384266679283</v>
      </c>
      <c r="L207" s="260">
        <f t="shared" si="178"/>
        <v>2.2305274318490547</v>
      </c>
      <c r="M207" s="260">
        <f t="shared" si="178"/>
        <v>2.7291353403748979</v>
      </c>
      <c r="N207" s="19">
        <f t="shared" si="179"/>
        <v>1.1634977373347184</v>
      </c>
      <c r="O207" s="19">
        <f t="shared" si="180"/>
        <v>59.124831859039304</v>
      </c>
      <c r="P207" s="19">
        <f t="shared" si="181"/>
        <v>2636.47186730863</v>
      </c>
      <c r="Q207" s="19">
        <f t="shared" si="182"/>
        <v>502.18511758259621</v>
      </c>
      <c r="R207" s="19">
        <f t="shared" si="183"/>
        <v>209.10988296139305</v>
      </c>
      <c r="S207" s="19">
        <f t="shared" si="184"/>
        <v>142.26904381114949</v>
      </c>
      <c r="T207" s="19">
        <f t="shared" si="185"/>
        <v>67.845209385408751</v>
      </c>
      <c r="U207" s="19">
        <f t="shared" si="186"/>
        <v>83.011199936403145</v>
      </c>
      <c r="V207" s="261">
        <f t="shared" si="205"/>
        <v>824.13316013398503</v>
      </c>
      <c r="W207" s="261">
        <f>SUM(O$9:O207)</f>
        <v>561272.36786755628</v>
      </c>
      <c r="X207" s="261">
        <f>SUM(P$9:P207)</f>
        <v>2462431.6738855131</v>
      </c>
      <c r="Y207" s="261">
        <f>SUM(Q$9:Q207)</f>
        <v>469034.60454962146</v>
      </c>
      <c r="Z207" s="261">
        <f>SUM($V$9:V207)</f>
        <v>1275780.5565149242</v>
      </c>
      <c r="AB207" s="257">
        <f t="array" ref="AB207">(INDEX(PriceDeck!$C$18:$O$77,MATCH('Decline and Model'!$A207,PriceDeck!$B$18:$B$77,0),MATCH('Decline and Model'!AB$8,PriceDeck!$C$13:$O$13,0))*(1+$AE$6))</f>
        <v>96.132960000000011</v>
      </c>
      <c r="AC207" s="257">
        <f t="array" ref="AC207">INDEX(PriceDeck!$C$18:$O$77,MATCH('Decline and Model'!$A207,PriceDeck!$B$18:$B$77,0),MATCH('Decline and Model'!AC$8,PriceDeck!$C$13:$O$13,0))*(1+$AE$6)</f>
        <v>109.76220000000001</v>
      </c>
      <c r="AD207" s="257">
        <f t="array" ref="AD207">INDEX(PriceDeck!$C$18:$O$77,MATCH('Decline and Model'!$A207,PriceDeck!$B$18:$B$77,0),MATCH('Decline and Model'!AD$8,PriceDeck!$C$13:$O$13,0))*(1+$AE$6)</f>
        <v>19.143359999999998</v>
      </c>
      <c r="AE207" s="257">
        <f t="array" ref="AE207">INDEX(PriceDeck!$C$18:$O$77,MATCH('Decline and Model'!$A207,PriceDeck!$B$18:$B$77,0),MATCH('Decline and Model'!AE$8,PriceDeck!$C$13:$O$13,0))*(1+$AE$6)</f>
        <v>38.598840000000003</v>
      </c>
      <c r="AF207" s="257">
        <f t="array" ref="AF207">INDEX(PriceDeck!$C$18:$O$77,MATCH('Decline and Model'!$A207,PriceDeck!$B$18:$B$77,0),MATCH('Decline and Model'!AF$8,PriceDeck!$C$13:$O$13,0))*(1+$AE$6)</f>
        <v>113.9238</v>
      </c>
      <c r="AG207" s="257">
        <f t="array" ref="AG207">INDEX(PriceDeck!$C$18:$O$77,MATCH('Decline and Model'!$A207,PriceDeck!$B$18:$B$77,0),MATCH('Decline and Model'!AG$8,PriceDeck!$C$13:$O$13,0))*(1+$AE$6)</f>
        <v>80.422920000000005</v>
      </c>
      <c r="AH207" s="258">
        <f t="array" ref="AH207">INDEX(PriceDeck!$C$18:$O$77,MATCH('Decline and Model'!$A207,PriceDeck!$B$18:$B$77,0),MATCH('Decline and Model'!AH$8,PriceDeck!$C$13:$O$13,0))</f>
        <v>0.85</v>
      </c>
      <c r="AI207" s="258">
        <f t="shared" si="187"/>
        <v>5.0459399999999999</v>
      </c>
      <c r="AJ207" s="259">
        <f t="shared" si="162"/>
        <v>5.0459399999999999</v>
      </c>
      <c r="AK207" s="120">
        <v>5.0459399999999999</v>
      </c>
      <c r="AL207" s="120"/>
      <c r="AN207" s="7">
        <f t="shared" si="188"/>
        <v>6489.6716194782439</v>
      </c>
      <c r="AO207" s="7">
        <f t="shared" si="189"/>
        <v>13303.478854127308</v>
      </c>
      <c r="AP207" s="7">
        <f t="shared" si="190"/>
        <v>4003.0657690878129</v>
      </c>
      <c r="AQ207" s="7">
        <f t="shared" si="191"/>
        <v>5491.4200590195496</v>
      </c>
      <c r="AR207" s="7">
        <f t="shared" si="192"/>
        <v>7729.1840649814294</v>
      </c>
      <c r="AS207" s="7">
        <f t="shared" si="193"/>
        <v>6676.0030915893558</v>
      </c>
      <c r="AT207" s="7">
        <f t="shared" si="194"/>
        <v>43692.823458283703</v>
      </c>
      <c r="AU207">
        <f>SUM($AT$9:AT207)</f>
        <v>68070334.653346241</v>
      </c>
      <c r="AV207" s="7">
        <f>AT207/(1+$AR$5)^(COUNT($E$9:E207))</f>
        <v>9700.4668009196048</v>
      </c>
      <c r="AW207" s="7">
        <f t="shared" si="208"/>
        <v>0</v>
      </c>
      <c r="AX207" s="7">
        <f t="shared" si="195"/>
        <v>0</v>
      </c>
      <c r="AY207" s="117">
        <f t="shared" si="196"/>
        <v>0</v>
      </c>
      <c r="AZ207" s="117">
        <f t="shared" si="197"/>
        <v>43692.823458283703</v>
      </c>
      <c r="BA207" s="120">
        <f t="shared" si="198"/>
        <v>2184.6411729141851</v>
      </c>
      <c r="BB207" s="119">
        <f t="shared" si="163"/>
        <v>396.08997986601503</v>
      </c>
      <c r="BC207" s="17"/>
      <c r="BD207" s="126">
        <f t="shared" si="164"/>
        <v>0.14852946332649669</v>
      </c>
      <c r="BE207" s="127">
        <f t="shared" si="165"/>
        <v>0.30447743590727155</v>
      </c>
      <c r="BF207" s="127">
        <f t="shared" si="166"/>
        <v>9.1618381515440231E-2</v>
      </c>
      <c r="BG207" s="127">
        <f t="shared" si="167"/>
        <v>0.12568242618293035</v>
      </c>
      <c r="BH207" s="127">
        <f t="shared" si="168"/>
        <v>0.17689825131948658</v>
      </c>
      <c r="BI207" s="128">
        <f t="shared" si="169"/>
        <v>0.15279404174837447</v>
      </c>
      <c r="BJ207" s="126">
        <f t="array" ref="BJ207">BD207*INDEX(Royalty!$U$7:$Z$246,MATCH('Decline and Model'!$E207,Royalty!$AI$7:$AI$246,0),MATCH('Decline and Model'!BJ$8,Royalty!$U$1:$Z$1,0))</f>
        <v>4.9258345680359007E-2</v>
      </c>
      <c r="BK207" s="127">
        <f t="array" ref="BK207">BE207*INDEX(Royalty!$U$7:$Z$246,MATCH('Decline and Model'!$E207,Royalty!$AI$7:$AI$246,0),MATCH('Decline and Model'!BK$8,Royalty!$U$1:$Z$1,0))</f>
        <v>9.7868705754655089E-2</v>
      </c>
      <c r="BL207" s="127">
        <f t="array" ref="BL207">BF207*INDEX(Royalty!$U$7:$Z$246,MATCH('Decline and Model'!$E207,Royalty!$AI$7:$AI$246,0),MATCH('Decline and Model'!BL$8,Royalty!$U$1:$Z$1,0))</f>
        <v>3.0494475307877279E-2</v>
      </c>
      <c r="BM207" s="127">
        <f t="array" ref="BM207">BG207*INDEX(Royalty!$U$7:$Z$246,MATCH('Decline and Model'!$E207,Royalty!$AI$7:$AI$246,0),MATCH('Decline and Model'!BM$8,Royalty!$U$1:$Z$1,0))</f>
        <v>4.0481851814805209E-2</v>
      </c>
      <c r="BN207" s="127">
        <f t="array" ref="BN207">BH207*INDEX(Royalty!$U$7:$Z$246,MATCH('Decline and Model'!$E207,Royalty!$AI$7:$AI$246,0),MATCH('Decline and Model'!BN$8,Royalty!$U$1:$Z$1,0))</f>
        <v>3.177194912372474E-2</v>
      </c>
      <c r="BO207" s="127">
        <f t="array" ref="BO207">BI207*INDEX(Royalty!$U$7:$Z$246,MATCH('Decline and Model'!$E207,Royalty!$AI$7:$AI$246,0),MATCH('Decline and Model'!BO$8,Royalty!$U$1:$Z$1,0))</f>
        <v>7.6397020874187233E-3</v>
      </c>
      <c r="BP207" s="135">
        <f t="shared" si="170"/>
        <v>0.05</v>
      </c>
      <c r="BQ207" s="7"/>
      <c r="BR207" s="7"/>
      <c r="BS207">
        <v>199</v>
      </c>
      <c r="BT207" s="120">
        <f t="shared" si="171"/>
        <v>2184.6411729141851</v>
      </c>
      <c r="BU207" s="113">
        <f t="shared" si="172"/>
        <v>8241.3316013398507</v>
      </c>
      <c r="BV207" s="113">
        <f t="shared" si="173"/>
        <v>2472.3994804019549</v>
      </c>
      <c r="BW207" s="113">
        <f t="shared" si="206"/>
        <v>143578.76773738061</v>
      </c>
      <c r="BX207" s="113">
        <f t="shared" si="199"/>
        <v>3173.7297777431786</v>
      </c>
      <c r="BY207" s="120">
        <f t="shared" si="200"/>
        <v>27620.721425884538</v>
      </c>
      <c r="BZ207" s="153">
        <f t="shared" si="207"/>
        <v>0</v>
      </c>
      <c r="CA207" s="120">
        <f t="shared" si="160"/>
        <v>27620.721425884538</v>
      </c>
      <c r="CB207" s="120">
        <f t="shared" si="201"/>
        <v>6905.1803564711345</v>
      </c>
      <c r="CC207" s="153">
        <f t="shared" si="202"/>
        <v>23889.270847156582</v>
      </c>
      <c r="CD207" s="7">
        <f t="shared" si="174"/>
        <v>5303.7789826577127</v>
      </c>
      <c r="CE207" s="11">
        <f>SUM($CD$9:CD207)</f>
        <v>25500854.243830949</v>
      </c>
      <c r="CF207" s="11">
        <f t="shared" si="203"/>
        <v>12000000</v>
      </c>
      <c r="CG207">
        <f t="shared" si="204"/>
        <v>13500854.243830949</v>
      </c>
    </row>
    <row r="208" spans="1:85">
      <c r="A208">
        <f t="shared" si="175"/>
        <v>2033</v>
      </c>
      <c r="B208">
        <f t="shared" si="176"/>
        <v>30.416666666666668</v>
      </c>
      <c r="C208">
        <f t="shared" si="161"/>
        <v>17</v>
      </c>
      <c r="E208" s="97">
        <v>48884</v>
      </c>
      <c r="F208" s="2">
        <f>$F$6*EXP(-$F$3*COUNT($E$9:$E208))</f>
        <v>3.6386409307160167E-2</v>
      </c>
      <c r="G208" s="260">
        <f>$F$6/(1+$F$5*$F$3*COUNT($E$9:$E208))^(1/$F$5)</f>
        <v>1.9060073746257384</v>
      </c>
      <c r="H208" s="260">
        <f>$H$6/(1+$H$5*$H$3*COUNT($E$9:$E208))^(1/$H$5)</f>
        <v>86.120070530738204</v>
      </c>
      <c r="I208" s="260">
        <f t="shared" si="177"/>
        <v>16.403822958235846</v>
      </c>
      <c r="J208" s="260">
        <f t="shared" si="178"/>
        <v>6.8305518798094065</v>
      </c>
      <c r="K208" s="260">
        <f t="shared" si="178"/>
        <v>4.647203044068215</v>
      </c>
      <c r="L208" s="260">
        <f t="shared" si="178"/>
        <v>2.2161564816576629</v>
      </c>
      <c r="M208" s="260">
        <f t="shared" si="178"/>
        <v>2.7115519349963852</v>
      </c>
      <c r="N208" s="19">
        <f t="shared" si="179"/>
        <v>1.1067532830927884</v>
      </c>
      <c r="O208" s="19">
        <f t="shared" si="180"/>
        <v>57.974390978199544</v>
      </c>
      <c r="P208" s="19">
        <f t="shared" si="181"/>
        <v>2619.485478643287</v>
      </c>
      <c r="Q208" s="19">
        <f t="shared" si="182"/>
        <v>498.9496149796737</v>
      </c>
      <c r="R208" s="19">
        <f t="shared" si="183"/>
        <v>207.76261967753612</v>
      </c>
      <c r="S208" s="19">
        <f t="shared" si="184"/>
        <v>141.35242592374155</v>
      </c>
      <c r="T208" s="19">
        <f t="shared" si="185"/>
        <v>67.408092983753917</v>
      </c>
      <c r="U208" s="19">
        <f t="shared" si="186"/>
        <v>82.476371356140049</v>
      </c>
      <c r="V208" s="261">
        <f t="shared" si="205"/>
        <v>818.05388653642535</v>
      </c>
      <c r="W208" s="261">
        <f>SUM(O$9:O208)</f>
        <v>561330.34225853451</v>
      </c>
      <c r="X208" s="261">
        <f>SUM(P$9:P208)</f>
        <v>2465051.1593641564</v>
      </c>
      <c r="Y208" s="261">
        <f>SUM(Q$9:Q208)</f>
        <v>469533.55416460114</v>
      </c>
      <c r="Z208" s="261">
        <f>SUM($V$9:V208)</f>
        <v>1276598.6104014607</v>
      </c>
      <c r="AB208" s="257">
        <f t="array" ref="AB208">(INDEX(PriceDeck!$C$18:$O$77,MATCH('Decline and Model'!$A208,PriceDeck!$B$18:$B$77,0),MATCH('Decline and Model'!AB$8,PriceDeck!$C$13:$O$13,0))*(1+$AE$6))</f>
        <v>96.132960000000011</v>
      </c>
      <c r="AC208" s="257">
        <f t="array" ref="AC208">INDEX(PriceDeck!$C$18:$O$77,MATCH('Decline and Model'!$A208,PriceDeck!$B$18:$B$77,0),MATCH('Decline and Model'!AC$8,PriceDeck!$C$13:$O$13,0))*(1+$AE$6)</f>
        <v>109.76220000000001</v>
      </c>
      <c r="AD208" s="257">
        <f t="array" ref="AD208">INDEX(PriceDeck!$C$18:$O$77,MATCH('Decline and Model'!$A208,PriceDeck!$B$18:$B$77,0),MATCH('Decline and Model'!AD$8,PriceDeck!$C$13:$O$13,0))*(1+$AE$6)</f>
        <v>19.143359999999998</v>
      </c>
      <c r="AE208" s="257">
        <f t="array" ref="AE208">INDEX(PriceDeck!$C$18:$O$77,MATCH('Decline and Model'!$A208,PriceDeck!$B$18:$B$77,0),MATCH('Decline and Model'!AE$8,PriceDeck!$C$13:$O$13,0))*(1+$AE$6)</f>
        <v>38.598840000000003</v>
      </c>
      <c r="AF208" s="257">
        <f t="array" ref="AF208">INDEX(PriceDeck!$C$18:$O$77,MATCH('Decline and Model'!$A208,PriceDeck!$B$18:$B$77,0),MATCH('Decline and Model'!AF$8,PriceDeck!$C$13:$O$13,0))*(1+$AE$6)</f>
        <v>113.9238</v>
      </c>
      <c r="AG208" s="257">
        <f t="array" ref="AG208">INDEX(PriceDeck!$C$18:$O$77,MATCH('Decline and Model'!$A208,PriceDeck!$B$18:$B$77,0),MATCH('Decline and Model'!AG$8,PriceDeck!$C$13:$O$13,0))*(1+$AE$6)</f>
        <v>80.422920000000005</v>
      </c>
      <c r="AH208" s="258">
        <f t="array" ref="AH208">INDEX(PriceDeck!$C$18:$O$77,MATCH('Decline and Model'!$A208,PriceDeck!$B$18:$B$77,0),MATCH('Decline and Model'!AH$8,PriceDeck!$C$13:$O$13,0))</f>
        <v>0.85</v>
      </c>
      <c r="AI208" s="258">
        <f t="shared" si="187"/>
        <v>5.0459399999999999</v>
      </c>
      <c r="AJ208" s="259">
        <f t="shared" si="162"/>
        <v>5.0459399999999999</v>
      </c>
      <c r="AK208" s="120">
        <v>5.0459399999999999</v>
      </c>
      <c r="AL208" s="120"/>
      <c r="AN208" s="7">
        <f t="shared" si="188"/>
        <v>6363.3966974273344</v>
      </c>
      <c r="AO208" s="7">
        <f t="shared" si="189"/>
        <v>13217.766556105307</v>
      </c>
      <c r="AP208" s="7">
        <f t="shared" si="190"/>
        <v>3977.2746230301573</v>
      </c>
      <c r="AQ208" s="7">
        <f t="shared" si="191"/>
        <v>5456.0396718423526</v>
      </c>
      <c r="AR208" s="7">
        <f t="shared" si="192"/>
        <v>7679.3861034625843</v>
      </c>
      <c r="AS208" s="7">
        <f t="shared" si="193"/>
        <v>6632.9906154651435</v>
      </c>
      <c r="AT208" s="7">
        <f t="shared" si="194"/>
        <v>43326.854267332877</v>
      </c>
      <c r="AU208">
        <f>SUM($AT$9:AT208)</f>
        <v>68113661.507613569</v>
      </c>
      <c r="AV208" s="7">
        <f>AT208/(1+$AR$5)^(COUNT($E$9:E208))</f>
        <v>9546.7416955095177</v>
      </c>
      <c r="AW208" s="7">
        <f t="shared" si="208"/>
        <v>0</v>
      </c>
      <c r="AX208" s="7">
        <f t="shared" si="195"/>
        <v>0</v>
      </c>
      <c r="AY208" s="117">
        <f t="shared" si="196"/>
        <v>0</v>
      </c>
      <c r="AZ208" s="117">
        <f t="shared" si="197"/>
        <v>43326.854267332877</v>
      </c>
      <c r="BA208" s="120">
        <f t="shared" si="198"/>
        <v>2166.3427133666441</v>
      </c>
      <c r="BB208" s="119">
        <f t="shared" si="163"/>
        <v>402.16925346357471</v>
      </c>
      <c r="BC208" s="17"/>
      <c r="BD208" s="126">
        <f t="shared" si="164"/>
        <v>0.14686957557925318</v>
      </c>
      <c r="BE208" s="127">
        <f t="shared" si="165"/>
        <v>0.30507099533582105</v>
      </c>
      <c r="BF208" s="127">
        <f t="shared" si="166"/>
        <v>9.1796985732908398E-2</v>
      </c>
      <c r="BG208" s="127">
        <f t="shared" si="167"/>
        <v>0.12592743609258611</v>
      </c>
      <c r="BH208" s="127">
        <f t="shared" si="168"/>
        <v>0.17724310322830444</v>
      </c>
      <c r="BI208" s="128">
        <f t="shared" si="169"/>
        <v>0.15309190403112685</v>
      </c>
      <c r="BJ208" s="126">
        <f t="array" ref="BJ208">BD208*INDEX(Royalty!$U$7:$Z$246,MATCH('Decline and Model'!$E208,Royalty!$AI$7:$AI$246,0),MATCH('Decline and Model'!BJ$8,Royalty!$U$1:$Z$1,0))</f>
        <v>4.8707860122725356E-2</v>
      </c>
      <c r="BK208" s="127">
        <f t="array" ref="BK208">BE208*INDEX(Royalty!$U$7:$Z$246,MATCH('Decline and Model'!$E208,Royalty!$AI$7:$AI$246,0),MATCH('Decline and Model'!BK$8,Royalty!$U$1:$Z$1,0))</f>
        <v>9.8059494582364154E-2</v>
      </c>
      <c r="BL208" s="127">
        <f t="array" ref="BL208">BF208*INDEX(Royalty!$U$7:$Z$246,MATCH('Decline and Model'!$E208,Royalty!$AI$7:$AI$246,0),MATCH('Decline and Model'!BL$8,Royalty!$U$1:$Z$1,0))</f>
        <v>3.0553922351247587E-2</v>
      </c>
      <c r="BM208" s="127">
        <f t="array" ref="BM208">BG208*INDEX(Royalty!$U$7:$Z$246,MATCH('Decline and Model'!$E208,Royalty!$AI$7:$AI$246,0),MATCH('Decline and Model'!BM$8,Royalty!$U$1:$Z$1,0))</f>
        <v>4.0560768614528724E-2</v>
      </c>
      <c r="BN208" s="127">
        <f t="array" ref="BN208">BH208*INDEX(Royalty!$U$7:$Z$246,MATCH('Decline and Model'!$E208,Royalty!$AI$7:$AI$246,0),MATCH('Decline and Model'!BN$8,Royalty!$U$1:$Z$1,0))</f>
        <v>3.1833886521186024E-2</v>
      </c>
      <c r="BO208" s="127">
        <f t="array" ref="BO208">BI208*INDEX(Royalty!$U$7:$Z$246,MATCH('Decline and Model'!$E208,Royalty!$AI$7:$AI$246,0),MATCH('Decline and Model'!BO$8,Royalty!$U$1:$Z$1,0))</f>
        <v>7.6545952015563429E-3</v>
      </c>
      <c r="BP208" s="135">
        <f t="shared" si="170"/>
        <v>0.05</v>
      </c>
      <c r="BQ208" s="7"/>
      <c r="BR208" s="7"/>
      <c r="BS208">
        <v>200</v>
      </c>
      <c r="BT208" s="120">
        <f t="shared" si="171"/>
        <v>2166.3427133666441</v>
      </c>
      <c r="BU208" s="113">
        <f t="shared" si="172"/>
        <v>8180.5388653642531</v>
      </c>
      <c r="BV208" s="113">
        <f t="shared" si="173"/>
        <v>2454.1616596092763</v>
      </c>
      <c r="BW208" s="113">
        <f t="shared" si="206"/>
        <v>140405.03795963744</v>
      </c>
      <c r="BX208" s="113">
        <f t="shared" si="199"/>
        <v>3103.5762246735676</v>
      </c>
      <c r="BY208" s="120">
        <f t="shared" si="200"/>
        <v>27422.234804319141</v>
      </c>
      <c r="BZ208" s="153">
        <f t="shared" si="207"/>
        <v>0</v>
      </c>
      <c r="CA208" s="120">
        <f t="shared" si="160"/>
        <v>27422.234804319141</v>
      </c>
      <c r="CB208" s="120">
        <f t="shared" si="201"/>
        <v>6855.5587010797854</v>
      </c>
      <c r="CC208" s="153">
        <f t="shared" si="202"/>
        <v>23670.252327912924</v>
      </c>
      <c r="CD208" s="7">
        <f t="shared" si="174"/>
        <v>5215.5594645257888</v>
      </c>
      <c r="CE208" s="11">
        <f>SUM($CD$9:CD208)</f>
        <v>25506069.803295474</v>
      </c>
      <c r="CF208" s="11">
        <f t="shared" si="203"/>
        <v>12000000</v>
      </c>
      <c r="CG208">
        <f t="shared" si="204"/>
        <v>13506069.803295474</v>
      </c>
    </row>
    <row r="209" spans="1:85">
      <c r="A209">
        <f t="shared" si="175"/>
        <v>2033</v>
      </c>
      <c r="B209">
        <f t="shared" si="176"/>
        <v>30.416666666666668</v>
      </c>
      <c r="C209">
        <f t="shared" si="161"/>
        <v>17</v>
      </c>
      <c r="E209" s="97">
        <v>48914</v>
      </c>
      <c r="F209" s="2">
        <f>$F$6*EXP(-$F$3*COUNT($E$9:$E209))</f>
        <v>3.4611823184897361E-2</v>
      </c>
      <c r="G209" s="260">
        <f>$F$6/(1+$F$5*$F$3*COUNT($E$9:$E209))^(1/$F$5)</f>
        <v>1.8690320100568278</v>
      </c>
      <c r="H209" s="260">
        <f>$H$6/(1+$H$5*$H$3*COUNT($E$9:$E209))^(1/$H$5)</f>
        <v>85.567754106659123</v>
      </c>
      <c r="I209" s="260">
        <f t="shared" si="177"/>
        <v>16.298619829839833</v>
      </c>
      <c r="J209" s="260">
        <f t="shared" si="178"/>
        <v>6.7867452971453064</v>
      </c>
      <c r="K209" s="260">
        <f t="shared" si="178"/>
        <v>4.6173989977936243</v>
      </c>
      <c r="L209" s="260">
        <f t="shared" si="178"/>
        <v>2.2019435390113613</v>
      </c>
      <c r="M209" s="260">
        <f t="shared" si="178"/>
        <v>2.6941618578725244</v>
      </c>
      <c r="N209" s="19">
        <f t="shared" si="179"/>
        <v>1.0527762885406282</v>
      </c>
      <c r="O209" s="19">
        <f t="shared" si="180"/>
        <v>56.849723639228515</v>
      </c>
      <c r="P209" s="19">
        <f t="shared" si="181"/>
        <v>2602.6858540775484</v>
      </c>
      <c r="Q209" s="19">
        <f t="shared" si="182"/>
        <v>495.74968649096161</v>
      </c>
      <c r="R209" s="19">
        <f t="shared" si="183"/>
        <v>206.4301694548364</v>
      </c>
      <c r="S209" s="19">
        <f t="shared" si="184"/>
        <v>140.44588618288941</v>
      </c>
      <c r="T209" s="19">
        <f t="shared" si="185"/>
        <v>66.975782644928913</v>
      </c>
      <c r="U209" s="19">
        <f t="shared" si="186"/>
        <v>81.947423176955951</v>
      </c>
      <c r="V209" s="261">
        <f t="shared" si="205"/>
        <v>812.0545786355575</v>
      </c>
      <c r="W209" s="261">
        <f>SUM(O$9:O209)</f>
        <v>561387.19198217371</v>
      </c>
      <c r="X209" s="261">
        <f>SUM(P$9:P209)</f>
        <v>2467653.8452182338</v>
      </c>
      <c r="Y209" s="261">
        <f>SUM(Q$9:Q209)</f>
        <v>470029.30385109212</v>
      </c>
      <c r="Z209" s="261">
        <f>SUM($V$9:V209)</f>
        <v>1277410.6649800963</v>
      </c>
      <c r="AB209" s="257">
        <f t="array" ref="AB209">(INDEX(PriceDeck!$C$18:$O$77,MATCH('Decline and Model'!$A209,PriceDeck!$B$18:$B$77,0),MATCH('Decline and Model'!AB$8,PriceDeck!$C$13:$O$13,0))*(1+$AE$6))</f>
        <v>96.132960000000011</v>
      </c>
      <c r="AC209" s="257">
        <f t="array" ref="AC209">INDEX(PriceDeck!$C$18:$O$77,MATCH('Decline and Model'!$A209,PriceDeck!$B$18:$B$77,0),MATCH('Decline and Model'!AC$8,PriceDeck!$C$13:$O$13,0))*(1+$AE$6)</f>
        <v>109.76220000000001</v>
      </c>
      <c r="AD209" s="257">
        <f t="array" ref="AD209">INDEX(PriceDeck!$C$18:$O$77,MATCH('Decline and Model'!$A209,PriceDeck!$B$18:$B$77,0),MATCH('Decline and Model'!AD$8,PriceDeck!$C$13:$O$13,0))*(1+$AE$6)</f>
        <v>19.143359999999998</v>
      </c>
      <c r="AE209" s="257">
        <f t="array" ref="AE209">INDEX(PriceDeck!$C$18:$O$77,MATCH('Decline and Model'!$A209,PriceDeck!$B$18:$B$77,0),MATCH('Decline and Model'!AE$8,PriceDeck!$C$13:$O$13,0))*(1+$AE$6)</f>
        <v>38.598840000000003</v>
      </c>
      <c r="AF209" s="257">
        <f t="array" ref="AF209">INDEX(PriceDeck!$C$18:$O$77,MATCH('Decline and Model'!$A209,PriceDeck!$B$18:$B$77,0),MATCH('Decline and Model'!AF$8,PriceDeck!$C$13:$O$13,0))*(1+$AE$6)</f>
        <v>113.9238</v>
      </c>
      <c r="AG209" s="257">
        <f t="array" ref="AG209">INDEX(PriceDeck!$C$18:$O$77,MATCH('Decline and Model'!$A209,PriceDeck!$B$18:$B$77,0),MATCH('Decline and Model'!AG$8,PriceDeck!$C$13:$O$13,0))*(1+$AE$6)</f>
        <v>80.422920000000005</v>
      </c>
      <c r="AH209" s="258">
        <f t="array" ref="AH209">INDEX(PriceDeck!$C$18:$O$77,MATCH('Decline and Model'!$A209,PriceDeck!$B$18:$B$77,0),MATCH('Decline and Model'!AH$8,PriceDeck!$C$13:$O$13,0))</f>
        <v>0.85</v>
      </c>
      <c r="AI209" s="258">
        <f t="shared" si="187"/>
        <v>5.0459399999999999</v>
      </c>
      <c r="AJ209" s="259">
        <f t="shared" si="162"/>
        <v>5.0459399999999999</v>
      </c>
      <c r="AK209" s="120">
        <v>5.0459399999999999</v>
      </c>
      <c r="AL209" s="120"/>
      <c r="AN209" s="7">
        <f t="shared" si="188"/>
        <v>6239.9507360337284</v>
      </c>
      <c r="AO209" s="7">
        <f t="shared" si="189"/>
        <v>13132.996658524064</v>
      </c>
      <c r="AP209" s="7">
        <f t="shared" si="190"/>
        <v>3951.7670487349365</v>
      </c>
      <c r="AQ209" s="7">
        <f t="shared" si="191"/>
        <v>5421.0482894315592</v>
      </c>
      <c r="AR209" s="7">
        <f t="shared" si="192"/>
        <v>7630.1356668843528</v>
      </c>
      <c r="AS209" s="7">
        <f t="shared" si="193"/>
        <v>6590.4510583664751</v>
      </c>
      <c r="AT209" s="7">
        <f t="shared" si="194"/>
        <v>42966.349457975113</v>
      </c>
      <c r="AU209">
        <f>SUM($AT$9:AT209)</f>
        <v>68156627.857071549</v>
      </c>
      <c r="AV209" s="7">
        <f>AT209/(1+$AR$5)^(COUNT($E$9:E209))</f>
        <v>9395.9773278274079</v>
      </c>
      <c r="AW209" s="7">
        <f t="shared" si="208"/>
        <v>0</v>
      </c>
      <c r="AX209" s="7">
        <f t="shared" si="195"/>
        <v>0</v>
      </c>
      <c r="AY209" s="117">
        <f t="shared" si="196"/>
        <v>0</v>
      </c>
      <c r="AZ209" s="117">
        <f t="shared" si="197"/>
        <v>42966.349457975113</v>
      </c>
      <c r="BA209" s="120">
        <f t="shared" si="198"/>
        <v>2148.3174728987556</v>
      </c>
      <c r="BB209" s="119">
        <f t="shared" si="163"/>
        <v>408.16856136444255</v>
      </c>
      <c r="BC209" s="17"/>
      <c r="BD209" s="126">
        <f t="shared" si="164"/>
        <v>0.14522878519472435</v>
      </c>
      <c r="BE209" s="127">
        <f t="shared" si="165"/>
        <v>0.3056577257364928</v>
      </c>
      <c r="BF209" s="127">
        <f t="shared" si="166"/>
        <v>9.1973535070744461E-2</v>
      </c>
      <c r="BG209" s="127">
        <f t="shared" si="167"/>
        <v>0.12616962711095164</v>
      </c>
      <c r="BH209" s="127">
        <f t="shared" si="168"/>
        <v>0.17758398754232774</v>
      </c>
      <c r="BI209" s="128">
        <f t="shared" si="169"/>
        <v>0.15338633934475907</v>
      </c>
      <c r="BJ209" s="126">
        <f t="array" ref="BJ209">BD209*INDEX(Royalty!$U$7:$Z$246,MATCH('Decline and Model'!$E209,Royalty!$AI$7:$AI$246,0),MATCH('Decline and Model'!BJ$8,Royalty!$U$1:$Z$1,0))</f>
        <v>4.816370801889349E-2</v>
      </c>
      <c r="BK209" s="127">
        <f t="array" ref="BK209">BE209*INDEX(Royalty!$U$7:$Z$246,MATCH('Decline and Model'!$E209,Royalty!$AI$7:$AI$246,0),MATCH('Decline and Model'!BK$8,Royalty!$U$1:$Z$1,0))</f>
        <v>9.8248088343900378E-2</v>
      </c>
      <c r="BL209" s="127">
        <f t="array" ref="BL209">BF209*INDEX(Royalty!$U$7:$Z$246,MATCH('Decline and Model'!$E209,Royalty!$AI$7:$AI$246,0),MATCH('Decline and Model'!BL$8,Royalty!$U$1:$Z$1,0))</f>
        <v>3.0612685443699252E-2</v>
      </c>
      <c r="BM209" s="127">
        <f t="array" ref="BM209">BG209*INDEX(Royalty!$U$7:$Z$246,MATCH('Decline and Model'!$E209,Royalty!$AI$7:$AI$246,0),MATCH('Decline and Model'!BM$8,Royalty!$U$1:$Z$1,0))</f>
        <v>4.0638777459632333E-2</v>
      </c>
      <c r="BN209" s="127">
        <f t="array" ref="BN209">BH209*INDEX(Royalty!$U$7:$Z$246,MATCH('Decline and Model'!$E209,Royalty!$AI$7:$AI$246,0),MATCH('Decline and Model'!BN$8,Royalty!$U$1:$Z$1,0))</f>
        <v>3.1895111315673463E-2</v>
      </c>
      <c r="BO209" s="127">
        <f t="array" ref="BO209">BI209*INDEX(Royalty!$U$7:$Z$246,MATCH('Decline and Model'!$E209,Royalty!$AI$7:$AI$246,0),MATCH('Decline and Model'!BO$8,Royalty!$U$1:$Z$1,0))</f>
        <v>7.6693169672379536E-3</v>
      </c>
      <c r="BP209" s="135">
        <f t="shared" si="170"/>
        <v>0.05</v>
      </c>
      <c r="BQ209" s="7"/>
      <c r="BR209" s="7"/>
      <c r="BS209">
        <v>201</v>
      </c>
      <c r="BT209" s="120">
        <f t="shared" si="171"/>
        <v>2148.3174728987556</v>
      </c>
      <c r="BU209" s="113">
        <f t="shared" si="172"/>
        <v>8120.5457863555748</v>
      </c>
      <c r="BV209" s="113">
        <f t="shared" si="173"/>
        <v>2436.1637359066726</v>
      </c>
      <c r="BW209" s="113">
        <f t="shared" si="206"/>
        <v>137301.46173496387</v>
      </c>
      <c r="BX209" s="113">
        <f t="shared" si="199"/>
        <v>3034.9733773517496</v>
      </c>
      <c r="BY209" s="120">
        <f t="shared" si="200"/>
        <v>27226.349085462356</v>
      </c>
      <c r="BZ209" s="153">
        <f t="shared" si="207"/>
        <v>0</v>
      </c>
      <c r="CA209" s="120">
        <f t="shared" si="160"/>
        <v>27226.349085462356</v>
      </c>
      <c r="CB209" s="120">
        <f t="shared" si="201"/>
        <v>6806.587271365589</v>
      </c>
      <c r="CC209" s="153">
        <f t="shared" si="202"/>
        <v>23454.735191448519</v>
      </c>
      <c r="CD209" s="7">
        <f t="shared" si="174"/>
        <v>5129.1339122165173</v>
      </c>
      <c r="CE209" s="11">
        <f>SUM($CD$9:CD209)</f>
        <v>25511198.937207691</v>
      </c>
      <c r="CF209" s="11">
        <f t="shared" si="203"/>
        <v>12000000</v>
      </c>
      <c r="CG209">
        <f t="shared" si="204"/>
        <v>13511198.937207691</v>
      </c>
    </row>
    <row r="210" spans="1:85">
      <c r="A210">
        <f t="shared" si="175"/>
        <v>2034</v>
      </c>
      <c r="B210">
        <f t="shared" si="176"/>
        <v>30.416666666666668</v>
      </c>
      <c r="C210">
        <f t="shared" si="161"/>
        <v>17</v>
      </c>
      <c r="E210" s="97">
        <v>48945</v>
      </c>
      <c r="F210" s="2">
        <f>$F$6*EXP(-$F$3*COUNT($E$9:$E210))</f>
        <v>3.2923784649090362E-2</v>
      </c>
      <c r="G210" s="260">
        <f>$F$6/(1+$F$5*$F$3*COUNT($E$9:$E210))^(1/$F$5)</f>
        <v>1.8328825307069443</v>
      </c>
      <c r="H210" s="260">
        <f>$H$6/(1+$H$5*$H$3*COUNT($E$9:$E210))^(1/$H$5)</f>
        <v>85.02148266558487</v>
      </c>
      <c r="I210" s="260">
        <f t="shared" si="177"/>
        <v>16.194568126778069</v>
      </c>
      <c r="J210" s="260">
        <f t="shared" si="178"/>
        <v>6.743418167990388</v>
      </c>
      <c r="K210" s="260">
        <f t="shared" si="178"/>
        <v>4.5879211503162267</v>
      </c>
      <c r="L210" s="260">
        <f t="shared" si="178"/>
        <v>2.187886153927717</v>
      </c>
      <c r="M210" s="260">
        <f t="shared" si="178"/>
        <v>2.6769621113564148</v>
      </c>
      <c r="N210" s="19">
        <f t="shared" si="179"/>
        <v>1.0014317830764985</v>
      </c>
      <c r="O210" s="19">
        <f t="shared" si="180"/>
        <v>55.750176975669561</v>
      </c>
      <c r="P210" s="19">
        <f t="shared" si="181"/>
        <v>2586.0700977448732</v>
      </c>
      <c r="Q210" s="19">
        <f t="shared" si="182"/>
        <v>492.58478052283294</v>
      </c>
      <c r="R210" s="19">
        <f t="shared" si="183"/>
        <v>205.11230260970765</v>
      </c>
      <c r="S210" s="19">
        <f t="shared" si="184"/>
        <v>139.54926832211856</v>
      </c>
      <c r="T210" s="19">
        <f t="shared" si="185"/>
        <v>66.548203848634728</v>
      </c>
      <c r="U210" s="19">
        <f t="shared" si="186"/>
        <v>81.424264220424291</v>
      </c>
      <c r="V210" s="261">
        <f t="shared" si="205"/>
        <v>806.13374328968871</v>
      </c>
      <c r="W210" s="261">
        <f>SUM(O$9:O210)</f>
        <v>561442.94215914933</v>
      </c>
      <c r="X210" s="261">
        <f>SUM(P$9:P210)</f>
        <v>2470239.9153159787</v>
      </c>
      <c r="Y210" s="261">
        <f>SUM(Q$9:Q210)</f>
        <v>470521.88863161497</v>
      </c>
      <c r="Z210" s="261">
        <f>SUM($V$9:V210)</f>
        <v>1278216.7987233859</v>
      </c>
      <c r="AB210" s="257">
        <f t="array" ref="AB210">(INDEX(PriceDeck!$C$18:$O$77,MATCH('Decline and Model'!$A210,PriceDeck!$B$18:$B$77,0),MATCH('Decline and Model'!AB$8,PriceDeck!$C$13:$O$13,0))*(1+$AE$6))</f>
        <v>98.05561920000001</v>
      </c>
      <c r="AC210" s="257">
        <f t="array" ref="AC210">INDEX(PriceDeck!$C$18:$O$77,MATCH('Decline and Model'!$A210,PriceDeck!$B$18:$B$77,0),MATCH('Decline and Model'!AC$8,PriceDeck!$C$13:$O$13,0))*(1+$AE$6)</f>
        <v>111.95744400000001</v>
      </c>
      <c r="AD210" s="257">
        <f t="array" ref="AD210">INDEX(PriceDeck!$C$18:$O$77,MATCH('Decline and Model'!$A210,PriceDeck!$B$18:$B$77,0),MATCH('Decline and Model'!AD$8,PriceDeck!$C$13:$O$13,0))*(1+$AE$6)</f>
        <v>19.526227199999997</v>
      </c>
      <c r="AE210" s="257">
        <f t="array" ref="AE210">INDEX(PriceDeck!$C$18:$O$77,MATCH('Decline and Model'!$A210,PriceDeck!$B$18:$B$77,0),MATCH('Decline and Model'!AE$8,PriceDeck!$C$13:$O$13,0))*(1+$AE$6)</f>
        <v>39.3708168</v>
      </c>
      <c r="AF210" s="257">
        <f t="array" ref="AF210">INDEX(PriceDeck!$C$18:$O$77,MATCH('Decline and Model'!$A210,PriceDeck!$B$18:$B$77,0),MATCH('Decline and Model'!AF$8,PriceDeck!$C$13:$O$13,0))*(1+$AE$6)</f>
        <v>116.202276</v>
      </c>
      <c r="AG210" s="257">
        <f t="array" ref="AG210">INDEX(PriceDeck!$C$18:$O$77,MATCH('Decline and Model'!$A210,PriceDeck!$B$18:$B$77,0),MATCH('Decline and Model'!AG$8,PriceDeck!$C$13:$O$13,0))*(1+$AE$6)</f>
        <v>82.031378400000008</v>
      </c>
      <c r="AH210" s="258">
        <f t="array" ref="AH210">INDEX(PriceDeck!$C$18:$O$77,MATCH('Decline and Model'!$A210,PriceDeck!$B$18:$B$77,0),MATCH('Decline and Model'!AH$8,PriceDeck!$C$13:$O$13,0))</f>
        <v>0.85</v>
      </c>
      <c r="AI210" s="258">
        <f t="shared" si="187"/>
        <v>5.1468588000000004</v>
      </c>
      <c r="AJ210" s="259">
        <f t="shared" si="162"/>
        <v>5.1468588000000004</v>
      </c>
      <c r="AK210" s="120">
        <v>5.1468588000000004</v>
      </c>
      <c r="AL210" s="120"/>
      <c r="AN210" s="7">
        <f t="shared" si="188"/>
        <v>6241.6473167436152</v>
      </c>
      <c r="AO210" s="7">
        <f t="shared" si="189"/>
        <v>13310.137639995062</v>
      </c>
      <c r="AP210" s="7">
        <f t="shared" si="190"/>
        <v>4005.0694222723041</v>
      </c>
      <c r="AQ210" s="7">
        <f t="shared" si="191"/>
        <v>5494.1686776841734</v>
      </c>
      <c r="AR210" s="7">
        <f t="shared" si="192"/>
        <v>7733.0527509233143</v>
      </c>
      <c r="AS210" s="7">
        <f t="shared" si="193"/>
        <v>6679.3446292072067</v>
      </c>
      <c r="AT210" s="7">
        <f t="shared" si="194"/>
        <v>43463.420436825676</v>
      </c>
      <c r="AU210">
        <f>SUM($AT$9:AT210)</f>
        <v>68200091.277508378</v>
      </c>
      <c r="AV210" s="7">
        <f>AT210/(1+$AR$5)^(COUNT($E$9:E210))</f>
        <v>9433.0664728257016</v>
      </c>
      <c r="AW210" s="7">
        <f t="shared" si="208"/>
        <v>0</v>
      </c>
      <c r="AX210" s="7">
        <f t="shared" si="195"/>
        <v>0</v>
      </c>
      <c r="AY210" s="117">
        <f t="shared" si="196"/>
        <v>0</v>
      </c>
      <c r="AZ210" s="117">
        <f t="shared" si="197"/>
        <v>43463.420436825676</v>
      </c>
      <c r="BA210" s="120">
        <f t="shared" si="198"/>
        <v>2173.1710218412841</v>
      </c>
      <c r="BB210" s="119">
        <f t="shared" si="163"/>
        <v>414.08939671031135</v>
      </c>
      <c r="BC210" s="17"/>
      <c r="BD210" s="126">
        <f t="shared" si="164"/>
        <v>0.14360690562345144</v>
      </c>
      <c r="BE210" s="127">
        <f t="shared" si="165"/>
        <v>0.30623769381752691</v>
      </c>
      <c r="BF210" s="127">
        <f t="shared" si="166"/>
        <v>9.2148049601703461E-2</v>
      </c>
      <c r="BG210" s="127">
        <f t="shared" si="167"/>
        <v>0.1264090267739047</v>
      </c>
      <c r="BH210" s="127">
        <f t="shared" si="168"/>
        <v>0.17792094301835609</v>
      </c>
      <c r="BI210" s="128">
        <f t="shared" si="169"/>
        <v>0.15367738116505744</v>
      </c>
      <c r="BJ210" s="126">
        <f t="array" ref="BJ210">BD210*INDEX(Royalty!$U$7:$Z$246,MATCH('Decline and Model'!$E210,Royalty!$AI$7:$AI$246,0),MATCH('Decline and Model'!BJ$8,Royalty!$U$1:$Z$1,0))</f>
        <v>4.8230386078053453E-2</v>
      </c>
      <c r="BK210" s="127">
        <f t="array" ref="BK210">BE210*INDEX(Royalty!$U$7:$Z$246,MATCH('Decline and Model'!$E210,Royalty!$AI$7:$AI$246,0),MATCH('Decline and Model'!BK$8,Royalty!$U$1:$Z$1,0))</f>
        <v>0.10008359551930973</v>
      </c>
      <c r="BL210" s="127">
        <f t="array" ref="BL210">BF210*INDEX(Royalty!$U$7:$Z$246,MATCH('Decline and Model'!$E210,Royalty!$AI$7:$AI$246,0),MATCH('Decline and Model'!BL$8,Royalty!$U$1:$Z$1,0))</f>
        <v>3.0896862159814811E-2</v>
      </c>
      <c r="BM210" s="127">
        <f t="array" ref="BM210">BG210*INDEX(Royalty!$U$7:$Z$246,MATCH('Decline and Model'!$E210,Royalty!$AI$7:$AI$246,0),MATCH('Decline and Model'!BM$8,Royalty!$U$1:$Z$1,0))</f>
        <v>4.1399035575240675E-2</v>
      </c>
      <c r="BN210" s="127">
        <f t="array" ref="BN210">BH210*INDEX(Royalty!$U$7:$Z$246,MATCH('Decline and Model'!$E210,Royalty!$AI$7:$AI$246,0),MATCH('Decline and Model'!BN$8,Royalty!$U$1:$Z$1,0))</f>
        <v>3.2718742110864403E-2</v>
      </c>
      <c r="BO210" s="127">
        <f t="array" ref="BO210">BI210*INDEX(Royalty!$U$7:$Z$246,MATCH('Decline and Model'!$E210,Royalty!$AI$7:$AI$246,0),MATCH('Decline and Model'!BO$8,Royalty!$U$1:$Z$1,0))</f>
        <v>7.6838690582528724E-3</v>
      </c>
      <c r="BP210" s="135">
        <f t="shared" si="170"/>
        <v>0.05</v>
      </c>
      <c r="BQ210" s="7"/>
      <c r="BR210" s="7"/>
      <c r="BS210">
        <v>202</v>
      </c>
      <c r="BT210" s="120">
        <f t="shared" si="171"/>
        <v>2173.1710218412841</v>
      </c>
      <c r="BU210" s="113">
        <f t="shared" si="172"/>
        <v>8061.3374328968875</v>
      </c>
      <c r="BV210" s="113">
        <f t="shared" si="173"/>
        <v>2418.4012298690659</v>
      </c>
      <c r="BW210" s="113">
        <f t="shared" si="206"/>
        <v>134266.48835761214</v>
      </c>
      <c r="BX210" s="113">
        <f t="shared" si="199"/>
        <v>2967.8869582791385</v>
      </c>
      <c r="BY210" s="120">
        <f t="shared" si="200"/>
        <v>27842.623793939303</v>
      </c>
      <c r="BZ210" s="153">
        <f t="shared" si="207"/>
        <v>0</v>
      </c>
      <c r="CA210" s="120">
        <f t="shared" ref="CA210:CA248" si="209">IF(BY210&gt;0,MAX(BY210+BZ209,0),0)</f>
        <v>27842.623793939303</v>
      </c>
      <c r="CB210" s="120">
        <f t="shared" si="201"/>
        <v>6960.6559484848258</v>
      </c>
      <c r="CC210" s="153">
        <f t="shared" si="202"/>
        <v>23849.854803733615</v>
      </c>
      <c r="CD210" s="7">
        <f t="shared" si="174"/>
        <v>5176.2439189033976</v>
      </c>
      <c r="CE210" s="11">
        <f>SUM($CD$9:CD210)</f>
        <v>25516375.181126595</v>
      </c>
      <c r="CF210" s="11">
        <f t="shared" si="203"/>
        <v>12000000</v>
      </c>
      <c r="CG210">
        <f t="shared" si="204"/>
        <v>13516375.181126595</v>
      </c>
    </row>
    <row r="211" spans="1:85">
      <c r="A211">
        <f t="shared" si="175"/>
        <v>2034</v>
      </c>
      <c r="B211">
        <f t="shared" si="176"/>
        <v>30.416666666666668</v>
      </c>
      <c r="C211">
        <f t="shared" si="161"/>
        <v>17</v>
      </c>
      <c r="E211" s="97">
        <v>48976</v>
      </c>
      <c r="F211" s="2">
        <f>$F$6*EXP(-$F$3*COUNT($E$9:$E211))</f>
        <v>3.1318072724139702E-2</v>
      </c>
      <c r="G211" s="260">
        <f>$F$6/(1+$F$5*$F$3*COUNT($E$9:$E211))^(1/$F$5)</f>
        <v>1.7975380786424722</v>
      </c>
      <c r="H211" s="260">
        <f>$H$6/(1+$H$5*$H$3*COUNT($E$9:$E211))^(1/$H$5)</f>
        <v>84.481162902701882</v>
      </c>
      <c r="I211" s="260">
        <f t="shared" si="177"/>
        <v>16.091650076705118</v>
      </c>
      <c r="J211" s="260">
        <f t="shared" si="178"/>
        <v>6.700563091940011</v>
      </c>
      <c r="K211" s="260">
        <f t="shared" si="178"/>
        <v>4.55876446673056</v>
      </c>
      <c r="L211" s="260">
        <f t="shared" si="178"/>
        <v>2.1739819253628614</v>
      </c>
      <c r="M211" s="260">
        <f t="shared" si="178"/>
        <v>2.6599497576793563</v>
      </c>
      <c r="N211" s="19">
        <f t="shared" si="179"/>
        <v>0.95259137869258259</v>
      </c>
      <c r="O211" s="19">
        <f t="shared" si="180"/>
        <v>54.675116558708531</v>
      </c>
      <c r="P211" s="19">
        <f t="shared" si="181"/>
        <v>2569.6353716238491</v>
      </c>
      <c r="Q211" s="19">
        <f t="shared" si="182"/>
        <v>489.45435649978072</v>
      </c>
      <c r="R211" s="19">
        <f t="shared" si="183"/>
        <v>203.80879404650867</v>
      </c>
      <c r="S211" s="19">
        <f t="shared" si="184"/>
        <v>138.66241919638787</v>
      </c>
      <c r="T211" s="19">
        <f t="shared" si="185"/>
        <v>66.125283563120377</v>
      </c>
      <c r="U211" s="19">
        <f t="shared" si="186"/>
        <v>80.906805129413755</v>
      </c>
      <c r="V211" s="261">
        <f t="shared" si="205"/>
        <v>800.28992257932236</v>
      </c>
      <c r="W211" s="261">
        <f>SUM(O$9:O211)</f>
        <v>561497.61727570801</v>
      </c>
      <c r="X211" s="261">
        <f>SUM(P$9:P211)</f>
        <v>2472809.5506876027</v>
      </c>
      <c r="Y211" s="261">
        <f>SUM(Q$9:Q211)</f>
        <v>471011.34298811475</v>
      </c>
      <c r="Z211" s="261">
        <f>SUM($V$9:V211)</f>
        <v>1279017.0886459653</v>
      </c>
      <c r="AB211" s="257">
        <f t="array" ref="AB211">(INDEX(PriceDeck!$C$18:$O$77,MATCH('Decline and Model'!$A211,PriceDeck!$B$18:$B$77,0),MATCH('Decline and Model'!AB$8,PriceDeck!$C$13:$O$13,0))*(1+$AE$6))</f>
        <v>98.05561920000001</v>
      </c>
      <c r="AC211" s="257">
        <f t="array" ref="AC211">INDEX(PriceDeck!$C$18:$O$77,MATCH('Decline and Model'!$A211,PriceDeck!$B$18:$B$77,0),MATCH('Decline and Model'!AC$8,PriceDeck!$C$13:$O$13,0))*(1+$AE$6)</f>
        <v>111.95744400000001</v>
      </c>
      <c r="AD211" s="257">
        <f t="array" ref="AD211">INDEX(PriceDeck!$C$18:$O$77,MATCH('Decline and Model'!$A211,PriceDeck!$B$18:$B$77,0),MATCH('Decline and Model'!AD$8,PriceDeck!$C$13:$O$13,0))*(1+$AE$6)</f>
        <v>19.526227199999997</v>
      </c>
      <c r="AE211" s="257">
        <f t="array" ref="AE211">INDEX(PriceDeck!$C$18:$O$77,MATCH('Decline and Model'!$A211,PriceDeck!$B$18:$B$77,0),MATCH('Decline and Model'!AE$8,PriceDeck!$C$13:$O$13,0))*(1+$AE$6)</f>
        <v>39.3708168</v>
      </c>
      <c r="AF211" s="257">
        <f t="array" ref="AF211">INDEX(PriceDeck!$C$18:$O$77,MATCH('Decline and Model'!$A211,PriceDeck!$B$18:$B$77,0),MATCH('Decline and Model'!AF$8,PriceDeck!$C$13:$O$13,0))*(1+$AE$6)</f>
        <v>116.202276</v>
      </c>
      <c r="AG211" s="257">
        <f t="array" ref="AG211">INDEX(PriceDeck!$C$18:$O$77,MATCH('Decline and Model'!$A211,PriceDeck!$B$18:$B$77,0),MATCH('Decline and Model'!AG$8,PriceDeck!$C$13:$O$13,0))*(1+$AE$6)</f>
        <v>82.031378400000008</v>
      </c>
      <c r="AH211" s="258">
        <f t="array" ref="AH211">INDEX(PriceDeck!$C$18:$O$77,MATCH('Decline and Model'!$A211,PriceDeck!$B$18:$B$77,0),MATCH('Decline and Model'!AH$8,PriceDeck!$C$13:$O$13,0))</f>
        <v>0.85</v>
      </c>
      <c r="AI211" s="258">
        <f t="shared" si="187"/>
        <v>5.1468588000000004</v>
      </c>
      <c r="AJ211" s="259">
        <f t="shared" si="162"/>
        <v>5.1468588000000004</v>
      </c>
      <c r="AK211" s="120">
        <v>5.1468588000000004</v>
      </c>
      <c r="AL211" s="120"/>
      <c r="AN211" s="7">
        <f t="shared" si="188"/>
        <v>6121.2863003150833</v>
      </c>
      <c r="AO211" s="7">
        <f t="shared" si="189"/>
        <v>13225.550425233479</v>
      </c>
      <c r="AP211" s="7">
        <f t="shared" si="190"/>
        <v>3979.6168179101351</v>
      </c>
      <c r="AQ211" s="7">
        <f t="shared" si="191"/>
        <v>5459.2527032257904</v>
      </c>
      <c r="AR211" s="7">
        <f t="shared" si="192"/>
        <v>7683.9084511799774</v>
      </c>
      <c r="AS211" s="7">
        <f t="shared" si="193"/>
        <v>6636.8967467060011</v>
      </c>
      <c r="AT211" s="7">
        <f t="shared" si="194"/>
        <v>43106.511444570468</v>
      </c>
      <c r="AU211">
        <f>SUM($AT$9:AT211)</f>
        <v>68243197.788952947</v>
      </c>
      <c r="AV211" s="7">
        <f>AT211/(1+$AR$5)^(COUNT($E$9:E211))</f>
        <v>9285.1165881690795</v>
      </c>
      <c r="AW211" s="7">
        <f t="shared" si="208"/>
        <v>0</v>
      </c>
      <c r="AX211" s="7">
        <f t="shared" si="195"/>
        <v>0</v>
      </c>
      <c r="AY211" s="117">
        <f t="shared" si="196"/>
        <v>0</v>
      </c>
      <c r="AZ211" s="117">
        <f t="shared" si="197"/>
        <v>43106.511444570468</v>
      </c>
      <c r="BA211" s="120">
        <f t="shared" si="198"/>
        <v>2155.3255722285235</v>
      </c>
      <c r="BB211" s="119">
        <f t="shared" si="163"/>
        <v>419.93321742067769</v>
      </c>
      <c r="BC211" s="17"/>
      <c r="BD211" s="126">
        <f t="shared" si="164"/>
        <v>0.14200375059777884</v>
      </c>
      <c r="BE211" s="127">
        <f t="shared" si="165"/>
        <v>0.30681096618639314</v>
      </c>
      <c r="BF211" s="127">
        <f t="shared" si="166"/>
        <v>9.2320549368218305E-2</v>
      </c>
      <c r="BG211" s="127">
        <f t="shared" si="167"/>
        <v>0.1266456625757271</v>
      </c>
      <c r="BH211" s="127">
        <f t="shared" si="168"/>
        <v>0.17825400835464297</v>
      </c>
      <c r="BI211" s="128">
        <f t="shared" si="169"/>
        <v>0.1539650629172396</v>
      </c>
      <c r="BJ211" s="126">
        <f t="array" ref="BJ211">BD211*INDEX(Royalty!$U$7:$Z$246,MATCH('Decline and Model'!$E211,Royalty!$AI$7:$AI$246,0),MATCH('Decline and Model'!BJ$8,Royalty!$U$1:$Z$1,0))</f>
        <v>4.7691966386496962E-2</v>
      </c>
      <c r="BK211" s="127">
        <f t="array" ref="BK211">BE211*INDEX(Royalty!$U$7:$Z$246,MATCH('Decline and Model'!$E211,Royalty!$AI$7:$AI$246,0),MATCH('Decline and Model'!BK$8,Royalty!$U$1:$Z$1,0))</f>
        <v>0.10027095050873892</v>
      </c>
      <c r="BL211" s="127">
        <f t="array" ref="BL211">BF211*INDEX(Royalty!$U$7:$Z$246,MATCH('Decline and Model'!$E211,Royalty!$AI$7:$AI$246,0),MATCH('Decline and Model'!BL$8,Royalty!$U$1:$Z$1,0))</f>
        <v>3.0954700622285218E-2</v>
      </c>
      <c r="BM211" s="127">
        <f t="array" ref="BM211">BG211*INDEX(Royalty!$U$7:$Z$246,MATCH('Decline and Model'!$E211,Royalty!$AI$7:$AI$246,0),MATCH('Decline and Model'!BM$8,Royalty!$U$1:$Z$1,0))</f>
        <v>4.1476533948798626E-2</v>
      </c>
      <c r="BN211" s="127">
        <f t="array" ref="BN211">BH211*INDEX(Royalty!$U$7:$Z$246,MATCH('Decline and Model'!$E211,Royalty!$AI$7:$AI$246,0),MATCH('Decline and Model'!BN$8,Royalty!$U$1:$Z$1,0))</f>
        <v>3.2779991105272632E-2</v>
      </c>
      <c r="BO211" s="127">
        <f t="array" ref="BO211">BI211*INDEX(Royalty!$U$7:$Z$246,MATCH('Decline and Model'!$E211,Royalty!$AI$7:$AI$246,0),MATCH('Decline and Model'!BO$8,Royalty!$U$1:$Z$1,0))</f>
        <v>7.6982531458619809E-3</v>
      </c>
      <c r="BP211" s="135">
        <f t="shared" si="170"/>
        <v>0.05</v>
      </c>
      <c r="BQ211" s="7"/>
      <c r="BR211" s="7"/>
      <c r="BS211">
        <v>203</v>
      </c>
      <c r="BT211" s="120">
        <f t="shared" si="171"/>
        <v>2155.3255722285235</v>
      </c>
      <c r="BU211" s="113">
        <f t="shared" si="172"/>
        <v>8002.8992257932241</v>
      </c>
      <c r="BV211" s="113">
        <f t="shared" si="173"/>
        <v>2400.8697677379669</v>
      </c>
      <c r="BW211" s="113">
        <f t="shared" si="206"/>
        <v>131298.60139933298</v>
      </c>
      <c r="BX211" s="113">
        <f t="shared" si="199"/>
        <v>2902.2834476424205</v>
      </c>
      <c r="BY211" s="120">
        <f t="shared" si="200"/>
        <v>27645.133431168328</v>
      </c>
      <c r="BZ211" s="153">
        <f t="shared" si="207"/>
        <v>0</v>
      </c>
      <c r="CA211" s="120">
        <f t="shared" si="209"/>
        <v>27645.133431168328</v>
      </c>
      <c r="CB211" s="120">
        <f t="shared" si="201"/>
        <v>6911.2833577920819</v>
      </c>
      <c r="CC211" s="153">
        <f t="shared" si="202"/>
        <v>23636.133521018666</v>
      </c>
      <c r="CD211" s="7">
        <f t="shared" si="174"/>
        <v>5091.2089167408731</v>
      </c>
      <c r="CE211" s="11">
        <f>SUM($CD$9:CD211)</f>
        <v>25521466.390043337</v>
      </c>
      <c r="CF211" s="11">
        <f t="shared" si="203"/>
        <v>12000000</v>
      </c>
      <c r="CG211">
        <f t="shared" si="204"/>
        <v>13521466.390043337</v>
      </c>
    </row>
    <row r="212" spans="1:85">
      <c r="A212">
        <f t="shared" si="175"/>
        <v>2034</v>
      </c>
      <c r="B212">
        <f t="shared" si="176"/>
        <v>30.416666666666668</v>
      </c>
      <c r="C212">
        <f t="shared" si="161"/>
        <v>17</v>
      </c>
      <c r="E212" s="97">
        <v>49004</v>
      </c>
      <c r="F212" s="2">
        <f>$F$6*EXP(-$F$3*COUNT($E$9:$E212))</f>
        <v>2.9790672293854896E-2</v>
      </c>
      <c r="G212" s="260">
        <f>$F$6/(1+$F$5*$F$3*COUNT($E$9:$E212))^(1/$F$5)</f>
        <v>1.7629783832264678</v>
      </c>
      <c r="H212" s="260">
        <f>$H$6/(1+$H$5*$H$3*COUNT($E$9:$E212))^(1/$H$5)</f>
        <v>83.946703368543183</v>
      </c>
      <c r="I212" s="260">
        <f t="shared" si="177"/>
        <v>15.989848260674892</v>
      </c>
      <c r="J212" s="260">
        <f t="shared" si="178"/>
        <v>6.6581728157450248</v>
      </c>
      <c r="K212" s="260">
        <f t="shared" si="178"/>
        <v>4.5299240122491966</v>
      </c>
      <c r="L212" s="260">
        <f t="shared" si="178"/>
        <v>2.1602285000171779</v>
      </c>
      <c r="M212" s="260">
        <f t="shared" si="178"/>
        <v>2.6431219174895597</v>
      </c>
      <c r="N212" s="19">
        <f t="shared" si="179"/>
        <v>0.90613294893808649</v>
      </c>
      <c r="O212" s="19">
        <f t="shared" si="180"/>
        <v>53.6239258231384</v>
      </c>
      <c r="P212" s="19">
        <f t="shared" si="181"/>
        <v>2553.378894126522</v>
      </c>
      <c r="Q212" s="19">
        <f t="shared" si="182"/>
        <v>486.35788459552799</v>
      </c>
      <c r="R212" s="19">
        <f t="shared" si="183"/>
        <v>202.51942314557786</v>
      </c>
      <c r="S212" s="19">
        <f t="shared" si="184"/>
        <v>137.78518870591307</v>
      </c>
      <c r="T212" s="19">
        <f t="shared" si="185"/>
        <v>65.706950208855829</v>
      </c>
      <c r="U212" s="19">
        <f t="shared" si="186"/>
        <v>80.394958323640779</v>
      </c>
      <c r="V212" s="261">
        <f t="shared" si="205"/>
        <v>794.52169282350872</v>
      </c>
      <c r="W212" s="261">
        <f>SUM(O$9:O212)</f>
        <v>561551.24120153114</v>
      </c>
      <c r="X212" s="261">
        <f>SUM(P$9:P212)</f>
        <v>2475362.9295817292</v>
      </c>
      <c r="Y212" s="261">
        <f>SUM(Q$9:Q212)</f>
        <v>471497.70087271027</v>
      </c>
      <c r="Z212" s="261">
        <f>SUM($V$9:V212)</f>
        <v>1279811.6103387889</v>
      </c>
      <c r="AB212" s="257">
        <f t="array" ref="AB212">(INDEX(PriceDeck!$C$18:$O$77,MATCH('Decline and Model'!$A212,PriceDeck!$B$18:$B$77,0),MATCH('Decline and Model'!AB$8,PriceDeck!$C$13:$O$13,0))*(1+$AE$6))</f>
        <v>98.05561920000001</v>
      </c>
      <c r="AC212" s="257">
        <f t="array" ref="AC212">INDEX(PriceDeck!$C$18:$O$77,MATCH('Decline and Model'!$A212,PriceDeck!$B$18:$B$77,0),MATCH('Decline and Model'!AC$8,PriceDeck!$C$13:$O$13,0))*(1+$AE$6)</f>
        <v>111.95744400000001</v>
      </c>
      <c r="AD212" s="257">
        <f t="array" ref="AD212">INDEX(PriceDeck!$C$18:$O$77,MATCH('Decline and Model'!$A212,PriceDeck!$B$18:$B$77,0),MATCH('Decline and Model'!AD$8,PriceDeck!$C$13:$O$13,0))*(1+$AE$6)</f>
        <v>19.526227199999997</v>
      </c>
      <c r="AE212" s="257">
        <f t="array" ref="AE212">INDEX(PriceDeck!$C$18:$O$77,MATCH('Decline and Model'!$A212,PriceDeck!$B$18:$B$77,0),MATCH('Decline and Model'!AE$8,PriceDeck!$C$13:$O$13,0))*(1+$AE$6)</f>
        <v>39.3708168</v>
      </c>
      <c r="AF212" s="257">
        <f t="array" ref="AF212">INDEX(PriceDeck!$C$18:$O$77,MATCH('Decline and Model'!$A212,PriceDeck!$B$18:$B$77,0),MATCH('Decline and Model'!AF$8,PriceDeck!$C$13:$O$13,0))*(1+$AE$6)</f>
        <v>116.202276</v>
      </c>
      <c r="AG212" s="257">
        <f t="array" ref="AG212">INDEX(PriceDeck!$C$18:$O$77,MATCH('Decline and Model'!$A212,PriceDeck!$B$18:$B$77,0),MATCH('Decline and Model'!AG$8,PriceDeck!$C$13:$O$13,0))*(1+$AE$6)</f>
        <v>82.031378400000008</v>
      </c>
      <c r="AH212" s="258">
        <f t="array" ref="AH212">INDEX(PriceDeck!$C$18:$O$77,MATCH('Decline and Model'!$A212,PriceDeck!$B$18:$B$77,0),MATCH('Decline and Model'!AH$8,PriceDeck!$C$13:$O$13,0))</f>
        <v>0.85</v>
      </c>
      <c r="AI212" s="258">
        <f t="shared" si="187"/>
        <v>5.1468588000000004</v>
      </c>
      <c r="AJ212" s="259">
        <f t="shared" si="162"/>
        <v>5.1468588000000004</v>
      </c>
      <c r="AK212" s="120">
        <v>5.1468588000000004</v>
      </c>
      <c r="AL212" s="120"/>
      <c r="AN212" s="7">
        <f t="shared" si="188"/>
        <v>6003.597672404172</v>
      </c>
      <c r="AO212" s="7">
        <f t="shared" si="189"/>
        <v>13141.880630969359</v>
      </c>
      <c r="AP212" s="7">
        <f t="shared" si="190"/>
        <v>3954.4402687534916</v>
      </c>
      <c r="AQ212" s="7">
        <f t="shared" si="191"/>
        <v>5424.7154222939325</v>
      </c>
      <c r="AR212" s="7">
        <f t="shared" si="192"/>
        <v>7635.2971632877225</v>
      </c>
      <c r="AS212" s="7">
        <f t="shared" si="193"/>
        <v>6594.9092476988071</v>
      </c>
      <c r="AT212" s="7">
        <f t="shared" si="194"/>
        <v>42754.840405407485</v>
      </c>
      <c r="AU212">
        <f>SUM($AT$9:AT212)</f>
        <v>68285952.629358351</v>
      </c>
      <c r="AV212" s="7">
        <f>AT212/(1+$AR$5)^(COUNT($E$9:E212))</f>
        <v>9139.9803837599993</v>
      </c>
      <c r="AW212" s="7">
        <f t="shared" si="208"/>
        <v>0</v>
      </c>
      <c r="AX212" s="7">
        <f t="shared" si="195"/>
        <v>0</v>
      </c>
      <c r="AY212" s="117">
        <f t="shared" si="196"/>
        <v>0</v>
      </c>
      <c r="AZ212" s="117">
        <f t="shared" si="197"/>
        <v>42754.840405407485</v>
      </c>
      <c r="BA212" s="120">
        <f t="shared" si="198"/>
        <v>2137.7420202703743</v>
      </c>
      <c r="BB212" s="119">
        <f t="shared" si="163"/>
        <v>425.70144717649134</v>
      </c>
      <c r="BC212" s="17"/>
      <c r="BD212" s="126">
        <f t="shared" si="164"/>
        <v>0.1404191341957356</v>
      </c>
      <c r="BE212" s="127">
        <f t="shared" si="165"/>
        <v>0.30737760932694813</v>
      </c>
      <c r="BF212" s="127">
        <f t="shared" si="166"/>
        <v>9.249105437552628E-2</v>
      </c>
      <c r="BG212" s="127">
        <f t="shared" si="167"/>
        <v>0.1268795619596754</v>
      </c>
      <c r="BH212" s="127">
        <f t="shared" si="168"/>
        <v>0.17858322217762357</v>
      </c>
      <c r="BI212" s="128">
        <f t="shared" si="169"/>
        <v>0.15424941796449101</v>
      </c>
      <c r="BJ212" s="126">
        <f t="array" ref="BJ212">BD212*INDEX(Royalty!$U$7:$Z$246,MATCH('Decline and Model'!$E212,Royalty!$AI$7:$AI$246,0),MATCH('Decline and Model'!BJ$8,Royalty!$U$1:$Z$1,0))</f>
        <v>4.715977289256737E-2</v>
      </c>
      <c r="BK212" s="127">
        <f t="array" ref="BK212">BE212*INDEX(Royalty!$U$7:$Z$246,MATCH('Decline and Model'!$E212,Royalty!$AI$7:$AI$246,0),MATCH('Decline and Model'!BK$8,Royalty!$U$1:$Z$1,0))</f>
        <v>0.10045613895558272</v>
      </c>
      <c r="BL212" s="127">
        <f t="array" ref="BL212">BF212*INDEX(Royalty!$U$7:$Z$246,MATCH('Decline and Model'!$E212,Royalty!$AI$7:$AI$246,0),MATCH('Decline and Model'!BL$8,Royalty!$U$1:$Z$1,0))</f>
        <v>3.1011870250195122E-2</v>
      </c>
      <c r="BM212" s="127">
        <f t="array" ref="BM212">BG212*INDEX(Royalty!$U$7:$Z$246,MATCH('Decline and Model'!$E212,Royalty!$AI$7:$AI$246,0),MATCH('Decline and Model'!BM$8,Royalty!$U$1:$Z$1,0))</f>
        <v>4.1553136143786029E-2</v>
      </c>
      <c r="BN212" s="127">
        <f t="array" ref="BN212">BH212*INDEX(Royalty!$U$7:$Z$246,MATCH('Decline and Model'!$E212,Royalty!$AI$7:$AI$246,0),MATCH('Decline and Model'!BN$8,Royalty!$U$1:$Z$1,0))</f>
        <v>3.284053182628445E-2</v>
      </c>
      <c r="BO212" s="127">
        <f t="array" ref="BO212">BI212*INDEX(Royalty!$U$7:$Z$246,MATCH('Decline and Model'!$E212,Royalty!$AI$7:$AI$246,0),MATCH('Decline and Model'!BO$8,Royalty!$U$1:$Z$1,0))</f>
        <v>7.7124708982245511E-3</v>
      </c>
      <c r="BP212" s="135">
        <f t="shared" si="170"/>
        <v>0.05</v>
      </c>
      <c r="BQ212" s="7"/>
      <c r="BR212" s="7"/>
      <c r="BS212">
        <v>204</v>
      </c>
      <c r="BT212" s="120">
        <f t="shared" si="171"/>
        <v>2137.7420202703743</v>
      </c>
      <c r="BU212" s="113">
        <f t="shared" si="172"/>
        <v>7945.2169282350869</v>
      </c>
      <c r="BV212" s="113">
        <f t="shared" si="173"/>
        <v>2383.5650784705263</v>
      </c>
      <c r="BW212" s="113">
        <f t="shared" si="206"/>
        <v>128396.31795169057</v>
      </c>
      <c r="BX212" s="113">
        <f t="shared" si="199"/>
        <v>2838.1300665653393</v>
      </c>
      <c r="BY212" s="120">
        <f t="shared" si="200"/>
        <v>27450.18631186616</v>
      </c>
      <c r="BZ212" s="153">
        <f t="shared" si="207"/>
        <v>0</v>
      </c>
      <c r="CA212" s="120">
        <f t="shared" si="209"/>
        <v>27450.18631186616</v>
      </c>
      <c r="CB212" s="120">
        <f t="shared" si="201"/>
        <v>6862.5465779665401</v>
      </c>
      <c r="CC212" s="153">
        <f t="shared" si="202"/>
        <v>23425.769800464961</v>
      </c>
      <c r="CD212" s="7">
        <f t="shared" si="174"/>
        <v>5007.8792113476602</v>
      </c>
      <c r="CE212" s="11">
        <f>SUM($CD$9:CD212)</f>
        <v>25526474.269254684</v>
      </c>
      <c r="CF212" s="11">
        <f t="shared" si="203"/>
        <v>12000000</v>
      </c>
      <c r="CG212">
        <f t="shared" si="204"/>
        <v>13526474.269254684</v>
      </c>
    </row>
    <row r="213" spans="1:85">
      <c r="A213">
        <f t="shared" si="175"/>
        <v>2034</v>
      </c>
      <c r="B213">
        <f t="shared" si="176"/>
        <v>30.416666666666668</v>
      </c>
      <c r="C213">
        <f t="shared" si="161"/>
        <v>18</v>
      </c>
      <c r="E213" s="97">
        <v>49035</v>
      </c>
      <c r="F213" s="2">
        <f>$F$6*EXP(-$F$3*COUNT($E$9:$E213))</f>
        <v>2.8337764061572988E-2</v>
      </c>
      <c r="G213" s="260">
        <f>$F$6/(1+$F$5*$F$3*COUNT($E$9:$E213))^(1/$F$5)</f>
        <v>1.7291837428880978</v>
      </c>
      <c r="H213" s="260">
        <f>$H$6/(1+$H$5*$H$3*COUNT($E$9:$E213))^(1/$H$5)</f>
        <v>83.418014423913789</v>
      </c>
      <c r="I213" s="260">
        <f t="shared" si="177"/>
        <v>15.889145604555006</v>
      </c>
      <c r="J213" s="260">
        <f t="shared" si="178"/>
        <v>6.6162402297367047</v>
      </c>
      <c r="K213" s="260">
        <f t="shared" si="178"/>
        <v>4.5013949497704333</v>
      </c>
      <c r="L213" s="260">
        <f t="shared" si="178"/>
        <v>2.1466235711753812</v>
      </c>
      <c r="M213" s="260">
        <f t="shared" si="178"/>
        <v>2.6264757684329427</v>
      </c>
      <c r="N213" s="19">
        <f t="shared" si="179"/>
        <v>0.86194032353951178</v>
      </c>
      <c r="O213" s="19">
        <f t="shared" si="180"/>
        <v>52.596005512846311</v>
      </c>
      <c r="P213" s="19">
        <f t="shared" si="181"/>
        <v>2537.2979387273776</v>
      </c>
      <c r="Q213" s="19">
        <f t="shared" si="182"/>
        <v>483.29484547188144</v>
      </c>
      <c r="R213" s="19">
        <f t="shared" si="183"/>
        <v>201.24397365449144</v>
      </c>
      <c r="S213" s="19">
        <f t="shared" si="184"/>
        <v>136.91742972218401</v>
      </c>
      <c r="T213" s="19">
        <f t="shared" si="185"/>
        <v>65.29313362325118</v>
      </c>
      <c r="U213" s="19">
        <f t="shared" si="186"/>
        <v>79.888637956502009</v>
      </c>
      <c r="V213" s="261">
        <f t="shared" si="205"/>
        <v>788.82766362751033</v>
      </c>
      <c r="W213" s="261">
        <f>SUM(O$9:O213)</f>
        <v>561603.83720704401</v>
      </c>
      <c r="X213" s="261">
        <f>SUM(P$9:P213)</f>
        <v>2477900.2275204565</v>
      </c>
      <c r="Y213" s="261">
        <f>SUM(Q$9:Q213)</f>
        <v>471980.99571818212</v>
      </c>
      <c r="Z213" s="261">
        <f>SUM($V$9:V213)</f>
        <v>1280600.4380024164</v>
      </c>
      <c r="AB213" s="257">
        <f t="array" ref="AB213">(INDEX(PriceDeck!$C$18:$O$77,MATCH('Decline and Model'!$A213,PriceDeck!$B$18:$B$77,0),MATCH('Decline and Model'!AB$8,PriceDeck!$C$13:$O$13,0))*(1+$AE$6))</f>
        <v>98.05561920000001</v>
      </c>
      <c r="AC213" s="257">
        <f t="array" ref="AC213">INDEX(PriceDeck!$C$18:$O$77,MATCH('Decline and Model'!$A213,PriceDeck!$B$18:$B$77,0),MATCH('Decline and Model'!AC$8,PriceDeck!$C$13:$O$13,0))*(1+$AE$6)</f>
        <v>111.95744400000001</v>
      </c>
      <c r="AD213" s="257">
        <f t="array" ref="AD213">INDEX(PriceDeck!$C$18:$O$77,MATCH('Decline and Model'!$A213,PriceDeck!$B$18:$B$77,0),MATCH('Decline and Model'!AD$8,PriceDeck!$C$13:$O$13,0))*(1+$AE$6)</f>
        <v>19.526227199999997</v>
      </c>
      <c r="AE213" s="257">
        <f t="array" ref="AE213">INDEX(PriceDeck!$C$18:$O$77,MATCH('Decline and Model'!$A213,PriceDeck!$B$18:$B$77,0),MATCH('Decline and Model'!AE$8,PriceDeck!$C$13:$O$13,0))*(1+$AE$6)</f>
        <v>39.3708168</v>
      </c>
      <c r="AF213" s="257">
        <f t="array" ref="AF213">INDEX(PriceDeck!$C$18:$O$77,MATCH('Decline and Model'!$A213,PriceDeck!$B$18:$B$77,0),MATCH('Decline and Model'!AF$8,PriceDeck!$C$13:$O$13,0))*(1+$AE$6)</f>
        <v>116.202276</v>
      </c>
      <c r="AG213" s="257">
        <f t="array" ref="AG213">INDEX(PriceDeck!$C$18:$O$77,MATCH('Decline and Model'!$A213,PriceDeck!$B$18:$B$77,0),MATCH('Decline and Model'!AG$8,PriceDeck!$C$13:$O$13,0))*(1+$AE$6)</f>
        <v>82.031378400000008</v>
      </c>
      <c r="AH213" s="258">
        <f t="array" ref="AH213">INDEX(PriceDeck!$C$18:$O$77,MATCH('Decline and Model'!$A213,PriceDeck!$B$18:$B$77,0),MATCH('Decline and Model'!AH$8,PriceDeck!$C$13:$O$13,0))</f>
        <v>0.85</v>
      </c>
      <c r="AI213" s="258">
        <f t="shared" si="187"/>
        <v>5.1468588000000004</v>
      </c>
      <c r="AJ213" s="259">
        <f t="shared" si="162"/>
        <v>5.1468588000000004</v>
      </c>
      <c r="AK213" s="120">
        <v>5.1468588000000004</v>
      </c>
      <c r="AL213" s="120"/>
      <c r="AN213" s="7">
        <f t="shared" si="188"/>
        <v>5888.5143418281823</v>
      </c>
      <c r="AO213" s="7">
        <f t="shared" si="189"/>
        <v>13059.114224160865</v>
      </c>
      <c r="AP213" s="7">
        <f t="shared" si="190"/>
        <v>3929.5355522084137</v>
      </c>
      <c r="AQ213" s="7">
        <f t="shared" si="191"/>
        <v>5390.5510423189817</v>
      </c>
      <c r="AR213" s="7">
        <f t="shared" si="192"/>
        <v>7587.2107341939136</v>
      </c>
      <c r="AS213" s="7">
        <f t="shared" si="193"/>
        <v>6553.3750900704199</v>
      </c>
      <c r="AT213" s="7">
        <f t="shared" si="194"/>
        <v>42408.300984780777</v>
      </c>
      <c r="AU213">
        <f>SUM($AT$9:AT213)</f>
        <v>68328360.930343136</v>
      </c>
      <c r="AV213" s="7">
        <f>AT213/(1+$AR$5)^(COUNT($E$9:E213))</f>
        <v>8997.592862581072</v>
      </c>
      <c r="AW213" s="7">
        <f t="shared" si="208"/>
        <v>0</v>
      </c>
      <c r="AX213" s="7">
        <f t="shared" si="195"/>
        <v>0</v>
      </c>
      <c r="AY213" s="117">
        <f t="shared" si="196"/>
        <v>0</v>
      </c>
      <c r="AZ213" s="117">
        <f t="shared" si="197"/>
        <v>42408.300984780777</v>
      </c>
      <c r="BA213" s="120">
        <f t="shared" si="198"/>
        <v>2120.415049239039</v>
      </c>
      <c r="BB213" s="119">
        <f t="shared" si="163"/>
        <v>431.39547637248972</v>
      </c>
      <c r="BC213" s="17"/>
      <c r="BD213" s="126">
        <f t="shared" si="164"/>
        <v>0.13885287090235979</v>
      </c>
      <c r="BE213" s="127">
        <f t="shared" si="165"/>
        <v>0.307937689577506</v>
      </c>
      <c r="BF213" s="127">
        <f t="shared" si="166"/>
        <v>9.2659584585070287E-2</v>
      </c>
      <c r="BG213" s="127">
        <f t="shared" si="167"/>
        <v>0.12711075230892907</v>
      </c>
      <c r="BH213" s="127">
        <f t="shared" si="168"/>
        <v>0.17890862302917449</v>
      </c>
      <c r="BI213" s="128">
        <f t="shared" si="169"/>
        <v>0.15453047959696037</v>
      </c>
      <c r="BJ213" s="126">
        <f t="array" ref="BJ213">BD213*INDEX(Royalty!$U$7:$Z$246,MATCH('Decline and Model'!$E213,Royalty!$AI$7:$AI$246,0),MATCH('Decline and Model'!BJ$8,Royalty!$U$1:$Z$1,0))</f>
        <v>4.66337432910559E-2</v>
      </c>
      <c r="BK213" s="127">
        <f t="array" ref="BK213">BE213*INDEX(Royalty!$U$7:$Z$246,MATCH('Decline and Model'!$E213,Royalty!$AI$7:$AI$246,0),MATCH('Decline and Model'!BK$8,Royalty!$U$1:$Z$1,0))</f>
        <v>0.10063918254031071</v>
      </c>
      <c r="BL213" s="127">
        <f t="array" ref="BL213">BF213*INDEX(Royalty!$U$7:$Z$246,MATCH('Decline and Model'!$E213,Royalty!$AI$7:$AI$246,0),MATCH('Decline and Model'!BL$8,Royalty!$U$1:$Z$1,0))</f>
        <v>3.1068377736534251E-2</v>
      </c>
      <c r="BM213" s="127">
        <f t="array" ref="BM213">BG213*INDEX(Royalty!$U$7:$Z$246,MATCH('Decline and Model'!$E213,Royalty!$AI$7:$AI$246,0),MATCH('Decline and Model'!BM$8,Royalty!$U$1:$Z$1,0))</f>
        <v>4.1628851128211339E-2</v>
      </c>
      <c r="BN213" s="127">
        <f t="array" ref="BN213">BH213*INDEX(Royalty!$U$7:$Z$246,MATCH('Decline and Model'!$E213,Royalty!$AI$7:$AI$246,0),MATCH('Decline and Model'!BN$8,Royalty!$U$1:$Z$1,0))</f>
        <v>3.2900371361551814E-2</v>
      </c>
      <c r="BO213" s="127">
        <f t="array" ref="BO213">BI213*INDEX(Royalty!$U$7:$Z$246,MATCH('Decline and Model'!$E213,Royalty!$AI$7:$AI$246,0),MATCH('Decline and Model'!BO$8,Royalty!$U$1:$Z$1,0))</f>
        <v>7.7265239798480186E-3</v>
      </c>
      <c r="BP213" s="135">
        <f t="shared" si="170"/>
        <v>0.05</v>
      </c>
      <c r="BQ213" s="7"/>
      <c r="BR213" s="7"/>
      <c r="BS213">
        <v>205</v>
      </c>
      <c r="BT213" s="120">
        <f t="shared" si="171"/>
        <v>2120.415049239039</v>
      </c>
      <c r="BU213" s="113">
        <f t="shared" si="172"/>
        <v>7888.2766362751036</v>
      </c>
      <c r="BV213" s="113">
        <f t="shared" si="173"/>
        <v>2366.4829908825309</v>
      </c>
      <c r="BW213" s="113">
        <f t="shared" si="206"/>
        <v>125558.18788512523</v>
      </c>
      <c r="BX213" s="113">
        <f t="shared" si="199"/>
        <v>2775.39476073069</v>
      </c>
      <c r="BY213" s="120">
        <f t="shared" si="200"/>
        <v>27257.731547653413</v>
      </c>
      <c r="BZ213" s="153">
        <f t="shared" si="207"/>
        <v>0</v>
      </c>
      <c r="CA213" s="120">
        <f t="shared" si="209"/>
        <v>27257.731547653413</v>
      </c>
      <c r="CB213" s="120">
        <f t="shared" si="201"/>
        <v>6814.4328869133533</v>
      </c>
      <c r="CC213" s="153">
        <f t="shared" si="202"/>
        <v>23218.693421470751</v>
      </c>
      <c r="CD213" s="7">
        <f t="shared" si="174"/>
        <v>4926.2136269608272</v>
      </c>
      <c r="CE213" s="11">
        <f>SUM($CD$9:CD213)</f>
        <v>25531400.482881647</v>
      </c>
      <c r="CF213" s="11">
        <f t="shared" si="203"/>
        <v>12000000</v>
      </c>
      <c r="CG213">
        <f t="shared" si="204"/>
        <v>13531400.482881647</v>
      </c>
    </row>
    <row r="214" spans="1:85">
      <c r="A214">
        <f t="shared" si="175"/>
        <v>2034</v>
      </c>
      <c r="B214">
        <f t="shared" si="176"/>
        <v>30.416666666666668</v>
      </c>
      <c r="C214">
        <f t="shared" ref="C214:C248" si="210">C202+1</f>
        <v>18</v>
      </c>
      <c r="E214" s="97">
        <v>49065</v>
      </c>
      <c r="F214" s="2">
        <f>$F$6*EXP(-$F$3*COUNT($E$9:$E214))</f>
        <v>2.695571499992707E-2</v>
      </c>
      <c r="G214" s="260">
        <f>$F$6/(1+$F$5*$F$3*COUNT($E$9:$E214))^(1/$F$5)</f>
        <v>1.6961350075102566</v>
      </c>
      <c r="H214" s="260">
        <f>$H$6/(1+$H$5*$H$3*COUNT($E$9:$E214))^(1/$H$5)</f>
        <v>82.895008196108137</v>
      </c>
      <c r="I214" s="260">
        <f t="shared" si="177"/>
        <v>15.789525370687263</v>
      </c>
      <c r="J214" s="260">
        <f t="shared" si="178"/>
        <v>6.5747583643541763</v>
      </c>
      <c r="K214" s="260">
        <f t="shared" si="178"/>
        <v>4.4731725375157012</v>
      </c>
      <c r="L214" s="260">
        <f t="shared" si="178"/>
        <v>2.1331648775798491</v>
      </c>
      <c r="M214" s="260">
        <f t="shared" si="178"/>
        <v>2.6100085437746046</v>
      </c>
      <c r="N214" s="19">
        <f t="shared" si="179"/>
        <v>0.81990299791444843</v>
      </c>
      <c r="O214" s="19">
        <f t="shared" si="180"/>
        <v>51.59077314510364</v>
      </c>
      <c r="P214" s="19">
        <f t="shared" si="181"/>
        <v>2521.3898326316225</v>
      </c>
      <c r="Q214" s="19">
        <f t="shared" si="182"/>
        <v>480.26473002507095</v>
      </c>
      <c r="R214" s="19">
        <f t="shared" si="183"/>
        <v>199.98223358243953</v>
      </c>
      <c r="S214" s="19">
        <f t="shared" si="184"/>
        <v>136.05899801610258</v>
      </c>
      <c r="T214" s="19">
        <f t="shared" si="185"/>
        <v>64.883765026387081</v>
      </c>
      <c r="U214" s="19">
        <f t="shared" si="186"/>
        <v>79.387759873144219</v>
      </c>
      <c r="V214" s="261">
        <f t="shared" si="205"/>
        <v>783.20647696067726</v>
      </c>
      <c r="W214" s="261">
        <f>SUM(O$9:O214)</f>
        <v>561655.4279801891</v>
      </c>
      <c r="X214" s="261">
        <f>SUM(P$9:P214)</f>
        <v>2480421.6173530882</v>
      </c>
      <c r="Y214" s="261">
        <f>SUM(Q$9:Q214)</f>
        <v>472461.26044820721</v>
      </c>
      <c r="Z214" s="261">
        <f>SUM($V$9:V214)</f>
        <v>1281383.644479377</v>
      </c>
      <c r="AB214" s="257">
        <f t="array" ref="AB214">(INDEX(PriceDeck!$C$18:$O$77,MATCH('Decline and Model'!$A214,PriceDeck!$B$18:$B$77,0),MATCH('Decline and Model'!AB$8,PriceDeck!$C$13:$O$13,0))*(1+$AE$6))</f>
        <v>98.05561920000001</v>
      </c>
      <c r="AC214" s="257">
        <f t="array" ref="AC214">INDEX(PriceDeck!$C$18:$O$77,MATCH('Decline and Model'!$A214,PriceDeck!$B$18:$B$77,0),MATCH('Decline and Model'!AC$8,PriceDeck!$C$13:$O$13,0))*(1+$AE$6)</f>
        <v>111.95744400000001</v>
      </c>
      <c r="AD214" s="257">
        <f t="array" ref="AD214">INDEX(PriceDeck!$C$18:$O$77,MATCH('Decline and Model'!$A214,PriceDeck!$B$18:$B$77,0),MATCH('Decline and Model'!AD$8,PriceDeck!$C$13:$O$13,0))*(1+$AE$6)</f>
        <v>19.526227199999997</v>
      </c>
      <c r="AE214" s="257">
        <f t="array" ref="AE214">INDEX(PriceDeck!$C$18:$O$77,MATCH('Decline and Model'!$A214,PriceDeck!$B$18:$B$77,0),MATCH('Decline and Model'!AE$8,PriceDeck!$C$13:$O$13,0))*(1+$AE$6)</f>
        <v>39.3708168</v>
      </c>
      <c r="AF214" s="257">
        <f t="array" ref="AF214">INDEX(PriceDeck!$C$18:$O$77,MATCH('Decline and Model'!$A214,PriceDeck!$B$18:$B$77,0),MATCH('Decline and Model'!AF$8,PriceDeck!$C$13:$O$13,0))*(1+$AE$6)</f>
        <v>116.202276</v>
      </c>
      <c r="AG214" s="257">
        <f t="array" ref="AG214">INDEX(PriceDeck!$C$18:$O$77,MATCH('Decline and Model'!$A214,PriceDeck!$B$18:$B$77,0),MATCH('Decline and Model'!AG$8,PriceDeck!$C$13:$O$13,0))*(1+$AE$6)</f>
        <v>82.031378400000008</v>
      </c>
      <c r="AH214" s="258">
        <f t="array" ref="AH214">INDEX(PriceDeck!$C$18:$O$77,MATCH('Decline and Model'!$A214,PriceDeck!$B$18:$B$77,0),MATCH('Decline and Model'!AH$8,PriceDeck!$C$13:$O$13,0))</f>
        <v>0.85</v>
      </c>
      <c r="AI214" s="258">
        <f t="shared" si="187"/>
        <v>5.1468588000000004</v>
      </c>
      <c r="AJ214" s="259">
        <f t="shared" si="162"/>
        <v>5.1468588000000004</v>
      </c>
      <c r="AK214" s="120">
        <v>5.1468588000000004</v>
      </c>
      <c r="AL214" s="120"/>
      <c r="AN214" s="7">
        <f t="shared" si="188"/>
        <v>5775.9710953096455</v>
      </c>
      <c r="AO214" s="7">
        <f t="shared" si="189"/>
        <v>12977.237448310594</v>
      </c>
      <c r="AP214" s="7">
        <f t="shared" si="190"/>
        <v>3904.898528894184</v>
      </c>
      <c r="AQ214" s="7">
        <f t="shared" si="191"/>
        <v>5356.7538848835384</v>
      </c>
      <c r="AR214" s="7">
        <f t="shared" si="192"/>
        <v>7539.641171515379</v>
      </c>
      <c r="AS214" s="7">
        <f t="shared" si="193"/>
        <v>6512.2873704822305</v>
      </c>
      <c r="AT214" s="7">
        <f t="shared" si="194"/>
        <v>42066.789499395571</v>
      </c>
      <c r="AU214">
        <f>SUM($AT$9:AT214)</f>
        <v>68370427.719842538</v>
      </c>
      <c r="AV214" s="7">
        <f>AT214/(1+$AR$5)^(COUNT($E$9:E214))</f>
        <v>8857.8908091025187</v>
      </c>
      <c r="AW214" s="7">
        <f t="shared" si="208"/>
        <v>0</v>
      </c>
      <c r="AX214" s="7">
        <f t="shared" si="195"/>
        <v>0</v>
      </c>
      <c r="AY214" s="117">
        <f t="shared" si="196"/>
        <v>0</v>
      </c>
      <c r="AZ214" s="117">
        <f t="shared" si="197"/>
        <v>42066.789499395571</v>
      </c>
      <c r="BA214" s="120">
        <f t="shared" si="198"/>
        <v>2103.3394749697786</v>
      </c>
      <c r="BB214" s="119">
        <f t="shared" si="163"/>
        <v>437.01666303932279</v>
      </c>
      <c r="BC214" s="17"/>
      <c r="BD214" s="126">
        <f t="shared" si="164"/>
        <v>0.13730477566852675</v>
      </c>
      <c r="BE214" s="127">
        <f t="shared" si="165"/>
        <v>0.30849127310980212</v>
      </c>
      <c r="BF214" s="127">
        <f t="shared" si="166"/>
        <v>9.2826159908169142E-2</v>
      </c>
      <c r="BG214" s="127">
        <f t="shared" si="167"/>
        <v>0.12733926093790698</v>
      </c>
      <c r="BH214" s="127">
        <f t="shared" si="168"/>
        <v>0.1792302493543918</v>
      </c>
      <c r="BI214" s="128">
        <f t="shared" si="169"/>
        <v>0.15480828102120323</v>
      </c>
      <c r="BJ214" s="126">
        <f t="array" ref="BJ214">BD214*INDEX(Royalty!$U$7:$Z$246,MATCH('Decline and Model'!$E214,Royalty!$AI$7:$AI$246,0),MATCH('Decline and Model'!BJ$8,Royalty!$U$1:$Z$1,0))</f>
        <v>4.6113815433205252E-2</v>
      </c>
      <c r="BK214" s="127">
        <f t="array" ref="BK214">BE214*INDEX(Royalty!$U$7:$Z$246,MATCH('Decline and Model'!$E214,Royalty!$AI$7:$AI$246,0),MATCH('Decline and Model'!BK$8,Royalty!$U$1:$Z$1,0))</f>
        <v>0.10082010288895167</v>
      </c>
      <c r="BL214" s="127">
        <f t="array" ref="BL214">BF214*INDEX(Royalty!$U$7:$Z$246,MATCH('Decline and Model'!$E214,Royalty!$AI$7:$AI$246,0),MATCH('Decline and Model'!BL$8,Royalty!$U$1:$Z$1,0))</f>
        <v>3.1124229757485945E-2</v>
      </c>
      <c r="BM214" s="127">
        <f t="array" ref="BM214">BG214*INDEX(Royalty!$U$7:$Z$246,MATCH('Decline and Model'!$E214,Royalty!$AI$7:$AI$246,0),MATCH('Decline and Model'!BM$8,Royalty!$U$1:$Z$1,0))</f>
        <v>4.1703687847563876E-2</v>
      </c>
      <c r="BN214" s="127">
        <f t="array" ref="BN214">BH214*INDEX(Royalty!$U$7:$Z$246,MATCH('Decline and Model'!$E214,Royalty!$AI$7:$AI$246,0),MATCH('Decline and Model'!BN$8,Royalty!$U$1:$Z$1,0))</f>
        <v>3.295951678092926E-2</v>
      </c>
      <c r="BO214" s="127">
        <f t="array" ref="BO214">BI214*INDEX(Royalty!$U$7:$Z$246,MATCH('Decline and Model'!$E214,Royalty!$AI$7:$AI$246,0),MATCH('Decline and Model'!BO$8,Royalty!$U$1:$Z$1,0))</f>
        <v>7.7404140510601615E-3</v>
      </c>
      <c r="BP214" s="135">
        <f t="shared" si="170"/>
        <v>0.05</v>
      </c>
      <c r="BQ214" s="7"/>
      <c r="BR214" s="7"/>
      <c r="BS214">
        <v>206</v>
      </c>
      <c r="BT214" s="120">
        <f t="shared" si="171"/>
        <v>2103.3394749697786</v>
      </c>
      <c r="BU214" s="113">
        <f t="shared" si="172"/>
        <v>7832.0647696067726</v>
      </c>
      <c r="BV214" s="113">
        <f t="shared" si="173"/>
        <v>2349.6194308820318</v>
      </c>
      <c r="BW214" s="113">
        <f t="shared" si="206"/>
        <v>122782.79312439453</v>
      </c>
      <c r="BX214" s="113">
        <f t="shared" si="199"/>
        <v>2714.0461843643379</v>
      </c>
      <c r="BY214" s="120">
        <f t="shared" si="200"/>
        <v>27067.719639572653</v>
      </c>
      <c r="BZ214" s="153">
        <f t="shared" si="207"/>
        <v>0</v>
      </c>
      <c r="CA214" s="120">
        <f t="shared" si="209"/>
        <v>27067.719639572653</v>
      </c>
      <c r="CB214" s="120">
        <f t="shared" si="201"/>
        <v>6766.9299098931633</v>
      </c>
      <c r="CC214" s="153">
        <f t="shared" si="202"/>
        <v>23014.83591404383</v>
      </c>
      <c r="CD214" s="7">
        <f t="shared" si="174"/>
        <v>4846.1721453437885</v>
      </c>
      <c r="CE214" s="11">
        <f>SUM($CD$9:CD214)</f>
        <v>25536246.655026991</v>
      </c>
      <c r="CF214" s="11">
        <f t="shared" si="203"/>
        <v>12000000</v>
      </c>
      <c r="CG214">
        <f t="shared" si="204"/>
        <v>13536246.655026991</v>
      </c>
    </row>
    <row r="215" spans="1:85">
      <c r="A215">
        <f t="shared" si="175"/>
        <v>2034</v>
      </c>
      <c r="B215">
        <f t="shared" si="176"/>
        <v>30.416666666666668</v>
      </c>
      <c r="C215">
        <f t="shared" si="210"/>
        <v>18</v>
      </c>
      <c r="E215" s="97">
        <v>49096</v>
      </c>
      <c r="F215" s="2">
        <f>$F$6*EXP(-$F$3*COUNT($E$9:$E215))</f>
        <v>2.5641069266385871E-2</v>
      </c>
      <c r="G215" s="260">
        <f>$F$6/(1+$F$5*$F$3*COUNT($E$9:$E215))^(1/$F$5)</f>
        <v>1.6638135614126166</v>
      </c>
      <c r="H215" s="260">
        <f>$H$6/(1+$H$5*$H$3*COUNT($E$9:$E215))^(1/$H$5)</f>
        <v>82.377598536376709</v>
      </c>
      <c r="I215" s="260">
        <f t="shared" si="177"/>
        <v>15.690971149786039</v>
      </c>
      <c r="J215" s="260">
        <f t="shared" si="178"/>
        <v>6.5337203867709066</v>
      </c>
      <c r="K215" s="260">
        <f t="shared" si="178"/>
        <v>4.4452521267343847</v>
      </c>
      <c r="L215" s="260">
        <f t="shared" si="178"/>
        <v>2.1198502023360937</v>
      </c>
      <c r="M215" s="260">
        <f t="shared" si="178"/>
        <v>2.5937175310596321</v>
      </c>
      <c r="N215" s="19">
        <f t="shared" si="179"/>
        <v>0.77991585685257026</v>
      </c>
      <c r="O215" s="19">
        <f t="shared" si="180"/>
        <v>50.607662492967087</v>
      </c>
      <c r="P215" s="19">
        <f t="shared" si="181"/>
        <v>2505.6519554814581</v>
      </c>
      <c r="Q215" s="19">
        <f t="shared" si="182"/>
        <v>477.26703913932539</v>
      </c>
      <c r="R215" s="19">
        <f t="shared" si="183"/>
        <v>198.73399509761509</v>
      </c>
      <c r="S215" s="19">
        <f t="shared" si="184"/>
        <v>135.20975218817088</v>
      </c>
      <c r="T215" s="19">
        <f t="shared" si="185"/>
        <v>64.478776987722853</v>
      </c>
      <c r="U215" s="19">
        <f t="shared" si="186"/>
        <v>78.892241569730473</v>
      </c>
      <c r="V215" s="261">
        <f t="shared" si="205"/>
        <v>777.65680626345511</v>
      </c>
      <c r="W215" s="261">
        <f>SUM(O$9:O215)</f>
        <v>561706.03564268211</v>
      </c>
      <c r="X215" s="261">
        <f>SUM(P$9:P215)</f>
        <v>2482927.2693085698</v>
      </c>
      <c r="Y215" s="261">
        <f>SUM(Q$9:Q215)</f>
        <v>472938.52748734655</v>
      </c>
      <c r="Z215" s="261">
        <f>SUM($V$9:V215)</f>
        <v>1282161.3012856403</v>
      </c>
      <c r="AB215" s="257">
        <f t="array" ref="AB215">(INDEX(PriceDeck!$C$18:$O$77,MATCH('Decline and Model'!$A215,PriceDeck!$B$18:$B$77,0),MATCH('Decline and Model'!AB$8,PriceDeck!$C$13:$O$13,0))*(1+$AE$6))</f>
        <v>98.05561920000001</v>
      </c>
      <c r="AC215" s="257">
        <f t="array" ref="AC215">INDEX(PriceDeck!$C$18:$O$77,MATCH('Decline and Model'!$A215,PriceDeck!$B$18:$B$77,0),MATCH('Decline and Model'!AC$8,PriceDeck!$C$13:$O$13,0))*(1+$AE$6)</f>
        <v>111.95744400000001</v>
      </c>
      <c r="AD215" s="257">
        <f t="array" ref="AD215">INDEX(PriceDeck!$C$18:$O$77,MATCH('Decline and Model'!$A215,PriceDeck!$B$18:$B$77,0),MATCH('Decline and Model'!AD$8,PriceDeck!$C$13:$O$13,0))*(1+$AE$6)</f>
        <v>19.526227199999997</v>
      </c>
      <c r="AE215" s="257">
        <f t="array" ref="AE215">INDEX(PriceDeck!$C$18:$O$77,MATCH('Decline and Model'!$A215,PriceDeck!$B$18:$B$77,0),MATCH('Decline and Model'!AE$8,PriceDeck!$C$13:$O$13,0))*(1+$AE$6)</f>
        <v>39.3708168</v>
      </c>
      <c r="AF215" s="257">
        <f t="array" ref="AF215">INDEX(PriceDeck!$C$18:$O$77,MATCH('Decline and Model'!$A215,PriceDeck!$B$18:$B$77,0),MATCH('Decline and Model'!AF$8,PriceDeck!$C$13:$O$13,0))*(1+$AE$6)</f>
        <v>116.202276</v>
      </c>
      <c r="AG215" s="257">
        <f t="array" ref="AG215">INDEX(PriceDeck!$C$18:$O$77,MATCH('Decline and Model'!$A215,PriceDeck!$B$18:$B$77,0),MATCH('Decline and Model'!AG$8,PriceDeck!$C$13:$O$13,0))*(1+$AE$6)</f>
        <v>82.031378400000008</v>
      </c>
      <c r="AH215" s="258">
        <f t="array" ref="AH215">INDEX(PriceDeck!$C$18:$O$77,MATCH('Decline and Model'!$A215,PriceDeck!$B$18:$B$77,0),MATCH('Decline and Model'!AH$8,PriceDeck!$C$13:$O$13,0))</f>
        <v>0.85</v>
      </c>
      <c r="AI215" s="258">
        <f t="shared" si="187"/>
        <v>5.1468588000000004</v>
      </c>
      <c r="AJ215" s="259">
        <f t="shared" si="162"/>
        <v>5.1468588000000004</v>
      </c>
      <c r="AK215" s="120">
        <v>5.1468588000000004</v>
      </c>
      <c r="AL215" s="120"/>
      <c r="AN215" s="7">
        <f t="shared" si="188"/>
        <v>5665.9045395272633</v>
      </c>
      <c r="AO215" s="7">
        <f t="shared" si="189"/>
        <v>12896.236816806952</v>
      </c>
      <c r="AP215" s="7">
        <f t="shared" si="190"/>
        <v>3880.5251406397178</v>
      </c>
      <c r="AQ215" s="7">
        <f t="shared" si="191"/>
        <v>5323.3183829738746</v>
      </c>
      <c r="AR215" s="7">
        <f t="shared" si="192"/>
        <v>7492.580639669819</v>
      </c>
      <c r="AS215" s="7">
        <f t="shared" si="193"/>
        <v>6471.6393210307715</v>
      </c>
      <c r="AT215" s="7">
        <f t="shared" si="194"/>
        <v>41730.204840648395</v>
      </c>
      <c r="AU215">
        <f>SUM($AT$9:AT215)</f>
        <v>68412157.924683183</v>
      </c>
      <c r="AV215" s="7">
        <f>AT215/(1+$AR$5)^(COUNT($E$9:E215))</f>
        <v>8720.812733185976</v>
      </c>
      <c r="AW215" s="7">
        <f t="shared" si="208"/>
        <v>0</v>
      </c>
      <c r="AX215" s="7">
        <f t="shared" si="195"/>
        <v>0</v>
      </c>
      <c r="AY215" s="117">
        <f t="shared" si="196"/>
        <v>0</v>
      </c>
      <c r="AZ215" s="117">
        <f t="shared" si="197"/>
        <v>41730.204840648395</v>
      </c>
      <c r="BA215" s="120">
        <f t="shared" si="198"/>
        <v>2086.5102420324197</v>
      </c>
      <c r="BB215" s="119">
        <f t="shared" si="163"/>
        <v>442.56633373654495</v>
      </c>
      <c r="BC215" s="17"/>
      <c r="BD215" s="126">
        <f t="shared" si="164"/>
        <v>0.13577466396733909</v>
      </c>
      <c r="BE215" s="127">
        <f t="shared" si="165"/>
        <v>0.30903842590882841</v>
      </c>
      <c r="BF215" s="127">
        <f t="shared" si="166"/>
        <v>9.2990800199949916E-2</v>
      </c>
      <c r="BG215" s="127">
        <f t="shared" si="167"/>
        <v>0.12756511508394411</v>
      </c>
      <c r="BH215" s="127">
        <f t="shared" si="168"/>
        <v>0.17954813948987558</v>
      </c>
      <c r="BI215" s="128">
        <f t="shared" si="169"/>
        <v>0.15508285535006294</v>
      </c>
      <c r="BJ215" s="126">
        <f t="array" ref="BJ215">BD215*INDEX(Royalty!$U$7:$Z$246,MATCH('Decline and Model'!$E215,Royalty!$AI$7:$AI$246,0),MATCH('Decline and Model'!BJ$8,Royalty!$U$1:$Z$1,0))</f>
        <v>4.5599927345648154E-2</v>
      </c>
      <c r="BK215" s="127">
        <f t="array" ref="BK215">BE215*INDEX(Royalty!$U$7:$Z$246,MATCH('Decline and Model'!$E215,Royalty!$AI$7:$AI$246,0),MATCH('Decline and Model'!BK$8,Royalty!$U$1:$Z$1,0))</f>
        <v>0.10099892156650361</v>
      </c>
      <c r="BL215" s="127">
        <f t="array" ref="BL215">BF215*INDEX(Royalty!$U$7:$Z$246,MATCH('Decline and Model'!$E215,Royalty!$AI$7:$AI$246,0),MATCH('Decline and Model'!BL$8,Royalty!$U$1:$Z$1,0))</f>
        <v>3.1179432970392669E-2</v>
      </c>
      <c r="BM215" s="127">
        <f t="array" ref="BM215">BG215*INDEX(Royalty!$U$7:$Z$246,MATCH('Decline and Model'!$E215,Royalty!$AI$7:$AI$246,0),MATCH('Decline and Model'!BM$8,Royalty!$U$1:$Z$1,0))</f>
        <v>4.1777655222087935E-2</v>
      </c>
      <c r="BN215" s="127">
        <f t="array" ref="BN215">BH215*INDEX(Royalty!$U$7:$Z$246,MATCH('Decline and Model'!$E215,Royalty!$AI$7:$AI$246,0),MATCH('Decline and Model'!BN$8,Royalty!$U$1:$Z$1,0))</f>
        <v>3.3017975134319442E-2</v>
      </c>
      <c r="BO215" s="127">
        <f t="array" ref="BO215">BI215*INDEX(Royalty!$U$7:$Z$246,MATCH('Decline and Model'!$E215,Royalty!$AI$7:$AI$246,0),MATCH('Decline and Model'!BO$8,Royalty!$U$1:$Z$1,0))</f>
        <v>7.7541427675031473E-3</v>
      </c>
      <c r="BP215" s="135">
        <f t="shared" si="170"/>
        <v>0.05</v>
      </c>
      <c r="BQ215" s="7"/>
      <c r="BR215" s="7"/>
      <c r="BS215">
        <v>207</v>
      </c>
      <c r="BT215" s="120">
        <f t="shared" si="171"/>
        <v>2086.5102420324197</v>
      </c>
      <c r="BU215" s="113">
        <f t="shared" si="172"/>
        <v>7776.5680626345511</v>
      </c>
      <c r="BV215" s="113">
        <f t="shared" si="173"/>
        <v>2332.9704187903653</v>
      </c>
      <c r="BW215" s="113">
        <f t="shared" si="206"/>
        <v>120068.74694003019</v>
      </c>
      <c r="BX215" s="113">
        <f t="shared" si="199"/>
        <v>2654.0536845732649</v>
      </c>
      <c r="BY215" s="120">
        <f t="shared" si="200"/>
        <v>26880.102432617798</v>
      </c>
      <c r="BZ215" s="153">
        <f t="shared" si="207"/>
        <v>0</v>
      </c>
      <c r="CA215" s="120">
        <f t="shared" si="209"/>
        <v>26880.102432617798</v>
      </c>
      <c r="CB215" s="120">
        <f t="shared" si="201"/>
        <v>6720.0256081544494</v>
      </c>
      <c r="CC215" s="153">
        <f t="shared" si="202"/>
        <v>22814.130509036611</v>
      </c>
      <c r="CD215" s="7">
        <f t="shared" si="174"/>
        <v>4767.7158691052755</v>
      </c>
      <c r="CE215" s="11">
        <f>SUM($CD$9:CD215)</f>
        <v>25541014.370896097</v>
      </c>
      <c r="CF215" s="11">
        <f t="shared" si="203"/>
        <v>12000000</v>
      </c>
      <c r="CG215">
        <f t="shared" si="204"/>
        <v>13541014.370896097</v>
      </c>
    </row>
    <row r="216" spans="1:85">
      <c r="A216">
        <f t="shared" si="175"/>
        <v>2034</v>
      </c>
      <c r="B216">
        <f t="shared" si="176"/>
        <v>30.416666666666668</v>
      </c>
      <c r="C216">
        <f t="shared" si="210"/>
        <v>18</v>
      </c>
      <c r="E216" s="97">
        <v>49126</v>
      </c>
      <c r="F216" s="2">
        <f>$F$6*EXP(-$F$3*COUNT($E$9:$E216))</f>
        <v>2.4390539561847203E-2</v>
      </c>
      <c r="G216" s="260">
        <f>$F$6/(1+$F$5*$F$3*COUNT($E$9:$E216))^(1/$F$5)</f>
        <v>1.6322013069083432</v>
      </c>
      <c r="H216" s="260">
        <f>$H$6/(1+$H$5*$H$3*COUNT($E$9:$E216))^(1/$H$5)</f>
        <v>81.865700978601723</v>
      </c>
      <c r="I216" s="260">
        <f t="shared" si="177"/>
        <v>15.593466853066994</v>
      </c>
      <c r="J216" s="260">
        <f t="shared" si="178"/>
        <v>6.4931195976170963</v>
      </c>
      <c r="K216" s="260">
        <f t="shared" si="178"/>
        <v>4.4176291594738792</v>
      </c>
      <c r="L216" s="260">
        <f t="shared" si="178"/>
        <v>2.1066773718493508</v>
      </c>
      <c r="M216" s="260">
        <f t="shared" si="178"/>
        <v>2.5776000708119744</v>
      </c>
      <c r="N216" s="19">
        <f t="shared" si="179"/>
        <v>0.74187891167285247</v>
      </c>
      <c r="O216" s="19">
        <f t="shared" si="180"/>
        <v>49.646123085128771</v>
      </c>
      <c r="P216" s="19">
        <f t="shared" si="181"/>
        <v>2490.0817380991357</v>
      </c>
      <c r="Q216" s="19">
        <f t="shared" si="182"/>
        <v>474.30128344745441</v>
      </c>
      <c r="R216" s="19">
        <f t="shared" si="183"/>
        <v>197.49905442752001</v>
      </c>
      <c r="S216" s="19">
        <f t="shared" si="184"/>
        <v>134.36955360066383</v>
      </c>
      <c r="T216" s="19">
        <f t="shared" si="185"/>
        <v>64.078103393751093</v>
      </c>
      <c r="U216" s="19">
        <f t="shared" si="186"/>
        <v>78.402002153864231</v>
      </c>
      <c r="V216" s="261">
        <f t="shared" si="205"/>
        <v>772.17735558251547</v>
      </c>
      <c r="W216" s="261">
        <f>SUM(O$9:O216)</f>
        <v>561755.68176576728</v>
      </c>
      <c r="X216" s="261">
        <f>SUM(P$9:P216)</f>
        <v>2485417.3510466688</v>
      </c>
      <c r="Y216" s="261">
        <f>SUM(Q$9:Q216)</f>
        <v>473412.82877079403</v>
      </c>
      <c r="Z216" s="261">
        <f>SUM($V$9:V216)</f>
        <v>1282933.4786412229</v>
      </c>
      <c r="AB216" s="257">
        <f t="array" ref="AB216">(INDEX(PriceDeck!$C$18:$O$77,MATCH('Decline and Model'!$A216,PriceDeck!$B$18:$B$77,0),MATCH('Decline and Model'!AB$8,PriceDeck!$C$13:$O$13,0))*(1+$AE$6))</f>
        <v>98.05561920000001</v>
      </c>
      <c r="AC216" s="257">
        <f t="array" ref="AC216">INDEX(PriceDeck!$C$18:$O$77,MATCH('Decline and Model'!$A216,PriceDeck!$B$18:$B$77,0),MATCH('Decline and Model'!AC$8,PriceDeck!$C$13:$O$13,0))*(1+$AE$6)</f>
        <v>111.95744400000001</v>
      </c>
      <c r="AD216" s="257">
        <f t="array" ref="AD216">INDEX(PriceDeck!$C$18:$O$77,MATCH('Decline and Model'!$A216,PriceDeck!$B$18:$B$77,0),MATCH('Decline and Model'!AD$8,PriceDeck!$C$13:$O$13,0))*(1+$AE$6)</f>
        <v>19.526227199999997</v>
      </c>
      <c r="AE216" s="257">
        <f t="array" ref="AE216">INDEX(PriceDeck!$C$18:$O$77,MATCH('Decline and Model'!$A216,PriceDeck!$B$18:$B$77,0),MATCH('Decline and Model'!AE$8,PriceDeck!$C$13:$O$13,0))*(1+$AE$6)</f>
        <v>39.3708168</v>
      </c>
      <c r="AF216" s="257">
        <f t="array" ref="AF216">INDEX(PriceDeck!$C$18:$O$77,MATCH('Decline and Model'!$A216,PriceDeck!$B$18:$B$77,0),MATCH('Decline and Model'!AF$8,PriceDeck!$C$13:$O$13,0))*(1+$AE$6)</f>
        <v>116.202276</v>
      </c>
      <c r="AG216" s="257">
        <f t="array" ref="AG216">INDEX(PriceDeck!$C$18:$O$77,MATCH('Decline and Model'!$A216,PriceDeck!$B$18:$B$77,0),MATCH('Decline and Model'!AG$8,PriceDeck!$C$13:$O$13,0))*(1+$AE$6)</f>
        <v>82.031378400000008</v>
      </c>
      <c r="AH216" s="258">
        <f t="array" ref="AH216">INDEX(PriceDeck!$C$18:$O$77,MATCH('Decline and Model'!$A216,PriceDeck!$B$18:$B$77,0),MATCH('Decline and Model'!AH$8,PriceDeck!$C$13:$O$13,0))</f>
        <v>0.85</v>
      </c>
      <c r="AI216" s="258">
        <f t="shared" si="187"/>
        <v>5.1468588000000004</v>
      </c>
      <c r="AJ216" s="259">
        <f t="shared" si="162"/>
        <v>5.1468588000000004</v>
      </c>
      <c r="AK216" s="120">
        <v>5.1468588000000004</v>
      </c>
      <c r="AL216" s="120"/>
      <c r="AN216" s="7">
        <f t="shared" si="188"/>
        <v>5558.253045120412</v>
      </c>
      <c r="AO216" s="7">
        <f t="shared" si="189"/>
        <v>12816.099106454833</v>
      </c>
      <c r="AP216" s="7">
        <f t="shared" si="190"/>
        <v>3856.411408536921</v>
      </c>
      <c r="AQ216" s="7">
        <f t="shared" si="191"/>
        <v>5290.2390783095161</v>
      </c>
      <c r="AR216" s="7">
        <f t="shared" si="192"/>
        <v>7446.0214561172006</v>
      </c>
      <c r="AS216" s="7">
        <f t="shared" si="193"/>
        <v>6431.4243060012523</v>
      </c>
      <c r="AT216" s="7">
        <f t="shared" si="194"/>
        <v>41398.448400540139</v>
      </c>
      <c r="AU216">
        <f>SUM($AT$9:AT216)</f>
        <v>68453556.373083726</v>
      </c>
      <c r="AV216" s="7">
        <f>AT216/(1+$AR$5)^(COUNT($E$9:E216))</f>
        <v>8586.2988159620836</v>
      </c>
      <c r="AW216" s="7">
        <f t="shared" si="208"/>
        <v>0</v>
      </c>
      <c r="AX216" s="7">
        <f t="shared" si="195"/>
        <v>0</v>
      </c>
      <c r="AY216" s="117">
        <f t="shared" si="196"/>
        <v>0</v>
      </c>
      <c r="AZ216" s="117">
        <f t="shared" si="197"/>
        <v>41398.448400540139</v>
      </c>
      <c r="BA216" s="120">
        <f t="shared" si="198"/>
        <v>2069.9224200270069</v>
      </c>
      <c r="BB216" s="119">
        <f t="shared" si="163"/>
        <v>448.04578441748458</v>
      </c>
      <c r="BC216" s="17"/>
      <c r="BD216" s="126">
        <f t="shared" si="164"/>
        <v>0.13426235184814056</v>
      </c>
      <c r="BE216" s="127">
        <f t="shared" si="165"/>
        <v>0.30957921375351877</v>
      </c>
      <c r="BF216" s="127">
        <f t="shared" si="166"/>
        <v>9.3153525253535957E-2</v>
      </c>
      <c r="BG216" s="127">
        <f t="shared" si="167"/>
        <v>0.12778834189931845</v>
      </c>
      <c r="BH216" s="127">
        <f t="shared" si="168"/>
        <v>0.17986233165250826</v>
      </c>
      <c r="BI216" s="128">
        <f t="shared" si="169"/>
        <v>0.1553542355929779</v>
      </c>
      <c r="BJ216" s="126">
        <f t="array" ref="BJ216">BD216*INDEX(Royalty!$U$7:$Z$246,MATCH('Decline and Model'!$E216,Royalty!$AI$7:$AI$246,0),MATCH('Decline and Model'!BJ$8,Royalty!$U$1:$Z$1,0))</f>
        <v>4.5092017248547972E-2</v>
      </c>
      <c r="BK216" s="127">
        <f t="array" ref="BK216">BE216*INDEX(Royalty!$U$7:$Z$246,MATCH('Decline and Model'!$E216,Royalty!$AI$7:$AI$246,0),MATCH('Decline and Model'!BK$8,Royalty!$U$1:$Z$1,0))</f>
        <v>0.10117566007062126</v>
      </c>
      <c r="BL216" s="127">
        <f t="array" ref="BL216">BF216*INDEX(Royalty!$U$7:$Z$246,MATCH('Decline and Model'!$E216,Royalty!$AI$7:$AI$246,0),MATCH('Decline and Model'!BL$8,Royalty!$U$1:$Z$1,0))</f>
        <v>3.1233994011807306E-2</v>
      </c>
      <c r="BM216" s="127">
        <f t="array" ref="BM216">BG216*INDEX(Royalty!$U$7:$Z$246,MATCH('Decline and Model'!$E216,Royalty!$AI$7:$AI$246,0),MATCH('Decline and Model'!BM$8,Royalty!$U$1:$Z$1,0))</f>
        <v>4.1850762144171584E-2</v>
      </c>
      <c r="BN216" s="127">
        <f t="array" ref="BN216">BH216*INDEX(Royalty!$U$7:$Z$246,MATCH('Decline and Model'!$E216,Royalty!$AI$7:$AI$246,0),MATCH('Decline and Model'!BN$8,Royalty!$U$1:$Z$1,0))</f>
        <v>3.3075753449609578E-2</v>
      </c>
      <c r="BO216" s="127">
        <f t="array" ref="BO216">BI216*INDEX(Royalty!$U$7:$Z$246,MATCH('Decline and Model'!$E216,Royalty!$AI$7:$AI$246,0),MATCH('Decline and Model'!BO$8,Royalty!$U$1:$Z$1,0))</f>
        <v>7.767711779648895E-3</v>
      </c>
      <c r="BP216" s="135">
        <f t="shared" si="170"/>
        <v>0.05</v>
      </c>
      <c r="BQ216" s="7"/>
      <c r="BR216" s="7"/>
      <c r="BS216">
        <v>208</v>
      </c>
      <c r="BT216" s="120">
        <f t="shared" si="171"/>
        <v>2069.9224200270069</v>
      </c>
      <c r="BU216" s="113">
        <f t="shared" si="172"/>
        <v>7721.7735558251552</v>
      </c>
      <c r="BV216" s="113">
        <f t="shared" si="173"/>
        <v>2316.5320667475462</v>
      </c>
      <c r="BW216" s="113">
        <f t="shared" si="206"/>
        <v>117414.69325545692</v>
      </c>
      <c r="BX216" s="113">
        <f t="shared" si="199"/>
        <v>2595.3872860298106</v>
      </c>
      <c r="BY216" s="120">
        <f t="shared" si="200"/>
        <v>26694.833071910623</v>
      </c>
      <c r="BZ216" s="153">
        <f t="shared" si="207"/>
        <v>0</v>
      </c>
      <c r="CA216" s="120">
        <f t="shared" si="209"/>
        <v>26694.833071910623</v>
      </c>
      <c r="CB216" s="120">
        <f t="shared" si="201"/>
        <v>6673.7082679776559</v>
      </c>
      <c r="CC216" s="153">
        <f t="shared" si="202"/>
        <v>22616.512089962776</v>
      </c>
      <c r="CD216" s="7">
        <f t="shared" si="174"/>
        <v>4690.8069863001401</v>
      </c>
      <c r="CE216" s="11">
        <f>SUM($CD$9:CD216)</f>
        <v>25545705.177882396</v>
      </c>
      <c r="CF216" s="11">
        <f t="shared" si="203"/>
        <v>12000000</v>
      </c>
      <c r="CG216">
        <f t="shared" si="204"/>
        <v>13545705.177882396</v>
      </c>
    </row>
    <row r="217" spans="1:85">
      <c r="A217">
        <f t="shared" si="175"/>
        <v>2034</v>
      </c>
      <c r="B217">
        <f t="shared" si="176"/>
        <v>30.416666666666668</v>
      </c>
      <c r="C217">
        <f t="shared" si="210"/>
        <v>18</v>
      </c>
      <c r="E217" s="97">
        <v>49157</v>
      </c>
      <c r="F217" s="2">
        <f>$F$6*EXP(-$F$3*COUNT($E$9:$E217))</f>
        <v>2.3200998910677798E-2</v>
      </c>
      <c r="G217" s="260">
        <f>$F$6/(1+$F$5*$F$3*COUNT($E$9:$E217))^(1/$F$5)</f>
        <v>1.6012806484134641</v>
      </c>
      <c r="H217" s="260">
        <f>$H$6/(1+$H$5*$H$3*COUNT($E$9:$E217))^(1/$H$5)</f>
        <v>81.359232699140648</v>
      </c>
      <c r="I217" s="260">
        <f t="shared" si="177"/>
        <v>15.496996704598217</v>
      </c>
      <c r="J217" s="260">
        <f t="shared" si="178"/>
        <v>6.4529494277946977</v>
      </c>
      <c r="K217" s="260">
        <f t="shared" si="178"/>
        <v>4.3902991664126745</v>
      </c>
      <c r="L217" s="260">
        <f t="shared" si="178"/>
        <v>2.0936442547912191</v>
      </c>
      <c r="M217" s="260">
        <f t="shared" si="178"/>
        <v>2.5616535552700852</v>
      </c>
      <c r="N217" s="19">
        <f t="shared" si="179"/>
        <v>0.70569705019978302</v>
      </c>
      <c r="O217" s="19">
        <f t="shared" si="180"/>
        <v>48.705619722576202</v>
      </c>
      <c r="P217" s="19">
        <f t="shared" si="181"/>
        <v>2474.6766612655283</v>
      </c>
      <c r="Q217" s="19">
        <f t="shared" si="182"/>
        <v>471.36698309819582</v>
      </c>
      <c r="R217" s="19">
        <f t="shared" si="183"/>
        <v>196.27721176208874</v>
      </c>
      <c r="S217" s="19">
        <f t="shared" si="184"/>
        <v>133.53826631171884</v>
      </c>
      <c r="T217" s="19">
        <f t="shared" si="185"/>
        <v>63.681679416566247</v>
      </c>
      <c r="U217" s="19">
        <f t="shared" si="186"/>
        <v>77.916962306131765</v>
      </c>
      <c r="V217" s="261">
        <f t="shared" si="205"/>
        <v>766.76685873300198</v>
      </c>
      <c r="W217" s="261">
        <f>SUM(O$9:O217)</f>
        <v>561804.38738548988</v>
      </c>
      <c r="X217" s="261">
        <f>SUM(P$9:P217)</f>
        <v>2487892.0277079344</v>
      </c>
      <c r="Y217" s="261">
        <f>SUM(Q$9:Q217)</f>
        <v>473884.19575389224</v>
      </c>
      <c r="Z217" s="261">
        <f>SUM($V$9:V217)</f>
        <v>1283700.245499956</v>
      </c>
      <c r="AB217" s="257">
        <f t="array" ref="AB217">(INDEX(PriceDeck!$C$18:$O$77,MATCH('Decline and Model'!$A217,PriceDeck!$B$18:$B$77,0),MATCH('Decline and Model'!AB$8,PriceDeck!$C$13:$O$13,0))*(1+$AE$6))</f>
        <v>98.05561920000001</v>
      </c>
      <c r="AC217" s="257">
        <f t="array" ref="AC217">INDEX(PriceDeck!$C$18:$O$77,MATCH('Decline and Model'!$A217,PriceDeck!$B$18:$B$77,0),MATCH('Decline and Model'!AC$8,PriceDeck!$C$13:$O$13,0))*(1+$AE$6)</f>
        <v>111.95744400000001</v>
      </c>
      <c r="AD217" s="257">
        <f t="array" ref="AD217">INDEX(PriceDeck!$C$18:$O$77,MATCH('Decline and Model'!$A217,PriceDeck!$B$18:$B$77,0),MATCH('Decline and Model'!AD$8,PriceDeck!$C$13:$O$13,0))*(1+$AE$6)</f>
        <v>19.526227199999997</v>
      </c>
      <c r="AE217" s="257">
        <f t="array" ref="AE217">INDEX(PriceDeck!$C$18:$O$77,MATCH('Decline and Model'!$A217,PriceDeck!$B$18:$B$77,0),MATCH('Decline and Model'!AE$8,PriceDeck!$C$13:$O$13,0))*(1+$AE$6)</f>
        <v>39.3708168</v>
      </c>
      <c r="AF217" s="257">
        <f t="array" ref="AF217">INDEX(PriceDeck!$C$18:$O$77,MATCH('Decline and Model'!$A217,PriceDeck!$B$18:$B$77,0),MATCH('Decline and Model'!AF$8,PriceDeck!$C$13:$O$13,0))*(1+$AE$6)</f>
        <v>116.202276</v>
      </c>
      <c r="AG217" s="257">
        <f t="array" ref="AG217">INDEX(PriceDeck!$C$18:$O$77,MATCH('Decline and Model'!$A217,PriceDeck!$B$18:$B$77,0),MATCH('Decline and Model'!AG$8,PriceDeck!$C$13:$O$13,0))*(1+$AE$6)</f>
        <v>82.031378400000008</v>
      </c>
      <c r="AH217" s="258">
        <f t="array" ref="AH217">INDEX(PriceDeck!$C$18:$O$77,MATCH('Decline and Model'!$A217,PriceDeck!$B$18:$B$77,0),MATCH('Decline and Model'!AH$8,PriceDeck!$C$13:$O$13,0))</f>
        <v>0.85</v>
      </c>
      <c r="AI217" s="258">
        <f t="shared" si="187"/>
        <v>5.1468588000000004</v>
      </c>
      <c r="AJ217" s="259">
        <f t="shared" si="162"/>
        <v>5.1468588000000004</v>
      </c>
      <c r="AK217" s="120">
        <v>5.1468588000000004</v>
      </c>
      <c r="AL217" s="120"/>
      <c r="AN217" s="7">
        <f t="shared" si="188"/>
        <v>5452.9566925756208</v>
      </c>
      <c r="AO217" s="7">
        <f t="shared" si="189"/>
        <v>12736.811351189104</v>
      </c>
      <c r="AP217" s="7">
        <f t="shared" si="190"/>
        <v>3832.5534310490566</v>
      </c>
      <c r="AQ217" s="7">
        <f t="shared" si="191"/>
        <v>5257.5106187482943</v>
      </c>
      <c r="AR217" s="7">
        <f t="shared" si="192"/>
        <v>7399.95608770735</v>
      </c>
      <c r="AS217" s="7">
        <f t="shared" si="193"/>
        <v>6391.6358187128317</v>
      </c>
      <c r="AT217" s="7">
        <f t="shared" si="194"/>
        <v>41071.42399998226</v>
      </c>
      <c r="AU217">
        <f>SUM($AT$9:AT217)</f>
        <v>68494627.797083706</v>
      </c>
      <c r="AV217" s="7">
        <f>AT217/(1+$AR$5)^(COUNT($E$9:E217))</f>
        <v>8454.2908576055015</v>
      </c>
      <c r="AW217" s="7">
        <f t="shared" si="208"/>
        <v>0</v>
      </c>
      <c r="AX217" s="7">
        <f t="shared" si="195"/>
        <v>0</v>
      </c>
      <c r="AY217" s="117">
        <f t="shared" si="196"/>
        <v>0</v>
      </c>
      <c r="AZ217" s="117">
        <f t="shared" si="197"/>
        <v>41071.42399998226</v>
      </c>
      <c r="BA217" s="120">
        <f t="shared" si="198"/>
        <v>2053.5711999991131</v>
      </c>
      <c r="BB217" s="119">
        <f t="shared" si="163"/>
        <v>453.45628126699808</v>
      </c>
      <c r="BC217" s="17"/>
      <c r="BD217" s="126">
        <f t="shared" si="164"/>
        <v>0.13276765598821155</v>
      </c>
      <c r="BE217" s="127">
        <f t="shared" si="165"/>
        <v>0.31011370219826334</v>
      </c>
      <c r="BF217" s="127">
        <f t="shared" si="166"/>
        <v>9.3314354794484647E-2</v>
      </c>
      <c r="BG217" s="127">
        <f t="shared" si="167"/>
        <v>0.12800896844362067</v>
      </c>
      <c r="BH217" s="127">
        <f t="shared" si="168"/>
        <v>0.18017286392871468</v>
      </c>
      <c r="BI217" s="128">
        <f t="shared" si="169"/>
        <v>0.15562245464670502</v>
      </c>
      <c r="BJ217" s="126">
        <f t="array" ref="BJ217">BD217*INDEX(Royalty!$U$7:$Z$246,MATCH('Decline and Model'!$E217,Royalty!$AI$7:$AI$246,0),MATCH('Decline and Model'!BJ$8,Royalty!$U$1:$Z$1,0))</f>
        <v>4.4590023572960602E-2</v>
      </c>
      <c r="BK217" s="127">
        <f t="array" ref="BK217">BE217*INDEX(Royalty!$U$7:$Z$246,MATCH('Decline and Model'!$E217,Royalty!$AI$7:$AI$246,0),MATCH('Decline and Model'!BK$8,Royalty!$U$1:$Z$1,0))</f>
        <v>0.10135033982557473</v>
      </c>
      <c r="BL217" s="127">
        <f t="array" ref="BL217">BF217*INDEX(Royalty!$U$7:$Z$246,MATCH('Decline and Model'!$E217,Royalty!$AI$7:$AI$246,0),MATCH('Decline and Model'!BL$8,Royalty!$U$1:$Z$1,0))</f>
        <v>3.128791949562814E-2</v>
      </c>
      <c r="BM217" s="127">
        <f t="array" ref="BM217">BG217*INDEX(Royalty!$U$7:$Z$246,MATCH('Decline and Model'!$E217,Royalty!$AI$7:$AI$246,0),MATCH('Decline and Model'!BM$8,Royalty!$U$1:$Z$1,0))</f>
        <v>4.192301747584775E-2</v>
      </c>
      <c r="BN217" s="127">
        <f t="array" ref="BN217">BH217*INDEX(Royalty!$U$7:$Z$246,MATCH('Decline and Model'!$E217,Royalty!$AI$7:$AI$246,0),MATCH('Decline and Model'!BN$8,Royalty!$U$1:$Z$1,0))</f>
        <v>3.3132858730696414E-2</v>
      </c>
      <c r="BO217" s="127">
        <f t="array" ref="BO217">BI217*INDEX(Royalty!$U$7:$Z$246,MATCH('Decline and Model'!$E217,Royalty!$AI$7:$AI$246,0),MATCH('Decline and Model'!BO$8,Royalty!$U$1:$Z$1,0))</f>
        <v>7.7811227323352512E-3</v>
      </c>
      <c r="BP217" s="135">
        <f t="shared" si="170"/>
        <v>0.05</v>
      </c>
      <c r="BQ217" s="7"/>
      <c r="BR217" s="7"/>
      <c r="BS217">
        <v>209</v>
      </c>
      <c r="BT217" s="120">
        <f t="shared" si="171"/>
        <v>2053.5711999991131</v>
      </c>
      <c r="BU217" s="113">
        <f t="shared" si="172"/>
        <v>7667.6685873300194</v>
      </c>
      <c r="BV217" s="113">
        <f t="shared" si="173"/>
        <v>2300.3005761990062</v>
      </c>
      <c r="BW217" s="113">
        <f t="shared" si="206"/>
        <v>114819.30596942711</v>
      </c>
      <c r="BX217" s="113">
        <f t="shared" si="199"/>
        <v>2538.0176759944661</v>
      </c>
      <c r="BY217" s="120">
        <f t="shared" si="200"/>
        <v>26511.865960459658</v>
      </c>
      <c r="BZ217" s="153">
        <f t="shared" si="207"/>
        <v>0</v>
      </c>
      <c r="CA217" s="120">
        <f t="shared" si="209"/>
        <v>26511.865960459658</v>
      </c>
      <c r="CB217" s="120">
        <f t="shared" si="201"/>
        <v>6627.9664901149144</v>
      </c>
      <c r="CC217" s="153">
        <f t="shared" si="202"/>
        <v>22421.917146339209</v>
      </c>
      <c r="CD217" s="7">
        <f t="shared" si="174"/>
        <v>4615.408736263088</v>
      </c>
      <c r="CE217" s="11">
        <f>SUM($CD$9:CD217)</f>
        <v>25550320.586618658</v>
      </c>
      <c r="CF217" s="11">
        <f t="shared" si="203"/>
        <v>12000000</v>
      </c>
      <c r="CG217">
        <f t="shared" si="204"/>
        <v>13550320.586618658</v>
      </c>
    </row>
    <row r="218" spans="1:85">
      <c r="A218">
        <f t="shared" si="175"/>
        <v>2034</v>
      </c>
      <c r="B218">
        <f t="shared" si="176"/>
        <v>30.416666666666668</v>
      </c>
      <c r="C218">
        <f t="shared" si="210"/>
        <v>18</v>
      </c>
      <c r="E218" s="97">
        <v>49188</v>
      </c>
      <c r="F218" s="2">
        <f>$F$6*EXP(-$F$3*COUNT($E$9:$E218))</f>
        <v>2.2069472841645756E-2</v>
      </c>
      <c r="G218" s="260">
        <f>$F$6/(1+$F$5*$F$3*COUNT($E$9:$E218))^(1/$F$5)</f>
        <v>1.5710344770887541</v>
      </c>
      <c r="H218" s="260">
        <f>$H$6/(1+$H$5*$H$3*COUNT($E$9:$E218))^(1/$H$5)</f>
        <v>80.858112477801384</v>
      </c>
      <c r="I218" s="260">
        <f t="shared" si="177"/>
        <v>15.40154523386693</v>
      </c>
      <c r="J218" s="260">
        <f t="shared" si="178"/>
        <v>6.4132034353821892</v>
      </c>
      <c r="K218" s="260">
        <f t="shared" si="178"/>
        <v>4.3632577647545014</v>
      </c>
      <c r="L218" s="260">
        <f t="shared" si="178"/>
        <v>2.0807487610954221</v>
      </c>
      <c r="M218" s="260">
        <f t="shared" si="178"/>
        <v>2.5458754271582036</v>
      </c>
      <c r="N218" s="19">
        <f t="shared" si="179"/>
        <v>0.67127979893339174</v>
      </c>
      <c r="O218" s="19">
        <f t="shared" si="180"/>
        <v>47.785632011449607</v>
      </c>
      <c r="P218" s="19">
        <f t="shared" si="181"/>
        <v>2459.4342545331256</v>
      </c>
      <c r="Q218" s="19">
        <f t="shared" si="182"/>
        <v>468.46366753011915</v>
      </c>
      <c r="R218" s="19">
        <f t="shared" si="183"/>
        <v>195.06827115954158</v>
      </c>
      <c r="S218" s="19">
        <f t="shared" si="184"/>
        <v>132.71575701128276</v>
      </c>
      <c r="T218" s="19">
        <f t="shared" si="185"/>
        <v>63.289441483319088</v>
      </c>
      <c r="U218" s="19">
        <f t="shared" si="186"/>
        <v>77.437044242728689</v>
      </c>
      <c r="V218" s="261">
        <f t="shared" si="205"/>
        <v>761.42407848696189</v>
      </c>
      <c r="W218" s="261">
        <f>SUM(O$9:O218)</f>
        <v>561852.17301750137</v>
      </c>
      <c r="X218" s="261">
        <f>SUM(P$9:P218)</f>
        <v>2490351.4619624675</v>
      </c>
      <c r="Y218" s="261">
        <f>SUM(Q$9:Q218)</f>
        <v>474352.65942142234</v>
      </c>
      <c r="Z218" s="261">
        <f>SUM($V$9:V218)</f>
        <v>1284461.6695784428</v>
      </c>
      <c r="AB218" s="257">
        <f t="array" ref="AB218">(INDEX(PriceDeck!$C$18:$O$77,MATCH('Decline and Model'!$A218,PriceDeck!$B$18:$B$77,0),MATCH('Decline and Model'!AB$8,PriceDeck!$C$13:$O$13,0))*(1+$AE$6))</f>
        <v>98.05561920000001</v>
      </c>
      <c r="AC218" s="257">
        <f t="array" ref="AC218">INDEX(PriceDeck!$C$18:$O$77,MATCH('Decline and Model'!$A218,PriceDeck!$B$18:$B$77,0),MATCH('Decline and Model'!AC$8,PriceDeck!$C$13:$O$13,0))*(1+$AE$6)</f>
        <v>111.95744400000001</v>
      </c>
      <c r="AD218" s="257">
        <f t="array" ref="AD218">INDEX(PriceDeck!$C$18:$O$77,MATCH('Decline and Model'!$A218,PriceDeck!$B$18:$B$77,0),MATCH('Decline and Model'!AD$8,PriceDeck!$C$13:$O$13,0))*(1+$AE$6)</f>
        <v>19.526227199999997</v>
      </c>
      <c r="AE218" s="257">
        <f t="array" ref="AE218">INDEX(PriceDeck!$C$18:$O$77,MATCH('Decline and Model'!$A218,PriceDeck!$B$18:$B$77,0),MATCH('Decline and Model'!AE$8,PriceDeck!$C$13:$O$13,0))*(1+$AE$6)</f>
        <v>39.3708168</v>
      </c>
      <c r="AF218" s="257">
        <f t="array" ref="AF218">INDEX(PriceDeck!$C$18:$O$77,MATCH('Decline and Model'!$A218,PriceDeck!$B$18:$B$77,0),MATCH('Decline and Model'!AF$8,PriceDeck!$C$13:$O$13,0))*(1+$AE$6)</f>
        <v>116.202276</v>
      </c>
      <c r="AG218" s="257">
        <f t="array" ref="AG218">INDEX(PriceDeck!$C$18:$O$77,MATCH('Decline and Model'!$A218,PriceDeck!$B$18:$B$77,0),MATCH('Decline and Model'!AG$8,PriceDeck!$C$13:$O$13,0))*(1+$AE$6)</f>
        <v>82.031378400000008</v>
      </c>
      <c r="AH218" s="258">
        <f t="array" ref="AH218">INDEX(PriceDeck!$C$18:$O$77,MATCH('Decline and Model'!$A218,PriceDeck!$B$18:$B$77,0),MATCH('Decline and Model'!AH$8,PriceDeck!$C$13:$O$13,0))</f>
        <v>0.85</v>
      </c>
      <c r="AI218" s="258">
        <f t="shared" si="187"/>
        <v>5.1468588000000004</v>
      </c>
      <c r="AJ218" s="259">
        <f t="shared" si="162"/>
        <v>5.1468588000000004</v>
      </c>
      <c r="AK218" s="120">
        <v>5.1468588000000004</v>
      </c>
      <c r="AL218" s="120"/>
      <c r="AN218" s="7">
        <f t="shared" si="188"/>
        <v>5349.9572199264776</v>
      </c>
      <c r="AO218" s="7">
        <f t="shared" si="189"/>
        <v>12658.360835965259</v>
      </c>
      <c r="AP218" s="7">
        <f t="shared" si="190"/>
        <v>3808.9473821724159</v>
      </c>
      <c r="AQ218" s="7">
        <f t="shared" si="191"/>
        <v>5225.127755764529</v>
      </c>
      <c r="AR218" s="7">
        <f t="shared" si="192"/>
        <v>7354.3771471304935</v>
      </c>
      <c r="AS218" s="7">
        <f t="shared" si="193"/>
        <v>6352.267478452819</v>
      </c>
      <c r="AT218" s="7">
        <f t="shared" si="194"/>
        <v>40749.037819411998</v>
      </c>
      <c r="AU218">
        <f>SUM($AT$9:AT218)</f>
        <v>68535376.834903121</v>
      </c>
      <c r="AV218" s="7">
        <f>AT218/(1+$AR$5)^(COUNT($E$9:E218))</f>
        <v>8324.7322269346914</v>
      </c>
      <c r="AW218" s="7">
        <f t="shared" si="208"/>
        <v>0</v>
      </c>
      <c r="AX218" s="7">
        <f t="shared" si="195"/>
        <v>0</v>
      </c>
      <c r="AY218" s="117">
        <f t="shared" si="196"/>
        <v>0</v>
      </c>
      <c r="AZ218" s="117">
        <f t="shared" si="197"/>
        <v>40749.037819411998</v>
      </c>
      <c r="BA218" s="120">
        <f t="shared" si="198"/>
        <v>2037.4518909706001</v>
      </c>
      <c r="BB218" s="119">
        <f t="shared" si="163"/>
        <v>458.79906151303817</v>
      </c>
      <c r="BC218" s="17"/>
      <c r="BD218" s="126">
        <f t="shared" si="164"/>
        <v>0.13129039374220189</v>
      </c>
      <c r="BE218" s="127">
        <f t="shared" si="165"/>
        <v>0.3106419565552313</v>
      </c>
      <c r="BF218" s="127">
        <f t="shared" si="166"/>
        <v>9.3473308475468156E-2</v>
      </c>
      <c r="BG218" s="127">
        <f t="shared" si="167"/>
        <v>0.1282270216764575</v>
      </c>
      <c r="BH218" s="127">
        <f t="shared" si="168"/>
        <v>0.18047977426419184</v>
      </c>
      <c r="BI218" s="128">
        <f t="shared" si="169"/>
        <v>0.15588754528644919</v>
      </c>
      <c r="BJ218" s="126">
        <f t="array" ref="BJ218">BD218*INDEX(Royalty!$U$7:$Z$246,MATCH('Decline and Model'!$E218,Royalty!$AI$7:$AI$246,0),MATCH('Decline and Model'!BJ$8,Royalty!$U$1:$Z$1,0))</f>
        <v>4.4093884977436527E-2</v>
      </c>
      <c r="BK218" s="127">
        <f t="array" ref="BK218">BE218*INDEX(Royalty!$U$7:$Z$246,MATCH('Decline and Model'!$E218,Royalty!$AI$7:$AI$246,0),MATCH('Decline and Model'!BK$8,Royalty!$U$1:$Z$1,0))</f>
        <v>0.10152298217647227</v>
      </c>
      <c r="BL218" s="127">
        <f t="array" ref="BL218">BF218*INDEX(Royalty!$U$7:$Z$246,MATCH('Decline and Model'!$E218,Royalty!$AI$7:$AI$246,0),MATCH('Decline and Model'!BL$8,Royalty!$U$1:$Z$1,0))</f>
        <v>3.1341216011315343E-2</v>
      </c>
      <c r="BM218" s="127">
        <f t="array" ref="BM218">BG218*INDEX(Royalty!$U$7:$Z$246,MATCH('Decline and Model'!$E218,Royalty!$AI$7:$AI$246,0),MATCH('Decline and Model'!BM$8,Royalty!$U$1:$Z$1,0))</f>
        <v>4.1994430046404553E-2</v>
      </c>
      <c r="BN218" s="127">
        <f t="array" ref="BN218">BH218*INDEX(Royalty!$U$7:$Z$246,MATCH('Decline and Model'!$E218,Royalty!$AI$7:$AI$246,0),MATCH('Decline and Model'!BN$8,Royalty!$U$1:$Z$1,0))</f>
        <v>3.3189297955597552E-2</v>
      </c>
      <c r="BO218" s="127">
        <f t="array" ref="BO218">BI218*INDEX(Royalty!$U$7:$Z$246,MATCH('Decline and Model'!$E218,Royalty!$AI$7:$AI$246,0),MATCH('Decline and Model'!BO$8,Royalty!$U$1:$Z$1,0))</f>
        <v>7.7943772643224597E-3</v>
      </c>
      <c r="BP218" s="135">
        <f t="shared" si="170"/>
        <v>0.05</v>
      </c>
      <c r="BQ218" s="7"/>
      <c r="BR218" s="7"/>
      <c r="BS218">
        <v>210</v>
      </c>
      <c r="BT218" s="120">
        <f t="shared" si="171"/>
        <v>2037.4518909706001</v>
      </c>
      <c r="BU218" s="113">
        <f t="shared" si="172"/>
        <v>7614.2407848696184</v>
      </c>
      <c r="BV218" s="113">
        <f t="shared" si="173"/>
        <v>2284.2722354608859</v>
      </c>
      <c r="BW218" s="113">
        <f t="shared" si="206"/>
        <v>112281.28829343265</v>
      </c>
      <c r="BX218" s="113">
        <f t="shared" si="199"/>
        <v>2481.9161896697228</v>
      </c>
      <c r="BY218" s="120">
        <f t="shared" si="200"/>
        <v>26331.156718441172</v>
      </c>
      <c r="BZ218" s="153">
        <f t="shared" si="207"/>
        <v>0</v>
      </c>
      <c r="CA218" s="120">
        <f t="shared" si="209"/>
        <v>26331.156718441172</v>
      </c>
      <c r="CB218" s="120">
        <f t="shared" si="201"/>
        <v>6582.7891796102931</v>
      </c>
      <c r="CC218" s="153">
        <f t="shared" si="202"/>
        <v>22230.283728500603</v>
      </c>
      <c r="CD218" s="7">
        <f t="shared" si="174"/>
        <v>4541.4853766287351</v>
      </c>
      <c r="CE218" s="11">
        <f>SUM($CD$9:CD218)</f>
        <v>25554862.071995288</v>
      </c>
      <c r="CF218" s="11">
        <f t="shared" si="203"/>
        <v>12000000</v>
      </c>
      <c r="CG218">
        <f t="shared" si="204"/>
        <v>13554862.071995288</v>
      </c>
    </row>
    <row r="219" spans="1:85">
      <c r="A219">
        <f t="shared" si="175"/>
        <v>2034</v>
      </c>
      <c r="B219">
        <f t="shared" si="176"/>
        <v>30.416666666666668</v>
      </c>
      <c r="C219">
        <f t="shared" si="210"/>
        <v>18</v>
      </c>
      <c r="E219" s="97">
        <v>49218</v>
      </c>
      <c r="F219" s="2">
        <f>$F$6*EXP(-$F$3*COUNT($E$9:$E219))</f>
        <v>2.0993131950192818E-2</v>
      </c>
      <c r="G219" s="260">
        <f>$F$6/(1+$F$5*$F$3*COUNT($E$9:$E219))^(1/$F$5)</f>
        <v>1.5414461559948192</v>
      </c>
      <c r="H219" s="260">
        <f>$H$6/(1+$H$5*$H$3*COUNT($E$9:$E219))^(1/$H$5)</f>
        <v>80.362260659911215</v>
      </c>
      <c r="I219" s="260">
        <f t="shared" si="177"/>
        <v>15.307097268554516</v>
      </c>
      <c r="J219" s="260">
        <f t="shared" si="178"/>
        <v>6.3738753026261001</v>
      </c>
      <c r="K219" s="260">
        <f t="shared" si="178"/>
        <v>4.3365006561814941</v>
      </c>
      <c r="L219" s="260">
        <f t="shared" si="178"/>
        <v>2.0679888409817151</v>
      </c>
      <c r="M219" s="260">
        <f t="shared" si="178"/>
        <v>2.5302631784920617</v>
      </c>
      <c r="N219" s="19">
        <f t="shared" si="179"/>
        <v>0.63854109681836491</v>
      </c>
      <c r="O219" s="19">
        <f t="shared" si="180"/>
        <v>46.885653911509081</v>
      </c>
      <c r="P219" s="19">
        <f t="shared" si="181"/>
        <v>2444.3520950722996</v>
      </c>
      <c r="Q219" s="19">
        <f t="shared" si="182"/>
        <v>465.59087525186658</v>
      </c>
      <c r="R219" s="19">
        <f t="shared" si="183"/>
        <v>193.87204045487721</v>
      </c>
      <c r="S219" s="19">
        <f t="shared" si="184"/>
        <v>131.90189495885377</v>
      </c>
      <c r="T219" s="19">
        <f t="shared" si="185"/>
        <v>62.901327246527167</v>
      </c>
      <c r="U219" s="19">
        <f t="shared" si="186"/>
        <v>76.962171679133547</v>
      </c>
      <c r="V219" s="261">
        <f t="shared" si="205"/>
        <v>756.14780578704108</v>
      </c>
      <c r="W219" s="261">
        <f>SUM(O$9:O219)</f>
        <v>561899.05867141287</v>
      </c>
      <c r="X219" s="261">
        <f>SUM(P$9:P219)</f>
        <v>2492795.8140575397</v>
      </c>
      <c r="Y219" s="261">
        <f>SUM(Q$9:Q219)</f>
        <v>474818.2502966742</v>
      </c>
      <c r="Z219" s="261">
        <f>SUM($V$9:V219)</f>
        <v>1285217.81738423</v>
      </c>
      <c r="AB219" s="257">
        <f t="array" ref="AB219">(INDEX(PriceDeck!$C$18:$O$77,MATCH('Decline and Model'!$A219,PriceDeck!$B$18:$B$77,0),MATCH('Decline and Model'!AB$8,PriceDeck!$C$13:$O$13,0))*(1+$AE$6))</f>
        <v>98.05561920000001</v>
      </c>
      <c r="AC219" s="257">
        <f t="array" ref="AC219">INDEX(PriceDeck!$C$18:$O$77,MATCH('Decline and Model'!$A219,PriceDeck!$B$18:$B$77,0),MATCH('Decline and Model'!AC$8,PriceDeck!$C$13:$O$13,0))*(1+$AE$6)</f>
        <v>111.95744400000001</v>
      </c>
      <c r="AD219" s="257">
        <f t="array" ref="AD219">INDEX(PriceDeck!$C$18:$O$77,MATCH('Decline and Model'!$A219,PriceDeck!$B$18:$B$77,0),MATCH('Decline and Model'!AD$8,PriceDeck!$C$13:$O$13,0))*(1+$AE$6)</f>
        <v>19.526227199999997</v>
      </c>
      <c r="AE219" s="257">
        <f t="array" ref="AE219">INDEX(PriceDeck!$C$18:$O$77,MATCH('Decline and Model'!$A219,PriceDeck!$B$18:$B$77,0),MATCH('Decline and Model'!AE$8,PriceDeck!$C$13:$O$13,0))*(1+$AE$6)</f>
        <v>39.3708168</v>
      </c>
      <c r="AF219" s="257">
        <f t="array" ref="AF219">INDEX(PriceDeck!$C$18:$O$77,MATCH('Decline and Model'!$A219,PriceDeck!$B$18:$B$77,0),MATCH('Decline and Model'!AF$8,PriceDeck!$C$13:$O$13,0))*(1+$AE$6)</f>
        <v>116.202276</v>
      </c>
      <c r="AG219" s="257">
        <f t="array" ref="AG219">INDEX(PriceDeck!$C$18:$O$77,MATCH('Decline and Model'!$A219,PriceDeck!$B$18:$B$77,0),MATCH('Decline and Model'!AG$8,PriceDeck!$C$13:$O$13,0))*(1+$AE$6)</f>
        <v>82.031378400000008</v>
      </c>
      <c r="AH219" s="258">
        <f t="array" ref="AH219">INDEX(PriceDeck!$C$18:$O$77,MATCH('Decline and Model'!$A219,PriceDeck!$B$18:$B$77,0),MATCH('Decline and Model'!AH$8,PriceDeck!$C$13:$O$13,0))</f>
        <v>0.85</v>
      </c>
      <c r="AI219" s="258">
        <f t="shared" si="187"/>
        <v>5.1468588000000004</v>
      </c>
      <c r="AJ219" s="259">
        <f t="shared" si="162"/>
        <v>5.1468588000000004</v>
      </c>
      <c r="AK219" s="120">
        <v>5.1468588000000004</v>
      </c>
      <c r="AL219" s="120"/>
      <c r="AN219" s="7">
        <f t="shared" si="188"/>
        <v>5249.1979722011592</v>
      </c>
      <c r="AO219" s="7">
        <f t="shared" si="189"/>
        <v>12580.735090821303</v>
      </c>
      <c r="AP219" s="7">
        <f t="shared" si="190"/>
        <v>3785.5895096495233</v>
      </c>
      <c r="AQ219" s="7">
        <f t="shared" si="191"/>
        <v>5193.0853419978757</v>
      </c>
      <c r="AR219" s="7">
        <f t="shared" si="192"/>
        <v>7309.27738946727</v>
      </c>
      <c r="AS219" s="7">
        <f t="shared" si="193"/>
        <v>6313.313027496768</v>
      </c>
      <c r="AT219" s="7">
        <f t="shared" si="194"/>
        <v>40431.198331633903</v>
      </c>
      <c r="AU219">
        <f>SUM($AT$9:AT219)</f>
        <v>68575808.03323476</v>
      </c>
      <c r="AV219" s="7">
        <f>AT219/(1+$AR$5)^(COUNT($E$9:E219))</f>
        <v>8197.5678127664287</v>
      </c>
      <c r="AW219" s="7">
        <f t="shared" si="208"/>
        <v>0</v>
      </c>
      <c r="AX219" s="7">
        <f t="shared" si="195"/>
        <v>0</v>
      </c>
      <c r="AY219" s="117">
        <f t="shared" si="196"/>
        <v>0</v>
      </c>
      <c r="AZ219" s="117">
        <f t="shared" si="197"/>
        <v>40431.198331633903</v>
      </c>
      <c r="BA219" s="120">
        <f t="shared" si="198"/>
        <v>2021.5599165816952</v>
      </c>
      <c r="BB219" s="119">
        <f t="shared" si="163"/>
        <v>464.07533421295898</v>
      </c>
      <c r="BC219" s="17"/>
      <c r="BD219" s="126">
        <f t="shared" si="164"/>
        <v>0.12983038318936288</v>
      </c>
      <c r="BE219" s="127">
        <f t="shared" si="165"/>
        <v>0.31116404187748176</v>
      </c>
      <c r="BF219" s="127">
        <f t="shared" si="166"/>
        <v>9.3630405871191508E-2</v>
      </c>
      <c r="BG219" s="127">
        <f t="shared" si="167"/>
        <v>0.12844252845047971</v>
      </c>
      <c r="BH219" s="127">
        <f t="shared" si="168"/>
        <v>0.18078310045409648</v>
      </c>
      <c r="BI219" s="128">
        <f t="shared" si="169"/>
        <v>0.15614954015738752</v>
      </c>
      <c r="BJ219" s="126">
        <f t="array" ref="BJ219">BD219*INDEX(Royalty!$U$7:$Z$246,MATCH('Decline and Model'!$E219,Royalty!$AI$7:$AI$246,0),MATCH('Decline and Model'!BJ$8,Royalty!$U$1:$Z$1,0))</f>
        <v>4.3603540363883635E-2</v>
      </c>
      <c r="BK219" s="127">
        <f t="array" ref="BK219">BE219*INDEX(Royalty!$U$7:$Z$246,MATCH('Decline and Model'!$E219,Royalty!$AI$7:$AI$246,0),MATCH('Decline and Model'!BK$8,Royalty!$U$1:$Z$1,0))</f>
        <v>0.10169360838374059</v>
      </c>
      <c r="BL219" s="127">
        <f t="array" ref="BL219">BF219*INDEX(Royalty!$U$7:$Z$246,MATCH('Decline and Model'!$E219,Royalty!$AI$7:$AI$246,0),MATCH('Decline and Model'!BL$8,Royalty!$U$1:$Z$1,0))</f>
        <v>3.1393890122187039E-2</v>
      </c>
      <c r="BM219" s="127">
        <f t="array" ref="BM219">BG219*INDEX(Royalty!$U$7:$Z$246,MATCH('Decline and Model'!$E219,Royalty!$AI$7:$AI$246,0),MATCH('Decline and Model'!BM$8,Royalty!$U$1:$Z$1,0))</f>
        <v>4.2065008650101966E-2</v>
      </c>
      <c r="BN219" s="127">
        <f t="array" ref="BN219">BH219*INDEX(Royalty!$U$7:$Z$246,MATCH('Decline and Model'!$E219,Royalty!$AI$7:$AI$246,0),MATCH('Decline and Model'!BN$8,Royalty!$U$1:$Z$1,0))</f>
        <v>3.3245078074647043E-2</v>
      </c>
      <c r="BO219" s="127">
        <f t="array" ref="BO219">BI219*INDEX(Royalty!$U$7:$Z$246,MATCH('Decline and Model'!$E219,Royalty!$AI$7:$AI$246,0),MATCH('Decline and Model'!BO$8,Royalty!$U$1:$Z$1,0))</f>
        <v>7.8074770078693763E-3</v>
      </c>
      <c r="BP219" s="135">
        <f t="shared" si="170"/>
        <v>0.05</v>
      </c>
      <c r="BQ219" s="7"/>
      <c r="BR219" s="7"/>
      <c r="BS219">
        <v>211</v>
      </c>
      <c r="BT219" s="120">
        <f t="shared" si="171"/>
        <v>2021.5599165816952</v>
      </c>
      <c r="BU219" s="113">
        <f t="shared" si="172"/>
        <v>7561.4780578704103</v>
      </c>
      <c r="BV219" s="113">
        <f t="shared" si="173"/>
        <v>2268.4434173611235</v>
      </c>
      <c r="BW219" s="113">
        <f t="shared" si="206"/>
        <v>109799.37210376293</v>
      </c>
      <c r="BX219" s="113">
        <f t="shared" si="199"/>
        <v>2427.0547958776729</v>
      </c>
      <c r="BY219" s="120">
        <f t="shared" si="200"/>
        <v>26152.662143943002</v>
      </c>
      <c r="BZ219" s="153">
        <f t="shared" si="207"/>
        <v>0</v>
      </c>
      <c r="CA219" s="120">
        <f t="shared" si="209"/>
        <v>26152.662143943002</v>
      </c>
      <c r="CB219" s="120">
        <f t="shared" si="201"/>
        <v>6538.1655359857505</v>
      </c>
      <c r="CC219" s="153">
        <f t="shared" si="202"/>
        <v>22041.551403834925</v>
      </c>
      <c r="CD219" s="7">
        <f t="shared" si="174"/>
        <v>4469.002151493044</v>
      </c>
      <c r="CE219" s="11">
        <f>SUM($CD$9:CD219)</f>
        <v>25559331.074146781</v>
      </c>
      <c r="CF219" s="11">
        <f t="shared" si="203"/>
        <v>12000000</v>
      </c>
      <c r="CG219">
        <f t="shared" si="204"/>
        <v>13559331.074146781</v>
      </c>
    </row>
    <row r="220" spans="1:85">
      <c r="A220">
        <f t="shared" si="175"/>
        <v>2034</v>
      </c>
      <c r="B220">
        <f t="shared" si="176"/>
        <v>30.416666666666668</v>
      </c>
      <c r="C220">
        <f t="shared" si="210"/>
        <v>18</v>
      </c>
      <c r="E220" s="97">
        <v>49249</v>
      </c>
      <c r="F220" s="2">
        <f>$F$6*EXP(-$F$3*COUNT($E$9:$E220))</f>
        <v>1.9969284823449451E-2</v>
      </c>
      <c r="G220" s="260">
        <f>$F$6/(1+$F$5*$F$3*COUNT($E$9:$E220))^(1/$F$5)</f>
        <v>1.5124995057417807</v>
      </c>
      <c r="H220" s="260">
        <f>$H$6/(1+$H$5*$H$3*COUNT($E$9:$E220))^(1/$H$5)</f>
        <v>79.871599119444468</v>
      </c>
      <c r="I220" s="260">
        <f t="shared" si="177"/>
        <v>15.213637927513231</v>
      </c>
      <c r="J220" s="260">
        <f t="shared" si="178"/>
        <v>6.3349588330165094</v>
      </c>
      <c r="K220" s="260">
        <f t="shared" si="178"/>
        <v>4.3100236248644981</v>
      </c>
      <c r="L220" s="260">
        <f t="shared" si="178"/>
        <v>2.0553624840070372</v>
      </c>
      <c r="M220" s="260">
        <f t="shared" si="178"/>
        <v>2.5148143494179371</v>
      </c>
      <c r="N220" s="19">
        <f t="shared" si="179"/>
        <v>0.60739908004658749</v>
      </c>
      <c r="O220" s="19">
        <f t="shared" si="180"/>
        <v>46.005193299645832</v>
      </c>
      <c r="P220" s="19">
        <f t="shared" si="181"/>
        <v>2429.4278065497692</v>
      </c>
      <c r="Q220" s="19">
        <f t="shared" si="182"/>
        <v>462.74815362852746</v>
      </c>
      <c r="R220" s="19">
        <f t="shared" si="183"/>
        <v>192.68833117091884</v>
      </c>
      <c r="S220" s="19">
        <f t="shared" si="184"/>
        <v>131.09655192296182</v>
      </c>
      <c r="T220" s="19">
        <f t="shared" si="185"/>
        <v>62.517275555214049</v>
      </c>
      <c r="U220" s="19">
        <f t="shared" si="186"/>
        <v>76.49226979479559</v>
      </c>
      <c r="V220" s="261">
        <f t="shared" si="205"/>
        <v>750.93685898456715</v>
      </c>
      <c r="W220" s="261">
        <f>SUM(O$9:O220)</f>
        <v>561945.06386471249</v>
      </c>
      <c r="X220" s="261">
        <f>SUM(P$9:P220)</f>
        <v>2495225.2418640894</v>
      </c>
      <c r="Y220" s="261">
        <f>SUM(Q$9:Q220)</f>
        <v>475280.99845030275</v>
      </c>
      <c r="Z220" s="261">
        <f>SUM($V$9:V220)</f>
        <v>1285968.7542432146</v>
      </c>
      <c r="AB220" s="257">
        <f t="array" ref="AB220">(INDEX(PriceDeck!$C$18:$O$77,MATCH('Decline and Model'!$A220,PriceDeck!$B$18:$B$77,0),MATCH('Decline and Model'!AB$8,PriceDeck!$C$13:$O$13,0))*(1+$AE$6))</f>
        <v>98.05561920000001</v>
      </c>
      <c r="AC220" s="257">
        <f t="array" ref="AC220">INDEX(PriceDeck!$C$18:$O$77,MATCH('Decline and Model'!$A220,PriceDeck!$B$18:$B$77,0),MATCH('Decline and Model'!AC$8,PriceDeck!$C$13:$O$13,0))*(1+$AE$6)</f>
        <v>111.95744400000001</v>
      </c>
      <c r="AD220" s="257">
        <f t="array" ref="AD220">INDEX(PriceDeck!$C$18:$O$77,MATCH('Decline and Model'!$A220,PriceDeck!$B$18:$B$77,0),MATCH('Decline and Model'!AD$8,PriceDeck!$C$13:$O$13,0))*(1+$AE$6)</f>
        <v>19.526227199999997</v>
      </c>
      <c r="AE220" s="257">
        <f t="array" ref="AE220">INDEX(PriceDeck!$C$18:$O$77,MATCH('Decline and Model'!$A220,PriceDeck!$B$18:$B$77,0),MATCH('Decline and Model'!AE$8,PriceDeck!$C$13:$O$13,0))*(1+$AE$6)</f>
        <v>39.3708168</v>
      </c>
      <c r="AF220" s="257">
        <f t="array" ref="AF220">INDEX(PriceDeck!$C$18:$O$77,MATCH('Decline and Model'!$A220,PriceDeck!$B$18:$B$77,0),MATCH('Decline and Model'!AF$8,PriceDeck!$C$13:$O$13,0))*(1+$AE$6)</f>
        <v>116.202276</v>
      </c>
      <c r="AG220" s="257">
        <f t="array" ref="AG220">INDEX(PriceDeck!$C$18:$O$77,MATCH('Decline and Model'!$A220,PriceDeck!$B$18:$B$77,0),MATCH('Decline and Model'!AG$8,PriceDeck!$C$13:$O$13,0))*(1+$AE$6)</f>
        <v>82.031378400000008</v>
      </c>
      <c r="AH220" s="258">
        <f t="array" ref="AH220">INDEX(PriceDeck!$C$18:$O$77,MATCH('Decline and Model'!$A220,PriceDeck!$B$18:$B$77,0),MATCH('Decline and Model'!AH$8,PriceDeck!$C$13:$O$13,0))</f>
        <v>0.85</v>
      </c>
      <c r="AI220" s="258">
        <f t="shared" si="187"/>
        <v>5.1468588000000004</v>
      </c>
      <c r="AJ220" s="259">
        <f t="shared" si="162"/>
        <v>5.1468588000000004</v>
      </c>
      <c r="AK220" s="120">
        <v>5.1468588000000004</v>
      </c>
      <c r="AL220" s="120"/>
      <c r="AN220" s="7">
        <f t="shared" si="188"/>
        <v>5150.623852554274</v>
      </c>
      <c r="AO220" s="7">
        <f t="shared" si="189"/>
        <v>12503.921885105379</v>
      </c>
      <c r="AP220" s="7">
        <f t="shared" si="190"/>
        <v>3762.4761332322028</v>
      </c>
      <c r="AQ220" s="7">
        <f t="shared" si="191"/>
        <v>5161.3783288706172</v>
      </c>
      <c r="AR220" s="7">
        <f t="shared" si="192"/>
        <v>7264.6497088350361</v>
      </c>
      <c r="AS220" s="7">
        <f t="shared" si="193"/>
        <v>6274.7663282117683</v>
      </c>
      <c r="AT220" s="7">
        <f t="shared" si="194"/>
        <v>40117.816236809274</v>
      </c>
      <c r="AU220">
        <f>SUM($AT$9:AT220)</f>
        <v>68615925.849471569</v>
      </c>
      <c r="AV220" s="7">
        <f>AT220/(1+$AR$5)^(COUNT($E$9:E220))</f>
        <v>8072.7439769581842</v>
      </c>
      <c r="AW220" s="7">
        <f t="shared" si="208"/>
        <v>0</v>
      </c>
      <c r="AX220" s="7">
        <f t="shared" si="195"/>
        <v>0</v>
      </c>
      <c r="AY220" s="117">
        <f t="shared" si="196"/>
        <v>0</v>
      </c>
      <c r="AZ220" s="117">
        <f t="shared" si="197"/>
        <v>40117.816236809274</v>
      </c>
      <c r="BA220" s="120">
        <f t="shared" si="198"/>
        <v>2005.8908118404638</v>
      </c>
      <c r="BB220" s="119">
        <f t="shared" si="163"/>
        <v>469.28628101543291</v>
      </c>
      <c r="BC220" s="17"/>
      <c r="BD220" s="126">
        <f t="shared" si="164"/>
        <v>0.12838744317863507</v>
      </c>
      <c r="BE220" s="127">
        <f t="shared" si="165"/>
        <v>0.31168002294284064</v>
      </c>
      <c r="BF220" s="127">
        <f t="shared" si="166"/>
        <v>9.3785666473541016E-2</v>
      </c>
      <c r="BG220" s="127">
        <f t="shared" si="167"/>
        <v>0.12865551550472731</v>
      </c>
      <c r="BH220" s="127">
        <f t="shared" si="168"/>
        <v>0.18108288013367754</v>
      </c>
      <c r="BI220" s="128">
        <f t="shared" si="169"/>
        <v>0.15640847176657852</v>
      </c>
      <c r="BJ220" s="126">
        <f t="array" ref="BJ220">BD220*INDEX(Royalty!$U$7:$Z$246,MATCH('Decline and Model'!$E220,Royalty!$AI$7:$AI$246,0),MATCH('Decline and Model'!BJ$8,Royalty!$U$1:$Z$1,0))</f>
        <v>4.3118928892710011E-2</v>
      </c>
      <c r="BK220" s="127">
        <f t="array" ref="BK220">BE220*INDEX(Royalty!$U$7:$Z$246,MATCH('Decline and Model'!$E220,Royalty!$AI$7:$AI$246,0),MATCH('Decline and Model'!BK$8,Royalty!$U$1:$Z$1,0))</f>
        <v>0.10186223961785565</v>
      </c>
      <c r="BL220" s="127">
        <f t="array" ref="BL220">BF220*INDEX(Royalty!$U$7:$Z$246,MATCH('Decline and Model'!$E220,Royalty!$AI$7:$AI$246,0),MATCH('Decline and Model'!BL$8,Royalty!$U$1:$Z$1,0))</f>
        <v>3.1445948363792553E-2</v>
      </c>
      <c r="BM220" s="127">
        <f t="array" ref="BM220">BG220*INDEX(Royalty!$U$7:$Z$246,MATCH('Decline and Model'!$E220,Royalty!$AI$7:$AI$246,0),MATCH('Decline and Model'!BM$8,Royalty!$U$1:$Z$1,0))</f>
        <v>4.2134762043992365E-2</v>
      </c>
      <c r="BN220" s="127">
        <f t="array" ref="BN220">BH220*INDEX(Royalty!$U$7:$Z$246,MATCH('Decline and Model'!$E220,Royalty!$AI$7:$AI$246,0),MATCH('Decline and Model'!BN$8,Royalty!$U$1:$Z$1,0))</f>
        <v>3.3300206008772697E-2</v>
      </c>
      <c r="BO220" s="127">
        <f t="array" ref="BO220">BI220*INDEX(Royalty!$U$7:$Z$246,MATCH('Decline and Model'!$E220,Royalty!$AI$7:$AI$246,0),MATCH('Decline and Model'!BO$8,Royalty!$U$1:$Z$1,0))</f>
        <v>7.8204235883289255E-3</v>
      </c>
      <c r="BP220" s="135">
        <f t="shared" si="170"/>
        <v>0.05</v>
      </c>
      <c r="BQ220" s="7"/>
      <c r="BR220" s="7"/>
      <c r="BS220">
        <v>212</v>
      </c>
      <c r="BT220" s="120">
        <f t="shared" si="171"/>
        <v>2005.8908118404638</v>
      </c>
      <c r="BU220" s="113">
        <f t="shared" si="172"/>
        <v>7509.3685898456715</v>
      </c>
      <c r="BV220" s="113">
        <f t="shared" si="173"/>
        <v>2252.8105769537015</v>
      </c>
      <c r="BW220" s="113">
        <f t="shared" si="206"/>
        <v>107372.31730788526</v>
      </c>
      <c r="BX220" s="113">
        <f t="shared" si="199"/>
        <v>2373.4060830541966</v>
      </c>
      <c r="BY220" s="120">
        <f t="shared" si="200"/>
        <v>25976.340175115238</v>
      </c>
      <c r="BZ220" s="153">
        <f t="shared" si="207"/>
        <v>0</v>
      </c>
      <c r="CA220" s="120">
        <f t="shared" si="209"/>
        <v>25976.340175115238</v>
      </c>
      <c r="CB220" s="120">
        <f t="shared" si="201"/>
        <v>6494.0850437788094</v>
      </c>
      <c r="CC220" s="153">
        <f t="shared" si="202"/>
        <v>21855.661214390624</v>
      </c>
      <c r="CD220" s="7">
        <f t="shared" si="174"/>
        <v>4397.925260673238</v>
      </c>
      <c r="CE220" s="11">
        <f>SUM($CD$9:CD220)</f>
        <v>25563728.999407455</v>
      </c>
      <c r="CF220" s="11">
        <f t="shared" si="203"/>
        <v>12000000</v>
      </c>
      <c r="CG220">
        <f t="shared" si="204"/>
        <v>13563728.999407455</v>
      </c>
    </row>
    <row r="221" spans="1:85">
      <c r="A221">
        <f t="shared" si="175"/>
        <v>2034</v>
      </c>
      <c r="B221">
        <f t="shared" si="176"/>
        <v>30.416666666666668</v>
      </c>
      <c r="C221">
        <f t="shared" si="210"/>
        <v>18</v>
      </c>
      <c r="E221" s="97">
        <v>49279</v>
      </c>
      <c r="F221" s="2">
        <f>$F$6*EXP(-$F$3*COUNT($E$9:$E221))</f>
        <v>1.8995371310300685E-2</v>
      </c>
      <c r="G221" s="260">
        <f>$F$6/(1+$F$5*$F$3*COUNT($E$9:$E221))^(1/$F$5)</f>
        <v>1.4841787906156625</v>
      </c>
      <c r="H221" s="260">
        <f>$H$6/(1+$H$5*$H$3*COUNT($E$9:$E221))^(1/$H$5)</f>
        <v>79.386051223175301</v>
      </c>
      <c r="I221" s="260">
        <f t="shared" si="177"/>
        <v>15.121152613938152</v>
      </c>
      <c r="J221" s="260">
        <f t="shared" si="178"/>
        <v>6.2964479484438467</v>
      </c>
      <c r="K221" s="260">
        <f t="shared" si="178"/>
        <v>4.2838225355286781</v>
      </c>
      <c r="L221" s="260">
        <f t="shared" si="178"/>
        <v>2.0428677181430444</v>
      </c>
      <c r="M221" s="260">
        <f t="shared" si="178"/>
        <v>2.4995265270839768</v>
      </c>
      <c r="N221" s="19">
        <f t="shared" si="179"/>
        <v>0.57777587735497915</v>
      </c>
      <c r="O221" s="19">
        <f t="shared" si="180"/>
        <v>45.143771547893067</v>
      </c>
      <c r="P221" s="19">
        <f t="shared" si="181"/>
        <v>2414.659058038249</v>
      </c>
      <c r="Q221" s="19">
        <f t="shared" si="182"/>
        <v>459.93505867395214</v>
      </c>
      <c r="R221" s="19">
        <f t="shared" si="183"/>
        <v>191.51695843183367</v>
      </c>
      <c r="S221" s="19">
        <f t="shared" si="184"/>
        <v>130.29960212233064</v>
      </c>
      <c r="T221" s="19">
        <f t="shared" si="185"/>
        <v>62.137226426850937</v>
      </c>
      <c r="U221" s="19">
        <f t="shared" si="186"/>
        <v>76.027265198804301</v>
      </c>
      <c r="V221" s="261">
        <f t="shared" si="205"/>
        <v>745.79008310117899</v>
      </c>
      <c r="W221" s="261">
        <f>SUM(O$9:O221)</f>
        <v>561990.20763626043</v>
      </c>
      <c r="X221" s="261">
        <f>SUM(P$9:P221)</f>
        <v>2497639.9009221275</v>
      </c>
      <c r="Y221" s="261">
        <f>SUM(Q$9:Q221)</f>
        <v>475740.93350897671</v>
      </c>
      <c r="Z221" s="261">
        <f>SUM($V$9:V221)</f>
        <v>1286714.5443263159</v>
      </c>
      <c r="AB221" s="257">
        <f t="array" ref="AB221">(INDEX(PriceDeck!$C$18:$O$77,MATCH('Decline and Model'!$A221,PriceDeck!$B$18:$B$77,0),MATCH('Decline and Model'!AB$8,PriceDeck!$C$13:$O$13,0))*(1+$AE$6))</f>
        <v>98.05561920000001</v>
      </c>
      <c r="AC221" s="257">
        <f t="array" ref="AC221">INDEX(PriceDeck!$C$18:$O$77,MATCH('Decline and Model'!$A221,PriceDeck!$B$18:$B$77,0),MATCH('Decline and Model'!AC$8,PriceDeck!$C$13:$O$13,0))*(1+$AE$6)</f>
        <v>111.95744400000001</v>
      </c>
      <c r="AD221" s="257">
        <f t="array" ref="AD221">INDEX(PriceDeck!$C$18:$O$77,MATCH('Decline and Model'!$A221,PriceDeck!$B$18:$B$77,0),MATCH('Decline and Model'!AD$8,PriceDeck!$C$13:$O$13,0))*(1+$AE$6)</f>
        <v>19.526227199999997</v>
      </c>
      <c r="AE221" s="257">
        <f t="array" ref="AE221">INDEX(PriceDeck!$C$18:$O$77,MATCH('Decline and Model'!$A221,PriceDeck!$B$18:$B$77,0),MATCH('Decline and Model'!AE$8,PriceDeck!$C$13:$O$13,0))*(1+$AE$6)</f>
        <v>39.3708168</v>
      </c>
      <c r="AF221" s="257">
        <f t="array" ref="AF221">INDEX(PriceDeck!$C$18:$O$77,MATCH('Decline and Model'!$A221,PriceDeck!$B$18:$B$77,0),MATCH('Decline and Model'!AF$8,PriceDeck!$C$13:$O$13,0))*(1+$AE$6)</f>
        <v>116.202276</v>
      </c>
      <c r="AG221" s="257">
        <f t="array" ref="AG221">INDEX(PriceDeck!$C$18:$O$77,MATCH('Decline and Model'!$A221,PriceDeck!$B$18:$B$77,0),MATCH('Decline and Model'!AG$8,PriceDeck!$C$13:$O$13,0))*(1+$AE$6)</f>
        <v>82.031378400000008</v>
      </c>
      <c r="AH221" s="258">
        <f t="array" ref="AH221">INDEX(PriceDeck!$C$18:$O$77,MATCH('Decline and Model'!$A221,PriceDeck!$B$18:$B$77,0),MATCH('Decline and Model'!AH$8,PriceDeck!$C$13:$O$13,0))</f>
        <v>0.85</v>
      </c>
      <c r="AI221" s="258">
        <f t="shared" si="187"/>
        <v>5.1468588000000004</v>
      </c>
      <c r="AJ221" s="259">
        <f t="shared" si="162"/>
        <v>5.1468588000000004</v>
      </c>
      <c r="AK221" s="120">
        <v>5.1468588000000004</v>
      </c>
      <c r="AL221" s="120"/>
      <c r="AN221" s="7">
        <f t="shared" si="188"/>
        <v>5054.1812750220315</v>
      </c>
      <c r="AO221" s="7">
        <f t="shared" si="189"/>
        <v>12427.909221863874</v>
      </c>
      <c r="AP221" s="7">
        <f t="shared" si="190"/>
        <v>3739.6036429929395</v>
      </c>
      <c r="AQ221" s="7">
        <f t="shared" si="191"/>
        <v>5130.0017642711709</v>
      </c>
      <c r="AR221" s="7">
        <f t="shared" si="192"/>
        <v>7220.487135127426</v>
      </c>
      <c r="AS221" s="7">
        <f t="shared" si="193"/>
        <v>6236.6213602402677</v>
      </c>
      <c r="AT221" s="7">
        <f t="shared" si="194"/>
        <v>39808.804399517714</v>
      </c>
      <c r="AU221">
        <f>SUM($AT$9:AT221)</f>
        <v>68655734.653871089</v>
      </c>
      <c r="AV221" s="7">
        <f>AT221/(1+$AR$5)^(COUNT($E$9:E221))</f>
        <v>7950.2085090740684</v>
      </c>
      <c r="AW221" s="7">
        <f t="shared" si="208"/>
        <v>0</v>
      </c>
      <c r="AX221" s="7">
        <f t="shared" si="195"/>
        <v>0</v>
      </c>
      <c r="AY221" s="117">
        <f t="shared" si="196"/>
        <v>0</v>
      </c>
      <c r="AZ221" s="117">
        <f t="shared" si="197"/>
        <v>39808.804399517714</v>
      </c>
      <c r="BA221" s="120">
        <f t="shared" si="198"/>
        <v>1990.4402199758858</v>
      </c>
      <c r="BB221" s="119">
        <f t="shared" si="163"/>
        <v>474.43305689882106</v>
      </c>
      <c r="BC221" s="17"/>
      <c r="BD221" s="126">
        <f t="shared" si="164"/>
        <v>0.12696139337164478</v>
      </c>
      <c r="BE221" s="127">
        <f t="shared" si="165"/>
        <v>0.31218996423852508</v>
      </c>
      <c r="BF221" s="127">
        <f t="shared" si="166"/>
        <v>9.393910968695772E-2</v>
      </c>
      <c r="BG221" s="127">
        <f t="shared" si="167"/>
        <v>0.12886600945828258</v>
      </c>
      <c r="BH221" s="127">
        <f t="shared" si="168"/>
        <v>0.18137915076934344</v>
      </c>
      <c r="BI221" s="128">
        <f t="shared" si="169"/>
        <v>0.15666437247524631</v>
      </c>
      <c r="BJ221" s="126">
        <f t="array" ref="BJ221">BD221*INDEX(Royalty!$U$7:$Z$246,MATCH('Decline and Model'!$E221,Royalty!$AI$7:$AI$246,0),MATCH('Decline and Model'!BJ$8,Royalty!$U$1:$Z$1,0))</f>
        <v>4.2639989997264274E-2</v>
      </c>
      <c r="BK221" s="127">
        <f t="array" ref="BK221">BE221*INDEX(Royalty!$U$7:$Z$246,MATCH('Decline and Model'!$E221,Royalty!$AI$7:$AI$246,0),MATCH('Decline and Model'!BK$8,Royalty!$U$1:$Z$1,0))</f>
        <v>0.10202889695431758</v>
      </c>
      <c r="BL221" s="127">
        <f t="array" ref="BL221">BF221*INDEX(Royalty!$U$7:$Z$246,MATCH('Decline and Model'!$E221,Royalty!$AI$7:$AI$246,0),MATCH('Decline and Model'!BL$8,Royalty!$U$1:$Z$1,0))</f>
        <v>3.149739724236119E-2</v>
      </c>
      <c r="BM221" s="127">
        <f t="array" ref="BM221">BG221*INDEX(Royalty!$U$7:$Z$246,MATCH('Decline and Model'!$E221,Royalty!$AI$7:$AI$246,0),MATCH('Decline and Model'!BM$8,Royalty!$U$1:$Z$1,0))</f>
        <v>4.2203698945841896E-2</v>
      </c>
      <c r="BN221" s="127">
        <f t="array" ref="BN221">BH221*INDEX(Royalty!$U$7:$Z$246,MATCH('Decline and Model'!$E221,Royalty!$AI$7:$AI$246,0),MATCH('Decline and Model'!BN$8,Royalty!$U$1:$Z$1,0))</f>
        <v>3.3354688647853438E-2</v>
      </c>
      <c r="BO221" s="127">
        <f t="array" ref="BO221">BI221*INDEX(Royalty!$U$7:$Z$246,MATCH('Decline and Model'!$E221,Royalty!$AI$7:$AI$246,0),MATCH('Decline and Model'!BO$8,Royalty!$U$1:$Z$1,0))</f>
        <v>7.8332186237623155E-3</v>
      </c>
      <c r="BP221" s="135">
        <f t="shared" si="170"/>
        <v>0.05</v>
      </c>
      <c r="BQ221" s="7"/>
      <c r="BR221" s="7"/>
      <c r="BS221">
        <v>213</v>
      </c>
      <c r="BT221" s="120">
        <f t="shared" si="171"/>
        <v>1990.4402199758858</v>
      </c>
      <c r="BU221" s="113">
        <f t="shared" si="172"/>
        <v>7457.9008310117897</v>
      </c>
      <c r="BV221" s="113">
        <f t="shared" si="173"/>
        <v>2237.3702493035371</v>
      </c>
      <c r="BW221" s="113">
        <f t="shared" si="206"/>
        <v>104998.91122483106</v>
      </c>
      <c r="BX221" s="113">
        <f t="shared" si="199"/>
        <v>2320.9432455527376</v>
      </c>
      <c r="BY221" s="120">
        <f t="shared" si="200"/>
        <v>25802.149853673764</v>
      </c>
      <c r="BZ221" s="153">
        <f t="shared" si="207"/>
        <v>0</v>
      </c>
      <c r="CA221" s="120">
        <f t="shared" si="209"/>
        <v>25802.149853673764</v>
      </c>
      <c r="CB221" s="120">
        <f t="shared" si="201"/>
        <v>6450.5374634184409</v>
      </c>
      <c r="CC221" s="153">
        <f t="shared" si="202"/>
        <v>21672.555635808061</v>
      </c>
      <c r="CD221" s="7">
        <f t="shared" si="174"/>
        <v>4328.2218300248633</v>
      </c>
      <c r="CE221" s="11">
        <f>SUM($CD$9:CD221)</f>
        <v>25568057.221237481</v>
      </c>
      <c r="CF221" s="11">
        <f t="shared" si="203"/>
        <v>12000000</v>
      </c>
      <c r="CG221">
        <f t="shared" si="204"/>
        <v>13568057.221237481</v>
      </c>
    </row>
    <row r="222" spans="1:85">
      <c r="A222">
        <f t="shared" si="175"/>
        <v>2035</v>
      </c>
      <c r="B222">
        <f t="shared" si="176"/>
        <v>30.416666666666668</v>
      </c>
      <c r="C222">
        <f t="shared" si="210"/>
        <v>18</v>
      </c>
      <c r="E222" s="97">
        <v>49310</v>
      </c>
      <c r="F222" s="2">
        <f>$F$6*EXP(-$F$3*COUNT($E$9:$E222))</f>
        <v>1.806895611967468E-2</v>
      </c>
      <c r="G222" s="260">
        <f>$F$6/(1+$F$5*$F$3*COUNT($E$9:$E222))^(1/$F$5)</f>
        <v>1.4564687051643548</v>
      </c>
      <c r="H222" s="260">
        <f>$H$6/(1+$H$5*$H$3*COUNT($E$9:$E222))^(1/$H$5)</f>
        <v>78.905541795822188</v>
      </c>
      <c r="I222" s="260">
        <f t="shared" si="177"/>
        <v>15.029627008728035</v>
      </c>
      <c r="J222" s="260">
        <f t="shared" ref="J222:M241" si="211">$I222*J$7</f>
        <v>6.2583366864343537</v>
      </c>
      <c r="K222" s="260">
        <f t="shared" si="211"/>
        <v>4.2578933315726522</v>
      </c>
      <c r="L222" s="260">
        <f t="shared" si="211"/>
        <v>2.0305026088791576</v>
      </c>
      <c r="M222" s="260">
        <f t="shared" si="211"/>
        <v>2.4843973445427441</v>
      </c>
      <c r="N222" s="19">
        <f t="shared" si="179"/>
        <v>0.54959741530677153</v>
      </c>
      <c r="O222" s="19">
        <f t="shared" si="180"/>
        <v>44.300923115415792</v>
      </c>
      <c r="P222" s="19">
        <f t="shared" si="181"/>
        <v>2400.0435629562585</v>
      </c>
      <c r="Q222" s="19">
        <f t="shared" si="182"/>
        <v>457.15115484881107</v>
      </c>
      <c r="R222" s="19">
        <f t="shared" si="183"/>
        <v>190.35774087904494</v>
      </c>
      <c r="S222" s="19">
        <f t="shared" si="184"/>
        <v>129.51092216866817</v>
      </c>
      <c r="T222" s="19">
        <f t="shared" si="185"/>
        <v>61.761121020074377</v>
      </c>
      <c r="U222" s="19">
        <f t="shared" si="186"/>
        <v>75.567085896508473</v>
      </c>
      <c r="V222" s="261">
        <f t="shared" si="205"/>
        <v>740.70634911318928</v>
      </c>
      <c r="W222" s="261">
        <f>SUM(O$9:O222)</f>
        <v>562034.50855937588</v>
      </c>
      <c r="X222" s="261">
        <f>SUM(P$9:P222)</f>
        <v>2500039.9444850837</v>
      </c>
      <c r="Y222" s="261">
        <f>SUM(Q$9:Q222)</f>
        <v>476198.08466382552</v>
      </c>
      <c r="Z222" s="261">
        <f>SUM($V$9:V222)</f>
        <v>1287455.2506754291</v>
      </c>
      <c r="AB222" s="257">
        <f t="array" ref="AB222">(INDEX(PriceDeck!$C$18:$O$77,MATCH('Decline and Model'!$A222,PriceDeck!$B$18:$B$77,0),MATCH('Decline and Model'!AB$8,PriceDeck!$C$13:$O$13,0))*(1+$AE$6))</f>
        <v>100.01673158400001</v>
      </c>
      <c r="AC222" s="257">
        <f t="array" ref="AC222">INDEX(PriceDeck!$C$18:$O$77,MATCH('Decline and Model'!$A222,PriceDeck!$B$18:$B$77,0),MATCH('Decline and Model'!AC$8,PriceDeck!$C$13:$O$13,0))*(1+$AE$6)</f>
        <v>114.19659288000001</v>
      </c>
      <c r="AD222" s="257">
        <f t="array" ref="AD222">INDEX(PriceDeck!$C$18:$O$77,MATCH('Decline and Model'!$A222,PriceDeck!$B$18:$B$77,0),MATCH('Decline and Model'!AD$8,PriceDeck!$C$13:$O$13,0))*(1+$AE$6)</f>
        <v>19.916751743999999</v>
      </c>
      <c r="AE222" s="257">
        <f t="array" ref="AE222">INDEX(PriceDeck!$C$18:$O$77,MATCH('Decline and Model'!$A222,PriceDeck!$B$18:$B$77,0),MATCH('Decline and Model'!AE$8,PriceDeck!$C$13:$O$13,0))*(1+$AE$6)</f>
        <v>40.158233136</v>
      </c>
      <c r="AF222" s="257">
        <f t="array" ref="AF222">INDEX(PriceDeck!$C$18:$O$77,MATCH('Decline and Model'!$A222,PriceDeck!$B$18:$B$77,0),MATCH('Decline and Model'!AF$8,PriceDeck!$C$13:$O$13,0))*(1+$AE$6)</f>
        <v>118.52632152</v>
      </c>
      <c r="AG222" s="257">
        <f t="array" ref="AG222">INDEX(PriceDeck!$C$18:$O$77,MATCH('Decline and Model'!$A222,PriceDeck!$B$18:$B$77,0),MATCH('Decline and Model'!AG$8,PriceDeck!$C$13:$O$13,0))*(1+$AE$6)</f>
        <v>83.672005968000008</v>
      </c>
      <c r="AH222" s="258">
        <f t="array" ref="AH222">INDEX(PriceDeck!$C$18:$O$77,MATCH('Decline and Model'!$A222,PriceDeck!$B$18:$B$77,0),MATCH('Decline and Model'!AH$8,PriceDeck!$C$13:$O$13,0))</f>
        <v>0.85</v>
      </c>
      <c r="AI222" s="258">
        <f t="shared" si="187"/>
        <v>5.2497959760000006</v>
      </c>
      <c r="AJ222" s="259">
        <f t="shared" si="162"/>
        <v>5.2497959760000006</v>
      </c>
      <c r="AK222" s="120">
        <v>5.2497959760000006</v>
      </c>
      <c r="AL222" s="120"/>
      <c r="AN222" s="7">
        <f t="shared" si="188"/>
        <v>5059.0144812193194</v>
      </c>
      <c r="AO222" s="7">
        <f t="shared" si="189"/>
        <v>12599.739039032469</v>
      </c>
      <c r="AP222" s="7">
        <f t="shared" si="190"/>
        <v>3791.3078676366181</v>
      </c>
      <c r="AQ222" s="7">
        <f t="shared" si="191"/>
        <v>5200.929806107727</v>
      </c>
      <c r="AR222" s="7">
        <f t="shared" si="192"/>
        <v>7320.318487460966</v>
      </c>
      <c r="AS222" s="7">
        <f t="shared" si="193"/>
        <v>6322.8496621170261</v>
      </c>
      <c r="AT222" s="7">
        <f t="shared" si="194"/>
        <v>40294.159343574131</v>
      </c>
      <c r="AU222">
        <f>SUM($AT$9:AT222)</f>
        <v>68696028.81321466</v>
      </c>
      <c r="AV222" s="7">
        <f>AT222/(1+$AR$5)^(COUNT($E$9:E222))</f>
        <v>7986.5087942650807</v>
      </c>
      <c r="AW222" s="7">
        <f t="shared" si="208"/>
        <v>0</v>
      </c>
      <c r="AX222" s="7">
        <f t="shared" si="195"/>
        <v>0</v>
      </c>
      <c r="AY222" s="117">
        <f t="shared" si="196"/>
        <v>0</v>
      </c>
      <c r="AZ222" s="117">
        <f t="shared" si="197"/>
        <v>40294.159343574131</v>
      </c>
      <c r="BA222" s="120">
        <f t="shared" si="198"/>
        <v>2014.7079671787067</v>
      </c>
      <c r="BB222" s="119">
        <f t="shared" si="163"/>
        <v>479.51679088681078</v>
      </c>
      <c r="BC222" s="17"/>
      <c r="BD222" s="126">
        <f t="shared" si="164"/>
        <v>0.12555205428367128</v>
      </c>
      <c r="BE222" s="127">
        <f t="shared" si="165"/>
        <v>0.31269392994649481</v>
      </c>
      <c r="BF222" s="127">
        <f t="shared" si="166"/>
        <v>9.4090754824029676E-2</v>
      </c>
      <c r="BG222" s="127">
        <f t="shared" si="167"/>
        <v>0.12907403680422333</v>
      </c>
      <c r="BH222" s="127">
        <f t="shared" si="168"/>
        <v>0.18167194965015113</v>
      </c>
      <c r="BI222" s="128">
        <f t="shared" si="169"/>
        <v>0.15691727449142964</v>
      </c>
      <c r="BJ222" s="126">
        <f t="array" ref="BJ222">BD222*INDEX(Royalty!$U$7:$Z$246,MATCH('Decline and Model'!$E222,Royalty!$AI$7:$AI$246,0),MATCH('Decline and Model'!BJ$8,Royalty!$U$1:$Z$1,0))</f>
        <v>4.2533722480744489E-2</v>
      </c>
      <c r="BK222" s="127">
        <f t="array" ref="BK222">BE222*INDEX(Royalty!$U$7:$Z$246,MATCH('Decline and Model'!$E222,Royalty!$AI$7:$AI$246,0),MATCH('Decline and Model'!BK$8,Royalty!$U$1:$Z$1,0))</f>
        <v>0.10391113225241548</v>
      </c>
      <c r="BL222" s="127">
        <f t="array" ref="BL222">BF222*INDEX(Royalty!$U$7:$Z$246,MATCH('Decline and Model'!$E222,Royalty!$AI$7:$AI$246,0),MATCH('Decline and Model'!BL$8,Royalty!$U$1:$Z$1,0))</f>
        <v>3.1852148916494745E-2</v>
      </c>
      <c r="BM222" s="127">
        <f t="array" ref="BM222">BG222*INDEX(Royalty!$U$7:$Z$246,MATCH('Decline and Model'!$E222,Royalty!$AI$7:$AI$246,0),MATCH('Decline and Model'!BM$8,Royalty!$U$1:$Z$1,0))</f>
        <v>4.2983329834281353E-2</v>
      </c>
      <c r="BN222" s="127">
        <f t="array" ref="BN222">BH222*INDEX(Royalty!$U$7:$Z$246,MATCH('Decline and Model'!$E222,Royalty!$AI$7:$AI$246,0),MATCH('Decline and Model'!BN$8,Royalty!$U$1:$Z$1,0))</f>
        <v>3.4203316741008696E-2</v>
      </c>
      <c r="BO222" s="127">
        <f t="array" ref="BO222">BI222*INDEX(Royalty!$U$7:$Z$246,MATCH('Decline and Model'!$E222,Royalty!$AI$7:$AI$246,0),MATCH('Decline and Model'!BO$8,Royalty!$U$1:$Z$1,0))</f>
        <v>7.8458637245714825E-3</v>
      </c>
      <c r="BP222" s="135">
        <f t="shared" si="170"/>
        <v>0.05</v>
      </c>
      <c r="BQ222" s="7"/>
      <c r="BR222" s="7"/>
      <c r="BS222">
        <v>214</v>
      </c>
      <c r="BT222" s="120">
        <f t="shared" si="171"/>
        <v>2014.7079671787067</v>
      </c>
      <c r="BU222" s="113">
        <f t="shared" si="172"/>
        <v>7407.063491131893</v>
      </c>
      <c r="BV222" s="113">
        <f t="shared" si="173"/>
        <v>2222.1190473395677</v>
      </c>
      <c r="BW222" s="113">
        <f t="shared" si="206"/>
        <v>102677.96797927831</v>
      </c>
      <c r="BX222" s="113">
        <f t="shared" si="199"/>
        <v>2269.6400702508304</v>
      </c>
      <c r="BY222" s="120">
        <f t="shared" si="200"/>
        <v>26380.628767673134</v>
      </c>
      <c r="BZ222" s="153">
        <f t="shared" si="207"/>
        <v>0</v>
      </c>
      <c r="CA222" s="120">
        <f t="shared" si="209"/>
        <v>26380.628767673134</v>
      </c>
      <c r="CB222" s="120">
        <f t="shared" si="201"/>
        <v>6595.1571919182834</v>
      </c>
      <c r="CC222" s="153">
        <f t="shared" si="202"/>
        <v>22055.11164600568</v>
      </c>
      <c r="CD222" s="7">
        <f t="shared" si="174"/>
        <v>4371.4361085786704</v>
      </c>
      <c r="CE222" s="11">
        <f>SUM($CD$9:CD222)</f>
        <v>25572428.657346059</v>
      </c>
      <c r="CF222" s="11">
        <f t="shared" si="203"/>
        <v>12000000</v>
      </c>
      <c r="CG222">
        <f t="shared" si="204"/>
        <v>13572428.657346059</v>
      </c>
    </row>
    <row r="223" spans="1:85">
      <c r="A223">
        <f t="shared" si="175"/>
        <v>2035</v>
      </c>
      <c r="B223">
        <f t="shared" si="176"/>
        <v>30.416666666666668</v>
      </c>
      <c r="C223">
        <f t="shared" si="210"/>
        <v>18</v>
      </c>
      <c r="E223" s="97">
        <v>49341</v>
      </c>
      <c r="F223" s="2">
        <f>$F$6*EXP(-$F$3*COUNT($E$9:$E223))</f>
        <v>1.7187722731046819E-2</v>
      </c>
      <c r="G223" s="260">
        <f>$F$6/(1+$F$5*$F$3*COUNT($E$9:$E223))^(1/$F$5)</f>
        <v>1.4293543612266335</v>
      </c>
      <c r="H223" s="260">
        <f>$H$6/(1+$H$5*$H$3*COUNT($E$9:$E223))^(1/$H$5)</f>
        <v>78.429997086153179</v>
      </c>
      <c r="I223" s="260">
        <f t="shared" si="177"/>
        <v>14.939047064029175</v>
      </c>
      <c r="J223" s="260">
        <f t="shared" si="211"/>
        <v>6.2206191974617484</v>
      </c>
      <c r="K223" s="260">
        <f t="shared" si="211"/>
        <v>4.2322320332394652</v>
      </c>
      <c r="L223" s="260">
        <f t="shared" si="211"/>
        <v>2.0182652583503415</v>
      <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 <v>43.476195153976768</v>
      </c>
      <c r="P223" s="19">
        <f t="shared" si="181"/>
        <v>2385.5790780371594</v>
      </c>
      <c r="Q223" s="19">
        <f t="shared" si="182"/>
        <v>454.39601486422077</v>
      </c>
      <c r="R223" s="19">
        <f t="shared" si="183"/>
        <v>189.21050058946153</v>
      </c>
      <c r="S223" s="19">
        <f t="shared" si="184"/>
        <v>128.73039101103373</v>
      </c>
      <c r="T223" s="19">
        <f t="shared" si="185"/>
        <v>61.388901608156225</v>
      </c>
      <c r="U223" s="19">
        <f t="shared" si="186"/>
        <v>75.111661257055701</v>
      </c>
      <c r="V223" s="261">
        <f t="shared" si="205"/>
        <v>735.68455325790092</v>
      </c>
      <c r="W223" s="261">
        <f>SUM(O$9:O223)</f>
        <v>562077.9847545299</v>
      </c>
      <c r="X223" s="261">
        <f>SUM(P$9:P223)</f>
        <v>2502425.523563121</v>
      </c>
      <c r="Y223" s="261">
        <f>SUM(Q$9:Q223)</f>
        <v>476652.48067868972</v>
      </c>
      <c r="Z223" s="261">
        <f>SUM($V$9:V223)</f>
        <v>1288190.935228687</v>
      </c>
      <c r="AB223" s="257">
        <f t="array" ref="AB223">(INDEX(PriceDeck!$C$18:$O$77,MATCH('Decline and Model'!$A223,PriceDeck!$B$18:$B$77,0),MATCH('Decline and Model'!AB$8,PriceDeck!$C$13:$O$13,0))*(1+$AE$6))</f>
        <v>100.01673158400001</v>
      </c>
      <c r="AC223" s="257">
        <f t="array" ref="AC223">INDEX(PriceDeck!$C$18:$O$77,MATCH('Decline and Model'!$A223,PriceDeck!$B$18:$B$77,0),MATCH('Decline and Model'!AC$8,PriceDeck!$C$13:$O$13,0))*(1+$AE$6)</f>
        <v>114.19659288000001</v>
      </c>
      <c r="AD223" s="257">
        <f t="array" ref="AD223">INDEX(PriceDeck!$C$18:$O$77,MATCH('Decline and Model'!$A223,PriceDeck!$B$18:$B$77,0),MATCH('Decline and Model'!AD$8,PriceDeck!$C$13:$O$13,0))*(1+$AE$6)</f>
        <v>19.916751743999999</v>
      </c>
      <c r="AE223" s="257">
        <f t="array" ref="AE223">INDEX(PriceDeck!$C$18:$O$77,MATCH('Decline and Model'!$A223,PriceDeck!$B$18:$B$77,0),MATCH('Decline and Model'!AE$8,PriceDeck!$C$13:$O$13,0))*(1+$AE$6)</f>
        <v>40.158233136</v>
      </c>
      <c r="AF223" s="257">
        <f t="array" ref="AF223">INDEX(PriceDeck!$C$18:$O$77,MATCH('Decline and Model'!$A223,PriceDeck!$B$18:$B$77,0),MATCH('Decline and Model'!AF$8,PriceDeck!$C$13:$O$13,0))*(1+$AE$6)</f>
        <v>118.52632152</v>
      </c>
      <c r="AG223" s="257">
        <f t="array" ref="AG223">INDEX(PriceDeck!$C$18:$O$77,MATCH('Decline and Model'!$A223,PriceDeck!$B$18:$B$77,0),MATCH('Decline and Model'!AG$8,PriceDeck!$C$13:$O$13,0))*(1+$AE$6)</f>
        <v>83.672005968000008</v>
      </c>
      <c r="AH223" s="258">
        <f t="array" ref="AH223">INDEX(PriceDeck!$C$18:$O$77,MATCH('Decline and Model'!$A223,PriceDeck!$B$18:$B$77,0),MATCH('Decline and Model'!AH$8,PriceDeck!$C$13:$O$13,0))</f>
        <v>0.85</v>
      </c>
      <c r="AI223" s="258">
        <f t="shared" si="187"/>
        <v>5.2497959760000006</v>
      </c>
      <c r="AJ223" s="259">
        <f t="shared" si="162"/>
        <v>5.2497959760000006</v>
      </c>
      <c r="AK223" s="120">
        <v>5.2497959760000006</v>
      </c>
      <c r="AL223" s="120"/>
      <c r="AN223" s="7">
        <f t="shared" si="188"/>
        <v>4964.8333579701148</v>
      </c>
      <c r="AO223" s="7">
        <f t="shared" si="189"/>
        <v>12523.803444309271</v>
      </c>
      <c r="AP223" s="7">
        <f t="shared" si="190"/>
        <v>3768.4585675982707</v>
      </c>
      <c r="AQ223" s="7">
        <f t="shared" si="191"/>
        <v>5169.5850539095309</v>
      </c>
      <c r="AR223" s="7">
        <f t="shared" si="192"/>
        <v>7276.2006897679694</v>
      </c>
      <c r="AS223" s="7">
        <f t="shared" si="193"/>
        <v>6284.7433689667596</v>
      </c>
      <c r="AT223" s="7">
        <f t="shared" si="194"/>
        <v>39987.624482521918</v>
      </c>
      <c r="AU223">
        <f>SUM($AT$9:AT223)</f>
        <v>68736016.437697187</v>
      </c>
      <c r="AV223" s="7">
        <f>AT223/(1+$AR$5)^(COUNT($E$9:E223))</f>
        <v>7866.0367269936278</v>
      </c>
      <c r="AW223" s="7">
        <f t="shared" si="208"/>
        <v>0</v>
      </c>
      <c r="AX223" s="7">
        <f t="shared" si="195"/>
        <v>0</v>
      </c>
      <c r="AY223" s="117">
        <f t="shared" si="196"/>
        <v>0</v>
      </c>
      <c r="AZ223" s="117">
        <f t="shared" si="197"/>
        <v>39987.624482521918</v>
      </c>
      <c r="BA223" s="120">
        <f t="shared" si="198"/>
        <v>1999.381224126096</v>
      </c>
      <c r="BB223" s="119">
        <f t="shared" si="163"/>
        <v>484.53858674209914</v>
      </c>
      <c r="BC223" s="17"/>
      <c r="BD223" s="126">
        <f t="shared" si="164"/>
        <v>0.12415924732263554</v>
      </c>
      <c r="BE223" s="127">
        <f t="shared" si="165"/>
        <v>0.31319198392950964</v>
      </c>
      <c r="BF223" s="127">
        <f t="shared" si="166"/>
        <v>9.4240621101296385E-2</v>
      </c>
      <c r="BG223" s="127">
        <f t="shared" si="167"/>
        <v>0.12927962390386782</v>
      </c>
      <c r="BH223" s="127">
        <f t="shared" si="168"/>
        <v>0.18196131387970557</v>
      </c>
      <c r="BI223" s="128">
        <f t="shared" si="169"/>
        <v>0.15716720986298502</v>
      </c>
      <c r="BJ223" s="126">
        <f t="array" ref="BJ223">BD223*INDEX(Royalty!$U$7:$Z$246,MATCH('Decline and Model'!$E223,Royalty!$AI$7:$AI$246,0),MATCH('Decline and Model'!BJ$8,Royalty!$U$1:$Z$1,0))</f>
        <v>4.2061876240649575E-2</v>
      </c>
      <c r="BK223" s="127">
        <f t="array" ref="BK223">BE223*INDEX(Royalty!$U$7:$Z$246,MATCH('Decline and Model'!$E223,Royalty!$AI$7:$AI$246,0),MATCH('Decline and Model'!BK$8,Royalty!$U$1:$Z$1,0))</f>
        <v>0.10407664027269189</v>
      </c>
      <c r="BL223" s="127">
        <f t="array" ref="BL223">BF223*INDEX(Royalty!$U$7:$Z$246,MATCH('Decline and Model'!$E223,Royalty!$AI$7:$AI$246,0),MATCH('Decline and Model'!BL$8,Royalty!$U$1:$Z$1,0))</f>
        <v>3.1902882519280557E-2</v>
      </c>
      <c r="BM223" s="127">
        <f t="array" ref="BM223">BG223*INDEX(Royalty!$U$7:$Z$246,MATCH('Decline and Model'!$E223,Royalty!$AI$7:$AI$246,0),MATCH('Decline and Model'!BM$8,Royalty!$U$1:$Z$1,0))</f>
        <v>4.3051793007298063E-2</v>
      </c>
      <c r="BN223" s="127">
        <f t="array" ref="BN223">BH223*INDEX(Royalty!$U$7:$Z$246,MATCH('Decline and Model'!$E223,Royalty!$AI$7:$AI$246,0),MATCH('Decline and Model'!BN$8,Royalty!$U$1:$Z$1,0))</f>
        <v>3.4257795246997257E-2</v>
      </c>
      <c r="BO223" s="127">
        <f t="array" ref="BO223">BI223*INDEX(Royalty!$U$7:$Z$246,MATCH('Decline and Model'!$E223,Royalty!$AI$7:$AI$246,0),MATCH('Decline and Model'!BO$8,Royalty!$U$1:$Z$1,0))</f>
        <v>7.8583604931492506E-3</v>
      </c>
      <c r="BP223" s="135">
        <f t="shared" si="170"/>
        <v>0.05</v>
      </c>
      <c r="BQ223" s="7"/>
      <c r="BR223" s="7"/>
      <c r="BS223">
        <v>215</v>
      </c>
      <c r="BT223" s="120">
        <f t="shared" si="171"/>
        <v>1999.381224126096</v>
      </c>
      <c r="BU223" s="113">
        <f t="shared" si="172"/>
        <v>7356.8455325790092</v>
      </c>
      <c r="BV223" s="113">
        <f t="shared" si="173"/>
        <v>2207.0536597737027</v>
      </c>
      <c r="BW223" s="113">
        <f t="shared" si="206"/>
        <v>100408.32790902749</v>
      </c>
      <c r="BX223" s="113">
        <f t="shared" si="199"/>
        <v>2219.4709234526804</v>
      </c>
      <c r="BY223" s="120">
        <f t="shared" si="200"/>
        <v>26204.873142590426</v>
      </c>
      <c r="BZ223" s="153">
        <f t="shared" si="207"/>
        <v>0</v>
      </c>
      <c r="CA223" s="120">
        <f t="shared" si="209"/>
        <v>26204.873142590426</v>
      </c>
      <c r="CB223" s="120">
        <f t="shared" si="201"/>
        <v>6551.2182856476065</v>
      </c>
      <c r="CC223" s="153">
        <f t="shared" si="202"/>
        <v>21873.125780395501</v>
      </c>
      <c r="CD223" s="7">
        <f t="shared" si="174"/>
        <v>4302.7014720002971</v>
      </c>
      <c r="CE223" s="11">
        <f>SUM($CD$9:CD223)</f>
        <v>25576731.358818058</v>
      </c>
      <c r="CF223" s="11">
        <f t="shared" si="203"/>
        <v>12000000</v>
      </c>
      <c r="CG223">
        <f t="shared" si="204"/>
        <v>13576731.358818058</v>
      </c>
    </row>
    <row r="224" spans="1:85">
      <c r="A224">
        <f t="shared" si="175"/>
        <v>2035</v>
      </c>
      <c r="B224">
        <f t="shared" si="176"/>
        <v>30.416666666666668</v>
      </c>
      <c r="C224">
        <f t="shared" si="210"/>
        <v>18</v>
      </c>
      <c r="E224" s="97">
        <v>49369</v>
      </c>
      <c r="F224" s="2">
        <f>$F$6*EXP(-$F$3*COUNT($E$9:$E224))</f>
        <v>1.6349467601931494E-2</v>
      </c>
      <c r="G224" s="260">
        <f>$F$6/(1+$F$5*$F$3*COUNT($E$9:$E224))^(1/$F$5)</f>
        <v>1.4028212753883673</v>
      </c>
      <c r="H224" s="260">
        <f>$H$6/(1+$H$5*$H$3*COUNT($E$9:$E224))^(1/$H$5)</f>
        <v>77.95934473402032</v>
      </c>
      <c r="I224" s="260">
        <f t="shared" si="177"/>
        <v>14.84939899695625</v>
      </c>
      <c r="J224" s="260">
        <f t="shared" si="211"/>
        <v>6.1832897423325823</v>
      </c>
      <c r="K224" s="260">
        <f t="shared" si="211"/>
        <v>4.2068347358377052</v>
      </c>
      <c r="L224" s="260">
        <f t="shared" si="211"/>
        <v>2.0061538044887892</v>
      </c>
      <c r="M224" s="260">
        <f t="shared" si="211"/>
        <v>2.4546056541968682</v>
      </c>
      <c r="N224" s="19">
        <f t="shared" si="179"/>
        <v>0.49729630622541626</v>
      </c>
      <c r="O224" s="19">
        <f t="shared" si="180"/>
        <v>42.669147126396176</v>
      </c>
      <c r="P224" s="19">
        <f t="shared" si="181"/>
        <v>2371.2634023264513</v>
      </c>
      <c r="Q224" s="19">
        <f t="shared" si="182"/>
        <v>451.6692194907526</v>
      </c>
      <c r="R224" s="19">
        <f t="shared" si="183"/>
        <v>188.07506299594939</v>
      </c>
      <c r="S224" s="19">
        <f t="shared" si="184"/>
        <v>127.95788988173021</v>
      </c>
      <c r="T224" s="19">
        <f t="shared" si="185"/>
        <v>61.020511553200677</v>
      </c>
      <c r="U224" s="19">
        <f t="shared" si="186"/>
        <v>74.660921981821403</v>
      </c>
      <c r="V224" s="261">
        <f t="shared" si="205"/>
        <v>730.72361636111918</v>
      </c>
      <c r="W224" s="261">
        <f>SUM(O$9:O224)</f>
        <v>562120.65390165627</v>
      </c>
      <c r="X224" s="261">
        <f>SUM(P$9:P224)</f>
        <v>2504796.7869654475</v>
      </c>
      <c r="Y224" s="261">
        <f>SUM(Q$9:Q224)</f>
        <v>477104.14989818051</v>
      </c>
      <c r="Z224" s="261">
        <f>SUM($V$9:V224)</f>
        <v>1288921.6588450482</v>
      </c>
      <c r="AB224" s="257">
        <f t="array" ref="AB224">(INDEX(PriceDeck!$C$18:$O$77,MATCH('Decline and Model'!$A224,PriceDeck!$B$18:$B$77,0),MATCH('Decline and Model'!AB$8,PriceDeck!$C$13:$O$13,0))*(1+$AE$6))</f>
        <v>100.01673158400001</v>
      </c>
      <c r="AC224" s="257">
        <f t="array" ref="AC224">INDEX(PriceDeck!$C$18:$O$77,MATCH('Decline and Model'!$A224,PriceDeck!$B$18:$B$77,0),MATCH('Decline and Model'!AC$8,PriceDeck!$C$13:$O$13,0))*(1+$AE$6)</f>
        <v>114.19659288000001</v>
      </c>
      <c r="AD224" s="257">
        <f t="array" ref="AD224">INDEX(PriceDeck!$C$18:$O$77,MATCH('Decline and Model'!$A224,PriceDeck!$B$18:$B$77,0),MATCH('Decline and Model'!AD$8,PriceDeck!$C$13:$O$13,0))*(1+$AE$6)</f>
        <v>19.916751743999999</v>
      </c>
      <c r="AE224" s="257">
        <f t="array" ref="AE224">INDEX(PriceDeck!$C$18:$O$77,MATCH('Decline and Model'!$A224,PriceDeck!$B$18:$B$77,0),MATCH('Decline and Model'!AE$8,PriceDeck!$C$13:$O$13,0))*(1+$AE$6)</f>
        <v>40.158233136</v>
      </c>
      <c r="AF224" s="257">
        <f t="array" ref="AF224">INDEX(PriceDeck!$C$18:$O$77,MATCH('Decline and Model'!$A224,PriceDeck!$B$18:$B$77,0),MATCH('Decline and Model'!AF$8,PriceDeck!$C$13:$O$13,0))*(1+$AE$6)</f>
        <v>118.52632152</v>
      </c>
      <c r="AG224" s="257">
        <f t="array" ref="AG224">INDEX(PriceDeck!$C$18:$O$77,MATCH('Decline and Model'!$A224,PriceDeck!$B$18:$B$77,0),MATCH('Decline and Model'!AG$8,PriceDeck!$C$13:$O$13,0))*(1+$AE$6)</f>
        <v>83.672005968000008</v>
      </c>
      <c r="AH224" s="258">
        <f t="array" ref="AH224">INDEX(PriceDeck!$C$18:$O$77,MATCH('Decline and Model'!$A224,PriceDeck!$B$18:$B$77,0),MATCH('Decline and Model'!AH$8,PriceDeck!$C$13:$O$13,0))</f>
        <v>0.85</v>
      </c>
      <c r="AI224" s="258">
        <f t="shared" si="187"/>
        <v>5.2497959760000006</v>
      </c>
      <c r="AJ224" s="259">
        <f t="shared" si="162"/>
        <v>5.2497959760000006</v>
      </c>
      <c r="AK224" s="120">
        <v>5.2497959760000006</v>
      </c>
      <c r="AL224" s="120"/>
      <c r="AN224" s="7">
        <f t="shared" si="188"/>
        <v>4872.6712229298864</v>
      </c>
      <c r="AO224" s="7">
        <f t="shared" si="189"/>
        <v>12448.649067569475</v>
      </c>
      <c r="AP224" s="7">
        <f t="shared" si="190"/>
        <v>3745.8443389274848</v>
      </c>
      <c r="AQ224" s="7">
        <f t="shared" si="191"/>
        <v>5138.5627734611371</v>
      </c>
      <c r="AR224" s="7">
        <f t="shared" si="192"/>
        <v>7232.5367716695382</v>
      </c>
      <c r="AS224" s="7">
        <f t="shared" si="193"/>
        <v>6247.029109639343</v>
      </c>
      <c r="AT224" s="7">
        <f t="shared" si="194"/>
        <v>39685.293284196858</v>
      </c>
      <c r="AU224">
        <f>SUM($AT$9:AT224)</f>
        <v>68775701.73098138</v>
      </c>
      <c r="AV224" s="7">
        <f>AT224/(1+$AR$5)^(COUNT($E$9:E224))</f>
        <v>7747.7473297686884</v>
      </c>
      <c r="AW224" s="7">
        <f t="shared" si="208"/>
        <v>0</v>
      </c>
      <c r="AX224" s="7">
        <f t="shared" si="195"/>
        <v>0</v>
      </c>
      <c r="AY224" s="117">
        <f t="shared" si="196"/>
        <v>0</v>
      </c>
      <c r="AZ224" s="117">
        <f t="shared" si="197"/>
        <v>39685.293284196858</v>
      </c>
      <c r="BA224" s="120">
        <f t="shared" si="198"/>
        <v>1984.264664209843</v>
      </c>
      <c r="BB224" s="119">
        <f t="shared" si="163"/>
        <v>489.49952363888087</v>
      </c>
      <c r="BC224" s="17"/>
      <c r="BD224" s="126">
        <f t="shared" si="164"/>
        <v>0.12278279482616902</v>
      </c>
      <c r="BE224" s="127">
        <f t="shared" si="165"/>
        <v>0.31368418971787393</v>
      </c>
      <c r="BF224" s="127">
        <f t="shared" si="166"/>
        <v>9.4388727635260378E-2</v>
      </c>
      <c r="BG224" s="127">
        <f t="shared" si="167"/>
        <v>0.12948279698130319</v>
      </c>
      <c r="BH224" s="127">
        <f t="shared" si="168"/>
        <v>0.18224728036845875</v>
      </c>
      <c r="BI224" s="128">
        <f t="shared" si="169"/>
        <v>0.1574142104709349</v>
      </c>
      <c r="BJ224" s="126">
        <f t="array" ref="BJ224">BD224*INDEX(Royalty!$U$7:$Z$246,MATCH('Decline and Model'!$E224,Royalty!$AI$7:$AI$246,0),MATCH('Decline and Model'!BJ$8,Royalty!$U$1:$Z$1,0))</f>
        <v>4.1595570461531395E-2</v>
      </c>
      <c r="BK224" s="127">
        <f t="array" ref="BK224">BE224*INDEX(Royalty!$U$7:$Z$246,MATCH('Decline and Model'!$E224,Royalty!$AI$7:$AI$246,0),MATCH('Decline and Model'!BK$8,Royalty!$U$1:$Z$1,0))</f>
        <v>0.10424020488291275</v>
      </c>
      <c r="BL224" s="127">
        <f t="array" ref="BL224">BF224*INDEX(Royalty!$U$7:$Z$246,MATCH('Decline and Model'!$E224,Royalty!$AI$7:$AI$246,0),MATCH('Decline and Model'!BL$8,Royalty!$U$1:$Z$1,0))</f>
        <v>3.1953020403540811E-2</v>
      </c>
      <c r="BM224" s="127">
        <f t="array" ref="BM224">BG224*INDEX(Royalty!$U$7:$Z$246,MATCH('Decline and Model'!$E224,Royalty!$AI$7:$AI$246,0),MATCH('Decline and Model'!BM$8,Royalty!$U$1:$Z$1,0))</f>
        <v>4.311945227958143E-2</v>
      </c>
      <c r="BN224" s="127">
        <f t="array" ref="BN224">BH224*INDEX(Royalty!$U$7:$Z$246,MATCH('Decline and Model'!$E224,Royalty!$AI$7:$AI$246,0),MATCH('Decline and Model'!BN$8,Royalty!$U$1:$Z$1,0))</f>
        <v>3.4311634061470128E-2</v>
      </c>
      <c r="BO224" s="127">
        <f t="array" ref="BO224">BI224*INDEX(Royalty!$U$7:$Z$246,MATCH('Decline and Model'!$E224,Royalty!$AI$7:$AI$246,0),MATCH('Decline and Model'!BO$8,Royalty!$U$1:$Z$1,0))</f>
        <v>7.8707105235467454E-3</v>
      </c>
      <c r="BP224" s="135">
        <f t="shared" si="170"/>
        <v>0.05</v>
      </c>
      <c r="BQ224" s="7"/>
      <c r="BR224" s="7"/>
      <c r="BS224">
        <v>216</v>
      </c>
      <c r="BT224" s="120">
        <f t="shared" si="171"/>
        <v>1984.264664209843</v>
      </c>
      <c r="BU224" s="113">
        <f t="shared" si="172"/>
        <v>7307.2361636111918</v>
      </c>
      <c r="BV224" s="113">
        <f t="shared" si="173"/>
        <v>2192.1708490833576</v>
      </c>
      <c r="BW224" s="113">
        <f t="shared" si="206"/>
        <v>98188.856985574806</v>
      </c>
      <c r="BX224" s="113">
        <f t="shared" si="199"/>
        <v>2170.4107380812534</v>
      </c>
      <c r="BY224" s="120">
        <f t="shared" si="200"/>
        <v>26031.210869211212</v>
      </c>
      <c r="BZ224" s="153">
        <f t="shared" si="207"/>
        <v>0</v>
      </c>
      <c r="CA224" s="120">
        <f t="shared" si="209"/>
        <v>26031.210869211212</v>
      </c>
      <c r="CB224" s="120">
        <f t="shared" si="201"/>
        <v>6507.8027173028031</v>
      </c>
      <c r="CC224" s="153">
        <f t="shared" si="202"/>
        <v>21693.818889989663</v>
      </c>
      <c r="CD224" s="7">
        <f t="shared" si="174"/>
        <v>4235.2774407826701</v>
      </c>
      <c r="CE224" s="11">
        <f>SUM($CD$9:CD224)</f>
        <v>25580966.636258841</v>
      </c>
      <c r="CF224" s="11">
        <f t="shared" si="203"/>
        <v>12000000</v>
      </c>
      <c r="CG224">
        <f t="shared" si="204"/>
        <v>13580966.636258841</v>
      </c>
    </row>
    <row r="225" spans="1:85">
      <c r="A225">
        <f t="shared" si="175"/>
        <v>2035</v>
      </c>
      <c r="B225">
        <f t="shared" si="176"/>
        <v>30.416666666666668</v>
      </c>
      <c r="C225">
        <f t="shared" si="210"/>
        <v>19</v>
      </c>
      <c r="E225" s="97">
        <v>49400</v>
      </c>
      <c r="F225" s="2">
        <f>$F$6*EXP(-$F$3*COUNT($E$9:$E225))</f>
        <v>1.5552094657878353E-2</v>
      </c>
      <c r="G225" s="260">
        <f>$F$6/(1+$F$5*$F$3*COUNT($E$9:$E225))^(1/$F$5)</f>
        <v>1.3768553568506536</v>
      </c>
      <c r="H225" s="260">
        <f>$H$6/(1+$H$5*$H$3*COUNT($E$9:$E225))^(1/$H$5)</f>
        <v>77.49351373829596</v>
      </c>
      <c r="I225" s="260">
        <f t="shared" si="177"/>
        <v>14.760669283484944</v>
      </c>
      <c r="J225" s="260">
        <f t="shared" si="211"/>
        <v>6.1463426896431308</v>
      </c>
      <c r="K225" s="260">
        <f t="shared" si="211"/>
        <v>4.1816976080112847</v>
      </c>
      <c r="L225" s="260">
        <f t="shared" si="211"/>
        <v>1.9941664201988158</v>
      </c>
      <c r="M225" s="260">
        <f t="shared" si="211"/>
        <v>2.4399386325600614</v>
      </c>
      <c r="N225" s="19">
        <f t="shared" si="179"/>
        <v>0.47304287917713328</v>
      </c>
      <c r="O225" s="19">
        <f t="shared" si="180"/>
        <v>41.879350437540715</v>
      </c>
      <c r="P225" s="19">
        <f t="shared" si="181"/>
        <v>2357.0943762065021</v>
      </c>
      <c r="Q225" s="19">
        <f t="shared" si="182"/>
        <v>448.97035737266708</v>
      </c>
      <c r="R225" s="19">
        <f t="shared" si="183"/>
        <v>186.95125680997856</v>
      </c>
      <c r="S225" s="19">
        <f t="shared" si="184"/>
        <v>127.19330224367658</v>
      </c>
      <c r="T225" s="19">
        <f t="shared" si="185"/>
        <v>60.655895281047314</v>
      </c>
      <c r="U225" s="19">
        <f t="shared" si="186"/>
        <v>74.214800073701866</v>
      </c>
      <c r="V225" s="261">
        <f t="shared" si="205"/>
        <v>725.82248318515326</v>
      </c>
      <c r="W225" s="261">
        <f>SUM(O$9:O225)</f>
        <v>562162.53325209382</v>
      </c>
      <c r="X225" s="261">
        <f>SUM(P$9:P225)</f>
        <v>2507153.8813416539</v>
      </c>
      <c r="Y225" s="261">
        <f>SUM(Q$9:Q225)</f>
        <v>477553.12025555316</v>
      </c>
      <c r="Z225" s="261">
        <f>SUM($V$9:V225)</f>
        <v>1289647.4813282334</v>
      </c>
      <c r="AB225" s="257">
        <f t="array" ref="AB225">(INDEX(PriceDeck!$C$18:$O$77,MATCH('Decline and Model'!$A225,PriceDeck!$B$18:$B$77,0),MATCH('Decline and Model'!AB$8,PriceDeck!$C$13:$O$13,0))*(1+$AE$6))</f>
        <v>100.01673158400001</v>
      </c>
      <c r="AC225" s="257">
        <f t="array" ref="AC225">INDEX(PriceDeck!$C$18:$O$77,MATCH('Decline and Model'!$A225,PriceDeck!$B$18:$B$77,0),MATCH('Decline and Model'!AC$8,PriceDeck!$C$13:$O$13,0))*(1+$AE$6)</f>
        <v>114.19659288000001</v>
      </c>
      <c r="AD225" s="257">
        <f t="array" ref="AD225">INDEX(PriceDeck!$C$18:$O$77,MATCH('Decline and Model'!$A225,PriceDeck!$B$18:$B$77,0),MATCH('Decline and Model'!AD$8,PriceDeck!$C$13:$O$13,0))*(1+$AE$6)</f>
        <v>19.916751743999999</v>
      </c>
      <c r="AE225" s="257">
        <f t="array" ref="AE225">INDEX(PriceDeck!$C$18:$O$77,MATCH('Decline and Model'!$A225,PriceDeck!$B$18:$B$77,0),MATCH('Decline and Model'!AE$8,PriceDeck!$C$13:$O$13,0))*(1+$AE$6)</f>
        <v>40.158233136</v>
      </c>
      <c r="AF225" s="257">
        <f t="array" ref="AF225">INDEX(PriceDeck!$C$18:$O$77,MATCH('Decline and Model'!$A225,PriceDeck!$B$18:$B$77,0),MATCH('Decline and Model'!AF$8,PriceDeck!$C$13:$O$13,0))*(1+$AE$6)</f>
        <v>118.52632152</v>
      </c>
      <c r="AG225" s="257">
        <f t="array" ref="AG225">INDEX(PriceDeck!$C$18:$O$77,MATCH('Decline and Model'!$A225,PriceDeck!$B$18:$B$77,0),MATCH('Decline and Model'!AG$8,PriceDeck!$C$13:$O$13,0))*(1+$AE$6)</f>
        <v>83.672005968000008</v>
      </c>
      <c r="AH225" s="258">
        <f t="array" ref="AH225">INDEX(PriceDeck!$C$18:$O$77,MATCH('Decline and Model'!$A225,PriceDeck!$B$18:$B$77,0),MATCH('Decline and Model'!AH$8,PriceDeck!$C$13:$O$13,0))</f>
        <v>0.85</v>
      </c>
      <c r="AI225" s="258">
        <f t="shared" si="187"/>
        <v>5.2497959760000006</v>
      </c>
      <c r="AJ225" s="259">
        <f t="shared" si="162"/>
        <v>5.2497959760000006</v>
      </c>
      <c r="AK225" s="120">
        <v>5.2497959760000006</v>
      </c>
      <c r="AL225" s="120"/>
      <c r="AN225" s="7">
        <f t="shared" si="188"/>
        <v>4782.4791319946871</v>
      </c>
      <c r="AO225" s="7">
        <f t="shared" si="189"/>
        <v>12374.264571261127</v>
      </c>
      <c r="AP225" s="7">
        <f t="shared" si="190"/>
        <v>3723.4617701131324</v>
      </c>
      <c r="AQ225" s="7">
        <f t="shared" si="191"/>
        <v>5107.8582848392762</v>
      </c>
      <c r="AR225" s="7">
        <f t="shared" si="192"/>
        <v>7189.3201461648641</v>
      </c>
      <c r="AS225" s="7">
        <f t="shared" si="193"/>
        <v>6209.7011946807097</v>
      </c>
      <c r="AT225" s="7">
        <f t="shared" si="194"/>
        <v>39387.085099053795</v>
      </c>
      <c r="AU225">
        <f>SUM($AT$9:AT225)</f>
        <v>68815088.816080436</v>
      </c>
      <c r="AV225" s="7">
        <f>AT225/(1+$AR$5)^(COUNT($E$9:E225))</f>
        <v>7631.5927415584401</v>
      </c>
      <c r="AW225" s="7">
        <f t="shared" si="208"/>
        <v>0</v>
      </c>
      <c r="AX225" s="7">
        <f t="shared" si="195"/>
        <v>0</v>
      </c>
      <c r="AY225" s="117">
        <f t="shared" si="196"/>
        <v>0</v>
      </c>
      <c r="AZ225" s="117">
        <f t="shared" si="197"/>
        <v>39387.085099053795</v>
      </c>
      <c r="BA225" s="120">
        <f t="shared" si="198"/>
        <v>1969.3542549526899</v>
      </c>
      <c r="BB225" s="119">
        <f t="shared" si="163"/>
        <v>494.4006568148468</v>
      </c>
      <c r="BC225" s="17"/>
      <c r="BD225" s="126">
        <f t="shared" si="164"/>
        <v>0.12142252009681158</v>
      </c>
      <c r="BE225" s="127">
        <f t="shared" si="165"/>
        <v>0.3141706104968503</v>
      </c>
      <c r="BF225" s="127">
        <f t="shared" si="166"/>
        <v>9.4535093438599796E-2</v>
      </c>
      <c r="BG225" s="127">
        <f t="shared" si="167"/>
        <v>0.12968358211818989</v>
      </c>
      <c r="BH225" s="127">
        <f t="shared" si="168"/>
        <v>0.18252988582639681</v>
      </c>
      <c r="BI225" s="128">
        <f t="shared" si="169"/>
        <v>0.15765830802315164</v>
      </c>
      <c r="BJ225" s="126">
        <f t="array" ref="BJ225">BD225*INDEX(Royalty!$U$7:$Z$246,MATCH('Decline and Model'!$E225,Royalty!$AI$7:$AI$246,0),MATCH('Decline and Model'!BJ$8,Royalty!$U$1:$Z$1,0))</f>
        <v>4.1134745282953779E-2</v>
      </c>
      <c r="BK225" s="127">
        <f t="array" ref="BK225">BE225*INDEX(Royalty!$U$7:$Z$246,MATCH('Decline and Model'!$E225,Royalty!$AI$7:$AI$246,0),MATCH('Decline and Model'!BK$8,Royalty!$U$1:$Z$1,0))</f>
        <v>0.10440184708013477</v>
      </c>
      <c r="BL225" s="127">
        <f t="array" ref="BL225">BF225*INDEX(Royalty!$U$7:$Z$246,MATCH('Decline and Model'!$E225,Royalty!$AI$7:$AI$246,0),MATCH('Decline and Model'!BL$8,Royalty!$U$1:$Z$1,0))</f>
        <v>3.2002569005557757E-2</v>
      </c>
      <c r="BM225" s="127">
        <f t="array" ref="BM225">BG225*INDEX(Royalty!$U$7:$Z$246,MATCH('Decline and Model'!$E225,Royalty!$AI$7:$AI$246,0),MATCH('Decline and Model'!BM$8,Royalty!$U$1:$Z$1,0))</f>
        <v>4.3186316336662971E-2</v>
      </c>
      <c r="BN225" s="127">
        <f t="array" ref="BN225">BH225*INDEX(Royalty!$U$7:$Z$246,MATCH('Decline and Model'!$E225,Royalty!$AI$7:$AI$246,0),MATCH('Decline and Model'!BN$8,Royalty!$U$1:$Z$1,0))</f>
        <v>3.4364840095804032E-2</v>
      </c>
      <c r="BO225" s="127">
        <f t="array" ref="BO225">BI225*INDEX(Royalty!$U$7:$Z$246,MATCH('Decline and Model'!$E225,Royalty!$AI$7:$AI$246,0),MATCH('Decline and Model'!BO$8,Royalty!$U$1:$Z$1,0))</f>
        <v>7.8829154011575819E-3</v>
      </c>
      <c r="BP225" s="135">
        <f t="shared" si="170"/>
        <v>0.05</v>
      </c>
      <c r="BQ225" s="7"/>
      <c r="BR225" s="7"/>
      <c r="BS225">
        <v>217</v>
      </c>
      <c r="BT225" s="120">
        <f t="shared" si="171"/>
        <v>1969.3542549526899</v>
      </c>
      <c r="BU225" s="113">
        <f t="shared" si="172"/>
        <v>7258.2248318515321</v>
      </c>
      <c r="BV225" s="113">
        <f t="shared" si="173"/>
        <v>2177.46744955546</v>
      </c>
      <c r="BW225" s="113">
        <f t="shared" si="206"/>
        <v>96018.446247493557</v>
      </c>
      <c r="BX225" s="113">
        <f t="shared" si="199"/>
        <v>2122.435001153483</v>
      </c>
      <c r="BY225" s="120">
        <f t="shared" si="200"/>
        <v>25859.603561540625</v>
      </c>
      <c r="BZ225" s="153">
        <f t="shared" si="207"/>
        <v>0</v>
      </c>
      <c r="CA225" s="120">
        <f t="shared" si="209"/>
        <v>25859.603561540625</v>
      </c>
      <c r="CB225" s="120">
        <f t="shared" si="201"/>
        <v>6464.9008903851563</v>
      </c>
      <c r="CC225" s="153">
        <f t="shared" si="202"/>
        <v>21517.137672308952</v>
      </c>
      <c r="CD225" s="7">
        <f t="shared" si="174"/>
        <v>4169.1338992499232</v>
      </c>
      <c r="CE225" s="11">
        <f>SUM($CD$9:CD225)</f>
        <v>25585135.77015809</v>
      </c>
      <c r="CF225" s="11">
        <f t="shared" si="203"/>
        <v>12000000</v>
      </c>
      <c r="CG225">
        <f t="shared" si="204"/>
        <v>13585135.77015809</v>
      </c>
    </row>
    <row r="226" spans="1:85">
      <c r="A226">
        <f t="shared" si="175"/>
        <v>2035</v>
      </c>
      <c r="B226">
        <f t="shared" si="176"/>
        <v>30.416666666666668</v>
      </c>
      <c r="C226">
        <f t="shared" si="210"/>
        <v>19</v>
      </c>
      <c r="E226" s="97">
        <v>49430</v>
      </c>
      <c r="F226" s="2">
        <f>$F$6*EXP(-$F$3*COUNT($E$9:$E226))</f>
        <v>1.479361005119427E-2</v>
      </c>
      <c r="G226" s="260">
        <f>$F$6/(1+$F$5*$F$3*COUNT($E$9:$E226))^(1/$F$5)</f>
        <v>1.3514428956952402</v>
      </c>
      <c r="H226" s="260">
        <f>$H$6/(1+$H$5*$H$3*COUNT($E$9:$E226))^(1/$H$5)</f>
        <v>77.032434425679696</v>
      </c>
      <c r="I226" s="260">
        <f t="shared" si="177"/>
        <v>14.672844652510417</v>
      </c>
      <c r="J226" s="260">
        <f t="shared" si="211"/>
        <v>6.1097725133053373</v>
      </c>
      <c r="K226" s="260">
        <f t="shared" si="211"/>
        <v>4.1568168900562013</v>
      </c>
      <c r="L226" s="260">
        <f t="shared" si="211"/>
        <v>1.9823013125541573</v>
      </c>
      <c r="M226" s="260">
        <f t="shared" si="211"/>
        <v>2.4254212210599722</v>
      </c>
      <c r="N226" s="19">
        <f t="shared" si="179"/>
        <v>0.44997230572382574</v>
      </c>
      <c r="O226" s="19">
        <f t="shared" si="180"/>
        <v>41.106388077396893</v>
      </c>
      <c r="P226" s="19">
        <f t="shared" si="181"/>
        <v>2343.0698804477574</v>
      </c>
      <c r="Q226" s="19">
        <f t="shared" si="182"/>
        <v>446.29902484719184</v>
      </c>
      <c r="R226" s="19">
        <f t="shared" si="183"/>
        <v>185.8389139463707</v>
      </c>
      <c r="S226" s="19">
        <f t="shared" si="184"/>
        <v>126.43651373920946</v>
      </c>
      <c r="T226" s="19">
        <f t="shared" si="185"/>
        <v>60.294998256855621</v>
      </c>
      <c r="U226" s="19">
        <f t="shared" si="186"/>
        <v>73.773228807240827</v>
      </c>
      <c r="V226" s="261">
        <f t="shared" si="205"/>
        <v>720.98012179658417</v>
      </c>
      <c r="W226" s="261">
        <f>SUM(O$9:O226)</f>
        <v>562203.6396401712</v>
      </c>
      <c r="X226" s="261">
        <f>SUM(P$9:P226)</f>
        <v>2509496.9512221017</v>
      </c>
      <c r="Y226" s="261">
        <f>SUM(Q$9:Q226)</f>
        <v>477999.41928040038</v>
      </c>
      <c r="Z226" s="261">
        <f>SUM($V$9:V226)</f>
        <v>1290368.4614500299</v>
      </c>
      <c r="AB226" s="257">
        <f t="array" ref="AB226">(INDEX(PriceDeck!$C$18:$O$77,MATCH('Decline and Model'!$A226,PriceDeck!$B$18:$B$77,0),MATCH('Decline and Model'!AB$8,PriceDeck!$C$13:$O$13,0))*(1+$AE$6))</f>
        <v>100.01673158400001</v>
      </c>
      <c r="AC226" s="257">
        <f t="array" ref="AC226">INDEX(PriceDeck!$C$18:$O$77,MATCH('Decline and Model'!$A226,PriceDeck!$B$18:$B$77,0),MATCH('Decline and Model'!AC$8,PriceDeck!$C$13:$O$13,0))*(1+$AE$6)</f>
        <v>114.19659288000001</v>
      </c>
      <c r="AD226" s="257">
        <f t="array" ref="AD226">INDEX(PriceDeck!$C$18:$O$77,MATCH('Decline and Model'!$A226,PriceDeck!$B$18:$B$77,0),MATCH('Decline and Model'!AD$8,PriceDeck!$C$13:$O$13,0))*(1+$AE$6)</f>
        <v>19.916751743999999</v>
      </c>
      <c r="AE226" s="257">
        <f t="array" ref="AE226">INDEX(PriceDeck!$C$18:$O$77,MATCH('Decline and Model'!$A226,PriceDeck!$B$18:$B$77,0),MATCH('Decline and Model'!AE$8,PriceDeck!$C$13:$O$13,0))*(1+$AE$6)</f>
        <v>40.158233136</v>
      </c>
      <c r="AF226" s="257">
        <f t="array" ref="AF226">INDEX(PriceDeck!$C$18:$O$77,MATCH('Decline and Model'!$A226,PriceDeck!$B$18:$B$77,0),MATCH('Decline and Model'!AF$8,PriceDeck!$C$13:$O$13,0))*(1+$AE$6)</f>
        <v>118.52632152</v>
      </c>
      <c r="AG226" s="257">
        <f t="array" ref="AG226">INDEX(PriceDeck!$C$18:$O$77,MATCH('Decline and Model'!$A226,PriceDeck!$B$18:$B$77,0),MATCH('Decline and Model'!AG$8,PriceDeck!$C$13:$O$13,0))*(1+$AE$6)</f>
        <v>83.672005968000008</v>
      </c>
      <c r="AH226" s="258">
        <f t="array" ref="AH226">INDEX(PriceDeck!$C$18:$O$77,MATCH('Decline and Model'!$A226,PriceDeck!$B$18:$B$77,0),MATCH('Decline and Model'!AH$8,PriceDeck!$C$13:$O$13,0))</f>
        <v>0.85</v>
      </c>
      <c r="AI226" s="258">
        <f t="shared" si="187"/>
        <v>5.2497959760000006</v>
      </c>
      <c r="AJ226" s="259">
        <f t="shared" si="162"/>
        <v>5.2497959760000006</v>
      </c>
      <c r="AK226" s="120">
        <v>5.2497959760000006</v>
      </c>
      <c r="AL226" s="120"/>
      <c r="AN226" s="7">
        <f t="shared" si="188"/>
        <v>4694.209464041779</v>
      </c>
      <c r="AO226" s="7">
        <f t="shared" si="189"/>
        <v>12300.63882986144</v>
      </c>
      <c r="AP226" s="7">
        <f t="shared" si="190"/>
        <v>3701.3075134444443</v>
      </c>
      <c r="AQ226" s="7">
        <f t="shared" si="191"/>
        <v>5077.4669956422404</v>
      </c>
      <c r="AR226" s="7">
        <f t="shared" si="192"/>
        <v>7146.5443494399087</v>
      </c>
      <c r="AS226" s="7">
        <f t="shared" si="193"/>
        <v>6172.7540410380843</v>
      </c>
      <c r="AT226" s="7">
        <f t="shared" si="194"/>
        <v>39092.921193467897</v>
      </c>
      <c r="AU226">
        <f>SUM($AT$9:AT226)</f>
        <v>68854181.737273902</v>
      </c>
      <c r="AV226" s="7">
        <f>AT226/(1+$AR$5)^(COUNT($E$9:E226))</f>
        <v>7517.5263491191718</v>
      </c>
      <c r="AW226" s="7">
        <f t="shared" si="208"/>
        <v>0</v>
      </c>
      <c r="AX226" s="7">
        <f t="shared" si="195"/>
        <v>0</v>
      </c>
      <c r="AY226" s="117">
        <f t="shared" si="196"/>
        <v>0</v>
      </c>
      <c r="AZ226" s="117">
        <f t="shared" si="197"/>
        <v>39092.921193467897</v>
      </c>
      <c r="BA226" s="120">
        <f t="shared" si="198"/>
        <v>1954.646059673395</v>
      </c>
      <c r="BB226" s="119">
        <f t="shared" si="163"/>
        <v>499.24301820341589</v>
      </c>
      <c r="BC226" s="17"/>
      <c r="BD226" s="126">
        <f t="shared" si="164"/>
        <v>0.12007824743539867</v>
      </c>
      <c r="BE226" s="127">
        <f t="shared" si="165"/>
        <v>0.31465130909472111</v>
      </c>
      <c r="BF226" s="127">
        <f t="shared" si="166"/>
        <v>9.4679737416576135E-2</v>
      </c>
      <c r="BG226" s="127">
        <f t="shared" si="167"/>
        <v>0.12988200524883373</v>
      </c>
      <c r="BH226" s="127">
        <f t="shared" si="168"/>
        <v>0.18280916675610409</v>
      </c>
      <c r="BI226" s="128">
        <f t="shared" si="169"/>
        <v>0.15789953404836629</v>
      </c>
      <c r="BJ226" s="126">
        <f t="array" ref="BJ226">BD226*INDEX(Royalty!$U$7:$Z$246,MATCH('Decline and Model'!$E226,Royalty!$AI$7:$AI$246,0),MATCH('Decline and Model'!BJ$8,Royalty!$U$1:$Z$1,0))</f>
        <v>4.067934118267675E-2</v>
      </c>
      <c r="BK226" s="127">
        <f t="array" ref="BK226">BE226*INDEX(Royalty!$U$7:$Z$246,MATCH('Decline and Model'!$E226,Royalty!$AI$7:$AI$246,0),MATCH('Decline and Model'!BK$8,Royalty!$U$1:$Z$1,0))</f>
        <v>0.10456158774278673</v>
      </c>
      <c r="BL226" s="127">
        <f t="array" ref="BL226">BF226*INDEX(Royalty!$U$7:$Z$246,MATCH('Decline and Model'!$E226,Royalty!$AI$7:$AI$246,0),MATCH('Decline and Model'!BL$8,Royalty!$U$1:$Z$1,0))</f>
        <v>3.2051534725250332E-2</v>
      </c>
      <c r="BM226" s="127">
        <f t="array" ref="BM226">BG226*INDEX(Royalty!$U$7:$Z$246,MATCH('Decline and Model'!$E226,Royalty!$AI$7:$AI$246,0),MATCH('Decline and Model'!BM$8,Royalty!$U$1:$Z$1,0))</f>
        <v>4.3252393815003183E-2</v>
      </c>
      <c r="BN226" s="127">
        <f t="array" ref="BN226">BH226*INDEX(Royalty!$U$7:$Z$246,MATCH('Decline and Model'!$E226,Royalty!$AI$7:$AI$246,0),MATCH('Decline and Model'!BN$8,Royalty!$U$1:$Z$1,0))</f>
        <v>3.4417420222328222E-2</v>
      </c>
      <c r="BO226" s="127">
        <f t="array" ref="BO226">BI226*INDEX(Royalty!$U$7:$Z$246,MATCH('Decline and Model'!$E226,Royalty!$AI$7:$AI$246,0),MATCH('Decline and Model'!BO$8,Royalty!$U$1:$Z$1,0))</f>
        <v>7.8949767024183142E-3</v>
      </c>
      <c r="BP226" s="135">
        <f t="shared" si="170"/>
        <v>0.05</v>
      </c>
      <c r="BQ226" s="7"/>
      <c r="BR226" s="7"/>
      <c r="BS226">
        <v>218</v>
      </c>
      <c r="BT226" s="120">
        <f t="shared" si="171"/>
        <v>1954.646059673395</v>
      </c>
      <c r="BU226" s="113">
        <f t="shared" si="172"/>
        <v>7209.8012179658417</v>
      </c>
      <c r="BV226" s="113">
        <f t="shared" si="173"/>
        <v>2162.9403653897525</v>
      </c>
      <c r="BW226" s="113">
        <f t="shared" si="206"/>
        <v>93896.011246340073</v>
      </c>
      <c r="BX226" s="113">
        <f t="shared" si="199"/>
        <v>2075.519741532325</v>
      </c>
      <c r="BY226" s="120">
        <f t="shared" si="200"/>
        <v>25690.013808906584</v>
      </c>
      <c r="BZ226" s="153">
        <f t="shared" si="207"/>
        <v>0</v>
      </c>
      <c r="CA226" s="120">
        <f t="shared" si="209"/>
        <v>25690.013808906584</v>
      </c>
      <c r="CB226" s="120">
        <f t="shared" si="201"/>
        <v>6422.503452226646</v>
      </c>
      <c r="CC226" s="153">
        <f t="shared" si="202"/>
        <v>21343.030098212261</v>
      </c>
      <c r="CD226" s="7">
        <f t="shared" si="174"/>
        <v>4104.2415413091094</v>
      </c>
      <c r="CE226" s="11">
        <f>SUM($CD$9:CD226)</f>
        <v>25589240.011699397</v>
      </c>
      <c r="CF226" s="11">
        <f t="shared" si="203"/>
        <v>12000000</v>
      </c>
      <c r="CG226">
        <f t="shared" si="204"/>
        <v>13589240.011699397</v>
      </c>
    </row>
    <row r="227" spans="1:85">
      <c r="A227">
        <f t="shared" si="175"/>
        <v>2035</v>
      </c>
      <c r="B227">
        <f t="shared" si="176"/>
        <v>30.416666666666668</v>
      </c>
      <c r="C227">
        <f t="shared" si="210"/>
        <v>19</v>
      </c>
      <c r="E227" s="97">
        <v>49461</v>
      </c>
      <c r="F227" s="2">
        <f>$F$6*EXP(-$F$3*COUNT($E$9:$E227))</f>
        <v>1.4072117175285493E-2</v>
      </c>
      <c r="G227" s="260">
        <f>$F$6/(1+$F$5*$F$3*COUNT($E$9:$E227))^(1/$F$5)</f>
        <v>1.3265705515330914</v>
      </c>
      <c r="H227" s="260">
        <f>$H$6/(1+$H$5*$H$3*COUNT($E$9:$E227))^(1/$H$5)</f>
        <v>76.576038420351566</v>
      </c>
      <c r="I227" s="260">
        <f t="shared" si="177"/>
        <v>14.585912080066963</v>
      </c>
      <c r="J227" s="260">
        <f t="shared" si="211"/>
        <v>6.073573790139883</v>
      </c>
      <c r="K227" s="260">
        <f t="shared" si="211"/>
        <v>4.1321888922829704</v>
      </c>
      <c r="L227" s="260">
        <f t="shared" si="211"/>
        <v>1.9705567220170468</v>
      </c>
      <c r="M227" s="260">
        <f t="shared" si="211"/>
        <v>2.4110512668350692</v>
      </c>
      <c r="N227" s="19">
        <f t="shared" si="179"/>
        <v>0.42802689741493377</v>
      </c>
      <c r="O227" s="19">
        <f t="shared" si="180"/>
        <v>40.349854275798201</v>
      </c>
      <c r="P227" s="19">
        <f t="shared" si="181"/>
        <v>2329.1878352856934</v>
      </c>
      <c r="Q227" s="19">
        <f t="shared" si="182"/>
        <v>443.65482576870346</v>
      </c>
      <c r="R227" s="19">
        <f t="shared" si="183"/>
        <v>184.73786945008811</v>
      </c>
      <c r="S227" s="19">
        <f t="shared" si="184"/>
        <v>125.68741214027369</v>
      </c>
      <c r="T227" s="19">
        <f t="shared" si="185"/>
        <v>59.937766961351841</v>
      </c>
      <c r="U227" s="19">
        <f t="shared" si="186"/>
        <v>73.336142699566693</v>
      </c>
      <c r="V227" s="261">
        <f t="shared" si="205"/>
        <v>716.19552295315782</v>
      </c>
      <c r="W227" s="261">
        <f>SUM(O$9:O227)</f>
        <v>562243.98949444701</v>
      </c>
      <c r="X227" s="261">
        <f>SUM(P$9:P227)</f>
        <v>2511826.1390573876</v>
      </c>
      <c r="Y227" s="261">
        <f>SUM(Q$9:Q227)</f>
        <v>478443.07410616911</v>
      </c>
      <c r="Z227" s="261">
        <f>SUM($V$9:V227)</f>
        <v>1291084.6569729829</v>
      </c>
      <c r="AB227" s="257">
        <f t="array" ref="AB227">(INDEX(PriceDeck!$C$18:$O$77,MATCH('Decline and Model'!$A227,PriceDeck!$B$18:$B$77,0),MATCH('Decline and Model'!AB$8,PriceDeck!$C$13:$O$13,0))*(1+$AE$6))</f>
        <v>100.01673158400001</v>
      </c>
      <c r="AC227" s="257">
        <f t="array" ref="AC227">INDEX(PriceDeck!$C$18:$O$77,MATCH('Decline and Model'!$A227,PriceDeck!$B$18:$B$77,0),MATCH('Decline and Model'!AC$8,PriceDeck!$C$13:$O$13,0))*(1+$AE$6)</f>
        <v>114.19659288000001</v>
      </c>
      <c r="AD227" s="257">
        <f t="array" ref="AD227">INDEX(PriceDeck!$C$18:$O$77,MATCH('Decline and Model'!$A227,PriceDeck!$B$18:$B$77,0),MATCH('Decline and Model'!AD$8,PriceDeck!$C$13:$O$13,0))*(1+$AE$6)</f>
        <v>19.916751743999999</v>
      </c>
      <c r="AE227" s="257">
        <f t="array" ref="AE227">INDEX(PriceDeck!$C$18:$O$77,MATCH('Decline and Model'!$A227,PriceDeck!$B$18:$B$77,0),MATCH('Decline and Model'!AE$8,PriceDeck!$C$13:$O$13,0))*(1+$AE$6)</f>
        <v>40.158233136</v>
      </c>
      <c r="AF227" s="257">
        <f t="array" ref="AF227">INDEX(PriceDeck!$C$18:$O$77,MATCH('Decline and Model'!$A227,PriceDeck!$B$18:$B$77,0),MATCH('Decline and Model'!AF$8,PriceDeck!$C$13:$O$13,0))*(1+$AE$6)</f>
        <v>118.52632152</v>
      </c>
      <c r="AG227" s="257">
        <f t="array" ref="AG227">INDEX(PriceDeck!$C$18:$O$77,MATCH('Decline and Model'!$A227,PriceDeck!$B$18:$B$77,0),MATCH('Decline and Model'!AG$8,PriceDeck!$C$13:$O$13,0))*(1+$AE$6)</f>
        <v>83.672005968000008</v>
      </c>
      <c r="AH227" s="258">
        <f t="array" ref="AH227">INDEX(PriceDeck!$C$18:$O$77,MATCH('Decline and Model'!$A227,PriceDeck!$B$18:$B$77,0),MATCH('Decline and Model'!AH$8,PriceDeck!$C$13:$O$13,0))</f>
        <v>0.85</v>
      </c>
      <c r="AI227" s="258">
        <f t="shared" si="187"/>
        <v>5.2497959760000006</v>
      </c>
      <c r="AJ227" s="259">
        <f t="shared" si="162"/>
        <v>5.2497959760000006</v>
      </c>
      <c r="AK227" s="120">
        <v>5.2497959760000006</v>
      </c>
      <c r="AL227" s="120"/>
      <c r="AN227" s="7">
        <f t="shared" si="188"/>
        <v>4607.8158815006545</v>
      </c>
      <c r="AO227" s="7">
        <f t="shared" si="189"/>
        <v>12227.760925030985</v>
      </c>
      <c r="AP227" s="7">
        <f t="shared" si="190"/>
        <v>3679.3782835528864</v>
      </c>
      <c r="AQ227" s="7">
        <f t="shared" si="191"/>
        <v>5047.3843989896277</v>
      </c>
      <c r="AR227" s="7">
        <f t="shared" si="192"/>
        <v>7104.2030380520218</v>
      </c>
      <c r="AS227" s="7">
        <f t="shared" si="193"/>
        <v>6136.182169628245</v>
      </c>
      <c r="AT227" s="7">
        <f t="shared" si="194"/>
        <v>38802.72469675442</v>
      </c>
      <c r="AU227">
        <f>SUM($AT$9:AT227)</f>
        <v>68892984.461970657</v>
      </c>
      <c r="AV227" s="7">
        <f>AT227/(1+$AR$5)^(COUNT($E$9:E227))</f>
        <v>7405.5027494585802</v>
      </c>
      <c r="AW227" s="7">
        <f t="shared" si="208"/>
        <v>0</v>
      </c>
      <c r="AX227" s="7">
        <f t="shared" si="195"/>
        <v>0</v>
      </c>
      <c r="AY227" s="117">
        <f t="shared" si="196"/>
        <v>0</v>
      </c>
      <c r="AZ227" s="117">
        <f t="shared" si="197"/>
        <v>38802.72469675442</v>
      </c>
      <c r="BA227" s="120">
        <f t="shared" si="198"/>
        <v>1940.1362348377211</v>
      </c>
      <c r="BB227" s="119">
        <f t="shared" si="163"/>
        <v>504.02761704684224</v>
      </c>
      <c r="BC227" s="17"/>
      <c r="BD227" s="126">
        <f t="shared" si="164"/>
        <v>0.11874980217268265</v>
      </c>
      <c r="BE227" s="127">
        <f t="shared" si="165"/>
        <v>0.31512634797148031</v>
      </c>
      <c r="BF227" s="127">
        <f t="shared" si="166"/>
        <v>9.4822678363631535E-2</v>
      </c>
      <c r="BG227" s="127">
        <f t="shared" si="167"/>
        <v>0.1300780921555183</v>
      </c>
      <c r="BH227" s="127">
        <f t="shared" si="168"/>
        <v>0.18308515944619322</v>
      </c>
      <c r="BI227" s="128">
        <f t="shared" si="169"/>
        <v>0.15813791989049403</v>
      </c>
      <c r="BJ227" s="126">
        <f t="array" ref="BJ227">BD227*INDEX(Royalty!$U$7:$Z$246,MATCH('Decline and Model'!$E227,Royalty!$AI$7:$AI$246,0),MATCH('Decline and Model'!BJ$8,Royalty!$U$1:$Z$1,0))</f>
        <v>4.0229298987368982E-2</v>
      </c>
      <c r="BK227" s="127">
        <f t="array" ref="BK227">BE227*INDEX(Royalty!$U$7:$Z$246,MATCH('Decline and Model'!$E227,Royalty!$AI$7:$AI$246,0),MATCH('Decline and Model'!BK$8,Royalty!$U$1:$Z$1,0))</f>
        <v>0.10471944762691181</v>
      </c>
      <c r="BL227" s="127">
        <f t="array" ref="BL227">BF227*INDEX(Royalty!$U$7:$Z$246,MATCH('Decline and Model'!$E227,Royalty!$AI$7:$AI$246,0),MATCH('Decline and Model'!BL$8,Royalty!$U$1:$Z$1,0))</f>
        <v>3.2099923925022283E-2</v>
      </c>
      <c r="BM227" s="127">
        <f t="array" ref="BM227">BG227*INDEX(Royalty!$U$7:$Z$246,MATCH('Decline and Model'!$E227,Royalty!$AI$7:$AI$246,0),MATCH('Decline and Model'!BM$8,Royalty!$U$1:$Z$1,0))</f>
        <v>4.33176933004372E-2</v>
      </c>
      <c r="BN227" s="127">
        <f t="array" ref="BN227">BH227*INDEX(Royalty!$U$7:$Z$246,MATCH('Decline and Model'!$E227,Royalty!$AI$7:$AI$246,0),MATCH('Decline and Model'!BN$8,Royalty!$U$1:$Z$1,0))</f>
        <v>3.4469381273087574E-2</v>
      </c>
      <c r="BO227" s="127">
        <f t="array" ref="BO227">BI227*INDEX(Royalty!$U$7:$Z$246,MATCH('Decline and Model'!$E227,Royalty!$AI$7:$AI$246,0),MATCH('Decline and Model'!BO$8,Royalty!$U$1:$Z$1,0))</f>
        <v>7.906895994524701E-3</v>
      </c>
      <c r="BP227" s="135">
        <f t="shared" si="170"/>
        <v>0.05</v>
      </c>
      <c r="BQ227" s="7"/>
      <c r="BR227" s="7"/>
      <c r="BS227">
        <v>219</v>
      </c>
      <c r="BT227" s="120">
        <f t="shared" si="171"/>
        <v>1940.1362348377211</v>
      </c>
      <c r="BU227" s="113">
        <f t="shared" si="172"/>
        <v>7161.955229531578</v>
      </c>
      <c r="BV227" s="113">
        <f t="shared" si="173"/>
        <v>2148.5865688594736</v>
      </c>
      <c r="BW227" s="113">
        <f t="shared" si="206"/>
        <v>91820.491504807753</v>
      </c>
      <c r="BX227" s="113">
        <f t="shared" si="199"/>
        <v>2029.6415179495493</v>
      </c>
      <c r="BY227" s="120">
        <f t="shared" si="200"/>
        <v>25522.405145576096</v>
      </c>
      <c r="BZ227" s="153">
        <f t="shared" si="207"/>
        <v>0</v>
      </c>
      <c r="CA227" s="120">
        <f t="shared" si="209"/>
        <v>25522.405145576096</v>
      </c>
      <c r="CB227" s="120">
        <f t="shared" si="201"/>
        <v>6380.6012863940241</v>
      </c>
      <c r="CC227" s="153">
        <f t="shared" si="202"/>
        <v>21171.445377131622</v>
      </c>
      <c r="CD227" s="7">
        <f t="shared" si="174"/>
        <v>4040.5718458084048</v>
      </c>
      <c r="CE227" s="11">
        <f>SUM($CD$9:CD227)</f>
        <v>25593280.583545204</v>
      </c>
      <c r="CF227" s="11">
        <f t="shared" si="203"/>
        <v>12000000</v>
      </c>
      <c r="CG227">
        <f t="shared" si="204"/>
        <v>13593280.583545204</v>
      </c>
    </row>
    <row r="228" spans="1:85">
      <c r="A228">
        <f t="shared" si="175"/>
        <v>2035</v>
      </c>
      <c r="B228">
        <f t="shared" si="176"/>
        <v>30.416666666666668</v>
      </c>
      <c r="C228">
        <f t="shared" si="210"/>
        <v>19</v>
      </c>
      <c r="E228" s="97">
        <v>49491</v>
      </c>
      <c r="F228" s="2">
        <f>$F$6*EXP(-$F$3*COUNT($E$9:$E228))</f>
        <v>1.3385811922153448E-2</v>
      </c>
      <c r="G228" s="260">
        <f>$F$6/(1+$F$5*$F$3*COUNT($E$9:$E228))^(1/$F$5)</f>
        <v>1.3022253425225885</v>
      </c>
      <c r="H228" s="260">
        <f>$H$6/(1+$H$5*$H$3*COUNT($E$9:$E228))^(1/$H$5)</f>
        <v>76.12425861444305</v>
      </c>
      <c r="I228" s="260">
        <f t="shared" si="177"/>
        <v>14.499858783703438</v>
      </c>
      <c r="J228" s="260">
        <f t="shared" si="211"/>
        <v>6.0377411975341113</v>
      </c>
      <c r="K228" s="260">
        <f t="shared" si="211"/>
        <v>4.1078099934231842</v>
      </c>
      <c r="L228" s="260">
        <f t="shared" si="211"/>
        <v>1.9589309216783344</v>
      </c>
      <c r="M228" s="260">
        <f t="shared" si="211"/>
        <v>2.3968266569461782</v>
      </c>
      <c r="N228" s="19">
        <f t="shared" si="179"/>
        <v>0.40715177929883406</v>
      </c>
      <c r="O228" s="19">
        <f t="shared" si="180"/>
        <v>39.609354168395399</v>
      </c>
      <c r="P228" s="19">
        <f t="shared" si="181"/>
        <v>2315.4461995226429</v>
      </c>
      <c r="Q228" s="19">
        <f t="shared" si="182"/>
        <v>441.03737133764628</v>
      </c>
      <c r="R228" s="19">
        <f t="shared" si="183"/>
        <v>183.64796142499588</v>
      </c>
      <c r="S228" s="19">
        <f t="shared" si="184"/>
        <v>124.94588729995519</v>
      </c>
      <c r="T228" s="19">
        <f t="shared" si="185"/>
        <v>59.584148867716003</v>
      </c>
      <c r="U228" s="19">
        <f t="shared" si="186"/>
        <v>72.903477482112919</v>
      </c>
      <c r="V228" s="261">
        <f t="shared" si="205"/>
        <v>711.46769950913779</v>
      </c>
      <c r="W228" s="261">
        <f>SUM(O$9:O228)</f>
        <v>562283.59884861542</v>
      </c>
      <c r="X228" s="261">
        <f>SUM(P$9:P228)</f>
        <v>2514141.5852569104</v>
      </c>
      <c r="Y228" s="261">
        <f>SUM(Q$9:Q228)</f>
        <v>478884.11147750675</v>
      </c>
      <c r="Z228" s="261">
        <f>SUM($V$9:V228)</f>
        <v>1291796.124672492</v>
      </c>
      <c r="AB228" s="257">
        <f t="array" ref="AB228">(INDEX(PriceDeck!$C$18:$O$77,MATCH('Decline and Model'!$A228,PriceDeck!$B$18:$B$77,0),MATCH('Decline and Model'!AB$8,PriceDeck!$C$13:$O$13,0))*(1+$AE$6))</f>
        <v>100.01673158400001</v>
      </c>
      <c r="AC228" s="257">
        <f t="array" ref="AC228">INDEX(PriceDeck!$C$18:$O$77,MATCH('Decline and Model'!$A228,PriceDeck!$B$18:$B$77,0),MATCH('Decline and Model'!AC$8,PriceDeck!$C$13:$O$13,0))*(1+$AE$6)</f>
        <v>114.19659288000001</v>
      </c>
      <c r="AD228" s="257">
        <f t="array" ref="AD228">INDEX(PriceDeck!$C$18:$O$77,MATCH('Decline and Model'!$A228,PriceDeck!$B$18:$B$77,0),MATCH('Decline and Model'!AD$8,PriceDeck!$C$13:$O$13,0))*(1+$AE$6)</f>
        <v>19.916751743999999</v>
      </c>
      <c r="AE228" s="257">
        <f t="array" ref="AE228">INDEX(PriceDeck!$C$18:$O$77,MATCH('Decline and Model'!$A228,PriceDeck!$B$18:$B$77,0),MATCH('Decline and Model'!AE$8,PriceDeck!$C$13:$O$13,0))*(1+$AE$6)</f>
        <v>40.158233136</v>
      </c>
      <c r="AF228" s="257">
        <f t="array" ref="AF228">INDEX(PriceDeck!$C$18:$O$77,MATCH('Decline and Model'!$A228,PriceDeck!$B$18:$B$77,0),MATCH('Decline and Model'!AF$8,PriceDeck!$C$13:$O$13,0))*(1+$AE$6)</f>
        <v>118.52632152</v>
      </c>
      <c r="AG228" s="257">
        <f t="array" ref="AG228">INDEX(PriceDeck!$C$18:$O$77,MATCH('Decline and Model'!$A228,PriceDeck!$B$18:$B$77,0),MATCH('Decline and Model'!AG$8,PriceDeck!$C$13:$O$13,0))*(1+$AE$6)</f>
        <v>83.672005968000008</v>
      </c>
      <c r="AH228" s="258">
        <f t="array" ref="AH228">INDEX(PriceDeck!$C$18:$O$77,MATCH('Decline and Model'!$A228,PriceDeck!$B$18:$B$77,0),MATCH('Decline and Model'!AH$8,PriceDeck!$C$13:$O$13,0))</f>
        <v>0.85</v>
      </c>
      <c r="AI228" s="258">
        <f t="shared" si="187"/>
        <v>5.2497959760000006</v>
      </c>
      <c r="AJ228" s="259">
        <f t="shared" si="162"/>
        <v>5.2497959760000006</v>
      </c>
      <c r="AK228" s="120">
        <v>5.2497959760000006</v>
      </c>
      <c r="AL228" s="120"/>
      <c r="AN228" s="7">
        <f t="shared" si="188"/>
        <v>4523.2532922079808</v>
      </c>
      <c r="AO228" s="7">
        <f t="shared" si="189"/>
        <v>12155.620140898465</v>
      </c>
      <c r="AP228" s="7">
        <f t="shared" si="190"/>
        <v>3657.6708559933313</v>
      </c>
      <c r="AQ228" s="7">
        <f t="shared" si="191"/>
        <v>5017.6060715759822</v>
      </c>
      <c r="AR228" s="7">
        <f t="shared" si="192"/>
        <v>7062.2899861904507</v>
      </c>
      <c r="AS228" s="7">
        <f t="shared" si="193"/>
        <v>6099.9802029713064</v>
      </c>
      <c r="AT228" s="7">
        <f t="shared" si="194"/>
        <v>38516.420549837523</v>
      </c>
      <c r="AU228">
        <f>SUM($AT$9:AT228)</f>
        <v>68931500.882520497</v>
      </c>
      <c r="AV228" s="7">
        <f>AT228/(1+$AR$5)^(COUNT($E$9:E228))</f>
        <v>7295.4777135658196</v>
      </c>
      <c r="AW228" s="7">
        <f t="shared" si="208"/>
        <v>0</v>
      </c>
      <c r="AX228" s="7">
        <f t="shared" si="195"/>
        <v>0</v>
      </c>
      <c r="AY228" s="117">
        <f t="shared" si="196"/>
        <v>0</v>
      </c>
      <c r="AZ228" s="117">
        <f t="shared" si="197"/>
        <v>38516.420549837523</v>
      </c>
      <c r="BA228" s="120">
        <f t="shared" si="198"/>
        <v>1925.8210274918763</v>
      </c>
      <c r="BB228" s="119">
        <f t="shared" si="163"/>
        <v>508.75544049086227</v>
      </c>
      <c r="BC228" s="17"/>
      <c r="BD228" s="126">
        <f t="shared" si="164"/>
        <v>0.11743701069924738</v>
      </c>
      <c r="BE228" s="127">
        <f t="shared" si="165"/>
        <v>0.31559578920813663</v>
      </c>
      <c r="BF228" s="127">
        <f t="shared" si="166"/>
        <v>9.4963934960170138E-2</v>
      </c>
      <c r="BG228" s="127">
        <f t="shared" si="167"/>
        <v>0.13027186846408936</v>
      </c>
      <c r="BH228" s="127">
        <f t="shared" si="168"/>
        <v>0.18335789996509014</v>
      </c>
      <c r="BI228" s="128">
        <f t="shared" si="169"/>
        <v>0.15837349670326617</v>
      </c>
      <c r="BJ228" s="126">
        <f t="array" ref="BJ228">BD228*INDEX(Royalty!$U$7:$Z$246,MATCH('Decline and Model'!$E228,Royalty!$AI$7:$AI$246,0),MATCH('Decline and Model'!BJ$8,Royalty!$U$1:$Z$1,0))</f>
        <v>3.978455988274212E-2</v>
      </c>
      <c r="BK228" s="127">
        <f t="array" ref="BK228">BE228*INDEX(Royalty!$U$7:$Z$246,MATCH('Decline and Model'!$E228,Royalty!$AI$7:$AI$246,0),MATCH('Decline and Model'!BK$8,Royalty!$U$1:$Z$1,0))</f>
        <v>0.10487544736261271</v>
      </c>
      <c r="BL228" s="127">
        <f t="array" ref="BL228">BF228*INDEX(Royalty!$U$7:$Z$246,MATCH('Decline and Model'!$E228,Royalty!$AI$7:$AI$246,0),MATCH('Decline and Model'!BL$8,Royalty!$U$1:$Z$1,0))</f>
        <v>3.2147742928672528E-2</v>
      </c>
      <c r="BM228" s="127">
        <f t="array" ref="BM228">BG228*INDEX(Royalty!$U$7:$Z$246,MATCH('Decline and Model'!$E228,Royalty!$AI$7:$AI$246,0),MATCH('Decline and Model'!BM$8,Royalty!$U$1:$Z$1,0))</f>
        <v>4.3382223326704314E-2</v>
      </c>
      <c r="BN228" s="127">
        <f t="array" ref="BN228">BH228*INDEX(Royalty!$U$7:$Z$246,MATCH('Decline and Model'!$E228,Royalty!$AI$7:$AI$246,0),MATCH('Decline and Model'!BN$8,Royalty!$U$1:$Z$1,0))</f>
        <v>3.4520730038672474E-2</v>
      </c>
      <c r="BO228" s="127">
        <f t="array" ref="BO228">BI228*INDEX(Royalty!$U$7:$Z$246,MATCH('Decline and Model'!$E228,Royalty!$AI$7:$AI$246,0),MATCH('Decline and Model'!BO$8,Royalty!$U$1:$Z$1,0))</f>
        <v>7.9186748351633088E-3</v>
      </c>
      <c r="BP228" s="135">
        <f t="shared" si="170"/>
        <v>0.05</v>
      </c>
      <c r="BQ228" s="7"/>
      <c r="BR228" s="7"/>
      <c r="BS228">
        <v>220</v>
      </c>
      <c r="BT228" s="120">
        <f t="shared" si="171"/>
        <v>1925.8210274918763</v>
      </c>
      <c r="BU228" s="113">
        <f t="shared" si="172"/>
        <v>7114.6769950913776</v>
      </c>
      <c r="BV228" s="113">
        <f t="shared" si="173"/>
        <v>2134.4030985274135</v>
      </c>
      <c r="BW228" s="113">
        <f t="shared" si="206"/>
        <v>89790.8499868582</v>
      </c>
      <c r="BX228" s="113">
        <f t="shared" si="199"/>
        <v>1984.7774072932818</v>
      </c>
      <c r="BY228" s="120">
        <f t="shared" si="200"/>
        <v>25356.742021433576</v>
      </c>
      <c r="BZ228" s="153">
        <f t="shared" si="207"/>
        <v>0</v>
      </c>
      <c r="CA228" s="120">
        <f t="shared" si="209"/>
        <v>25356.742021433576</v>
      </c>
      <c r="CB228" s="120">
        <f t="shared" si="201"/>
        <v>6339.185505358394</v>
      </c>
      <c r="CC228" s="153">
        <f t="shared" si="202"/>
        <v>21002.333923368464</v>
      </c>
      <c r="CD228" s="7">
        <f t="shared" si="174"/>
        <v>3978.0970527243958</v>
      </c>
      <c r="CE228" s="11">
        <f>SUM($CD$9:CD228)</f>
        <v>25597258.680597927</v>
      </c>
      <c r="CF228" s="11">
        <f t="shared" si="203"/>
        <v>12000000</v>
      </c>
      <c r="CG228">
        <f t="shared" si="204"/>
        <v>13597258.680597927</v>
      </c>
    </row>
    <row r="229" spans="1:85">
      <c r="A229">
        <f t="shared" si="175"/>
        <v>2035</v>
      </c>
      <c r="B229">
        <f t="shared" si="176"/>
        <v>30.416666666666668</v>
      </c>
      <c r="C229">
        <f t="shared" si="210"/>
        <v>19</v>
      </c>
      <c r="E229" s="97">
        <v>49522</v>
      </c>
      <c r="F229" s="2">
        <f>$F$6*EXP(-$F$3*COUNT($E$9:$E229))</f>
        <v>1.2732978171184814E-2</v>
      </c>
      <c r="G229" s="260">
        <f>$F$6/(1+$F$5*$F$3*COUNT($E$9:$E229))^(1/$F$5)</f>
        <v>1.278394634744251</v>
      </c>
      <c r="H229" s="260">
        <f>$H$6/(1+$H$5*$H$3*COUNT($E$9:$E229))^(1/$H$5)</f>
        <v>75.677029139301609</v>
      </c>
      <c r="I229" s="260">
        <f t="shared" si="177"/>
        <v>14.41467221700983</v>
      </c>
      <c r="J229" s="260">
        <f t="shared" si="211"/>
        <v>6.0022695111628934</v>
      </c>
      <c r="K229" s="260">
        <f t="shared" si="211"/>
        <v>4.0836766390788846</v>
      </c>
      <c r="L229" s="260">
        <f t="shared" si="211"/>
        <v>1.9474222165180279</v>
      </c>
      <c r="M229" s="260">
        <f t="shared" si="211"/>
        <v>2.3827453174717248</v>
      </c>
      <c r="N229" s="19">
        <f t="shared" si="179"/>
        <v>0.38729475270687141</v>
      </c>
      <c r="O229" s="19">
        <f t="shared" si="180"/>
        <v>38.884503473470971</v>
      </c>
      <c r="P229" s="19">
        <f t="shared" si="181"/>
        <v>2301.8429696537573</v>
      </c>
      <c r="Q229" s="19">
        <f t="shared" si="182"/>
        <v>438.44627993404902</v>
      </c>
      <c r="R229" s="19">
        <f t="shared" si="183"/>
        <v>182.569030964538</v>
      </c>
      <c r="S229" s="19">
        <f t="shared" si="184"/>
        <v>124.21183110531608</v>
      </c>
      <c r="T229" s="19">
        <f t="shared" si="185"/>
        <v>59.234092419090018</v>
      </c>
      <c r="U229" s="19">
        <f t="shared" si="186"/>
        <v>72.475170073098298</v>
      </c>
      <c r="V229" s="261">
        <f t="shared" si="205"/>
        <v>706.79568583850551</v>
      </c>
      <c r="W229" s="261">
        <f>SUM(O$9:O229)</f>
        <v>562322.48335208895</v>
      </c>
      <c r="X229" s="261">
        <f>SUM(P$9:P229)</f>
        <v>2516443.4282265641</v>
      </c>
      <c r="Y229" s="261">
        <f>SUM(Q$9:Q229)</f>
        <v>479322.55775744078</v>
      </c>
      <c r="Z229" s="261">
        <f>SUM($V$9:V229)</f>
        <v>1292502.9203583305</v>
      </c>
      <c r="AB229" s="257">
        <f t="array" ref="AB229">(INDEX(PriceDeck!$C$18:$O$77,MATCH('Decline and Model'!$A229,PriceDeck!$B$18:$B$77,0),MATCH('Decline and Model'!AB$8,PriceDeck!$C$13:$O$13,0))*(1+$AE$6))</f>
        <v>100.01673158400001</v>
      </c>
      <c r="AC229" s="257">
        <f t="array" ref="AC229">INDEX(PriceDeck!$C$18:$O$77,MATCH('Decline and Model'!$A229,PriceDeck!$B$18:$B$77,0),MATCH('Decline and Model'!AC$8,PriceDeck!$C$13:$O$13,0))*(1+$AE$6)</f>
        <v>114.19659288000001</v>
      </c>
      <c r="AD229" s="257">
        <f t="array" ref="AD229">INDEX(PriceDeck!$C$18:$O$77,MATCH('Decline and Model'!$A229,PriceDeck!$B$18:$B$77,0),MATCH('Decline and Model'!AD$8,PriceDeck!$C$13:$O$13,0))*(1+$AE$6)</f>
        <v>19.916751743999999</v>
      </c>
      <c r="AE229" s="257">
        <f t="array" ref="AE229">INDEX(PriceDeck!$C$18:$O$77,MATCH('Decline and Model'!$A229,PriceDeck!$B$18:$B$77,0),MATCH('Decline and Model'!AE$8,PriceDeck!$C$13:$O$13,0))*(1+$AE$6)</f>
        <v>40.158233136</v>
      </c>
      <c r="AF229" s="257">
        <f t="array" ref="AF229">INDEX(PriceDeck!$C$18:$O$77,MATCH('Decline and Model'!$A229,PriceDeck!$B$18:$B$77,0),MATCH('Decline and Model'!AF$8,PriceDeck!$C$13:$O$13,0))*(1+$AE$6)</f>
        <v>118.52632152</v>
      </c>
      <c r="AG229" s="257">
        <f t="array" ref="AG229">INDEX(PriceDeck!$C$18:$O$77,MATCH('Decline and Model'!$A229,PriceDeck!$B$18:$B$77,0),MATCH('Decline and Model'!AG$8,PriceDeck!$C$13:$O$13,0))*(1+$AE$6)</f>
        <v>83.672005968000008</v>
      </c>
      <c r="AH229" s="258">
        <f t="array" ref="AH229">INDEX(PriceDeck!$C$18:$O$77,MATCH('Decline and Model'!$A229,PriceDeck!$B$18:$B$77,0),MATCH('Decline and Model'!AH$8,PriceDeck!$C$13:$O$13,0))</f>
        <v>0.85</v>
      </c>
      <c r="AI229" s="258">
        <f t="shared" si="187"/>
        <v>5.2497959760000006</v>
      </c>
      <c r="AJ229" s="259">
        <f t="shared" si="162"/>
        <v>5.2497959760000006</v>
      </c>
      <c r="AK229" s="120">
        <v>5.2497959760000006</v>
      </c>
      <c r="AL229" s="120"/>
      <c r="AN229" s="7">
        <f t="shared" si="188"/>
        <v>4440.4778125009107</v>
      </c>
      <c r="AO229" s="7">
        <f t="shared" si="189"/>
        <v>12084.205959472187</v>
      </c>
      <c r="AP229" s="7">
        <f t="shared" si="190"/>
        <v>3636.1820658633519</v>
      </c>
      <c r="AQ229" s="7">
        <f t="shared" si="191"/>
        <v>4988.1276717767396</v>
      </c>
      <c r="AR229" s="7">
        <f t="shared" si="192"/>
        <v>7020.7990830104582</v>
      </c>
      <c r="AS229" s="7">
        <f t="shared" si="193"/>
        <v>6064.1428628880967</v>
      </c>
      <c r="AT229" s="7">
        <f t="shared" si="194"/>
        <v>38233.935455511746</v>
      </c>
      <c r="AU229">
        <f>SUM($AT$9:AT229)</f>
        <v>68969734.817976013</v>
      </c>
      <c r="AV229" s="7">
        <f>AT229/(1+$AR$5)^(COUNT($E$9:E229))</f>
        <v>7187.4081513613455</v>
      </c>
      <c r="AW229" s="7">
        <f t="shared" si="208"/>
        <v>0</v>
      </c>
      <c r="AX229" s="7">
        <f t="shared" si="195"/>
        <v>0</v>
      </c>
      <c r="AY229" s="117">
        <f t="shared" si="196"/>
        <v>0</v>
      </c>
      <c r="AZ229" s="117">
        <f t="shared" si="197"/>
        <v>38233.935455511746</v>
      </c>
      <c r="BA229" s="120">
        <f t="shared" si="198"/>
        <v>1911.6967727755873</v>
      </c>
      <c r="BB229" s="119">
        <f t="shared" si="163"/>
        <v>513.42745416149455</v>
      </c>
      <c r="BC229" s="17"/>
      <c r="BD229" s="126">
        <f t="shared" si="164"/>
        <v>0.11613970049376066</v>
      </c>
      <c r="BE229" s="127">
        <f t="shared" si="165"/>
        <v>0.31605969449661103</v>
      </c>
      <c r="BF229" s="127">
        <f t="shared" si="166"/>
        <v>9.5103525769518069E-2</v>
      </c>
      <c r="BG229" s="127">
        <f t="shared" si="167"/>
        <v>0.13046335963978459</v>
      </c>
      <c r="BH229" s="127">
        <f t="shared" si="168"/>
        <v>0.18362742415516503</v>
      </c>
      <c r="BI229" s="128">
        <f t="shared" si="169"/>
        <v>0.15860629544516058</v>
      </c>
      <c r="BJ229" s="126">
        <f t="array" ref="BJ229">BD229*INDEX(Royalty!$U$7:$Z$246,MATCH('Decline and Model'!$E229,Royalty!$AI$7:$AI$246,0),MATCH('Decline and Model'!BJ$8,Royalty!$U$1:$Z$1,0))</f>
        <v>3.9345065423121904E-2</v>
      </c>
      <c r="BK229" s="127">
        <f t="array" ref="BK229">BE229*INDEX(Royalty!$U$7:$Z$246,MATCH('Decline and Model'!$E229,Royalty!$AI$7:$AI$246,0),MATCH('Decline and Model'!BK$8,Royalty!$U$1:$Z$1,0))</f>
        <v>0.10502960745069471</v>
      </c>
      <c r="BL229" s="127">
        <f t="array" ref="BL229">BF229*INDEX(Royalty!$U$7:$Z$246,MATCH('Decline and Model'!$E229,Royalty!$AI$7:$AI$246,0),MATCH('Decline and Model'!BL$8,Royalty!$U$1:$Z$1,0))</f>
        <v>3.2194998020366072E-2</v>
      </c>
      <c r="BM229" s="127">
        <f t="array" ref="BM229">BG229*INDEX(Royalty!$U$7:$Z$246,MATCH('Decline and Model'!$E229,Royalty!$AI$7:$AI$246,0),MATCH('Decline and Model'!BM$8,Royalty!$U$1:$Z$1,0))</f>
        <v>4.3445992374059259E-2</v>
      </c>
      <c r="BN229" s="127">
        <f t="array" ref="BN229">BH229*INDEX(Royalty!$U$7:$Z$246,MATCH('Decline and Model'!$E229,Royalty!$AI$7:$AI$246,0),MATCH('Decline and Model'!BN$8,Royalty!$U$1:$Z$1,0))</f>
        <v>3.4571473267113899E-2</v>
      </c>
      <c r="BO229" s="127">
        <f t="array" ref="BO229">BI229*INDEX(Royalty!$U$7:$Z$246,MATCH('Decline and Model'!$E229,Royalty!$AI$7:$AI$246,0),MATCH('Decline and Model'!BO$8,Royalty!$U$1:$Z$1,0))</f>
        <v>7.9303147722580292E-3</v>
      </c>
      <c r="BP229" s="135">
        <f t="shared" si="170"/>
        <v>0.05</v>
      </c>
      <c r="BQ229" s="7"/>
      <c r="BR229" s="7"/>
      <c r="BS229">
        <v>221</v>
      </c>
      <c r="BT229" s="120">
        <f t="shared" si="171"/>
        <v>1911.6967727755873</v>
      </c>
      <c r="BU229" s="113">
        <f t="shared" si="172"/>
        <v>7067.9568583850551</v>
      </c>
      <c r="BV229" s="113">
        <f t="shared" si="173"/>
        <v>2120.3870575155165</v>
      </c>
      <c r="BW229" s="113">
        <f t="shared" si="206"/>
        <v>87806.07257956492</v>
      </c>
      <c r="BX229" s="113">
        <f t="shared" si="199"/>
        <v>1940.9049931544425</v>
      </c>
      <c r="BY229" s="120">
        <f t="shared" si="200"/>
        <v>25192.989773681147</v>
      </c>
      <c r="BZ229" s="153">
        <f t="shared" si="207"/>
        <v>0</v>
      </c>
      <c r="CA229" s="120">
        <f t="shared" si="209"/>
        <v>25192.989773681147</v>
      </c>
      <c r="CB229" s="120">
        <f t="shared" si="201"/>
        <v>6298.2474434202868</v>
      </c>
      <c r="CC229" s="153">
        <f t="shared" si="202"/>
        <v>20835.647323415302</v>
      </c>
      <c r="CD229" s="7">
        <f t="shared" si="174"/>
        <v>3916.7901401480499</v>
      </c>
      <c r="CE229" s="11">
        <f>SUM($CD$9:CD229)</f>
        <v>25601175.470738076</v>
      </c>
      <c r="CF229" s="11">
        <f t="shared" si="203"/>
        <v>12000000</v>
      </c>
      <c r="CG229">
        <f t="shared" si="204"/>
        <v>13601175.470738076</v>
      </c>
    </row>
    <row r="230" spans="1:85">
      <c r="A230">
        <f t="shared" si="175"/>
        <v>2035</v>
      </c>
      <c r="B230">
        <f t="shared" si="176"/>
        <v>30.416666666666668</v>
      </c>
      <c r="C230">
        <f t="shared" si="210"/>
        <v>19</v>
      </c>
      <c r="E230" s="97">
        <v>49553</v>
      </c>
      <c r="F230" s="2">
        <f>$F$6*EXP(-$F$3*COUNT($E$9:$E230))</f>
        <v>1.2111983497956273E-2</v>
      </c>
      <c r="G230" s="260">
        <f>$F$6/(1+$F$5*$F$3*COUNT($E$9:$E230))^(1/$F$5)</f>
        <v>1.2550661319194765</v>
      </c>
      <c r="H230" s="260">
        <f>$H$6/(1+$H$5*$H$3*COUNT($E$9:$E230))^(1/$H$5)</f>
        <v>75.23428533752346</v>
      </c>
      <c r="I230" s="260">
        <f t="shared" si="177"/>
        <v>14.330340064290182</v>
      </c>
      <c r="J230" s="260">
        <f t="shared" si="211"/>
        <v>5.9671536027704315</v>
      </c>
      <c r="K230" s="260">
        <f t="shared" si="211"/>
        <v>4.0597853402134083</v>
      </c>
      <c r="L230" s="260">
        <f t="shared" si="211"/>
        <v>1.9360289426856034</v>
      </c>
      <c r="M230" s="260">
        <f t="shared" si="211"/>
        <v>2.368805212627167</v>
      </c>
      <c r="N230" s="19">
        <f t="shared" si="179"/>
        <v>0.36840616472950333</v>
      </c>
      <c r="O230" s="19">
        <f t="shared" si="180"/>
        <v>38.17492817921741</v>
      </c>
      <c r="P230" s="19">
        <f t="shared" si="181"/>
        <v>2288.3761790163385</v>
      </c>
      <c r="Q230" s="19">
        <f t="shared" si="182"/>
        <v>435.88117695549306</v>
      </c>
      <c r="R230" s="19">
        <f t="shared" si="183"/>
        <v>181.5009220842673</v>
      </c>
      <c r="S230" s="19">
        <f t="shared" si="184"/>
        <v>123.48513743149117</v>
      </c>
      <c r="T230" s="19">
        <f t="shared" si="185"/>
        <v>58.887547006687107</v>
      </c>
      <c r="U230" s="19">
        <f t="shared" si="186"/>
        <v>72.051158550742997</v>
      </c>
      <c r="V230" s="261">
        <f t="shared" si="205"/>
        <v>702.17853727540569</v>
      </c>
      <c r="W230" s="261">
        <f>SUM(O$9:O230)</f>
        <v>562360.6582802682</v>
      </c>
      <c r="X230" s="261">
        <f>SUM(P$9:P230)</f>
        <v>2518731.8044055803</v>
      </c>
      <c r="Y230" s="261">
        <f>SUM(Q$9:Q230)</f>
        <v>479758.43893439625</v>
      </c>
      <c r="Z230" s="261">
        <f>SUM($V$9:V230)</f>
        <v>1293205.0988956059</v>
      </c>
      <c r="AB230" s="257">
        <f t="array" ref="AB230">(INDEX(PriceDeck!$C$18:$O$77,MATCH('Decline and Model'!$A230,PriceDeck!$B$18:$B$77,0),MATCH('Decline and Model'!AB$8,PriceDeck!$C$13:$O$13,0))*(1+$AE$6))</f>
        <v>100.01673158400001</v>
      </c>
      <c r="AC230" s="257">
        <f t="array" ref="AC230">INDEX(PriceDeck!$C$18:$O$77,MATCH('Decline and Model'!$A230,PriceDeck!$B$18:$B$77,0),MATCH('Decline and Model'!AC$8,PriceDeck!$C$13:$O$13,0))*(1+$AE$6)</f>
        <v>114.19659288000001</v>
      </c>
      <c r="AD230" s="257">
        <f t="array" ref="AD230">INDEX(PriceDeck!$C$18:$O$77,MATCH('Decline and Model'!$A230,PriceDeck!$B$18:$B$77,0),MATCH('Decline and Model'!AD$8,PriceDeck!$C$13:$O$13,0))*(1+$AE$6)</f>
        <v>19.916751743999999</v>
      </c>
      <c r="AE230" s="257">
        <f t="array" ref="AE230">INDEX(PriceDeck!$C$18:$O$77,MATCH('Decline and Model'!$A230,PriceDeck!$B$18:$B$77,0),MATCH('Decline and Model'!AE$8,PriceDeck!$C$13:$O$13,0))*(1+$AE$6)</f>
        <v>40.158233136</v>
      </c>
      <c r="AF230" s="257">
        <f t="array" ref="AF230">INDEX(PriceDeck!$C$18:$O$77,MATCH('Decline and Model'!$A230,PriceDeck!$B$18:$B$77,0),MATCH('Decline and Model'!AF$8,PriceDeck!$C$13:$O$13,0))*(1+$AE$6)</f>
        <v>118.52632152</v>
      </c>
      <c r="AG230" s="257">
        <f t="array" ref="AG230">INDEX(PriceDeck!$C$18:$O$77,MATCH('Decline and Model'!$A230,PriceDeck!$B$18:$B$77,0),MATCH('Decline and Model'!AG$8,PriceDeck!$C$13:$O$13,0))*(1+$AE$6)</f>
        <v>83.672005968000008</v>
      </c>
      <c r="AH230" s="258">
        <f t="array" ref="AH230">INDEX(PriceDeck!$C$18:$O$77,MATCH('Decline and Model'!$A230,PriceDeck!$B$18:$B$77,0),MATCH('Decline and Model'!AH$8,PriceDeck!$C$13:$O$13,0))</f>
        <v>0.85</v>
      </c>
      <c r="AI230" s="258">
        <f t="shared" si="187"/>
        <v>5.2497959760000006</v>
      </c>
      <c r="AJ230" s="259">
        <f t="shared" si="162"/>
        <v>5.2497959760000006</v>
      </c>
      <c r="AK230" s="120">
        <v>5.2497959760000006</v>
      </c>
      <c r="AL230" s="120"/>
      <c r="AN230" s="7">
        <f t="shared" si="188"/>
        <v>4359.4467315053307</v>
      </c>
      <c r="AO230" s="7">
        <f t="shared" si="189"/>
        <v>12013.508056174231</v>
      </c>
      <c r="AP230" s="7">
        <f t="shared" si="190"/>
        <v>3614.9088064594389</v>
      </c>
      <c r="AQ230" s="7">
        <f t="shared" si="191"/>
        <v>4958.9449378048221</v>
      </c>
      <c r="AR230" s="7">
        <f t="shared" si="192"/>
        <v>6979.724330038709</v>
      </c>
      <c r="AS230" s="7">
        <f t="shared" si="193"/>
        <v>6028.6649682590833</v>
      </c>
      <c r="AT230" s="7">
        <f t="shared" si="194"/>
        <v>37955.197830241617</v>
      </c>
      <c r="AU230">
        <f>SUM($AT$9:AT230)</f>
        <v>69007690.015806258</v>
      </c>
      <c r="AV230" s="7">
        <f>AT230/(1+$AR$5)^(COUNT($E$9:E230))</f>
        <v>7081.2520778215467</v>
      </c>
      <c r="AW230" s="7">
        <f t="shared" si="208"/>
        <v>0</v>
      </c>
      <c r="AX230" s="7">
        <f t="shared" si="195"/>
        <v>0</v>
      </c>
      <c r="AY230" s="117">
        <f t="shared" si="196"/>
        <v>0</v>
      </c>
      <c r="AZ230" s="117">
        <f t="shared" si="197"/>
        <v>37955.197830241617</v>
      </c>
      <c r="BA230" s="120">
        <f t="shared" si="198"/>
        <v>1897.7598915120809</v>
      </c>
      <c r="BB230" s="119">
        <f t="shared" si="163"/>
        <v>518.04460272459437</v>
      </c>
      <c r="BC230" s="17"/>
      <c r="BD230" s="126">
        <f t="shared" si="164"/>
        <v>0.11485770014961819</v>
      </c>
      <c r="BE230" s="127">
        <f t="shared" si="165"/>
        <v>0.31651812513020838</v>
      </c>
      <c r="BF230" s="127">
        <f t="shared" si="166"/>
        <v>9.524146923505647E-2</v>
      </c>
      <c r="BG230" s="127">
        <f t="shared" si="167"/>
        <v>0.13065259098330076</v>
      </c>
      <c r="BH230" s="127">
        <f t="shared" si="168"/>
        <v>0.18389376762719609</v>
      </c>
      <c r="BI230" s="128">
        <f t="shared" si="169"/>
        <v>0.15883634687462003</v>
      </c>
      <c r="BJ230" s="126">
        <f t="array" ref="BJ230">BD230*INDEX(Royalty!$U$7:$Z$246,MATCH('Decline and Model'!$E230,Royalty!$AI$7:$AI$246,0),MATCH('Decline and Model'!BJ$8,Royalty!$U$1:$Z$1,0))</f>
        <v>3.8910757540474489E-2</v>
      </c>
      <c r="BK230" s="127">
        <f t="array" ref="BK230">BE230*INDEX(Royalty!$U$7:$Z$246,MATCH('Decline and Model'!$E230,Royalty!$AI$7:$AI$246,0),MATCH('Decline and Model'!BK$8,Royalty!$U$1:$Z$1,0))</f>
        <v>0.10518194825949917</v>
      </c>
      <c r="BL230" s="127">
        <f t="array" ref="BL230">BF230*INDEX(Royalty!$U$7:$Z$246,MATCH('Decline and Model'!$E230,Royalty!$AI$7:$AI$246,0),MATCH('Decline and Model'!BL$8,Royalty!$U$1:$Z$1,0))</f>
        <v>3.224169544366344E-2</v>
      </c>
      <c r="BM230" s="127">
        <f t="array" ref="BM230">BG230*INDEX(Royalty!$U$7:$Z$246,MATCH('Decline and Model'!$E230,Royalty!$AI$7:$AI$246,0),MATCH('Decline and Model'!BM$8,Royalty!$U$1:$Z$1,0))</f>
        <v>4.3509008867962502E-2</v>
      </c>
      <c r="BN230" s="127">
        <f t="array" ref="BN230">BH230*INDEX(Royalty!$U$7:$Z$246,MATCH('Decline and Model'!$E230,Royalty!$AI$7:$AI$246,0),MATCH('Decline and Model'!BN$8,Royalty!$U$1:$Z$1,0))</f>
        <v>3.4621617662841032E-2</v>
      </c>
      <c r="BO230" s="127">
        <f t="array" ref="BO230">BI230*INDEX(Royalty!$U$7:$Z$246,MATCH('Decline and Model'!$E230,Royalty!$AI$7:$AI$246,0),MATCH('Decline and Model'!BO$8,Royalty!$U$1:$Z$1,0))</f>
        <v>7.9418173437310023E-3</v>
      </c>
      <c r="BP230" s="135">
        <f t="shared" si="170"/>
        <v>0.05</v>
      </c>
      <c r="BQ230" s="7"/>
      <c r="BR230" s="7"/>
      <c r="BS230">
        <v>222</v>
      </c>
      <c r="BT230" s="120">
        <f t="shared" si="171"/>
        <v>1897.7598915120809</v>
      </c>
      <c r="BU230" s="113">
        <f t="shared" si="172"/>
        <v>7021.7853727540569</v>
      </c>
      <c r="BV230" s="113">
        <f t="shared" si="173"/>
        <v>2106.5356118262171</v>
      </c>
      <c r="BW230" s="113">
        <f t="shared" si="206"/>
        <v>85865.167586410476</v>
      </c>
      <c r="BX230" s="113">
        <f t="shared" si="199"/>
        <v>1898.0023546263578</v>
      </c>
      <c r="BY230" s="120">
        <f t="shared" si="200"/>
        <v>25031.114599522902</v>
      </c>
      <c r="BZ230" s="153">
        <f t="shared" si="207"/>
        <v>0</v>
      </c>
      <c r="CA230" s="120">
        <f t="shared" si="209"/>
        <v>25031.114599522902</v>
      </c>
      <c r="CB230" s="120">
        <f t="shared" si="201"/>
        <v>6257.7786498807254</v>
      </c>
      <c r="CC230" s="153">
        <f t="shared" si="202"/>
        <v>20671.338304268535</v>
      </c>
      <c r="CD230" s="7">
        <f t="shared" si="174"/>
        <v>3856.624802040239</v>
      </c>
      <c r="CE230" s="11">
        <f>SUM($CD$9:CD230)</f>
        <v>25605032.095540117</v>
      </c>
      <c r="CF230" s="11">
        <f t="shared" si="203"/>
        <v>12000000</v>
      </c>
      <c r="CG230">
        <f t="shared" si="204"/>
        <v>13605032.095540117</v>
      </c>
    </row>
    <row r="231" spans="1:85">
      <c r="A231">
        <f t="shared" si="175"/>
        <v>2035</v>
      </c>
      <c r="B231">
        <f t="shared" si="176"/>
        <v>30.416666666666668</v>
      </c>
      <c r="C231">
        <f t="shared" si="210"/>
        <v>19</v>
      </c>
      <c r="E231" s="97">
        <v>49583</v>
      </c>
      <c r="F231" s="2">
        <f>$F$6*EXP(-$F$3*COUNT($E$9:$E231))</f>
        <v>1.1521275092323103E-2</v>
      </c>
      <c r="G231" s="260">
        <f>$F$6/(1+$F$5*$F$3*COUNT($E$9:$E231))^(1/$F$5)</f>
        <v>1.2322278654612109</v>
      </c>
      <c r="H231" s="260">
        <f>$H$6/(1+$H$5*$H$3*COUNT($E$9:$E231))^(1/$H$5)</f>
        <v>74.795963735731618</v>
      </c>
      <c r="I231" s="260">
        <f t="shared" si="177"/>
        <v>14.246850235377451</v>
      </c>
      <c r="J231" s="260">
        <f t="shared" si="211"/>
        <v>5.9323884380111709</v>
      </c>
      <c r="K231" s="260">
        <f t="shared" si="211"/>
        <v>4.0361326716824317</v>
      </c>
      <c r="L231" s="260">
        <f t="shared" si="211"/>
        <v>1.9247494667994935</v>
      </c>
      <c r="M231" s="260">
        <f t="shared" si="211"/>
        <v>2.3550043439078925</v>
      </c>
      <c r="N231" s="19">
        <f t="shared" si="179"/>
        <v>0.35043878405816109</v>
      </c>
      <c r="O231" s="19">
        <f t="shared" si="180"/>
        <v>37.480264241111833</v>
      </c>
      <c r="P231" s="19">
        <f t="shared" si="181"/>
        <v>2275.0438969618367</v>
      </c>
      <c r="Q231" s="19">
        <f t="shared" si="182"/>
        <v>433.34169465939749</v>
      </c>
      <c r="R231" s="19">
        <f t="shared" si="183"/>
        <v>180.44348165617313</v>
      </c>
      <c r="S231" s="19">
        <f t="shared" si="184"/>
        <v>122.76570209700731</v>
      </c>
      <c r="T231" s="19">
        <f t="shared" si="185"/>
        <v>58.5444629484846</v>
      </c>
      <c r="U231" s="19">
        <f t="shared" si="186"/>
        <v>71.631382127198393</v>
      </c>
      <c r="V231" s="261">
        <f t="shared" si="205"/>
        <v>697.61532957126474</v>
      </c>
      <c r="W231" s="261">
        <f>SUM(O$9:O231)</f>
        <v>562398.1385445093</v>
      </c>
      <c r="X231" s="261">
        <f>SUM(P$9:P231)</f>
        <v>2521006.8483025422</v>
      </c>
      <c r="Y231" s="261">
        <f>SUM(Q$9:Q231)</f>
        <v>480191.78062905563</v>
      </c>
      <c r="Z231" s="261">
        <f>SUM($V$9:V231)</f>
        <v>1293902.7142251772</v>
      </c>
      <c r="AB231" s="257">
        <f t="array" ref="AB231">(INDEX(PriceDeck!$C$18:$O$77,MATCH('Decline and Model'!$A231,PriceDeck!$B$18:$B$77,0),MATCH('Decline and Model'!AB$8,PriceDeck!$C$13:$O$13,0))*(1+$AE$6))</f>
        <v>100.01673158400001</v>
      </c>
      <c r="AC231" s="257">
        <f t="array" ref="AC231">INDEX(PriceDeck!$C$18:$O$77,MATCH('Decline and Model'!$A231,PriceDeck!$B$18:$B$77,0),MATCH('Decline and Model'!AC$8,PriceDeck!$C$13:$O$13,0))*(1+$AE$6)</f>
        <v>114.19659288000001</v>
      </c>
      <c r="AD231" s="257">
        <f t="array" ref="AD231">INDEX(PriceDeck!$C$18:$O$77,MATCH('Decline and Model'!$A231,PriceDeck!$B$18:$B$77,0),MATCH('Decline and Model'!AD$8,PriceDeck!$C$13:$O$13,0))*(1+$AE$6)</f>
        <v>19.916751743999999</v>
      </c>
      <c r="AE231" s="257">
        <f t="array" ref="AE231">INDEX(PriceDeck!$C$18:$O$77,MATCH('Decline and Model'!$A231,PriceDeck!$B$18:$B$77,0),MATCH('Decline and Model'!AE$8,PriceDeck!$C$13:$O$13,0))*(1+$AE$6)</f>
        <v>40.158233136</v>
      </c>
      <c r="AF231" s="257">
        <f t="array" ref="AF231">INDEX(PriceDeck!$C$18:$O$77,MATCH('Decline and Model'!$A231,PriceDeck!$B$18:$B$77,0),MATCH('Decline and Model'!AF$8,PriceDeck!$C$13:$O$13,0))*(1+$AE$6)</f>
        <v>118.52632152</v>
      </c>
      <c r="AG231" s="257">
        <f t="array" ref="AG231">INDEX(PriceDeck!$C$18:$O$77,MATCH('Decline and Model'!$A231,PriceDeck!$B$18:$B$77,0),MATCH('Decline and Model'!AG$8,PriceDeck!$C$13:$O$13,0))*(1+$AE$6)</f>
        <v>83.672005968000008</v>
      </c>
      <c r="AH231" s="258">
        <f t="array" ref="AH231">INDEX(PriceDeck!$C$18:$O$77,MATCH('Decline and Model'!$A231,PriceDeck!$B$18:$B$77,0),MATCH('Decline and Model'!AH$8,PriceDeck!$C$13:$O$13,0))</f>
        <v>0.85</v>
      </c>
      <c r="AI231" s="258">
        <f t="shared" si="187"/>
        <v>5.2497959760000006</v>
      </c>
      <c r="AJ231" s="259">
        <f t="shared" si="162"/>
        <v>5.2497959760000006</v>
      </c>
      <c r="AK231" s="120">
        <v>5.2497959760000006</v>
      </c>
      <c r="AL231" s="120"/>
      <c r="AN231" s="7">
        <f t="shared" si="188"/>
        <v>4280.1184765770704</v>
      </c>
      <c r="AO231" s="7">
        <f t="shared" si="189"/>
        <v>11943.51629549361</v>
      </c>
      <c r="AP231" s="7">
        <f t="shared" si="190"/>
        <v>3593.8480279690179</v>
      </c>
      <c r="AQ231" s="7">
        <f t="shared" si="191"/>
        <v>4930.0536859163431</v>
      </c>
      <c r="AR231" s="7">
        <f t="shared" si="192"/>
        <v>6939.0598386478123</v>
      </c>
      <c r="AS231" s="7">
        <f t="shared" si="193"/>
        <v>5993.5414328430334</v>
      </c>
      <c r="AT231" s="7">
        <f t="shared" si="194"/>
        <v>37680.137757446886</v>
      </c>
      <c r="AU231">
        <f>SUM($AT$9:AT231)</f>
        <v>69045370.153563708</v>
      </c>
      <c r="AV231" s="7">
        <f>AT231/(1+$AR$5)^(COUNT($E$9:E231))</f>
        <v>6976.9685802348149</v>
      </c>
      <c r="AW231" s="7">
        <f t="shared" si="208"/>
        <v>0</v>
      </c>
      <c r="AX231" s="7">
        <f t="shared" si="195"/>
        <v>0</v>
      </c>
      <c r="AY231" s="117">
        <f t="shared" si="196"/>
        <v>0</v>
      </c>
      <c r="AZ231" s="117">
        <f t="shared" si="197"/>
        <v>37680.137757446886</v>
      </c>
      <c r="BA231" s="120">
        <f t="shared" si="198"/>
        <v>1884.0068878723444</v>
      </c>
      <c r="BB231" s="119">
        <f t="shared" si="163"/>
        <v>522.60781042873532</v>
      </c>
      <c r="BC231" s="17"/>
      <c r="BD231" s="126">
        <f t="shared" si="164"/>
        <v>0.11359083940002773</v>
      </c>
      <c r="BE231" s="127">
        <f t="shared" si="165"/>
        <v>0.31697114199464838</v>
      </c>
      <c r="BF231" s="127">
        <f t="shared" si="166"/>
        <v>9.5377783677522532E-2</v>
      </c>
      <c r="BG231" s="127">
        <f t="shared" si="167"/>
        <v>0.1308395876270913</v>
      </c>
      <c r="BH231" s="127">
        <f t="shared" si="168"/>
        <v>0.1841569657551588</v>
      </c>
      <c r="BI231" s="128">
        <f t="shared" si="169"/>
        <v>0.15906368154555126</v>
      </c>
      <c r="BJ231" s="126">
        <f t="array" ref="BJ231">BD231*INDEX(Royalty!$U$7:$Z$246,MATCH('Decline and Model'!$E231,Royalty!$AI$7:$AI$246,0),MATCH('Decline and Model'!BJ$8,Royalty!$U$1:$Z$1,0))</f>
        <v>3.8481578552904259E-2</v>
      </c>
      <c r="BK231" s="127">
        <f t="array" ref="BK231">BE231*INDEX(Royalty!$U$7:$Z$246,MATCH('Decline and Model'!$E231,Royalty!$AI$7:$AI$246,0),MATCH('Decline and Model'!BK$8,Royalty!$U$1:$Z$1,0))</f>
        <v>0.10533249002192306</v>
      </c>
      <c r="BL231" s="127">
        <f t="array" ref="BL231">BF231*INDEX(Royalty!$U$7:$Z$246,MATCH('Decline and Model'!$E231,Royalty!$AI$7:$AI$246,0),MATCH('Decline and Model'!BL$8,Royalty!$U$1:$Z$1,0))</f>
        <v>3.2287841400607011E-2</v>
      </c>
      <c r="BM231" s="127">
        <f t="array" ref="BM231">BG231*INDEX(Royalty!$U$7:$Z$246,MATCH('Decline and Model'!$E231,Royalty!$AI$7:$AI$246,0),MATCH('Decline and Model'!BM$8,Royalty!$U$1:$Z$1,0))</f>
        <v>4.3571281177847282E-2</v>
      </c>
      <c r="BN231" s="127">
        <f t="array" ref="BN231">BH231*INDEX(Royalty!$U$7:$Z$246,MATCH('Decline and Model'!$E231,Royalty!$AI$7:$AI$246,0),MATCH('Decline and Model'!BN$8,Royalty!$U$1:$Z$1,0))</f>
        <v>3.4671169885700341E-2</v>
      </c>
      <c r="BO231" s="127">
        <f t="array" ref="BO231">BI231*INDEX(Royalty!$U$7:$Z$246,MATCH('Decline and Model'!$E231,Royalty!$AI$7:$AI$246,0),MATCH('Decline and Model'!BO$8,Royalty!$U$1:$Z$1,0))</f>
        <v>7.9531840772775631E-3</v>
      </c>
      <c r="BP231" s="135">
        <f t="shared" si="170"/>
        <v>0.05</v>
      </c>
      <c r="BQ231" s="7"/>
      <c r="BR231" s="7"/>
      <c r="BS231">
        <v>223</v>
      </c>
      <c r="BT231" s="120">
        <f t="shared" si="171"/>
        <v>1884.0068878723444</v>
      </c>
      <c r="BU231" s="113">
        <f t="shared" si="172"/>
        <v>6976.1532957126474</v>
      </c>
      <c r="BV231" s="113">
        <f t="shared" si="173"/>
        <v>2092.8459887137942</v>
      </c>
      <c r="BW231" s="113">
        <f t="shared" si="206"/>
        <v>83967.165231784122</v>
      </c>
      <c r="BX231" s="113">
        <f t="shared" si="199"/>
        <v>1856.0480553519528</v>
      </c>
      <c r="BY231" s="120">
        <f t="shared" si="200"/>
        <v>24871.083529796146</v>
      </c>
      <c r="BZ231" s="153">
        <f t="shared" si="207"/>
        <v>0</v>
      </c>
      <c r="CA231" s="120">
        <f t="shared" si="209"/>
        <v>24871.083529796146</v>
      </c>
      <c r="CB231" s="120">
        <f t="shared" si="201"/>
        <v>6217.7708824490364</v>
      </c>
      <c r="CC231" s="153">
        <f t="shared" si="202"/>
        <v>20509.360702699061</v>
      </c>
      <c r="CD231" s="7">
        <f t="shared" si="174"/>
        <v>3797.5754267287375</v>
      </c>
      <c r="CE231" s="11">
        <f>SUM($CD$9:CD231)</f>
        <v>25608829.670966845</v>
      </c>
      <c r="CF231" s="11">
        <f t="shared" si="203"/>
        <v>12000000</v>
      </c>
      <c r="CG231">
        <f t="shared" si="204"/>
        <v>13608829.670966845</v>
      </c>
    </row>
    <row r="232" spans="1:85">
      <c r="A232">
        <f t="shared" si="175"/>
        <v>2035</v>
      </c>
      <c r="B232">
        <f t="shared" si="176"/>
        <v>30.416666666666668</v>
      </c>
      <c r="C232">
        <f t="shared" si="210"/>
        <v>19</v>
      </c>
      <c r="E232" s="97">
        <v>49614</v>
      </c>
      <c r="F232" s="2">
        <f>$F$6*EXP(-$F$3*COUNT($E$9:$E232))</f>
        <v>1.0959375875584909E-2</v>
      </c>
      <c r="G232" s="260">
        <f>$F$6/(1+$F$5*$F$3*COUNT($E$9:$E232))^(1/$F$5)</f>
        <v>1.2098681848449258</v>
      </c>
      <c r="H232" s="260">
        <f>$H$6/(1+$H$5*$H$3*COUNT($E$9:$E232))^(1/$H$5)</f>
        <v>74.362002018076055</v>
      </c>
      <c r="I232" s="260">
        <f t="shared" si="177"/>
        <v>14.164190860585915</v>
      </c>
      <c r="J232" s="260">
        <f t="shared" si="211"/>
        <v>5.8979690743479747</v>
      </c>
      <c r="K232" s="260">
        <f t="shared" si="211"/>
        <v>4.0127152708039899</v>
      </c>
      <c r="L232" s="260">
        <f t="shared" si="211"/>
        <v>1.9135821852651571</v>
      </c>
      <c r="M232" s="260">
        <f t="shared" si="211"/>
        <v>2.3413407492548517</v>
      </c>
      <c r="N232" s="19">
        <f t="shared" si="179"/>
        <v>0.33334768288237432</v>
      </c>
      <c r="O232" s="19">
        <f t="shared" si="180"/>
        <v>36.800157289033159</v>
      </c>
      <c r="P232" s="19">
        <f t="shared" si="181"/>
        <v>2261.8442280498134</v>
      </c>
      <c r="Q232" s="19">
        <f t="shared" si="182"/>
        <v>430.82747200948825</v>
      </c>
      <c r="R232" s="19">
        <f t="shared" si="183"/>
        <v>179.3965593447509</v>
      </c>
      <c r="S232" s="19">
        <f t="shared" si="184"/>
        <v>122.05342282028803</v>
      </c>
      <c r="T232" s="19">
        <f t="shared" si="185"/>
        <v>58.204791468481865</v>
      </c>
      <c r="U232" s="19">
        <f t="shared" si="186"/>
        <v>71.215781123168412</v>
      </c>
      <c r="V232" s="261">
        <f t="shared" si="205"/>
        <v>693.1051583680254</v>
      </c>
      <c r="W232" s="261">
        <f>SUM(O$9:O232)</f>
        <v>562434.93870179832</v>
      </c>
      <c r="X232" s="261">
        <f>SUM(P$9:P232)</f>
        <v>2523268.692530592</v>
      </c>
      <c r="Y232" s="261">
        <f>SUM(Q$9:Q232)</f>
        <v>480622.6081010651</v>
      </c>
      <c r="Z232" s="261">
        <f>SUM($V$9:V232)</f>
        <v>1294595.8193835453</v>
      </c>
      <c r="AB232" s="257">
        <f t="array" ref="AB232">(INDEX(PriceDeck!$C$18:$O$77,MATCH('Decline and Model'!$A232,PriceDeck!$B$18:$B$77,0),MATCH('Decline and Model'!AB$8,PriceDeck!$C$13:$O$13,0))*(1+$AE$6))</f>
        <v>100.01673158400001</v>
      </c>
      <c r="AC232" s="257">
        <f t="array" ref="AC232">INDEX(PriceDeck!$C$18:$O$77,MATCH('Decline and Model'!$A232,PriceDeck!$B$18:$B$77,0),MATCH('Decline and Model'!AC$8,PriceDeck!$C$13:$O$13,0))*(1+$AE$6)</f>
        <v>114.19659288000001</v>
      </c>
      <c r="AD232" s="257">
        <f t="array" ref="AD232">INDEX(PriceDeck!$C$18:$O$77,MATCH('Decline and Model'!$A232,PriceDeck!$B$18:$B$77,0),MATCH('Decline and Model'!AD$8,PriceDeck!$C$13:$O$13,0))*(1+$AE$6)</f>
        <v>19.916751743999999</v>
      </c>
      <c r="AE232" s="257">
        <f t="array" ref="AE232">INDEX(PriceDeck!$C$18:$O$77,MATCH('Decline and Model'!$A232,PriceDeck!$B$18:$B$77,0),MATCH('Decline and Model'!AE$8,PriceDeck!$C$13:$O$13,0))*(1+$AE$6)</f>
        <v>40.158233136</v>
      </c>
      <c r="AF232" s="257">
        <f t="array" ref="AF232">INDEX(PriceDeck!$C$18:$O$77,MATCH('Decline and Model'!$A232,PriceDeck!$B$18:$B$77,0),MATCH('Decline and Model'!AF$8,PriceDeck!$C$13:$O$13,0))*(1+$AE$6)</f>
        <v>118.52632152</v>
      </c>
      <c r="AG232" s="257">
        <f t="array" ref="AG232">INDEX(PriceDeck!$C$18:$O$77,MATCH('Decline and Model'!$A232,PriceDeck!$B$18:$B$77,0),MATCH('Decline and Model'!AG$8,PriceDeck!$C$13:$O$13,0))*(1+$AE$6)</f>
        <v>83.672005968000008</v>
      </c>
      <c r="AH232" s="258">
        <f t="array" ref="AH232">INDEX(PriceDeck!$C$18:$O$77,MATCH('Decline and Model'!$A232,PriceDeck!$B$18:$B$77,0),MATCH('Decline and Model'!AH$8,PriceDeck!$C$13:$O$13,0))</f>
        <v>0.85</v>
      </c>
      <c r="AI232" s="258">
        <f t="shared" si="187"/>
        <v>5.2497959760000006</v>
      </c>
      <c r="AJ232" s="259">
        <f t="shared" si="162"/>
        <v>5.2497959760000006</v>
      </c>
      <c r="AK232" s="120">
        <v>5.2497959760000006</v>
      </c>
      <c r="AL232" s="120"/>
      <c r="AN232" s="7">
        <f t="shared" si="188"/>
        <v>4202.4525798556842</v>
      </c>
      <c r="AO232" s="7">
        <f t="shared" si="189"/>
        <v>11874.220726754738</v>
      </c>
      <c r="AP232" s="7">
        <f t="shared" si="190"/>
        <v>3572.9967361971667</v>
      </c>
      <c r="AQ232" s="7">
        <f t="shared" si="191"/>
        <v>4901.4498086639096</v>
      </c>
      <c r="AR232" s="7">
        <f t="shared" si="192"/>
        <v>6898.7998275978343</v>
      </c>
      <c r="AS232" s="7">
        <f t="shared" si="193"/>
        <v>5958.7672631535297</v>
      </c>
      <c r="AT232" s="7">
        <f t="shared" si="194"/>
        <v>37408.686942222863</v>
      </c>
      <c r="AU232">
        <f>SUM($AT$9:AT232)</f>
        <v>69082778.840505928</v>
      </c>
      <c r="AV232" s="7">
        <f>AT232/(1+$AR$5)^(COUNT($E$9:E232))</f>
        <v>6874.5177865475625</v>
      </c>
      <c r="AW232" s="7">
        <f t="shared" si="208"/>
        <v>0</v>
      </c>
      <c r="AX232" s="7">
        <f t="shared" si="195"/>
        <v>0</v>
      </c>
      <c r="AY232" s="117">
        <f t="shared" si="196"/>
        <v>0</v>
      </c>
      <c r="AZ232" s="117">
        <f t="shared" si="197"/>
        <v>37408.686942222863</v>
      </c>
      <c r="BA232" s="120">
        <f t="shared" si="198"/>
        <v>1870.4343471111433</v>
      </c>
      <c r="BB232" s="119">
        <f t="shared" si="163"/>
        <v>527.11798163197466</v>
      </c>
      <c r="BC232" s="17"/>
      <c r="BD232" s="126">
        <f t="shared" si="164"/>
        <v>0.11233894914158059</v>
      </c>
      <c r="BE232" s="127">
        <f t="shared" si="165"/>
        <v>0.31741880555963614</v>
      </c>
      <c r="BF232" s="127">
        <f t="shared" si="166"/>
        <v>9.5512487292473136E-2</v>
      </c>
      <c r="BG232" s="127">
        <f t="shared" si="167"/>
        <v>0.13102437453188676</v>
      </c>
      <c r="BH232" s="127">
        <f t="shared" si="168"/>
        <v>0.18441705367132838</v>
      </c>
      <c r="BI232" s="128">
        <f t="shared" si="169"/>
        <v>0.15928832980309501</v>
      </c>
      <c r="BJ232" s="126">
        <f t="array" ref="BJ232">BD232*INDEX(Royalty!$U$7:$Z$246,MATCH('Decline and Model'!$E232,Royalty!$AI$7:$AI$246,0),MATCH('Decline and Model'!BJ$8,Royalty!$U$1:$Z$1,0))</f>
        <v>3.8057471172639253E-2</v>
      </c>
      <c r="BK232" s="127">
        <f t="array" ref="BK232">BE232*INDEX(Royalty!$U$7:$Z$246,MATCH('Decline and Model'!$E232,Royalty!$AI$7:$AI$246,0),MATCH('Decline and Model'!BK$8,Royalty!$U$1:$Z$1,0))</f>
        <v>0.10548125283261782</v>
      </c>
      <c r="BL232" s="127">
        <f t="array" ref="BL232">BF232*INDEX(Royalty!$U$7:$Z$246,MATCH('Decline and Model'!$E232,Royalty!$AI$7:$AI$246,0),MATCH('Decline and Model'!BL$8,Royalty!$U$1:$Z$1,0))</f>
        <v>3.2333442050862408E-2</v>
      </c>
      <c r="BM232" s="127">
        <f t="array" ref="BM232">BG232*INDEX(Royalty!$U$7:$Z$246,MATCH('Decline and Model'!$E232,Royalty!$AI$7:$AI$246,0),MATCH('Decline and Model'!BM$8,Royalty!$U$1:$Z$1,0))</f>
        <v>4.3632817615960912E-2</v>
      </c>
      <c r="BN232" s="127">
        <f t="array" ref="BN232">BH232*INDEX(Royalty!$U$7:$Z$246,MATCH('Decline and Model'!$E232,Royalty!$AI$7:$AI$246,0),MATCH('Decline and Model'!BN$8,Royalty!$U$1:$Z$1,0))</f>
        <v>3.4720136550033434E-2</v>
      </c>
      <c r="BO232" s="127">
        <f t="array" ref="BO232">BI232*INDEX(Royalty!$U$7:$Z$246,MATCH('Decline and Model'!$E232,Royalty!$AI$7:$AI$246,0),MATCH('Decline and Model'!BO$8,Royalty!$U$1:$Z$1,0))</f>
        <v>7.9644164901547503E-3</v>
      </c>
      <c r="BP232" s="135">
        <f t="shared" si="170"/>
        <v>0.05</v>
      </c>
      <c r="BQ232" s="7"/>
      <c r="BR232" s="7"/>
      <c r="BS232">
        <v>224</v>
      </c>
      <c r="BT232" s="120">
        <f t="shared" si="171"/>
        <v>1870.4343471111433</v>
      </c>
      <c r="BU232" s="113">
        <f t="shared" si="172"/>
        <v>6931.0515836802542</v>
      </c>
      <c r="BV232" s="113">
        <f t="shared" si="173"/>
        <v>2079.3154751040761</v>
      </c>
      <c r="BW232" s="113">
        <f t="shared" si="206"/>
        <v>82111.117176432163</v>
      </c>
      <c r="BX232" s="113">
        <f t="shared" si="199"/>
        <v>1815.0211328130488</v>
      </c>
      <c r="BY232" s="120">
        <f t="shared" si="200"/>
        <v>24712.864403514341</v>
      </c>
      <c r="BZ232" s="153">
        <f t="shared" si="207"/>
        <v>0</v>
      </c>
      <c r="CA232" s="120">
        <f t="shared" si="209"/>
        <v>24712.864403514341</v>
      </c>
      <c r="CB232" s="120">
        <f t="shared" si="201"/>
        <v>6178.2161008785852</v>
      </c>
      <c r="CC232" s="153">
        <f t="shared" si="202"/>
        <v>20349.669435448806</v>
      </c>
      <c r="CD232" s="7">
        <f t="shared" si="174"/>
        <v>3739.6170761197918</v>
      </c>
      <c r="CE232" s="11">
        <f>SUM($CD$9:CD232)</f>
        <v>25612569.288042966</v>
      </c>
      <c r="CF232" s="11">
        <f t="shared" si="203"/>
        <v>12000000</v>
      </c>
      <c r="CG232">
        <f t="shared" si="204"/>
        <v>13612569.288042966</v>
      </c>
    </row>
    <row r="233" spans="1:85">
      <c r="A233">
        <f t="shared" si="175"/>
        <v>2035</v>
      </c>
      <c r="B233">
        <f t="shared" si="176"/>
        <v>30.416666666666668</v>
      </c>
      <c r="C233">
        <f t="shared" si="210"/>
        <v>19</v>
      </c>
      <c r="E233" s="97">
        <v>49644</v>
      </c>
      <c r="F233" s="2">
        <f>$F$6*EXP(-$F$3*COUNT($E$9:$E233))</f>
        <v>1.0424880807019652E-2</v>
      </c>
      <c r="G233" s="260">
        <f>$F$6/(1+$F$5*$F$3*COUNT($E$9:$E233))^(1/$F$5)</f>
        <v>1.1879757482887212</v>
      </c>
      <c r="H233" s="260">
        <f>$H$6/(1+$H$5*$H$3*COUNT($E$9:$E233))^(1/$H$5)</f>
        <v>73.932339000433444</v>
      </c>
      <c r="I233" s="260">
        <f t="shared" si="177"/>
        <v>14.082350285796846</v>
      </c>
      <c r="J233" s="260">
        <f t="shared" si="211"/>
        <v>5.8638906590058069</v>
      </c>
      <c r="K233" s="260">
        <f t="shared" si="211"/>
        <v>3.9895298359662461</v>
      </c>
      <c r="L233" s="260">
        <f t="shared" si="211"/>
        <v>1.9025255236111538</v>
      </c>
      <c r="M233" s="260">
        <f t="shared" si="211"/>
        <v>2.3278125022422187</v>
      </c>
      <c r="N233" s="19">
        <f t="shared" si="179"/>
        <v>0.31709012454684776</v>
      </c>
      <c r="O233" s="19">
        <f t="shared" si="180"/>
        <v>36.134262343781941</v>
      </c>
      <c r="P233" s="19">
        <f t="shared" si="181"/>
        <v>2248.775311263184</v>
      </c>
      <c r="Q233" s="19">
        <f t="shared" si="182"/>
        <v>428.33815452632075</v>
      </c>
      <c r="R233" s="19">
        <f t="shared" si="183"/>
        <v>178.36000754475995</v>
      </c>
      <c r="S233" s="19">
        <f t="shared" si="184"/>
        <v>121.34819917730665</v>
      </c>
      <c r="T233" s="19">
        <f t="shared" si="185"/>
        <v>57.868484676505929</v>
      </c>
      <c r="U233" s="19">
        <f t="shared" si="186"/>
        <v>70.804296943200825</v>
      </c>
      <c r="V233" s="261">
        <f t="shared" si="205"/>
        <v>688.64713868695821</v>
      </c>
      <c r="W233" s="261">
        <f>SUM(O$9:O233)</f>
        <v>562471.07296414208</v>
      </c>
      <c r="X233" s="261">
        <f>SUM(P$9:P233)</f>
        <v>2525517.4678418553</v>
      </c>
      <c r="Y233" s="261">
        <f>SUM(Q$9:Q233)</f>
        <v>481050.94625559141</v>
      </c>
      <c r="Z233" s="261">
        <f>SUM($V$9:V233)</f>
        <v>1295284.4665222322</v>
      </c>
      <c r="AB233" s="257">
        <f t="array" ref="AB233">(INDEX(PriceDeck!$C$18:$O$77,MATCH('Decline and Model'!$A233,PriceDeck!$B$18:$B$77,0),MATCH('Decline and Model'!AB$8,PriceDeck!$C$13:$O$13,0))*(1+$AE$6))</f>
        <v>100.01673158400001</v>
      </c>
      <c r="AC233" s="257">
        <f t="array" ref="AC233">INDEX(PriceDeck!$C$18:$O$77,MATCH('Decline and Model'!$A233,PriceDeck!$B$18:$B$77,0),MATCH('Decline and Model'!AC$8,PriceDeck!$C$13:$O$13,0))*(1+$AE$6)</f>
        <v>114.19659288000001</v>
      </c>
      <c r="AD233" s="257">
        <f t="array" ref="AD233">INDEX(PriceDeck!$C$18:$O$77,MATCH('Decline and Model'!$A233,PriceDeck!$B$18:$B$77,0),MATCH('Decline and Model'!AD$8,PriceDeck!$C$13:$O$13,0))*(1+$AE$6)</f>
        <v>19.916751743999999</v>
      </c>
      <c r="AE233" s="257">
        <f t="array" ref="AE233">INDEX(PriceDeck!$C$18:$O$77,MATCH('Decline and Model'!$A233,PriceDeck!$B$18:$B$77,0),MATCH('Decline and Model'!AE$8,PriceDeck!$C$13:$O$13,0))*(1+$AE$6)</f>
        <v>40.158233136</v>
      </c>
      <c r="AF233" s="257">
        <f t="array" ref="AF233">INDEX(PriceDeck!$C$18:$O$77,MATCH('Decline and Model'!$A233,PriceDeck!$B$18:$B$77,0),MATCH('Decline and Model'!AF$8,PriceDeck!$C$13:$O$13,0))*(1+$AE$6)</f>
        <v>118.52632152</v>
      </c>
      <c r="AG233" s="257">
        <f t="array" ref="AG233">INDEX(PriceDeck!$C$18:$O$77,MATCH('Decline and Model'!$A233,PriceDeck!$B$18:$B$77,0),MATCH('Decline and Model'!AG$8,PriceDeck!$C$13:$O$13,0))*(1+$AE$6)</f>
        <v>83.672005968000008</v>
      </c>
      <c r="AH233" s="258">
        <f t="array" ref="AH233">INDEX(PriceDeck!$C$18:$O$77,MATCH('Decline and Model'!$A233,PriceDeck!$B$18:$B$77,0),MATCH('Decline and Model'!AH$8,PriceDeck!$C$13:$O$13,0))</f>
        <v>0.85</v>
      </c>
      <c r="AI233" s="258">
        <f t="shared" si="187"/>
        <v>5.2497959760000006</v>
      </c>
      <c r="AJ233" s="259">
        <f t="shared" si="162"/>
        <v>5.2497959760000006</v>
      </c>
      <c r="AK233" s="120">
        <v>5.2497959760000006</v>
      </c>
      <c r="AL233" s="120"/>
      <c r="AN233" s="7">
        <f t="shared" si="188"/>
        <v>4126.4096458919812</v>
      </c>
      <c r="AO233" s="7">
        <f t="shared" si="189"/>
        <v>11805.611579997612</v>
      </c>
      <c r="AP233" s="7">
        <f t="shared" si="190"/>
        <v>3552.3519913269506</v>
      </c>
      <c r="AQ233" s="7">
        <f t="shared" si="191"/>
        <v>4873.1292731960439</v>
      </c>
      <c r="AR233" s="7">
        <f t="shared" si="192"/>
        <v>6858.9386206427343</v>
      </c>
      <c r="AS233" s="7">
        <f t="shared" si="193"/>
        <v>5924.3375563915442</v>
      </c>
      <c r="AT233" s="7">
        <f t="shared" si="194"/>
        <v>37140.778667446866</v>
      </c>
      <c r="AU233">
        <f>SUM($AT$9:AT233)</f>
        <v>69119919.619173378</v>
      </c>
      <c r="AV233" s="7">
        <f>AT233/(1+$AR$5)^(COUNT($E$9:E233))</f>
        <v>6773.8608347602176</v>
      </c>
      <c r="AW233" s="7">
        <f t="shared" si="208"/>
        <v>0</v>
      </c>
      <c r="AX233" s="7">
        <f t="shared" si="195"/>
        <v>0</v>
      </c>
      <c r="AY233" s="117">
        <f t="shared" si="196"/>
        <v>0</v>
      </c>
      <c r="AZ233" s="117">
        <f t="shared" si="197"/>
        <v>37140.778667446866</v>
      </c>
      <c r="BA233" s="120">
        <f t="shared" si="198"/>
        <v>1857.0389333723433</v>
      </c>
      <c r="BB233" s="119">
        <f t="shared" si="163"/>
        <v>531.57600131304184</v>
      </c>
      <c r="BC233" s="17"/>
      <c r="BD233" s="126">
        <f t="shared" si="164"/>
        <v>0.11110186145635916</v>
      </c>
      <c r="BE233" s="127">
        <f t="shared" si="165"/>
        <v>0.31786117587095691</v>
      </c>
      <c r="BF233" s="127">
        <f t="shared" si="166"/>
        <v>9.5645598147906213E-2</v>
      </c>
      <c r="BG233" s="127">
        <f t="shared" si="167"/>
        <v>0.13120697648343174</v>
      </c>
      <c r="BH233" s="127">
        <f t="shared" si="168"/>
        <v>0.18467406626168703</v>
      </c>
      <c r="BI233" s="128">
        <f t="shared" si="169"/>
        <v>0.15951032177965899</v>
      </c>
      <c r="BJ233" s="126">
        <f t="array" ref="BJ233">BD233*INDEX(Royalty!$U$7:$Z$246,MATCH('Decline and Model'!$E233,Royalty!$AI$7:$AI$246,0),MATCH('Decline and Model'!BJ$8,Royalty!$U$1:$Z$1,0))</f>
        <v>3.763837851352058E-2</v>
      </c>
      <c r="BK233" s="127">
        <f t="array" ref="BK233">BE233*INDEX(Royalty!$U$7:$Z$246,MATCH('Decline and Model'!$E233,Royalty!$AI$7:$AI$246,0),MATCH('Decline and Model'!BK$8,Royalty!$U$1:$Z$1,0))</f>
        <v>0.10562825664536232</v>
      </c>
      <c r="BL233" s="127">
        <f t="array" ref="BL233">BF233*INDEX(Royalty!$U$7:$Z$246,MATCH('Decline and Model'!$E233,Royalty!$AI$7:$AI$246,0),MATCH('Decline and Model'!BL$8,Royalty!$U$1:$Z$1,0))</f>
        <v>3.2378503510913252E-2</v>
      </c>
      <c r="BM233" s="127">
        <f t="array" ref="BM233">BG233*INDEX(Royalty!$U$7:$Z$246,MATCH('Decline and Model'!$E233,Royalty!$AI$7:$AI$246,0),MATCH('Decline and Model'!BM$8,Royalty!$U$1:$Z$1,0))</f>
        <v>4.3693626436278089E-2</v>
      </c>
      <c r="BN233" s="127">
        <f t="array" ref="BN233">BH233*INDEX(Royalty!$U$7:$Z$246,MATCH('Decline and Model'!$E233,Royalty!$AI$7:$AI$246,0),MATCH('Decline and Model'!BN$8,Royalty!$U$1:$Z$1,0))</f>
        <v>3.4768524223812422E-2</v>
      </c>
      <c r="BO233" s="127">
        <f t="array" ref="BO233">BI233*INDEX(Royalty!$U$7:$Z$246,MATCH('Decline and Model'!$E233,Royalty!$AI$7:$AI$246,0),MATCH('Decline and Model'!BO$8,Royalty!$U$1:$Z$1,0))</f>
        <v>7.9755160889829497E-3</v>
      </c>
      <c r="BP233" s="135">
        <f t="shared" si="170"/>
        <v>0.05</v>
      </c>
      <c r="BQ233" s="7"/>
      <c r="BR233" s="7"/>
      <c r="BS233">
        <v>225</v>
      </c>
      <c r="BT233" s="120">
        <f t="shared" si="171"/>
        <v>1857.0389333723433</v>
      </c>
      <c r="BU233" s="113">
        <f t="shared" si="172"/>
        <v>6886.4713868695817</v>
      </c>
      <c r="BV233" s="113">
        <f t="shared" si="173"/>
        <v>2065.9414160608749</v>
      </c>
      <c r="BW233" s="113">
        <f t="shared" si="206"/>
        <v>80296.096043619109</v>
      </c>
      <c r="BX233" s="113">
        <f t="shared" si="199"/>
        <v>1774.9010878564138</v>
      </c>
      <c r="BY233" s="120">
        <f t="shared" si="200"/>
        <v>24556.425843287649</v>
      </c>
      <c r="BZ233" s="153">
        <f t="shared" si="207"/>
        <v>0</v>
      </c>
      <c r="CA233" s="120">
        <f t="shared" si="209"/>
        <v>24556.425843287649</v>
      </c>
      <c r="CB233" s="120">
        <f t="shared" si="201"/>
        <v>6139.1064608219122</v>
      </c>
      <c r="CC233" s="153">
        <f t="shared" si="202"/>
        <v>20192.220470322151</v>
      </c>
      <c r="CD233" s="7">
        <f t="shared" si="174"/>
        <v>3682.7254655983565</v>
      </c>
      <c r="CE233" s="11">
        <f>SUM($CD$9:CD233)</f>
        <v>25616252.013508566</v>
      </c>
      <c r="CF233" s="11">
        <f t="shared" si="203"/>
        <v>12000000</v>
      </c>
      <c r="CG233">
        <f t="shared" si="204"/>
        <v>13616252.013508566</v>
      </c>
    </row>
    <row r="234" spans="1:85">
      <c r="A234">
        <f t="shared" si="175"/>
        <v>2036</v>
      </c>
      <c r="B234">
        <f t="shared" si="176"/>
        <v>30.416666666666668</v>
      </c>
      <c r="C234">
        <f t="shared" si="210"/>
        <v>19</v>
      </c>
      <c r="E234" s="97">
        <v>49675</v>
      </c>
      <c r="F234" s="2">
        <f>$F$6*EXP(-$F$3*COUNT($E$9:$E234))</f>
        <v>9.916453370549836E-3</v>
      </c>
      <c r="G234" s="260">
        <f>$F$6/(1+$F$5*$F$3*COUNT($E$9:$E234))^(1/$F$5)</f>
        <v>1.1665395137317898</v>
      </c>
      <c r="H234" s="260">
        <f>$H$6/(1+$H$5*$H$3*COUNT($E$9:$E234))^(1/$H$5)</f>
        <v>73.506914605286383</v>
      </c>
      <c r="I234" s="260">
        <f t="shared" si="177"/>
        <v>14.001317067673597</v>
      </c>
      <c r="J234" s="260">
        <f t="shared" si="211"/>
        <v>5.8301484269792851</v>
      </c>
      <c r="K234" s="260">
        <f t="shared" si="211"/>
        <v>3.9665731252719301</v>
      </c>
      <c r="L234" s="260">
        <f t="shared" si="211"/>
        <v>1.891577935842703</v>
      </c>
      <c r="M234" s="260">
        <f t="shared" si="211"/>
        <v>2.3144177112864455</v>
      </c>
      <c r="N234" s="19">
        <f t="shared" si="179"/>
        <v>0.30162545668755752</v>
      </c>
      <c r="O234" s="19">
        <f t="shared" si="180"/>
        <v>35.48224354267527</v>
      </c>
      <c r="P234" s="19">
        <f t="shared" si="181"/>
        <v>2235.8353192441277</v>
      </c>
      <c r="Q234" s="19">
        <f t="shared" si="182"/>
        <v>425.87339414173857</v>
      </c>
      <c r="R234" s="19">
        <f t="shared" si="183"/>
        <v>177.33368132061992</v>
      </c>
      <c r="S234" s="19">
        <f t="shared" si="184"/>
        <v>120.64993256035454</v>
      </c>
      <c r="T234" s="19">
        <f t="shared" si="185"/>
        <v>57.53549554854888</v>
      </c>
      <c r="U234" s="19">
        <f t="shared" si="186"/>
        <v>70.396872051629387</v>
      </c>
      <c r="V234" s="261">
        <f t="shared" si="205"/>
        <v>684.2404044325458</v>
      </c>
      <c r="W234" s="261">
        <f>SUM(O$9:O234)</f>
        <v>562506.55520768475</v>
      </c>
      <c r="X234" s="261">
        <f>SUM(P$9:P234)</f>
        <v>2527753.3031610996</v>
      </c>
      <c r="Y234" s="261">
        <f>SUM(Q$9:Q234)</f>
        <v>481476.81964973314</v>
      </c>
      <c r="Z234" s="261">
        <f>SUM($V$9:V234)</f>
        <v>1295968.7069266648</v>
      </c>
      <c r="AB234" s="257">
        <f t="array" ref="AB234">(INDEX(PriceDeck!$C$18:$O$77,MATCH('Decline and Model'!$A234,PriceDeck!$B$18:$B$77,0),MATCH('Decline and Model'!AB$8,PriceDeck!$C$13:$O$13,0))*(1+$AE$6))</f>
        <v>102.01706621568002</v>
      </c>
      <c r="AC234" s="257">
        <f t="array" ref="AC234">INDEX(PriceDeck!$C$18:$O$77,MATCH('Decline and Model'!$A234,PriceDeck!$B$18:$B$77,0),MATCH('Decline and Model'!AC$8,PriceDeck!$C$13:$O$13,0))*(1+$AE$6)</f>
        <v>116.48052473760001</v>
      </c>
      <c r="AD234" s="257">
        <f t="array" ref="AD234">INDEX(PriceDeck!$C$18:$O$77,MATCH('Decline and Model'!$A234,PriceDeck!$B$18:$B$77,0),MATCH('Decline and Model'!AD$8,PriceDeck!$C$13:$O$13,0))*(1+$AE$6)</f>
        <v>20.315086778879998</v>
      </c>
      <c r="AE234" s="257">
        <f t="array" ref="AE234">INDEX(PriceDeck!$C$18:$O$77,MATCH('Decline and Model'!$A234,PriceDeck!$B$18:$B$77,0),MATCH('Decline and Model'!AE$8,PriceDeck!$C$13:$O$13,0))*(1+$AE$6)</f>
        <v>40.96139779872</v>
      </c>
      <c r="AF234" s="257">
        <f t="array" ref="AF234">INDEX(PriceDeck!$C$18:$O$77,MATCH('Decline and Model'!$A234,PriceDeck!$B$18:$B$77,0),MATCH('Decline and Model'!AF$8,PriceDeck!$C$13:$O$13,0))*(1+$AE$6)</f>
        <v>120.8968479504</v>
      </c>
      <c r="AG234" s="257">
        <f t="array" ref="AG234">INDEX(PriceDeck!$C$18:$O$77,MATCH('Decline and Model'!$A234,PriceDeck!$B$18:$B$77,0),MATCH('Decline and Model'!AG$8,PriceDeck!$C$13:$O$13,0))*(1+$AE$6)</f>
        <v>85.345446087360003</v>
      </c>
      <c r="AH234" s="258">
        <f t="array" ref="AH234">INDEX(PriceDeck!$C$18:$O$77,MATCH('Decline and Model'!$A234,PriceDeck!$B$18:$B$77,0),MATCH('Decline and Model'!AH$8,PriceDeck!$C$13:$O$13,0))</f>
        <v>0.85</v>
      </c>
      <c r="AI234" s="258">
        <f t="shared" si="187"/>
        <v>5.3547918955200009</v>
      </c>
      <c r="AJ234" s="259">
        <f t="shared" si="162"/>
        <v>5.3547918955200009</v>
      </c>
      <c r="AK234" s="120">
        <v>5.3547918955200009</v>
      </c>
      <c r="AL234" s="120"/>
      <c r="AN234" s="7">
        <f t="shared" si="188"/>
        <v>4132.9903467181348</v>
      </c>
      <c r="AO234" s="7">
        <f t="shared" si="189"/>
        <v>11972.43284720583</v>
      </c>
      <c r="AP234" s="7">
        <f t="shared" si="190"/>
        <v>3602.5491248466446</v>
      </c>
      <c r="AQ234" s="7">
        <f t="shared" si="191"/>
        <v>4941.9898819934233</v>
      </c>
      <c r="AR234" s="7">
        <f t="shared" si="192"/>
        <v>6955.8600570838298</v>
      </c>
      <c r="AS234" s="7">
        <f t="shared" si="193"/>
        <v>6008.0524484011157</v>
      </c>
      <c r="AT234" s="7">
        <f t="shared" si="194"/>
        <v>37613.874706248986</v>
      </c>
      <c r="AU234">
        <f>SUM($AT$9:AT234)</f>
        <v>69157533.493879631</v>
      </c>
      <c r="AV234" s="7">
        <f>AT234/(1+$AR$5)^(COUNT($E$9:E234))</f>
        <v>6808.4590402016893</v>
      </c>
      <c r="AW234" s="7">
        <f t="shared" si="208"/>
        <v>0</v>
      </c>
      <c r="AX234" s="7">
        <f t="shared" si="195"/>
        <v>0</v>
      </c>
      <c r="AY234" s="117">
        <f t="shared" si="196"/>
        <v>0</v>
      </c>
      <c r="AZ234" s="117">
        <f t="shared" si="197"/>
        <v>37613.874706248986</v>
      </c>
      <c r="BA234" s="120">
        <f t="shared" si="198"/>
        <v>1880.6937353124495</v>
      </c>
      <c r="BB234" s="119">
        <f t="shared" si="163"/>
        <v>535.98273556745426</v>
      </c>
      <c r="BC234" s="17"/>
      <c r="BD234" s="126">
        <f t="shared" si="164"/>
        <v>0.1098794096326242</v>
      </c>
      <c r="BE234" s="127">
        <f t="shared" si="165"/>
        <v>0.31829831254307839</v>
      </c>
      <c r="BF234" s="127">
        <f t="shared" si="166"/>
        <v>9.5777134182034554E-2</v>
      </c>
      <c r="BG234" s="127">
        <f t="shared" si="167"/>
        <v>0.13138741808943138</v>
      </c>
      <c r="BH234" s="127">
        <f t="shared" si="168"/>
        <v>0.18492803816162595</v>
      </c>
      <c r="BI234" s="128">
        <f t="shared" si="169"/>
        <v>0.15972968739120533</v>
      </c>
      <c r="BJ234" s="126">
        <f t="array" ref="BJ234">BD234*INDEX(Royalty!$U$7:$Z$246,MATCH('Decline and Model'!$E234,Royalty!$AI$7:$AI$246,0),MATCH('Decline and Model'!BJ$8,Royalty!$U$1:$Z$1,0))</f>
        <v>3.7551908032294225E-2</v>
      </c>
      <c r="BK234" s="127">
        <f t="array" ref="BK234">BE234*INDEX(Royalty!$U$7:$Z$246,MATCH('Decline and Model'!$E234,Royalty!$AI$7:$AI$246,0),MATCH('Decline and Model'!BK$8,Royalty!$U$1:$Z$1,0))</f>
        <v>0.10701191618648383</v>
      </c>
      <c r="BL234" s="127">
        <f t="array" ref="BL234">BF234*INDEX(Royalty!$U$7:$Z$246,MATCH('Decline and Model'!$E234,Royalty!$AI$7:$AI$246,0),MATCH('Decline and Model'!BL$8,Royalty!$U$1:$Z$1,0))</f>
        <v>3.2738571459288338E-2</v>
      </c>
      <c r="BM234" s="127">
        <f t="array" ref="BM234">BG234*INDEX(Royalty!$U$7:$Z$246,MATCH('Decline and Model'!$E234,Royalty!$AI$7:$AI$246,0),MATCH('Decline and Model'!BM$8,Royalty!$U$1:$Z$1,0))</f>
        <v>4.4151697528954641E-2</v>
      </c>
      <c r="BN234" s="127">
        <f t="array" ref="BN234">BH234*INDEX(Royalty!$U$7:$Z$246,MATCH('Decline and Model'!$E234,Royalty!$AI$7:$AI$246,0),MATCH('Decline and Model'!BN$8,Royalty!$U$1:$Z$1,0))</f>
        <v>3.5641548727832643E-2</v>
      </c>
      <c r="BO234" s="127">
        <f t="array" ref="BO234">BI234*INDEX(Royalty!$U$7:$Z$246,MATCH('Decline and Model'!$E234,Royalty!$AI$7:$AI$246,0),MATCH('Decline and Model'!BO$8,Royalty!$U$1:$Z$1,0))</f>
        <v>7.9864843695602664E-3</v>
      </c>
      <c r="BP234" s="135">
        <f t="shared" si="170"/>
        <v>0.05</v>
      </c>
      <c r="BQ234" s="7"/>
      <c r="BR234" s="7"/>
      <c r="BS234">
        <v>226</v>
      </c>
      <c r="BT234" s="120">
        <f t="shared" si="171"/>
        <v>1880.6937353124495</v>
      </c>
      <c r="BU234" s="113">
        <f t="shared" si="172"/>
        <v>6842.404044325458</v>
      </c>
      <c r="BV234" s="113">
        <f t="shared" si="173"/>
        <v>2052.7212132976374</v>
      </c>
      <c r="BW234" s="113">
        <f t="shared" si="206"/>
        <v>78521.194955762694</v>
      </c>
      <c r="BX234" s="113">
        <f t="shared" si="199"/>
        <v>1735.6678744513367</v>
      </c>
      <c r="BY234" s="120">
        <f t="shared" si="200"/>
        <v>25102.387838862101</v>
      </c>
      <c r="BZ234" s="153">
        <f t="shared" si="207"/>
        <v>0</v>
      </c>
      <c r="CA234" s="120">
        <f t="shared" si="209"/>
        <v>25102.387838862101</v>
      </c>
      <c r="CB234" s="120">
        <f t="shared" si="201"/>
        <v>6275.5969597155254</v>
      </c>
      <c r="CC234" s="153">
        <f t="shared" si="202"/>
        <v>20562.458753597912</v>
      </c>
      <c r="CD234" s="7">
        <f t="shared" si="174"/>
        <v>3721.9951223597118</v>
      </c>
      <c r="CE234" s="11">
        <f>SUM($CD$9:CD234)</f>
        <v>25619974.008630924</v>
      </c>
      <c r="CF234" s="11">
        <f t="shared" si="203"/>
        <v>12000000</v>
      </c>
      <c r="CG234">
        <f t="shared" si="204"/>
        <v>13619974.008630924</v>
      </c>
    </row>
    <row r="235" spans="1:85">
      <c r="A235">
        <f t="shared" si="175"/>
        <v>2036</v>
      </c>
      <c r="B235">
        <f t="shared" si="176"/>
        <v>30.416666666666668</v>
      </c>
      <c r="C235">
        <f t="shared" si="210"/>
        <v>19</v>
      </c>
      <c r="E235" s="97">
        <v>49706</v>
      </c>
      <c r="F235" s="2">
        <f>$F$6*EXP(-$F$3*COUNT($E$9:$E235))</f>
        <v>9.4328222327562782E-3</v>
      </c>
      <c r="G235" s="260">
        <f>$F$6/(1+$F$5*$F$3*COUNT($E$9:$E235))^(1/$F$5)</f>
        <v>1.1455487301009146</v>
      </c>
      <c r="H235" s="260">
        <f>$H$6/(1+$H$5*$H$3*COUNT($E$9:$E235))^(1/$H$5)</f>
        <v>73.085669837259871</v>
      </c>
      <c r="I235" s="260">
        <f t="shared" si="177"/>
        <v>13.92107996900188</v>
      </c>
      <c r="J235" s="260">
        <f t="shared" si="211"/>
        <v>5.7967376990923825</v>
      </c>
      <c r="K235" s="260">
        <f t="shared" si="211"/>
        <v>3.9438419552182324</v>
      </c>
      <c r="L235" s="260">
        <f t="shared" si="211"/>
        <v>1.8807379038121539</v>
      </c>
      <c r="M235" s="260">
        <f t="shared" si="211"/>
        <v>2.301154518876011</v>
      </c>
      <c r="N235" s="19">
        <f t="shared" si="179"/>
        <v>0.28691500957967014</v>
      </c>
      <c r="O235" s="19">
        <f t="shared" si="180"/>
        <v>34.843773873902819</v>
      </c>
      <c r="P235" s="19">
        <f t="shared" si="181"/>
        <v>2223.0224575499878</v>
      </c>
      <c r="Q235" s="19">
        <f t="shared" si="182"/>
        <v>423.43284905714052</v>
      </c>
      <c r="R235" s="19">
        <f t="shared" si="183"/>
        <v>176.31743834739331</v>
      </c>
      <c r="S235" s="19">
        <f t="shared" si="184"/>
        <v>119.9585261378879</v>
      </c>
      <c r="T235" s="19">
        <f t="shared" si="185"/>
        <v>57.205777907619684</v>
      </c>
      <c r="U235" s="19">
        <f t="shared" si="186"/>
        <v>69.993449949145329</v>
      </c>
      <c r="V235" s="261">
        <f t="shared" si="205"/>
        <v>679.8841079109277</v>
      </c>
      <c r="W235" s="261">
        <f>SUM(O$9:O235)</f>
        <v>562541.39898155862</v>
      </c>
      <c r="X235" s="261">
        <f>SUM(P$9:P235)</f>
        <v>2529976.3256186494</v>
      </c>
      <c r="Y235" s="261">
        <f>SUM(Q$9:Q235)</f>
        <v>481900.25249879027</v>
      </c>
      <c r="Z235" s="261">
        <f>SUM($V$9:V235)</f>
        <v>1296648.5910345758</v>
      </c>
      <c r="AB235" s="257">
        <f t="array" ref="AB235">(INDEX(PriceDeck!$C$18:$O$77,MATCH('Decline and Model'!$A235,PriceDeck!$B$18:$B$77,0),MATCH('Decline and Model'!AB$8,PriceDeck!$C$13:$O$13,0))*(1+$AE$6))</f>
        <v>102.01706621568002</v>
      </c>
      <c r="AC235" s="257">
        <f t="array" ref="AC235">INDEX(PriceDeck!$C$18:$O$77,MATCH('Decline and Model'!$A235,PriceDeck!$B$18:$B$77,0),MATCH('Decline and Model'!AC$8,PriceDeck!$C$13:$O$13,0))*(1+$AE$6)</f>
        <v>116.48052473760001</v>
      </c>
      <c r="AD235" s="257">
        <f t="array" ref="AD235">INDEX(PriceDeck!$C$18:$O$77,MATCH('Decline and Model'!$A235,PriceDeck!$B$18:$B$77,0),MATCH('Decline and Model'!AD$8,PriceDeck!$C$13:$O$13,0))*(1+$AE$6)</f>
        <v>20.315086778879998</v>
      </c>
      <c r="AE235" s="257">
        <f t="array" ref="AE235">INDEX(PriceDeck!$C$18:$O$77,MATCH('Decline and Model'!$A235,PriceDeck!$B$18:$B$77,0),MATCH('Decline and Model'!AE$8,PriceDeck!$C$13:$O$13,0))*(1+$AE$6)</f>
        <v>40.96139779872</v>
      </c>
      <c r="AF235" s="257">
        <f t="array" ref="AF235">INDEX(PriceDeck!$C$18:$O$77,MATCH('Decline and Model'!$A235,PriceDeck!$B$18:$B$77,0),MATCH('Decline and Model'!AF$8,PriceDeck!$C$13:$O$13,0))*(1+$AE$6)</f>
        <v>120.8968479504</v>
      </c>
      <c r="AG235" s="257">
        <f t="array" ref="AG235">INDEX(PriceDeck!$C$18:$O$77,MATCH('Decline and Model'!$A235,PriceDeck!$B$18:$B$77,0),MATCH('Decline and Model'!AG$8,PriceDeck!$C$13:$O$13,0))*(1+$AE$6)</f>
        <v>85.345446087360003</v>
      </c>
      <c r="AH235" s="258">
        <f t="array" ref="AH235">INDEX(PriceDeck!$C$18:$O$77,MATCH('Decline and Model'!$A235,PriceDeck!$B$18:$B$77,0),MATCH('Decline and Model'!AH$8,PriceDeck!$C$13:$O$13,0))</f>
        <v>0.85</v>
      </c>
      <c r="AI235" s="258">
        <f t="shared" si="187"/>
        <v>5.3547918955200009</v>
      </c>
      <c r="AJ235" s="259">
        <f t="shared" si="162"/>
        <v>5.3547918955200009</v>
      </c>
      <c r="AK235" s="120">
        <v>5.3547918955200009</v>
      </c>
      <c r="AL235" s="120"/>
      <c r="AN235" s="7">
        <f t="shared" si="188"/>
        <v>4058.6210646704781</v>
      </c>
      <c r="AO235" s="7">
        <f t="shared" si="189"/>
        <v>11903.82263924763</v>
      </c>
      <c r="AP235" s="7">
        <f t="shared" si="190"/>
        <v>3581.9040606571189</v>
      </c>
      <c r="AQ235" s="7">
        <f t="shared" si="191"/>
        <v>4913.6689084821774</v>
      </c>
      <c r="AR235" s="7">
        <f t="shared" si="192"/>
        <v>6915.9982335818486</v>
      </c>
      <c r="AS235" s="7">
        <f t="shared" si="193"/>
        <v>5973.6222091031132</v>
      </c>
      <c r="AT235" s="7">
        <f t="shared" si="194"/>
        <v>37347.637115742371</v>
      </c>
      <c r="AU235">
        <f>SUM($AT$9:AT235)</f>
        <v>69194881.130995378</v>
      </c>
      <c r="AV235" s="7">
        <f>AT235/(1+$AR$5)^(COUNT($E$9:E235))</f>
        <v>6709.3334402300279</v>
      </c>
      <c r="AW235" s="7">
        <f t="shared" si="208"/>
        <v>0</v>
      </c>
      <c r="AX235" s="7">
        <f t="shared" si="195"/>
        <v>0</v>
      </c>
      <c r="AY235" s="117">
        <f t="shared" si="196"/>
        <v>0</v>
      </c>
      <c r="AZ235" s="117">
        <f t="shared" si="197"/>
        <v>37347.637115742371</v>
      </c>
      <c r="BA235" s="120">
        <f t="shared" si="198"/>
        <v>1867.3818557871186</v>
      </c>
      <c r="BB235" s="119">
        <f t="shared" si="163"/>
        <v>540.33903208907236</v>
      </c>
      <c r="BC235" s="17"/>
      <c r="BD235" s="126">
        <f t="shared" si="164"/>
        <v>0.10867142818413356</v>
      </c>
      <c r="BE235" s="127">
        <f t="shared" si="165"/>
        <v>0.31873027475224286</v>
      </c>
      <c r="BF235" s="127">
        <f t="shared" si="166"/>
        <v>9.59071132012074E-2</v>
      </c>
      <c r="BG235" s="127">
        <f t="shared" si="167"/>
        <v>0.13156572377669967</v>
      </c>
      <c r="BH235" s="127">
        <f t="shared" si="168"/>
        <v>0.18517900375193191</v>
      </c>
      <c r="BI235" s="128">
        <f t="shared" si="169"/>
        <v>0.1599464563337844</v>
      </c>
      <c r="BJ235" s="126">
        <f t="array" ref="BJ235">BD235*INDEX(Royalty!$U$7:$Z$246,MATCH('Decline and Model'!$E235,Royalty!$AI$7:$AI$246,0),MATCH('Decline and Model'!BJ$8,Royalty!$U$1:$Z$1,0))</f>
        <v>3.7139073558482401E-2</v>
      </c>
      <c r="BK235" s="127">
        <f t="array" ref="BK235">BE235*INDEX(Royalty!$U$7:$Z$246,MATCH('Decline and Model'!$E235,Royalty!$AI$7:$AI$246,0),MATCH('Decline and Model'!BK$8,Royalty!$U$1:$Z$1,0))</f>
        <v>0.10715714191310964</v>
      </c>
      <c r="BL235" s="127">
        <f t="array" ref="BL235">BF235*INDEX(Royalty!$U$7:$Z$246,MATCH('Decline and Model'!$E235,Royalty!$AI$7:$AI$246,0),MATCH('Decline and Model'!BL$8,Royalty!$U$1:$Z$1,0))</f>
        <v>3.2783000930307074E-2</v>
      </c>
      <c r="BM235" s="127">
        <f t="array" ref="BM235">BG235*INDEX(Royalty!$U$7:$Z$246,MATCH('Decline and Model'!$E235,Royalty!$AI$7:$AI$246,0),MATCH('Decline and Model'!BM$8,Royalty!$U$1:$Z$1,0))</f>
        <v>4.4211615737915891E-2</v>
      </c>
      <c r="BN235" s="127">
        <f t="array" ref="BN235">BH235*INDEX(Royalty!$U$7:$Z$246,MATCH('Decline and Model'!$E235,Royalty!$AI$7:$AI$246,0),MATCH('Decline and Model'!BN$8,Royalty!$U$1:$Z$1,0))</f>
        <v>3.5689917825373611E-2</v>
      </c>
      <c r="BO235" s="127">
        <f t="array" ref="BO235">BI235*INDEX(Royalty!$U$7:$Z$246,MATCH('Decline and Model'!$E235,Royalty!$AI$7:$AI$246,0),MATCH('Decline and Model'!BO$8,Royalty!$U$1:$Z$1,0))</f>
        <v>7.9973228166892209E-3</v>
      </c>
      <c r="BP235" s="135">
        <f t="shared" si="170"/>
        <v>0.05</v>
      </c>
      <c r="BQ235" s="7"/>
      <c r="BR235" s="7"/>
      <c r="BS235">
        <v>227</v>
      </c>
      <c r="BT235" s="120">
        <f t="shared" si="171"/>
        <v>1867.3818557871186</v>
      </c>
      <c r="BU235" s="113">
        <f t="shared" si="172"/>
        <v>6798.8410791092774</v>
      </c>
      <c r="BV235" s="113">
        <f t="shared" si="173"/>
        <v>2039.6523237327831</v>
      </c>
      <c r="BW235" s="113">
        <f t="shared" si="206"/>
        <v>76785.52708131136</v>
      </c>
      <c r="BX235" s="113">
        <f t="shared" si="199"/>
        <v>1697.301889673601</v>
      </c>
      <c r="BY235" s="120">
        <f t="shared" si="200"/>
        <v>24944.459967439594</v>
      </c>
      <c r="BZ235" s="153">
        <f t="shared" si="207"/>
        <v>0</v>
      </c>
      <c r="CA235" s="120">
        <f t="shared" si="209"/>
        <v>24944.459967439594</v>
      </c>
      <c r="CB235" s="120">
        <f t="shared" si="201"/>
        <v>6236.1149918598985</v>
      </c>
      <c r="CC235" s="153">
        <f t="shared" si="202"/>
        <v>20405.646865253297</v>
      </c>
      <c r="CD235" s="7">
        <f t="shared" si="174"/>
        <v>3665.7818126025672</v>
      </c>
      <c r="CE235" s="11">
        <f>SUM($CD$9:CD235)</f>
        <v>25623639.790443525</v>
      </c>
      <c r="CF235" s="11">
        <f t="shared" si="203"/>
        <v>12000000</v>
      </c>
      <c r="CG235">
        <f t="shared" si="204"/>
        <v>13623639.790443525</v>
      </c>
    </row>
    <row r="236" spans="1:85">
      <c r="A236">
        <f t="shared" si="175"/>
        <v>2036</v>
      </c>
      <c r="B236">
        <f t="shared" si="176"/>
        <v>30.416666666666668</v>
      </c>
      <c r="C236">
        <f t="shared" si="210"/>
        <v>19</v>
      </c>
      <c r="E236" s="97">
        <v>49735</v>
      </c>
      <c r="F236" s="2">
        <f>$F$6*EXP(-$F$3*COUNT($E$9:$E236))</f>
        <v>8.9727780638823064E-3</v>
      </c>
      <c r="G236" s="260">
        <f>$F$6/(1+$F$5*$F$3*COUNT($E$9:$E236))^(1/$F$5)</f>
        <v>1.1249929288549916</v>
      </c>
      <c r="H236" s="260">
        <f>$H$6/(1+$H$5*$H$3*COUNT($E$9:$E236))^(1/$H$5)</f>
        <v>72.668546759297115</v>
      </c>
      <c r="I236" s="260">
        <f t="shared" si="177"/>
        <v>13.84162795415183</v>
      </c>
      <c r="J236" s="260">
        <f t="shared" si="211"/>
        <v>5.763653880108822</v>
      </c>
      <c r="K236" s="260">
        <f t="shared" si="211"/>
        <v>3.9213331994112135</v>
      </c>
      <c r="L236" s="260">
        <f t="shared" si="211"/>
        <v>1.8700039366059122</v>
      </c>
      <c r="M236" s="260">
        <f t="shared" si="211"/>
        <v>2.2880211008212976</v>
      </c>
      <c r="N236" s="19">
        <f t="shared" si="179"/>
        <v>0.27292199944308682</v>
      </c>
      <c r="O236" s="19">
        <f t="shared" si="180"/>
        <v>34.218534919339326</v>
      </c>
      <c r="P236" s="19">
        <f t="shared" si="181"/>
        <v>2210.3349639286207</v>
      </c>
      <c r="Q236" s="19">
        <f t="shared" si="182"/>
        <v>421.01618360545154</v>
      </c>
      <c r="R236" s="19">
        <f t="shared" si="183"/>
        <v>175.31113885331001</v>
      </c>
      <c r="S236" s="19">
        <f t="shared" si="184"/>
        <v>119.27388481542441</v>
      </c>
      <c r="T236" s="19">
        <f t="shared" si="185"/>
        <v>56.879286405096501</v>
      </c>
      <c r="U236" s="19">
        <f t="shared" si="186"/>
        <v>69.593975149981134</v>
      </c>
      <c r="V236" s="261">
        <f t="shared" si="205"/>
        <v>675.57741936244577</v>
      </c>
      <c r="W236" s="261">
        <f>SUM(O$9:O236)</f>
        <v>562575.61751647794</v>
      </c>
      <c r="X236" s="261">
        <f>SUM(P$9:P236)</f>
        <v>2532186.6605825778</v>
      </c>
      <c r="Y236" s="261">
        <f>SUM(Q$9:Q236)</f>
        <v>482321.26868239575</v>
      </c>
      <c r="Z236" s="261">
        <f>SUM($V$9:V236)</f>
        <v>1297324.1684539383</v>
      </c>
      <c r="AB236" s="257">
        <f t="array" ref="AB236">(INDEX(PriceDeck!$C$18:$O$77,MATCH('Decline and Model'!$A236,PriceDeck!$B$18:$B$77,0),MATCH('Decline and Model'!AB$8,PriceDeck!$C$13:$O$13,0))*(1+$AE$6))</f>
        <v>102.01706621568002</v>
      </c>
      <c r="AC236" s="257">
        <f t="array" ref="AC236">INDEX(PriceDeck!$C$18:$O$77,MATCH('Decline and Model'!$A236,PriceDeck!$B$18:$B$77,0),MATCH('Decline and Model'!AC$8,PriceDeck!$C$13:$O$13,0))*(1+$AE$6)</f>
        <v>116.48052473760001</v>
      </c>
      <c r="AD236" s="257">
        <f t="array" ref="AD236">INDEX(PriceDeck!$C$18:$O$77,MATCH('Decline and Model'!$A236,PriceDeck!$B$18:$B$77,0),MATCH('Decline and Model'!AD$8,PriceDeck!$C$13:$O$13,0))*(1+$AE$6)</f>
        <v>20.315086778879998</v>
      </c>
      <c r="AE236" s="257">
        <f t="array" ref="AE236">INDEX(PriceDeck!$C$18:$O$77,MATCH('Decline and Model'!$A236,PriceDeck!$B$18:$B$77,0),MATCH('Decline and Model'!AE$8,PriceDeck!$C$13:$O$13,0))*(1+$AE$6)</f>
        <v>40.96139779872</v>
      </c>
      <c r="AF236" s="257">
        <f t="array" ref="AF236">INDEX(PriceDeck!$C$18:$O$77,MATCH('Decline and Model'!$A236,PriceDeck!$B$18:$B$77,0),MATCH('Decline and Model'!AF$8,PriceDeck!$C$13:$O$13,0))*(1+$AE$6)</f>
        <v>120.8968479504</v>
      </c>
      <c r="AG236" s="257">
        <f t="array" ref="AG236">INDEX(PriceDeck!$C$18:$O$77,MATCH('Decline and Model'!$A236,PriceDeck!$B$18:$B$77,0),MATCH('Decline and Model'!AG$8,PriceDeck!$C$13:$O$13,0))*(1+$AE$6)</f>
        <v>85.345446087360003</v>
      </c>
      <c r="AH236" s="258">
        <f t="array" ref="AH236">INDEX(PriceDeck!$C$18:$O$77,MATCH('Decline and Model'!$A236,PriceDeck!$B$18:$B$77,0),MATCH('Decline and Model'!AH$8,PriceDeck!$C$13:$O$13,0))</f>
        <v>0.85</v>
      </c>
      <c r="AI236" s="258">
        <f t="shared" si="187"/>
        <v>5.3547918955200009</v>
      </c>
      <c r="AJ236" s="259">
        <f t="shared" si="162"/>
        <v>5.3547918955200009</v>
      </c>
      <c r="AK236" s="120">
        <v>5.3547918955200009</v>
      </c>
      <c r="AL236" s="120"/>
      <c r="AN236" s="7">
        <f t="shared" si="188"/>
        <v>3985.7929031565341</v>
      </c>
      <c r="AO236" s="7">
        <f t="shared" si="189"/>
        <v>11835.883751229472</v>
      </c>
      <c r="AP236" s="7">
        <f t="shared" si="190"/>
        <v>3561.4609991092739</v>
      </c>
      <c r="AQ236" s="7">
        <f t="shared" si="191"/>
        <v>4885.6250429233087</v>
      </c>
      <c r="AR236" s="7">
        <f t="shared" si="192"/>
        <v>6876.5264400442056</v>
      </c>
      <c r="AS236" s="7">
        <f t="shared" si="193"/>
        <v>5939.5288541677864</v>
      </c>
      <c r="AT236" s="7">
        <f t="shared" si="194"/>
        <v>37084.817990630581</v>
      </c>
      <c r="AU236">
        <f>SUM($AT$9:AT236)</f>
        <v>69231965.948986009</v>
      </c>
      <c r="AV236" s="7">
        <f>AT236/(1+$AR$5)^(COUNT($E$9:E236))</f>
        <v>6611.9245259031177</v>
      </c>
      <c r="AW236" s="7">
        <f t="shared" si="208"/>
        <v>0</v>
      </c>
      <c r="AX236" s="7">
        <f t="shared" si="195"/>
        <v>0</v>
      </c>
      <c r="AY236" s="117">
        <f t="shared" si="196"/>
        <v>0</v>
      </c>
      <c r="AZ236" s="117">
        <f t="shared" si="197"/>
        <v>37084.817990630581</v>
      </c>
      <c r="BA236" s="120">
        <f t="shared" si="198"/>
        <v>1854.2408995315291</v>
      </c>
      <c r="BB236" s="119">
        <f t="shared" si="163"/>
        <v>544.64572063755429</v>
      </c>
      <c r="BC236" s="17"/>
      <c r="BD236" s="126">
        <f t="shared" si="164"/>
        <v>0.1074777528681289</v>
      </c>
      <c r="BE236" s="127">
        <f t="shared" si="165"/>
        <v>0.31915712123003515</v>
      </c>
      <c r="BF236" s="127">
        <f t="shared" si="166"/>
        <v>9.6035552877974786E-2</v>
      </c>
      <c r="BG236" s="127">
        <f t="shared" si="167"/>
        <v>0.13174191778850455</v>
      </c>
      <c r="BH236" s="127">
        <f t="shared" si="168"/>
        <v>0.18542699715505004</v>
      </c>
      <c r="BI236" s="128">
        <f t="shared" si="169"/>
        <v>0.16016065808030658</v>
      </c>
      <c r="BJ236" s="126">
        <f t="array" ref="BJ236">BD236*INDEX(Royalty!$U$7:$Z$246,MATCH('Decline and Model'!$E236,Royalty!$AI$7:$AI$246,0),MATCH('Decline and Model'!BJ$8,Royalty!$U$1:$Z$1,0))</f>
        <v>3.6731128286143423E-2</v>
      </c>
      <c r="BK236" s="127">
        <f t="array" ref="BK236">BE236*INDEX(Royalty!$U$7:$Z$246,MATCH('Decline and Model'!$E236,Royalty!$AI$7:$AI$246,0),MATCH('Decline and Model'!BK$8,Royalty!$U$1:$Z$1,0))</f>
        <v>0.10730064773047027</v>
      </c>
      <c r="BL236" s="127">
        <f t="array" ref="BL236">BF236*INDEX(Royalty!$U$7:$Z$246,MATCH('Decline and Model'!$E236,Royalty!$AI$7:$AI$246,0),MATCH('Decline and Model'!BL$8,Royalty!$U$1:$Z$1,0))</f>
        <v>3.2826904222799255E-2</v>
      </c>
      <c r="BM236" s="127">
        <f t="array" ref="BM236">BG236*INDEX(Royalty!$U$7:$Z$246,MATCH('Decline and Model'!$E236,Royalty!$AI$7:$AI$246,0),MATCH('Decline and Model'!BM$8,Royalty!$U$1:$Z$1,0))</f>
        <v>4.4270824335122111E-2</v>
      </c>
      <c r="BN236" s="127">
        <f t="array" ref="BN236">BH236*INDEX(Royalty!$U$7:$Z$246,MATCH('Decline and Model'!$E236,Royalty!$AI$7:$AI$246,0),MATCH('Decline and Model'!BN$8,Royalty!$U$1:$Z$1,0))</f>
        <v>3.5737714087364397E-2</v>
      </c>
      <c r="BO236" s="127">
        <f t="array" ref="BO236">BI236*INDEX(Royalty!$U$7:$Z$246,MATCH('Decline and Model'!$E236,Royalty!$AI$7:$AI$246,0),MATCH('Decline and Model'!BO$8,Royalty!$U$1:$Z$1,0))</f>
        <v>8.0080329040153296E-3</v>
      </c>
      <c r="BP236" s="135">
        <f t="shared" si="170"/>
        <v>0.05</v>
      </c>
      <c r="BQ236" s="7"/>
      <c r="BR236" s="7"/>
      <c r="BS236">
        <v>228</v>
      </c>
      <c r="BT236" s="120">
        <f t="shared" si="171"/>
        <v>1854.2408995315291</v>
      </c>
      <c r="BU236" s="113">
        <f t="shared" si="172"/>
        <v>6755.7741936244574</v>
      </c>
      <c r="BV236" s="113">
        <f t="shared" si="173"/>
        <v>2026.7322580873374</v>
      </c>
      <c r="BW236" s="113">
        <f t="shared" si="206"/>
        <v>75088.225191637757</v>
      </c>
      <c r="BX236" s="113">
        <f t="shared" si="199"/>
        <v>1659.7839639108599</v>
      </c>
      <c r="BY236" s="120">
        <f t="shared" si="200"/>
        <v>24788.2866754764</v>
      </c>
      <c r="BZ236" s="153">
        <f t="shared" si="207"/>
        <v>0</v>
      </c>
      <c r="CA236" s="120">
        <f t="shared" si="209"/>
        <v>24788.2866754764</v>
      </c>
      <c r="CB236" s="120">
        <f t="shared" si="201"/>
        <v>6197.0716688691</v>
      </c>
      <c r="CC236" s="153">
        <f t="shared" si="202"/>
        <v>20250.998970518162</v>
      </c>
      <c r="CD236" s="7">
        <f t="shared" si="174"/>
        <v>3610.5901018858158</v>
      </c>
      <c r="CE236" s="11">
        <f>SUM($CD$9:CD236)</f>
        <v>25627250.380545411</v>
      </c>
      <c r="CF236" s="11">
        <f t="shared" si="203"/>
        <v>12000000</v>
      </c>
      <c r="CG236">
        <f t="shared" si="204"/>
        <v>13627250.380545411</v>
      </c>
    </row>
    <row r="237" spans="1:85">
      <c r="A237">
        <f t="shared" si="175"/>
        <v>2036</v>
      </c>
      <c r="B237">
        <f t="shared" si="176"/>
        <v>30.416666666666668</v>
      </c>
      <c r="C237">
        <f t="shared" si="210"/>
        <v>20</v>
      </c>
      <c r="E237" s="97">
        <v>49766</v>
      </c>
      <c r="F237" s="2">
        <f>$F$6*EXP(-$F$3*COUNT($E$9:$E237))</f>
        <v>8.5351705138793903E-3</v>
      </c>
      <c r="G237" s="260">
        <f>$F$6/(1+$F$5*$F$3*COUNT($E$9:$E237))^(1/$F$5)</f>
        <v>1.1048619157979955</v>
      </c>
      <c r="H237" s="260">
        <f>$H$6/(1+$H$5*$H$3*COUNT($E$9:$E237))^(1/$H$5)</f>
        <v>72.255488469453724</v>
      </c>
      <c r="I237" s="260">
        <f t="shared" si="177"/>
        <v>13.762950184657852</v>
      </c>
      <c r="J237" s="260">
        <f t="shared" si="211"/>
        <v>5.7308924568915289</v>
      </c>
      <c r="K237" s="260">
        <f t="shared" si="211"/>
        <v>3.8990437873135693</v>
      </c>
      <c r="L237" s="260">
        <f t="shared" si="211"/>
        <v>1.8593745699472757</v>
      </c>
      <c r="M237" s="260">
        <f t="shared" si="211"/>
        <v>2.2750156655239429</v>
      </c>
      <c r="N237" s="19">
        <f t="shared" si="179"/>
        <v>0.25961143646383145</v>
      </c>
      <c r="O237" s="19">
        <f t="shared" si="180"/>
        <v>33.606216605522363</v>
      </c>
      <c r="P237" s="19">
        <f t="shared" si="181"/>
        <v>2197.7711076125506</v>
      </c>
      <c r="Q237" s="19">
        <f t="shared" si="182"/>
        <v>418.62306811667634</v>
      </c>
      <c r="R237" s="19">
        <f t="shared" si="183"/>
        <v>174.31464556378401</v>
      </c>
      <c r="S237" s="19">
        <f t="shared" si="184"/>
        <v>118.5959151974544</v>
      </c>
      <c r="T237" s="19">
        <f t="shared" si="185"/>
        <v>56.55597650256297</v>
      </c>
      <c r="U237" s="19">
        <f t="shared" si="186"/>
        <v>69.198393159686603</v>
      </c>
      <c r="V237" s="261">
        <f t="shared" si="205"/>
        <v>671.31952650781068</v>
      </c>
      <c r="W237" s="261">
        <f>SUM(O$9:O237)</f>
        <v>562609.22373308346</v>
      </c>
      <c r="X237" s="261">
        <f>SUM(P$9:P237)</f>
        <v>2534384.4316901905</v>
      </c>
      <c r="Y237" s="261">
        <f>SUM(Q$9:Q237)</f>
        <v>482739.89175051241</v>
      </c>
      <c r="Z237" s="261">
        <f>SUM($V$9:V237)</f>
        <v>1297995.4879804461</v>
      </c>
      <c r="AB237" s="257">
        <f t="array" ref="AB237">(INDEX(PriceDeck!$C$18:$O$77,MATCH('Decline and Model'!$A237,PriceDeck!$B$18:$B$77,0),MATCH('Decline and Model'!AB$8,PriceDeck!$C$13:$O$13,0))*(1+$AE$6))</f>
        <v>102.01706621568002</v>
      </c>
      <c r="AC237" s="257">
        <f t="array" ref="AC237">INDEX(PriceDeck!$C$18:$O$77,MATCH('Decline and Model'!$A237,PriceDeck!$B$18:$B$77,0),MATCH('Decline and Model'!AC$8,PriceDeck!$C$13:$O$13,0))*(1+$AE$6)</f>
        <v>116.48052473760001</v>
      </c>
      <c r="AD237" s="257">
        <f t="array" ref="AD237">INDEX(PriceDeck!$C$18:$O$77,MATCH('Decline and Model'!$A237,PriceDeck!$B$18:$B$77,0),MATCH('Decline and Model'!AD$8,PriceDeck!$C$13:$O$13,0))*(1+$AE$6)</f>
        <v>20.315086778879998</v>
      </c>
      <c r="AE237" s="257">
        <f t="array" ref="AE237">INDEX(PriceDeck!$C$18:$O$77,MATCH('Decline and Model'!$A237,PriceDeck!$B$18:$B$77,0),MATCH('Decline and Model'!AE$8,PriceDeck!$C$13:$O$13,0))*(1+$AE$6)</f>
        <v>40.96139779872</v>
      </c>
      <c r="AF237" s="257">
        <f t="array" ref="AF237">INDEX(PriceDeck!$C$18:$O$77,MATCH('Decline and Model'!$A237,PriceDeck!$B$18:$B$77,0),MATCH('Decline and Model'!AF$8,PriceDeck!$C$13:$O$13,0))*(1+$AE$6)</f>
        <v>120.8968479504</v>
      </c>
      <c r="AG237" s="257">
        <f t="array" ref="AG237">INDEX(PriceDeck!$C$18:$O$77,MATCH('Decline and Model'!$A237,PriceDeck!$B$18:$B$77,0),MATCH('Decline and Model'!AG$8,PriceDeck!$C$13:$O$13,0))*(1+$AE$6)</f>
        <v>85.345446087360003</v>
      </c>
      <c r="AH237" s="258">
        <f t="array" ref="AH237">INDEX(PriceDeck!$C$18:$O$77,MATCH('Decline and Model'!$A237,PriceDeck!$B$18:$B$77,0),MATCH('Decline and Model'!AH$8,PriceDeck!$C$13:$O$13,0))</f>
        <v>0.85</v>
      </c>
      <c r="AI237" s="258">
        <f t="shared" si="187"/>
        <v>5.3547918955200009</v>
      </c>
      <c r="AJ237" s="259">
        <f t="shared" si="162"/>
        <v>5.3547918955200009</v>
      </c>
      <c r="AK237" s="120">
        <v>5.3547918955200009</v>
      </c>
      <c r="AL237" s="120"/>
      <c r="AN237" s="7">
        <f t="shared" si="188"/>
        <v>3914.4697446566915</v>
      </c>
      <c r="AO237" s="7">
        <f t="shared" si="189"/>
        <v>11768.606915251701</v>
      </c>
      <c r="AP237" s="7">
        <f t="shared" si="190"/>
        <v>3541.2171514579813</v>
      </c>
      <c r="AQ237" s="7">
        <f t="shared" si="191"/>
        <v>4857.8544597061928</v>
      </c>
      <c r="AR237" s="7">
        <f t="shared" si="192"/>
        <v>6837.4392919167503</v>
      </c>
      <c r="AS237" s="7">
        <f t="shared" si="193"/>
        <v>5905.7677327419742</v>
      </c>
      <c r="AT237" s="7">
        <f t="shared" si="194"/>
        <v>36825.355295731293</v>
      </c>
      <c r="AU237">
        <f>SUM($AT$9:AT237)</f>
        <v>69268791.304281741</v>
      </c>
      <c r="AV237" s="7">
        <f>AT237/(1+$AR$5)^(COUNT($E$9:E237))</f>
        <v>6516.1964869259245</v>
      </c>
      <c r="AW237" s="7">
        <f t="shared" si="208"/>
        <v>0</v>
      </c>
      <c r="AX237" s="7">
        <f t="shared" si="195"/>
        <v>0</v>
      </c>
      <c r="AY237" s="117">
        <f t="shared" si="196"/>
        <v>0</v>
      </c>
      <c r="AZ237" s="117">
        <f t="shared" si="197"/>
        <v>36825.355295731293</v>
      </c>
      <c r="BA237" s="120">
        <f t="shared" si="198"/>
        <v>1841.2677647865648</v>
      </c>
      <c r="BB237" s="119">
        <f t="shared" si="163"/>
        <v>548.90361349218938</v>
      </c>
      <c r="BC237" s="17"/>
      <c r="BD237" s="126">
        <f t="shared" si="164"/>
        <v>0.10629822070204024</v>
      </c>
      <c r="BE237" s="127">
        <f t="shared" si="165"/>
        <v>0.3195789102574087</v>
      </c>
      <c r="BF237" s="127">
        <f t="shared" si="166"/>
        <v>9.6162470749290255E-2</v>
      </c>
      <c r="BG237" s="127">
        <f t="shared" si="167"/>
        <v>0.13191602418210216</v>
      </c>
      <c r="BH237" s="127">
        <f t="shared" si="168"/>
        <v>0.18567205223161362</v>
      </c>
      <c r="BI237" s="128">
        <f t="shared" si="169"/>
        <v>0.16037232187754497</v>
      </c>
      <c r="BJ237" s="126">
        <f t="array" ref="BJ237">BD237*INDEX(Royalty!$U$7:$Z$246,MATCH('Decline and Model'!$E237,Royalty!$AI$7:$AI$246,0),MATCH('Decline and Model'!BJ$8,Royalty!$U$1:$Z$1,0))</f>
        <v>3.6328016515064683E-2</v>
      </c>
      <c r="BK237" s="127">
        <f t="array" ref="BK237">BE237*INDEX(Royalty!$U$7:$Z$246,MATCH('Decline and Model'!$E237,Royalty!$AI$7:$AI$246,0),MATCH('Decline and Model'!BK$8,Royalty!$U$1:$Z$1,0))</f>
        <v>0.10744245323262658</v>
      </c>
      <c r="BL237" s="127">
        <f t="array" ref="BL237">BF237*INDEX(Royalty!$U$7:$Z$246,MATCH('Decline and Model'!$E237,Royalty!$AI$7:$AI$246,0),MATCH('Decline and Model'!BL$8,Royalty!$U$1:$Z$1,0))</f>
        <v>3.2870287331252107E-2</v>
      </c>
      <c r="BM237" s="127">
        <f t="array" ref="BM237">BG237*INDEX(Royalty!$U$7:$Z$246,MATCH('Decline and Model'!$E237,Royalty!$AI$7:$AI$246,0),MATCH('Decline and Model'!BM$8,Royalty!$U$1:$Z$1,0))</f>
        <v>4.4329331404823001E-2</v>
      </c>
      <c r="BN237" s="127">
        <f t="array" ref="BN237">BH237*INDEX(Royalty!$U$7:$Z$246,MATCH('Decline and Model'!$E237,Royalty!$AI$7:$AI$246,0),MATCH('Decline and Model'!BN$8,Royalty!$U$1:$Z$1,0))</f>
        <v>3.5784944039832234E-2</v>
      </c>
      <c r="BO237" s="127">
        <f t="array" ref="BO237">BI237*INDEX(Royalty!$U$7:$Z$246,MATCH('Decline and Model'!$E237,Royalty!$AI$7:$AI$246,0),MATCH('Decline and Model'!BO$8,Royalty!$U$1:$Z$1,0))</f>
        <v>8.018616093877249E-3</v>
      </c>
      <c r="BP237" s="135">
        <f t="shared" si="170"/>
        <v>0.05</v>
      </c>
      <c r="BQ237" s="7"/>
      <c r="BR237" s="7"/>
      <c r="BS237">
        <v>229</v>
      </c>
      <c r="BT237" s="120">
        <f t="shared" si="171"/>
        <v>1841.2677647865648</v>
      </c>
      <c r="BU237" s="113">
        <f t="shared" si="172"/>
        <v>6713.1952650781068</v>
      </c>
      <c r="BV237" s="113">
        <f t="shared" si="173"/>
        <v>2013.958579523432</v>
      </c>
      <c r="BW237" s="113">
        <f t="shared" si="206"/>
        <v>73428.4412277269</v>
      </c>
      <c r="BX237" s="113">
        <f t="shared" si="199"/>
        <v>1623.0953512845165</v>
      </c>
      <c r="BY237" s="120">
        <f t="shared" si="200"/>
        <v>24633.838335058677</v>
      </c>
      <c r="BZ237" s="153">
        <f t="shared" si="207"/>
        <v>0</v>
      </c>
      <c r="CA237" s="120">
        <f t="shared" si="209"/>
        <v>24633.838335058677</v>
      </c>
      <c r="CB237" s="120">
        <f t="shared" si="201"/>
        <v>6158.4595837646693</v>
      </c>
      <c r="CC237" s="153">
        <f t="shared" si="202"/>
        <v>20098.474102578522</v>
      </c>
      <c r="CD237" s="7">
        <f t="shared" si="174"/>
        <v>3556.397631144514</v>
      </c>
      <c r="CE237" s="11">
        <f>SUM($CD$9:CD237)</f>
        <v>25630806.778176557</v>
      </c>
      <c r="CF237" s="11">
        <f t="shared" si="203"/>
        <v>12000000</v>
      </c>
      <c r="CG237">
        <f t="shared" si="204"/>
        <v>13630806.778176557</v>
      </c>
    </row>
    <row r="238" spans="1:85">
      <c r="A238">
        <f t="shared" si="175"/>
        <v>2036</v>
      </c>
      <c r="B238">
        <f t="shared" si="176"/>
        <v>30.416666666666668</v>
      </c>
      <c r="C238">
        <f t="shared" si="210"/>
        <v>20</v>
      </c>
      <c r="E238" s="97">
        <v>49796</v>
      </c>
      <c r="F238" s="2">
        <f>$F$6*EXP(-$F$3*COUNT($E$9:$E238))</f>
        <v>8.1189053359329647E-3</v>
      </c>
      <c r="G238" s="260">
        <f>$F$6/(1+$F$5*$F$3*COUNT($E$9:$E238))^(1/$F$5)</f>
        <v>1.0851457631511618</v>
      </c>
      <c r="H238" s="260">
        <f>$H$6/(1+$H$5*$H$3*COUNT($E$9:$E238))^(1/$H$5)</f>
        <v>71.846439078292718</v>
      </c>
      <c r="I238" s="260">
        <f t="shared" si="177"/>
        <v>13.685036014912898</v>
      </c>
      <c r="J238" s="260">
        <f t="shared" si="211"/>
        <v>5.6984489966097307</v>
      </c>
      <c r="K238" s="260">
        <f t="shared" si="211"/>
        <v>3.8769707030248237</v>
      </c>
      <c r="L238" s="260">
        <f t="shared" si="211"/>
        <v>1.8488483656147325</v>
      </c>
      <c r="M238" s="260">
        <f t="shared" si="211"/>
        <v>2.2621364532651018</v>
      </c>
      <c r="N238" s="19">
        <f t="shared" si="179"/>
        <v>0.24695003730129436</v>
      </c>
      <c r="O238" s="19">
        <f t="shared" si="180"/>
        <v>33.00651696251451</v>
      </c>
      <c r="P238" s="19">
        <f t="shared" si="181"/>
        <v>2185.3291886314037</v>
      </c>
      <c r="Q238" s="19">
        <f t="shared" si="182"/>
        <v>416.25317878693397</v>
      </c>
      <c r="R238" s="19">
        <f t="shared" si="183"/>
        <v>173.32782364687932</v>
      </c>
      <c r="S238" s="19">
        <f t="shared" si="184"/>
        <v>117.92452555033839</v>
      </c>
      <c r="T238" s="19">
        <f t="shared" si="185"/>
        <v>56.235804454114785</v>
      </c>
      <c r="U238" s="19">
        <f t="shared" si="186"/>
        <v>68.806650453480188</v>
      </c>
      <c r="V238" s="261">
        <f t="shared" si="205"/>
        <v>667.10963410745853</v>
      </c>
      <c r="W238" s="261">
        <f>SUM(O$9:O238)</f>
        <v>562642.23025004601</v>
      </c>
      <c r="X238" s="261">
        <f>SUM(P$9:P238)</f>
        <v>2536569.7608788218</v>
      </c>
      <c r="Y238" s="261">
        <f>SUM(Q$9:Q238)</f>
        <v>483156.14492929936</v>
      </c>
      <c r="Z238" s="261">
        <f>SUM($V$9:V238)</f>
        <v>1298662.5976145535</v>
      </c>
      <c r="AB238" s="257">
        <f t="array" ref="AB238">(INDEX(PriceDeck!$C$18:$O$77,MATCH('Decline and Model'!$A238,PriceDeck!$B$18:$B$77,0),MATCH('Decline and Model'!AB$8,PriceDeck!$C$13:$O$13,0))*(1+$AE$6))</f>
        <v>102.01706621568002</v>
      </c>
      <c r="AC238" s="257">
        <f t="array" ref="AC238">INDEX(PriceDeck!$C$18:$O$77,MATCH('Decline and Model'!$A238,PriceDeck!$B$18:$B$77,0),MATCH('Decline and Model'!AC$8,PriceDeck!$C$13:$O$13,0))*(1+$AE$6)</f>
        <v>116.48052473760001</v>
      </c>
      <c r="AD238" s="257">
        <f t="array" ref="AD238">INDEX(PriceDeck!$C$18:$O$77,MATCH('Decline and Model'!$A238,PriceDeck!$B$18:$B$77,0),MATCH('Decline and Model'!AD$8,PriceDeck!$C$13:$O$13,0))*(1+$AE$6)</f>
        <v>20.315086778879998</v>
      </c>
      <c r="AE238" s="257">
        <f t="array" ref="AE238">INDEX(PriceDeck!$C$18:$O$77,MATCH('Decline and Model'!$A238,PriceDeck!$B$18:$B$77,0),MATCH('Decline and Model'!AE$8,PriceDeck!$C$13:$O$13,0))*(1+$AE$6)</f>
        <v>40.96139779872</v>
      </c>
      <c r="AF238" s="257">
        <f t="array" ref="AF238">INDEX(PriceDeck!$C$18:$O$77,MATCH('Decline and Model'!$A238,PriceDeck!$B$18:$B$77,0),MATCH('Decline and Model'!AF$8,PriceDeck!$C$13:$O$13,0))*(1+$AE$6)</f>
        <v>120.8968479504</v>
      </c>
      <c r="AG238" s="257">
        <f t="array" ref="AG238">INDEX(PriceDeck!$C$18:$O$77,MATCH('Decline and Model'!$A238,PriceDeck!$B$18:$B$77,0),MATCH('Decline and Model'!AG$8,PriceDeck!$C$13:$O$13,0))*(1+$AE$6)</f>
        <v>85.345446087360003</v>
      </c>
      <c r="AH238" s="258">
        <f t="array" ref="AH238">INDEX(PriceDeck!$C$18:$O$77,MATCH('Decline and Model'!$A238,PriceDeck!$B$18:$B$77,0),MATCH('Decline and Model'!AH$8,PriceDeck!$C$13:$O$13,0))</f>
        <v>0.85</v>
      </c>
      <c r="AI238" s="258">
        <f t="shared" si="187"/>
        <v>5.3547918955200009</v>
      </c>
      <c r="AJ238" s="259">
        <f t="shared" si="162"/>
        <v>5.3547918955200009</v>
      </c>
      <c r="AK238" s="120">
        <v>5.3547918955200009</v>
      </c>
      <c r="AL238" s="120"/>
      <c r="AN238" s="7">
        <f t="shared" si="188"/>
        <v>3844.6164155541856</v>
      </c>
      <c r="AO238" s="7">
        <f t="shared" si="189"/>
        <v>11701.98302832674</v>
      </c>
      <c r="AP238" s="7">
        <f t="shared" si="190"/>
        <v>3521.1697785807619</v>
      </c>
      <c r="AQ238" s="7">
        <f t="shared" si="191"/>
        <v>4830.3534012927312</v>
      </c>
      <c r="AR238" s="7">
        <f t="shared" si="192"/>
        <v>6798.7315004575421</v>
      </c>
      <c r="AS238" s="7">
        <f t="shared" si="193"/>
        <v>5872.3342767293179</v>
      </c>
      <c r="AT238" s="7">
        <f t="shared" si="194"/>
        <v>36569.188400941275</v>
      </c>
      <c r="AU238">
        <f>SUM($AT$9:AT238)</f>
        <v>69305360.49268268</v>
      </c>
      <c r="AV238" s="7">
        <f>AT238/(1+$AR$5)^(COUNT($E$9:E238))</f>
        <v>6422.1144019285239</v>
      </c>
      <c r="AW238" s="7">
        <f t="shared" si="208"/>
        <v>0</v>
      </c>
      <c r="AX238" s="7">
        <f t="shared" si="195"/>
        <v>0</v>
      </c>
      <c r="AY238" s="117">
        <f t="shared" si="196"/>
        <v>0</v>
      </c>
      <c r="AZ238" s="117">
        <f t="shared" si="197"/>
        <v>36569.188400941275</v>
      </c>
      <c r="BA238" s="120">
        <f t="shared" si="198"/>
        <v>1828.4594200470638</v>
      </c>
      <c r="BB238" s="119">
        <f t="shared" si="163"/>
        <v>553.11350589254153</v>
      </c>
      <c r="BC238" s="17"/>
      <c r="BD238" s="126">
        <f t="shared" si="164"/>
        <v>0.10513266997894946</v>
      </c>
      <c r="BE238" s="127">
        <f t="shared" si="165"/>
        <v>0.3199956996591572</v>
      </c>
      <c r="BF238" s="127">
        <f t="shared" si="166"/>
        <v>9.6287884214847061E-2</v>
      </c>
      <c r="BG238" s="127">
        <f t="shared" si="167"/>
        <v>0.13208806682645438</v>
      </c>
      <c r="BH238" s="127">
        <f t="shared" si="168"/>
        <v>0.18591420257723154</v>
      </c>
      <c r="BI238" s="128">
        <f t="shared" si="169"/>
        <v>0.16058147674336046</v>
      </c>
      <c r="BJ238" s="126">
        <f t="array" ref="BJ238">BD238*INDEX(Royalty!$U$7:$Z$246,MATCH('Decline and Model'!$E238,Royalty!$AI$7:$AI$246,0),MATCH('Decline and Model'!BJ$8,Royalty!$U$1:$Z$1,0))</f>
        <v>3.5929682980994769E-2</v>
      </c>
      <c r="BK238" s="127">
        <f t="array" ref="BK238">BE238*INDEX(Royalty!$U$7:$Z$246,MATCH('Decline and Model'!$E238,Royalty!$AI$7:$AI$246,0),MATCH('Decline and Model'!BK$8,Royalty!$U$1:$Z$1,0))</f>
        <v>0.10758257786027847</v>
      </c>
      <c r="BL238" s="127">
        <f t="array" ref="BL238">BF238*INDEX(Royalty!$U$7:$Z$246,MATCH('Decline and Model'!$E238,Royalty!$AI$7:$AI$246,0),MATCH('Decline and Model'!BL$8,Royalty!$U$1:$Z$1,0))</f>
        <v>3.2913156203234484E-2</v>
      </c>
      <c r="BM238" s="127">
        <f t="array" ref="BM238">BG238*INDEX(Royalty!$U$7:$Z$246,MATCH('Decline and Model'!$E238,Royalty!$AI$7:$AI$246,0),MATCH('Decline and Model'!BM$8,Royalty!$U$1:$Z$1,0))</f>
        <v>4.4387144967993494E-2</v>
      </c>
      <c r="BN238" s="127">
        <f t="array" ref="BN238">BH238*INDEX(Royalty!$U$7:$Z$246,MATCH('Decline and Model'!$E238,Royalty!$AI$7:$AI$246,0),MATCH('Decline and Model'!BN$8,Royalty!$U$1:$Z$1,0))</f>
        <v>3.5831614157725657E-2</v>
      </c>
      <c r="BO238" s="127">
        <f t="array" ref="BO238">BI238*INDEX(Royalty!$U$7:$Z$246,MATCH('Decline and Model'!$E238,Royalty!$AI$7:$AI$246,0),MATCH('Decline and Model'!BO$8,Royalty!$U$1:$Z$1,0))</f>
        <v>8.0290738371680236E-3</v>
      </c>
      <c r="BP238" s="135">
        <f t="shared" si="170"/>
        <v>0.05</v>
      </c>
      <c r="BQ238" s="7"/>
      <c r="BR238" s="7"/>
      <c r="BS238">
        <v>230</v>
      </c>
      <c r="BT238" s="120">
        <f t="shared" si="171"/>
        <v>1828.4594200470638</v>
      </c>
      <c r="BU238" s="113">
        <f t="shared" si="172"/>
        <v>6671.0963410745853</v>
      </c>
      <c r="BV238" s="113">
        <f t="shared" si="173"/>
        <v>2001.3289023223756</v>
      </c>
      <c r="BW238" s="113">
        <f t="shared" si="206"/>
        <v>71805.345876442385</v>
      </c>
      <c r="BX238" s="113">
        <f t="shared" si="199"/>
        <v>1587.2177202833202</v>
      </c>
      <c r="BY238" s="120">
        <f t="shared" si="200"/>
        <v>24481.086017213933</v>
      </c>
      <c r="BZ238" s="153">
        <f t="shared" si="207"/>
        <v>0</v>
      </c>
      <c r="CA238" s="120">
        <f t="shared" si="209"/>
        <v>24481.086017213933</v>
      </c>
      <c r="CB238" s="120">
        <f t="shared" si="201"/>
        <v>6120.2715043034832</v>
      </c>
      <c r="CC238" s="153">
        <f t="shared" si="202"/>
        <v>19948.032233193768</v>
      </c>
      <c r="CD238" s="7">
        <f t="shared" si="174"/>
        <v>3503.1826162056868</v>
      </c>
      <c r="CE238" s="11">
        <f>SUM($CD$9:CD238)</f>
        <v>25634309.960792761</v>
      </c>
      <c r="CF238" s="11">
        <f t="shared" si="203"/>
        <v>12000000</v>
      </c>
      <c r="CG238">
        <f t="shared" si="204"/>
        <v>13634309.960792761</v>
      </c>
    </row>
    <row r="239" spans="1:85">
      <c r="A239">
        <f t="shared" si="175"/>
        <v>2036</v>
      </c>
      <c r="B239">
        <f t="shared" si="176"/>
        <v>30.416666666666668</v>
      </c>
      <c r="C239">
        <f t="shared" si="210"/>
        <v>20</v>
      </c>
      <c r="E239" s="97">
        <v>49827</v>
      </c>
      <c r="F239" s="2">
        <f>$F$6*EXP(-$F$3*COUNT($E$9:$E239))</f>
        <v>7.7229416502752847E-3</v>
      </c>
      <c r="G239" s="260">
        <f>$F$6/(1+$F$5*$F$3*COUNT($E$9:$E239))^(1/$F$5)</f>
        <v>1.0658348018754604</v>
      </c>
      <c r="H239" s="260">
        <f>$H$6/(1+$H$5*$H$3*COUNT($E$9:$E239))^(1/$H$5)</f>
        <v>71.441343686862538</v>
      </c>
      <c r="I239" s="260">
        <f t="shared" si="177"/>
        <v>13.607874987973815</v>
      </c>
      <c r="J239" s="260">
        <f t="shared" si="211"/>
        <v>5.6663191449922969</v>
      </c>
      <c r="K239" s="260">
        <f t="shared" si="211"/>
        <v>3.855110984092982</v>
      </c>
      <c r="L239" s="260">
        <f t="shared" si="211"/>
        <v>1.8384239108752625</v>
      </c>
      <c r="M239" s="260">
        <f t="shared" si="211"/>
        <v>2.2493817355120718</v>
      </c>
      <c r="N239" s="19">
        <f t="shared" si="179"/>
        <v>0.23490614186253991</v>
      </c>
      <c r="O239" s="19">
        <f t="shared" si="180"/>
        <v>32.41914189037859</v>
      </c>
      <c r="P239" s="19">
        <f t="shared" si="181"/>
        <v>2173.0075371420689</v>
      </c>
      <c r="Q239" s="19">
        <f t="shared" si="182"/>
        <v>413.90619755087022</v>
      </c>
      <c r="R239" s="19">
        <f t="shared" si="183"/>
        <v>172.35054066018236</v>
      </c>
      <c r="S239" s="19">
        <f t="shared" si="184"/>
        <v>117.25962576616155</v>
      </c>
      <c r="T239" s="19">
        <f t="shared" si="185"/>
        <v>55.918727289122572</v>
      </c>
      <c r="U239" s="19">
        <f t="shared" si="186"/>
        <v>68.418694455158857</v>
      </c>
      <c r="V239" s="261">
        <f t="shared" si="205"/>
        <v>662.94696353366237</v>
      </c>
      <c r="W239" s="261">
        <f>SUM(O$9:O239)</f>
        <v>562674.64939193637</v>
      </c>
      <c r="X239" s="261">
        <f>SUM(P$9:P239)</f>
        <v>2538742.7684159637</v>
      </c>
      <c r="Y239" s="261">
        <f>SUM(Q$9:Q239)</f>
        <v>483570.05112685025</v>
      </c>
      <c r="Z239" s="261">
        <f>SUM($V$9:V239)</f>
        <v>1299325.5445780873</v>
      </c>
      <c r="AB239" s="257">
        <f t="array" ref="AB239">(INDEX(PriceDeck!$C$18:$O$77,MATCH('Decline and Model'!$A239,PriceDeck!$B$18:$B$77,0),MATCH('Decline and Model'!AB$8,PriceDeck!$C$13:$O$13,0))*(1+$AE$6))</f>
        <v>102.01706621568002</v>
      </c>
      <c r="AC239" s="257">
        <f t="array" ref="AC239">INDEX(PriceDeck!$C$18:$O$77,MATCH('Decline and Model'!$A239,PriceDeck!$B$18:$B$77,0),MATCH('Decline and Model'!AC$8,PriceDeck!$C$13:$O$13,0))*(1+$AE$6)</f>
        <v>116.48052473760001</v>
      </c>
      <c r="AD239" s="257">
        <f t="array" ref="AD239">INDEX(PriceDeck!$C$18:$O$77,MATCH('Decline and Model'!$A239,PriceDeck!$B$18:$B$77,0),MATCH('Decline and Model'!AD$8,PriceDeck!$C$13:$O$13,0))*(1+$AE$6)</f>
        <v>20.315086778879998</v>
      </c>
      <c r="AE239" s="257">
        <f t="array" ref="AE239">INDEX(PriceDeck!$C$18:$O$77,MATCH('Decline and Model'!$A239,PriceDeck!$B$18:$B$77,0),MATCH('Decline and Model'!AE$8,PriceDeck!$C$13:$O$13,0))*(1+$AE$6)</f>
        <v>40.96139779872</v>
      </c>
      <c r="AF239" s="257">
        <f t="array" ref="AF239">INDEX(PriceDeck!$C$18:$O$77,MATCH('Decline and Model'!$A239,PriceDeck!$B$18:$B$77,0),MATCH('Decline and Model'!AF$8,PriceDeck!$C$13:$O$13,0))*(1+$AE$6)</f>
        <v>120.8968479504</v>
      </c>
      <c r="AG239" s="257">
        <f t="array" ref="AG239">INDEX(PriceDeck!$C$18:$O$77,MATCH('Decline and Model'!$A239,PriceDeck!$B$18:$B$77,0),MATCH('Decline and Model'!AG$8,PriceDeck!$C$13:$O$13,0))*(1+$AE$6)</f>
        <v>85.345446087360003</v>
      </c>
      <c r="AH239" s="258">
        <f t="array" ref="AH239">INDEX(PriceDeck!$C$18:$O$77,MATCH('Decline and Model'!$A239,PriceDeck!$B$18:$B$77,0),MATCH('Decline and Model'!AH$8,PriceDeck!$C$13:$O$13,0))</f>
        <v>0.85</v>
      </c>
      <c r="AI239" s="258">
        <f t="shared" si="187"/>
        <v>5.3547918955200009</v>
      </c>
      <c r="AJ239" s="259">
        <f t="shared" si="162"/>
        <v>5.3547918955200009</v>
      </c>
      <c r="AK239" s="120">
        <v>5.3547918955200009</v>
      </c>
      <c r="AL239" s="120"/>
      <c r="AN239" s="7">
        <f t="shared" si="188"/>
        <v>3776.1986589340081</v>
      </c>
      <c r="AO239" s="7">
        <f t="shared" si="189"/>
        <v>11636.003148792228</v>
      </c>
      <c r="AP239" s="7">
        <f t="shared" si="190"/>
        <v>3501.3161898984904</v>
      </c>
      <c r="AQ239" s="7">
        <f t="shared" si="191"/>
        <v>4803.1181767367807</v>
      </c>
      <c r="AR239" s="7">
        <f t="shared" si="192"/>
        <v>6760.3978706529351</v>
      </c>
      <c r="AS239" s="7">
        <f t="shared" si="193"/>
        <v>5839.2239989903173</v>
      </c>
      <c r="AT239" s="7">
        <f t="shared" si="194"/>
        <v>36316.25804400476</v>
      </c>
      <c r="AU239">
        <f>SUM($AT$9:AT239)</f>
        <v>69341676.750726685</v>
      </c>
      <c r="AV239" s="7">
        <f>AT239/(1+$AR$5)^(COUNT($E$9:E239))</f>
        <v>6329.6442129073648</v>
      </c>
      <c r="AW239" s="7">
        <f t="shared" si="208"/>
        <v>0</v>
      </c>
      <c r="AX239" s="7">
        <f t="shared" si="195"/>
        <v>0</v>
      </c>
      <c r="AY239" s="117">
        <f t="shared" si="196"/>
        <v>0</v>
      </c>
      <c r="AZ239" s="117">
        <f t="shared" si="197"/>
        <v>36316.25804400476</v>
      </c>
      <c r="BA239" s="120">
        <f t="shared" si="198"/>
        <v>1815.8129022002381</v>
      </c>
      <c r="BB239" s="119">
        <f t="shared" si="163"/>
        <v>557.27617646633769</v>
      </c>
      <c r="BC239" s="17"/>
      <c r="BD239" s="126">
        <f t="shared" si="164"/>
        <v>0.1039809402818526</v>
      </c>
      <c r="BE239" s="127">
        <f t="shared" si="165"/>
        <v>0.32040754679881311</v>
      </c>
      <c r="BF239" s="127">
        <f t="shared" si="166"/>
        <v>9.6411810535543388E-2</v>
      </c>
      <c r="BG239" s="127">
        <f t="shared" si="167"/>
        <v>0.13225806940012366</v>
      </c>
      <c r="BH239" s="127">
        <f t="shared" si="168"/>
        <v>0.18615348151952482</v>
      </c>
      <c r="BI239" s="128">
        <f t="shared" si="169"/>
        <v>0.16078815146414241</v>
      </c>
      <c r="BJ239" s="126">
        <f t="array" ref="BJ239">BD239*INDEX(Royalty!$U$7:$Z$246,MATCH('Decline and Model'!$E239,Royalty!$AI$7:$AI$246,0),MATCH('Decline and Model'!BJ$8,Royalty!$U$1:$Z$1,0))</f>
        <v>3.5536072860517728E-2</v>
      </c>
      <c r="BK239" s="127">
        <f t="array" ref="BK239">BE239*INDEX(Royalty!$U$7:$Z$246,MATCH('Decline and Model'!$E239,Royalty!$AI$7:$AI$246,0),MATCH('Decline and Model'!BK$8,Royalty!$U$1:$Z$1,0))</f>
        <v>0.1077210408990498</v>
      </c>
      <c r="BL239" s="127">
        <f t="array" ref="BL239">BF239*INDEX(Royalty!$U$7:$Z$246,MATCH('Decline and Model'!$E239,Royalty!$AI$7:$AI$246,0),MATCH('Decline and Model'!BL$8,Royalty!$U$1:$Z$1,0))</f>
        <v>3.2955516738872273E-2</v>
      </c>
      <c r="BM239" s="127">
        <f t="array" ref="BM239">BG239*INDEX(Royalty!$U$7:$Z$246,MATCH('Decline and Model'!$E239,Royalty!$AI$7:$AI$246,0),MATCH('Decline and Model'!BM$8,Royalty!$U$1:$Z$1,0))</f>
        <v>4.444427298162628E-2</v>
      </c>
      <c r="BN239" s="127">
        <f t="array" ref="BN239">BH239*INDEX(Royalty!$U$7:$Z$246,MATCH('Decline and Model'!$E239,Royalty!$AI$7:$AI$246,0),MATCH('Decline and Model'!BN$8,Royalty!$U$1:$Z$1,0))</f>
        <v>3.5877730864343378E-2</v>
      </c>
      <c r="BO239" s="127">
        <f t="array" ref="BO239">BI239*INDEX(Royalty!$U$7:$Z$246,MATCH('Decline and Model'!$E239,Royalty!$AI$7:$AI$246,0),MATCH('Decline and Model'!BO$8,Royalty!$U$1:$Z$1,0))</f>
        <v>8.0394075732071208E-3</v>
      </c>
      <c r="BP239" s="135">
        <f t="shared" si="170"/>
        <v>0.05</v>
      </c>
      <c r="BQ239" s="7"/>
      <c r="BR239" s="7"/>
      <c r="BS239">
        <v>231</v>
      </c>
      <c r="BT239" s="120">
        <f t="shared" si="171"/>
        <v>1815.8129022002381</v>
      </c>
      <c r="BU239" s="113">
        <f t="shared" si="172"/>
        <v>6629.4696353366235</v>
      </c>
      <c r="BV239" s="113">
        <f t="shared" si="173"/>
        <v>1988.8408906009872</v>
      </c>
      <c r="BW239" s="113">
        <f t="shared" si="206"/>
        <v>70218.128156159059</v>
      </c>
      <c r="BX239" s="113">
        <f t="shared" si="199"/>
        <v>1552.1331446040058</v>
      </c>
      <c r="BY239" s="120">
        <f t="shared" si="200"/>
        <v>24330.001471262905</v>
      </c>
      <c r="BZ239" s="153">
        <f t="shared" si="207"/>
        <v>0</v>
      </c>
      <c r="CA239" s="120">
        <f t="shared" si="209"/>
        <v>24330.001471262905</v>
      </c>
      <c r="CB239" s="120">
        <f t="shared" si="201"/>
        <v>6082.5003678157263</v>
      </c>
      <c r="CC239" s="153">
        <f t="shared" si="202"/>
        <v>19799.634248051185</v>
      </c>
      <c r="CD239" s="7">
        <f t="shared" si="174"/>
        <v>3450.9238309740658</v>
      </c>
      <c r="CE239" s="11">
        <f>SUM($CD$9:CD239)</f>
        <v>25637760.884623736</v>
      </c>
      <c r="CF239" s="11">
        <f t="shared" si="203"/>
        <v>12000000</v>
      </c>
      <c r="CG239">
        <f t="shared" si="204"/>
        <v>13637760.884623736</v>
      </c>
    </row>
    <row r="240" spans="1:85">
      <c r="A240">
        <f t="shared" si="175"/>
        <v>2036</v>
      </c>
      <c r="B240">
        <f t="shared" si="176"/>
        <v>30.416666666666668</v>
      </c>
      <c r="C240">
        <f t="shared" si="210"/>
        <v>20</v>
      </c>
      <c r="E240" s="97">
        <v>49857</v>
      </c>
      <c r="F240" s="2">
        <f>$F$6*EXP(-$F$3*COUNT($E$9:$E240))</f>
        <v>7.3462893414439484E-3</v>
      </c>
      <c r="G240" s="260">
        <f>$F$6/(1+$F$5*$F$3*COUNT($E$9:$E240))^(1/$F$5)</f>
        <v>1.0469196142358248</v>
      </c>
      <c r="H240" s="260">
        <f>$H$6/(1+$H$5*$H$3*COUNT($E$9:$E240))^(1/$H$5)</f>
        <v>71.040148365240057</v>
      </c>
      <c r="I240" s="260">
        <f t="shared" si="177"/>
        <v>13.531456831474296</v>
      </c>
      <c r="J240" s="260">
        <f t="shared" si="211"/>
        <v>5.6344986246258966</v>
      </c>
      <c r="K240" s="260">
        <f t="shared" si="211"/>
        <v>3.8334617203566679</v>
      </c>
      <c r="L240" s="260">
        <f t="shared" si="211"/>
        <v>1.8280998179321775</v>
      </c>
      <c r="M240" s="260">
        <f t="shared" si="211"/>
        <v>2.2367498142427014</v>
      </c>
      <c r="N240" s="19">
        <f t="shared" si="179"/>
        <v>0.22344963413558677</v>
      </c>
      <c r="O240" s="19">
        <f t="shared" si="180"/>
        <v>31.843804933006339</v>
      </c>
      <c r="P240" s="19">
        <f t="shared" si="181"/>
        <v>2160.804512776052</v>
      </c>
      <c r="Q240" s="19">
        <f t="shared" si="182"/>
        <v>411.58181195734318</v>
      </c>
      <c r="R240" s="19">
        <f t="shared" si="183"/>
        <v>171.3826664990377</v>
      </c>
      <c r="S240" s="19">
        <f t="shared" si="184"/>
        <v>116.60112732751531</v>
      </c>
      <c r="T240" s="19">
        <f t="shared" si="185"/>
        <v>55.604702795437063</v>
      </c>
      <c r="U240" s="19">
        <f t="shared" si="186"/>
        <v>68.034473516548829</v>
      </c>
      <c r="V240" s="261">
        <f t="shared" si="205"/>
        <v>658.83075235498654</v>
      </c>
      <c r="W240" s="261">
        <f>SUM(O$9:O240)</f>
        <v>562706.49319686939</v>
      </c>
      <c r="X240" s="261">
        <f>SUM(P$9:P240)</f>
        <v>2540903.5729287397</v>
      </c>
      <c r="Y240" s="261">
        <f>SUM(Q$9:Q240)</f>
        <v>483981.6329388076</v>
      </c>
      <c r="Z240" s="261">
        <f>SUM($V$9:V240)</f>
        <v>1299984.3753304423</v>
      </c>
      <c r="AB240" s="257">
        <f t="array" ref="AB240">(INDEX(PriceDeck!$C$18:$O$77,MATCH('Decline and Model'!$A240,PriceDeck!$B$18:$B$77,0),MATCH('Decline and Model'!AB$8,PriceDeck!$C$13:$O$13,0))*(1+$AE$6))</f>
        <v>102.01706621568002</v>
      </c>
      <c r="AC240" s="257">
        <f t="array" ref="AC240">INDEX(PriceDeck!$C$18:$O$77,MATCH('Decline and Model'!$A240,PriceDeck!$B$18:$B$77,0),MATCH('Decline and Model'!AC$8,PriceDeck!$C$13:$O$13,0))*(1+$AE$6)</f>
        <v>116.48052473760001</v>
      </c>
      <c r="AD240" s="257">
        <f t="array" ref="AD240">INDEX(PriceDeck!$C$18:$O$77,MATCH('Decline and Model'!$A240,PriceDeck!$B$18:$B$77,0),MATCH('Decline and Model'!AD$8,PriceDeck!$C$13:$O$13,0))*(1+$AE$6)</f>
        <v>20.315086778879998</v>
      </c>
      <c r="AE240" s="257">
        <f t="array" ref="AE240">INDEX(PriceDeck!$C$18:$O$77,MATCH('Decline and Model'!$A240,PriceDeck!$B$18:$B$77,0),MATCH('Decline and Model'!AE$8,PriceDeck!$C$13:$O$13,0))*(1+$AE$6)</f>
        <v>40.96139779872</v>
      </c>
      <c r="AF240" s="257">
        <f t="array" ref="AF240">INDEX(PriceDeck!$C$18:$O$77,MATCH('Decline and Model'!$A240,PriceDeck!$B$18:$B$77,0),MATCH('Decline and Model'!AF$8,PriceDeck!$C$13:$O$13,0))*(1+$AE$6)</f>
        <v>120.8968479504</v>
      </c>
      <c r="AG240" s="257">
        <f t="array" ref="AG240">INDEX(PriceDeck!$C$18:$O$77,MATCH('Decline and Model'!$A240,PriceDeck!$B$18:$B$77,0),MATCH('Decline and Model'!AG$8,PriceDeck!$C$13:$O$13,0))*(1+$AE$6)</f>
        <v>85.345446087360003</v>
      </c>
      <c r="AH240" s="258">
        <f t="array" ref="AH240">INDEX(PriceDeck!$C$18:$O$77,MATCH('Decline and Model'!$A240,PriceDeck!$B$18:$B$77,0),MATCH('Decline and Model'!AH$8,PriceDeck!$C$13:$O$13,0))</f>
        <v>0.85</v>
      </c>
      <c r="AI240" s="258">
        <f t="shared" si="187"/>
        <v>5.3547918955200009</v>
      </c>
      <c r="AJ240" s="259">
        <f t="shared" si="162"/>
        <v>5.3547918955200009</v>
      </c>
      <c r="AK240" s="120">
        <v>5.3547918955200009</v>
      </c>
      <c r="AL240" s="120"/>
      <c r="AN240" s="7">
        <f t="shared" si="188"/>
        <v>3709.1831082383542</v>
      </c>
      <c r="AO240" s="7">
        <f t="shared" si="189"/>
        <v>11570.658492816247</v>
      </c>
      <c r="AP240" s="7">
        <f t="shared" si="190"/>
        <v>3481.6537423238005</v>
      </c>
      <c r="AQ240" s="7">
        <f t="shared" si="191"/>
        <v>4776.1451602415564</v>
      </c>
      <c r="AR240" s="7">
        <f t="shared" si="192"/>
        <v>6722.433299187137</v>
      </c>
      <c r="AS240" s="7">
        <f t="shared" si="193"/>
        <v>5806.43249158854</v>
      </c>
      <c r="AT240" s="7">
        <f t="shared" si="194"/>
        <v>36066.506294395636</v>
      </c>
      <c r="AU240">
        <f>SUM($AT$9:AT240)</f>
        <v>69377743.257021084</v>
      </c>
      <c r="AV240" s="7">
        <f>AT240/(1+$AR$5)^(COUNT($E$9:E240))</f>
        <v>6238.7527004942549</v>
      </c>
      <c r="AW240" s="7">
        <f t="shared" si="208"/>
        <v>0</v>
      </c>
      <c r="AX240" s="7">
        <f t="shared" si="195"/>
        <v>0</v>
      </c>
      <c r="AY240" s="117">
        <f t="shared" si="196"/>
        <v>0</v>
      </c>
      <c r="AZ240" s="117">
        <f t="shared" si="197"/>
        <v>36066.506294395636</v>
      </c>
      <c r="BA240" s="120">
        <f t="shared" si="198"/>
        <v>1803.325314719782</v>
      </c>
      <c r="BB240" s="119">
        <f t="shared" si="163"/>
        <v>561.39238764501351</v>
      </c>
      <c r="BC240" s="17"/>
      <c r="BD240" s="126">
        <f t="shared" si="164"/>
        <v>0.10284287249676642</v>
      </c>
      <c r="BE240" s="127">
        <f t="shared" si="165"/>
        <v>0.3208145085739621</v>
      </c>
      <c r="BF240" s="127">
        <f t="shared" si="166"/>
        <v>9.6534266832072224E-2</v>
      </c>
      <c r="BG240" s="127">
        <f t="shared" si="167"/>
        <v>0.13242605538933833</v>
      </c>
      <c r="BH240" s="127">
        <f t="shared" si="168"/>
        <v>0.18638992211540417</v>
      </c>
      <c r="BI240" s="128">
        <f t="shared" si="169"/>
        <v>0.16099237459245672</v>
      </c>
      <c r="BJ240" s="126">
        <f t="array" ref="BJ240">BD240*INDEX(Royalty!$U$7:$Z$246,MATCH('Decline and Model'!$E240,Royalty!$AI$7:$AI$246,0),MATCH('Decline and Model'!BJ$8,Royalty!$U$1:$Z$1,0))</f>
        <v>3.5147131775532282E-2</v>
      </c>
      <c r="BK240" s="127">
        <f t="array" ref="BK240">BE240*INDEX(Royalty!$U$7:$Z$246,MATCH('Decline and Model'!$E240,Royalty!$AI$7:$AI$246,0),MATCH('Decline and Model'!BK$8,Royalty!$U$1:$Z$1,0))</f>
        <v>0.10785786147791307</v>
      </c>
      <c r="BL240" s="127">
        <f t="array" ref="BL240">BF240*INDEX(Royalty!$U$7:$Z$246,MATCH('Decline and Model'!$E240,Royalty!$AI$7:$AI$246,0),MATCH('Decline and Model'!BL$8,Royalty!$U$1:$Z$1,0))</f>
        <v>3.2997374790366372E-2</v>
      </c>
      <c r="BM240" s="127">
        <f t="array" ref="BM240">BG240*INDEX(Royalty!$U$7:$Z$246,MATCH('Decline and Model'!$E240,Royalty!$AI$7:$AI$246,0),MATCH('Decline and Model'!BM$8,Royalty!$U$1:$Z$1,0))</f>
        <v>4.4500723338081721E-2</v>
      </c>
      <c r="BN240" s="127">
        <f t="array" ref="BN240">BH240*INDEX(Royalty!$U$7:$Z$246,MATCH('Decline and Model'!$E240,Royalty!$AI$7:$AI$246,0),MATCH('Decline and Model'!BN$8,Royalty!$U$1:$Z$1,0))</f>
        <v>3.5923300530809568E-2</v>
      </c>
      <c r="BO240" s="127">
        <f t="array" ref="BO240">BI240*INDEX(Royalty!$U$7:$Z$246,MATCH('Decline and Model'!$E240,Royalty!$AI$7:$AI$246,0),MATCH('Decline and Model'!BO$8,Royalty!$U$1:$Z$1,0))</f>
        <v>8.0496187296228358E-3</v>
      </c>
      <c r="BP240" s="135">
        <f t="shared" si="170"/>
        <v>0.05</v>
      </c>
      <c r="BQ240" s="7"/>
      <c r="BR240" s="7"/>
      <c r="BS240">
        <v>232</v>
      </c>
      <c r="BT240" s="120">
        <f t="shared" si="171"/>
        <v>1803.325314719782</v>
      </c>
      <c r="BU240" s="113">
        <f t="shared" si="172"/>
        <v>6588.3075235498654</v>
      </c>
      <c r="BV240" s="113">
        <f t="shared" si="173"/>
        <v>1976.4922570649596</v>
      </c>
      <c r="BW240" s="113">
        <f t="shared" si="206"/>
        <v>68665.99501155506</v>
      </c>
      <c r="BX240" s="113">
        <f t="shared" si="199"/>
        <v>1517.824094194393</v>
      </c>
      <c r="BY240" s="120">
        <f t="shared" si="200"/>
        <v>24180.557104866635</v>
      </c>
      <c r="BZ240" s="153">
        <f t="shared" si="207"/>
        <v>0</v>
      </c>
      <c r="CA240" s="120">
        <f t="shared" si="209"/>
        <v>24180.557104866635</v>
      </c>
      <c r="CB240" s="120">
        <f t="shared" si="201"/>
        <v>6045.1392762166588</v>
      </c>
      <c r="CC240" s="153">
        <f t="shared" si="202"/>
        <v>19653.241922844369</v>
      </c>
      <c r="CD240" s="7">
        <f t="shared" si="174"/>
        <v>3399.6005911630205</v>
      </c>
      <c r="CE240" s="11">
        <f>SUM($CD$9:CD240)</f>
        <v>25641160.4852149</v>
      </c>
      <c r="CF240" s="11">
        <f t="shared" si="203"/>
        <v>12000000</v>
      </c>
      <c r="CG240">
        <f t="shared" si="204"/>
        <v>13641160.4852149</v>
      </c>
    </row>
    <row r="241" spans="1:85">
      <c r="A241">
        <f t="shared" si="175"/>
        <v>2036</v>
      </c>
      <c r="B241">
        <f t="shared" si="176"/>
        <v>30.416666666666668</v>
      </c>
      <c r="C241">
        <f t="shared" si="210"/>
        <v>20</v>
      </c>
      <c r="E241" s="97">
        <v>49888</v>
      </c>
      <c r="F241" s="2">
        <f>$F$6*EXP(-$F$3*COUNT($E$9:$E241))</f>
        <v>6.9880065824774644E-3</v>
      </c>
      <c r="G241" s="260">
        <f>$F$6/(1+$F$5*$F$3*COUNT($E$9:$E241))^(1/$F$5)</f>
        <v>1.0283910265988461</v>
      </c>
      <c r="H241" s="260">
        <f>$H$6/(1+$H$5*$H$3*COUNT($E$9:$E241))^(1/$H$5)</f>
        <v>70.642800131622508</v>
      </c>
      <c r="I241" s="260">
        <f t="shared" si="177"/>
        <v>13.455771453642381</v>
      </c>
      <c r="J241" s="260">
        <f t="shared" si="211"/>
        <v>5.6029832332966869</v>
      </c>
      <c r="K241" s="260">
        <f t="shared" si="211"/>
        <v>3.8120200528168864</v>
      </c>
      <c r="L241" s="260">
        <f t="shared" si="211"/>
        <v>1.8178747233870856</v>
      </c>
      <c r="M241" s="260">
        <f t="shared" si="211"/>
        <v>2.2242390212870857</v>
      </c>
      <c r="N241" s="19">
        <f t="shared" si="179"/>
        <v>0.21255186688368954</v>
      </c>
      <c r="O241" s="19">
        <f t="shared" si="180"/>
        <v>31.280227059048237</v>
      </c>
      <c r="P241" s="19">
        <f t="shared" si="181"/>
        <v>2148.7185040035179</v>
      </c>
      <c r="Q241" s="19">
        <f t="shared" si="182"/>
        <v>409.27971504828912</v>
      </c>
      <c r="R241" s="19">
        <f t="shared" si="183"/>
        <v>170.42407334610758</v>
      </c>
      <c r="S241" s="19">
        <f t="shared" si="184"/>
        <v>115.9489432731803</v>
      </c>
      <c r="T241" s="19">
        <f t="shared" si="185"/>
        <v>55.293689503023856</v>
      </c>
      <c r="U241" s="19">
        <f t="shared" si="186"/>
        <v>67.653936897482197</v>
      </c>
      <c r="V241" s="261">
        <f t="shared" si="205"/>
        <v>654.7602539326856</v>
      </c>
      <c r="W241" s="261">
        <f>SUM(O$9:O241)</f>
        <v>562737.77342392842</v>
      </c>
      <c r="X241" s="261">
        <f>SUM(P$9:P241)</f>
        <v>2543052.2914327434</v>
      </c>
      <c r="Y241" s="261">
        <f>SUM(Q$9:Q241)</f>
        <v>484390.91265385586</v>
      </c>
      <c r="Z241" s="261">
        <f>SUM($V$9:V241)</f>
        <v>1300639.1355843751</v>
      </c>
      <c r="AB241" s="257">
        <f t="array" ref="AB241">(INDEX(PriceDeck!$C$18:$O$77,MATCH('Decline and Model'!$A241,PriceDeck!$B$18:$B$77,0),MATCH('Decline and Model'!AB$8,PriceDeck!$C$13:$O$13,0))*(1+$AE$6))</f>
        <v>102.01706621568002</v>
      </c>
      <c r="AC241" s="257">
        <f t="array" ref="AC241">INDEX(PriceDeck!$C$18:$O$77,MATCH('Decline and Model'!$A241,PriceDeck!$B$18:$B$77,0),MATCH('Decline and Model'!AC$8,PriceDeck!$C$13:$O$13,0))*(1+$AE$6)</f>
        <v>116.48052473760001</v>
      </c>
      <c r="AD241" s="257">
        <f t="array" ref="AD241">INDEX(PriceDeck!$C$18:$O$77,MATCH('Decline and Model'!$A241,PriceDeck!$B$18:$B$77,0),MATCH('Decline and Model'!AD$8,PriceDeck!$C$13:$O$13,0))*(1+$AE$6)</f>
        <v>20.315086778879998</v>
      </c>
      <c r="AE241" s="257">
        <f t="array" ref="AE241">INDEX(PriceDeck!$C$18:$O$77,MATCH('Decline and Model'!$A241,PriceDeck!$B$18:$B$77,0),MATCH('Decline and Model'!AE$8,PriceDeck!$C$13:$O$13,0))*(1+$AE$6)</f>
        <v>40.96139779872</v>
      </c>
      <c r="AF241" s="257">
        <f t="array" ref="AF241">INDEX(PriceDeck!$C$18:$O$77,MATCH('Decline and Model'!$A241,PriceDeck!$B$18:$B$77,0),MATCH('Decline and Model'!AF$8,PriceDeck!$C$13:$O$13,0))*(1+$AE$6)</f>
        <v>120.8968479504</v>
      </c>
      <c r="AG241" s="257">
        <f t="array" ref="AG241">INDEX(PriceDeck!$C$18:$O$77,MATCH('Decline and Model'!$A241,PriceDeck!$B$18:$B$77,0),MATCH('Decline and Model'!AG$8,PriceDeck!$C$13:$O$13,0))*(1+$AE$6)</f>
        <v>85.345446087360003</v>
      </c>
      <c r="AH241" s="258">
        <f t="array" ref="AH241">INDEX(PriceDeck!$C$18:$O$77,MATCH('Decline and Model'!$A241,PriceDeck!$B$18:$B$77,0),MATCH('Decline and Model'!AH$8,PriceDeck!$C$13:$O$13,0))</f>
        <v>0.85</v>
      </c>
      <c r="AI241" s="258">
        <f t="shared" si="187"/>
        <v>5.3547918955200009</v>
      </c>
      <c r="AJ241" s="259">
        <f t="shared" si="162"/>
        <v>5.3547918955200009</v>
      </c>
      <c r="AK241" s="120">
        <v>5.3547918955200009</v>
      </c>
      <c r="AL241" s="120"/>
      <c r="AN241" s="7">
        <f t="shared" si="188"/>
        <v>3643.537261749213</v>
      </c>
      <c r="AO241" s="7">
        <f t="shared" si="189"/>
        <v>11505.940430991897</v>
      </c>
      <c r="AP241" s="7">
        <f t="shared" si="190"/>
        <v>3462.1798392363849</v>
      </c>
      <c r="AQ241" s="7">
        <f t="shared" si="191"/>
        <v>4749.4307897539575</v>
      </c>
      <c r="AR241" s="7">
        <f t="shared" si="192"/>
        <v>6684.8327724637038</v>
      </c>
      <c r="AS241" s="7">
        <f t="shared" si="193"/>
        <v>5773.9554240817224</v>
      </c>
      <c r="AT241" s="7">
        <f t="shared" si="194"/>
        <v>35819.876518276884</v>
      </c>
      <c r="AU241">
        <f>SUM($AT$9:AT241)</f>
        <v>69413563.133539364</v>
      </c>
      <c r="AV241" s="7">
        <f>AT241/(1+$AR$5)^(COUNT($E$9:E241))</f>
        <v>6149.4074600235563</v>
      </c>
      <c r="AW241" s="7">
        <f t="shared" si="208"/>
        <v>0</v>
      </c>
      <c r="AX241" s="7">
        <f t="shared" si="195"/>
        <v>0</v>
      </c>
      <c r="AY241" s="117">
        <f t="shared" si="196"/>
        <v>0</v>
      </c>
      <c r="AZ241" s="117">
        <f t="shared" si="197"/>
        <v>35819.876518276884</v>
      </c>
      <c r="BA241" s="120">
        <f t="shared" si="198"/>
        <v>1790.9938259138444</v>
      </c>
      <c r="BB241" s="119">
        <f t="shared" si="163"/>
        <v>565.46288606731446</v>
      </c>
      <c r="BC241" s="17"/>
      <c r="BD241" s="126">
        <f t="shared" si="164"/>
        <v>0.1017183088247141</v>
      </c>
      <c r="BE241" s="127">
        <f t="shared" si="165"/>
        <v>0.32121664141195622</v>
      </c>
      <c r="BF241" s="127">
        <f t="shared" si="166"/>
        <v>9.6655270083631575E-2</v>
      </c>
      <c r="BG241" s="127">
        <f t="shared" si="167"/>
        <v>0.13259204808622352</v>
      </c>
      <c r="BH241" s="127">
        <f t="shared" si="168"/>
        <v>0.18662355714857942</v>
      </c>
      <c r="BI241" s="128">
        <f t="shared" si="169"/>
        <v>0.16119417444489501</v>
      </c>
      <c r="BJ241" s="126">
        <f t="array" ref="BJ241">BD241*INDEX(Royalty!$U$7:$Z$246,MATCH('Decline and Model'!$E241,Royalty!$AI$7:$AI$246,0),MATCH('Decline and Model'!BJ$8,Royalty!$U$1:$Z$1,0))</f>
        <v>3.4762805797348015E-2</v>
      </c>
      <c r="BK241" s="127">
        <f t="array" ref="BK241">BE241*INDEX(Royalty!$U$7:$Z$246,MATCH('Decline and Model'!$E241,Royalty!$AI$7:$AI$246,0),MATCH('Decline and Model'!BK$8,Royalty!$U$1:$Z$1,0))</f>
        <v>0.10799305856774821</v>
      </c>
      <c r="BL241" s="127">
        <f t="array" ref="BL241">BF241*INDEX(Royalty!$U$7:$Z$246,MATCH('Decline and Model'!$E241,Royalty!$AI$7:$AI$246,0),MATCH('Decline and Model'!BL$8,Royalty!$U$1:$Z$1,0))</f>
        <v>3.3038736161551827E-2</v>
      </c>
      <c r="BM241" s="127">
        <f t="array" ref="BM241">BG241*INDEX(Royalty!$U$7:$Z$246,MATCH('Decline and Model'!$E241,Royalty!$AI$7:$AI$246,0),MATCH('Decline and Model'!BM$8,Royalty!$U$1:$Z$1,0))</f>
        <v>4.4556503864493328E-2</v>
      </c>
      <c r="BN241" s="127">
        <f t="array" ref="BN241">BH241*INDEX(Royalty!$U$7:$Z$246,MATCH('Decline and Model'!$E241,Royalty!$AI$7:$AI$246,0),MATCH('Decline and Model'!BN$8,Royalty!$U$1:$Z$1,0))</f>
        <v>3.5968329475593842E-2</v>
      </c>
      <c r="BO241" s="127">
        <f t="array" ref="BO241">BI241*INDEX(Royalty!$U$7:$Z$246,MATCH('Decline and Model'!$E241,Royalty!$AI$7:$AI$246,0),MATCH('Decline and Model'!BO$8,Royalty!$U$1:$Z$1,0))</f>
        <v>8.0597087222447506E-3</v>
      </c>
      <c r="BP241" s="135">
        <f t="shared" si="170"/>
        <v>0.05</v>
      </c>
      <c r="BQ241" s="7"/>
      <c r="BR241" s="7"/>
      <c r="BS241">
        <v>233</v>
      </c>
      <c r="BT241" s="120">
        <f t="shared" si="171"/>
        <v>1790.9938259138444</v>
      </c>
      <c r="BU241" s="113">
        <f t="shared" si="172"/>
        <v>6547.6025393268555</v>
      </c>
      <c r="BV241" s="113">
        <f t="shared" si="173"/>
        <v>1964.2807617980568</v>
      </c>
      <c r="BW241" s="113">
        <f t="shared" si="206"/>
        <v>67148.170917360665</v>
      </c>
      <c r="BX241" s="113">
        <f t="shared" si="199"/>
        <v>1484.2734264944734</v>
      </c>
      <c r="BY241" s="120">
        <f t="shared" si="200"/>
        <v>24032.725964743651</v>
      </c>
      <c r="BZ241" s="153">
        <f t="shared" si="207"/>
        <v>0</v>
      </c>
      <c r="CA241" s="120">
        <f t="shared" si="209"/>
        <v>24032.725964743651</v>
      </c>
      <c r="CB241" s="120">
        <f t="shared" si="201"/>
        <v>6008.1814911859128</v>
      </c>
      <c r="CC241" s="153">
        <f t="shared" si="202"/>
        <v>19508.817900052214</v>
      </c>
      <c r="CD241" s="7">
        <f t="shared" si="174"/>
        <v>3349.19273855144</v>
      </c>
      <c r="CE241" s="11">
        <f>SUM($CD$9:CD241)</f>
        <v>25644509.677953452</v>
      </c>
      <c r="CF241" s="11">
        <f t="shared" si="203"/>
        <v>12000000</v>
      </c>
      <c r="CG241">
        <f t="shared" si="204"/>
        <v>13644509.677953452</v>
      </c>
    </row>
    <row r="242" spans="1:85">
      <c r="A242">
        <f t="shared" si="175"/>
        <v>2036</v>
      </c>
      <c r="B242">
        <f t="shared" si="176"/>
        <v>30.416666666666668</v>
      </c>
      <c r="C242">
        <f t="shared" si="210"/>
        <v>20</v>
      </c>
      <c r="E242" s="97">
        <v>49919</v>
      </c>
      <c r="F242" s="2">
        <f>$F$6*EXP(-$F$3*COUNT($E$9:$E242))</f>
        <v>6.6471974798572343E-3</v>
      </c>
      <c r="G242" s="260">
        <f>$F$6/(1+$F$5*$F$3*COUNT($E$9:$E242))^(1/$F$5)</f>
        <v>1.0102401024560088</v>
      </c>
      <c r="H242" s="260">
        <f>$H$6/(1+$H$5*$H$3*COUNT($E$9:$E242))^(1/$H$5)</f>
        <v>70.249246931951987</v>
      </c>
      <c r="I242" s="260">
        <f t="shared" si="177"/>
        <v>13.380808939419426</v>
      </c>
      <c r="J242" s="260">
        <f t="shared" ref="J242:M248" si="212">$I242*J$7</f>
        <v>5.5717688423742491</v>
      </c>
      <c r="K242" s="260">
        <f t="shared" si="212"/>
        <v>3.7907831725375232</v>
      </c>
      <c r="L242" s="260">
        <f t="shared" si="212"/>
        <v>1.8077472877155645</v>
      </c>
      <c r="M242" s="260">
        <f t="shared" si="212"/>
        <v>2.2118477176860312</v>
      </c>
      <c r="N242" s="19">
        <f t="shared" si="179"/>
        <v>0.20218559001232422</v>
      </c>
      <c r="O242" s="19">
        <f t="shared" si="180"/>
        <v>30.728136449703602</v>
      </c>
      <c r="P242" s="19">
        <f t="shared" si="181"/>
        <v>2136.7479275135397</v>
      </c>
      <c r="Q242" s="19">
        <f t="shared" si="182"/>
        <v>406.99960524067421</v>
      </c>
      <c r="R242" s="19">
        <f t="shared" si="183"/>
        <v>169.47463562221674</v>
      </c>
      <c r="S242" s="19">
        <f t="shared" si="184"/>
        <v>115.302988164683</v>
      </c>
      <c r="T242" s="19">
        <f t="shared" si="185"/>
        <v>54.985646668015086</v>
      </c>
      <c r="U242" s="19">
        <f t="shared" si="186"/>
        <v>67.277034746283448</v>
      </c>
      <c r="V242" s="261">
        <f t="shared" si="205"/>
        <v>650.73473702866409</v>
      </c>
      <c r="W242" s="261">
        <f>SUM(O$9:O242)</f>
        <v>562768.50156037812</v>
      </c>
      <c r="X242" s="261">
        <f>SUM(P$9:P242)</f>
        <v>2545189.0393602569</v>
      </c>
      <c r="Y242" s="261">
        <f>SUM(Q$9:Q242)</f>
        <v>484797.91225909651</v>
      </c>
      <c r="Z242" s="261">
        <f>SUM($V$9:V242)</f>
        <v>1301289.8703214037</v>
      </c>
      <c r="AB242" s="257">
        <f t="array" ref="AB242">(INDEX(PriceDeck!$C$18:$O$77,MATCH('Decline and Model'!$A242,PriceDeck!$B$18:$B$77,0),MATCH('Decline and Model'!AB$8,PriceDeck!$C$13:$O$13,0))*(1+$AE$6))</f>
        <v>102.01706621568002</v>
      </c>
      <c r="AC242" s="257">
        <f t="array" ref="AC242">INDEX(PriceDeck!$C$18:$O$77,MATCH('Decline and Model'!$A242,PriceDeck!$B$18:$B$77,0),MATCH('Decline and Model'!AC$8,PriceDeck!$C$13:$O$13,0))*(1+$AE$6)</f>
        <v>116.48052473760001</v>
      </c>
      <c r="AD242" s="257">
        <f t="array" ref="AD242">INDEX(PriceDeck!$C$18:$O$77,MATCH('Decline and Model'!$A242,PriceDeck!$B$18:$B$77,0),MATCH('Decline and Model'!AD$8,PriceDeck!$C$13:$O$13,0))*(1+$AE$6)</f>
        <v>20.315086778879998</v>
      </c>
      <c r="AE242" s="257">
        <f t="array" ref="AE242">INDEX(PriceDeck!$C$18:$O$77,MATCH('Decline and Model'!$A242,PriceDeck!$B$18:$B$77,0),MATCH('Decline and Model'!AE$8,PriceDeck!$C$13:$O$13,0))*(1+$AE$6)</f>
        <v>40.96139779872</v>
      </c>
      <c r="AF242" s="257">
        <f t="array" ref="AF242">INDEX(PriceDeck!$C$18:$O$77,MATCH('Decline and Model'!$A242,PriceDeck!$B$18:$B$77,0),MATCH('Decline and Model'!AF$8,PriceDeck!$C$13:$O$13,0))*(1+$AE$6)</f>
        <v>120.8968479504</v>
      </c>
      <c r="AG242" s="257">
        <f t="array" ref="AG242">INDEX(PriceDeck!$C$18:$O$77,MATCH('Decline and Model'!$A242,PriceDeck!$B$18:$B$77,0),MATCH('Decline and Model'!AG$8,PriceDeck!$C$13:$O$13,0))*(1+$AE$6)</f>
        <v>85.345446087360003</v>
      </c>
      <c r="AH242" s="258">
        <f t="array" ref="AH242">INDEX(PriceDeck!$C$18:$O$77,MATCH('Decline and Model'!$A242,PriceDeck!$B$18:$B$77,0),MATCH('Decline and Model'!AH$8,PriceDeck!$C$13:$O$13,0))</f>
        <v>0.85</v>
      </c>
      <c r="AI242" s="258">
        <f t="shared" si="187"/>
        <v>5.3547918955200009</v>
      </c>
      <c r="AJ242" s="259">
        <f t="shared" si="162"/>
        <v>5.3547918955200009</v>
      </c>
      <c r="AK242" s="120">
        <v>5.3547918955200009</v>
      </c>
      <c r="AL242" s="120"/>
      <c r="AN242" s="7">
        <f t="shared" si="188"/>
        <v>3579.2294578700489</v>
      </c>
      <c r="AO242" s="7">
        <f t="shared" si="189"/>
        <v>11441.840485018662</v>
      </c>
      <c r="AP242" s="7">
        <f t="shared" si="190"/>
        <v>3442.8919294844004</v>
      </c>
      <c r="AQ242" s="7">
        <f t="shared" si="191"/>
        <v>4722.9715655946848</v>
      </c>
      <c r="AR242" s="7">
        <f t="shared" si="192"/>
        <v>6647.5913646774379</v>
      </c>
      <c r="AS242" s="7">
        <f t="shared" si="193"/>
        <v>5741.7885418563792</v>
      </c>
      <c r="AT242" s="7">
        <f t="shared" si="194"/>
        <v>35576.313344501614</v>
      </c>
      <c r="AU242">
        <f>SUM($AT$9:AT242)</f>
        <v>69449139.446883872</v>
      </c>
      <c r="AV242" s="7">
        <f>AT242/(1+$AR$5)^(COUNT($E$9:E242))</f>
        <v>6061.5768783691483</v>
      </c>
      <c r="AW242" s="7">
        <f t="shared" si="208"/>
        <v>0</v>
      </c>
      <c r="AX242" s="7">
        <f t="shared" si="195"/>
        <v>0</v>
      </c>
      <c r="AY242" s="117">
        <f t="shared" si="196"/>
        <v>0</v>
      </c>
      <c r="AZ242" s="117">
        <f t="shared" si="197"/>
        <v>35576.313344501614</v>
      </c>
      <c r="BA242" s="120">
        <f t="shared" si="198"/>
        <v>1778.8156672250807</v>
      </c>
      <c r="BB242" s="119">
        <f t="shared" si="163"/>
        <v>569.48840297133597</v>
      </c>
      <c r="BC242" s="17"/>
      <c r="BD242" s="126">
        <f t="shared" si="164"/>
        <v>0.10060709279263265</v>
      </c>
      <c r="BE242" s="127">
        <f t="shared" si="165"/>
        <v>0.32161400126601425</v>
      </c>
      <c r="BF242" s="127">
        <f t="shared" si="166"/>
        <v>9.6774837126750959E-2</v>
      </c>
      <c r="BG242" s="127">
        <f t="shared" si="167"/>
        <v>0.13275607058719111</v>
      </c>
      <c r="BH242" s="127">
        <f t="shared" si="168"/>
        <v>0.18685441912729375</v>
      </c>
      <c r="BI242" s="128">
        <f t="shared" si="169"/>
        <v>0.16139357910011728</v>
      </c>
      <c r="BJ242" s="126">
        <f t="array" ref="BJ242">BD242*INDEX(Royalty!$U$7:$Z$246,MATCH('Decline and Model'!$E242,Royalty!$AI$7:$AI$246,0),MATCH('Decline and Model'!BJ$8,Royalty!$U$1:$Z$1,0))</f>
        <v>3.4383041450413043E-2</v>
      </c>
      <c r="BK242" s="127">
        <f t="array" ref="BK242">BE242*INDEX(Royalty!$U$7:$Z$246,MATCH('Decline and Model'!$E242,Royalty!$AI$7:$AI$246,0),MATCH('Decline and Model'!BK$8,Royalty!$U$1:$Z$1,0))</f>
        <v>0.10812665098003151</v>
      </c>
      <c r="BL242" s="127">
        <f t="array" ref="BL242">BF242*INDEX(Royalty!$U$7:$Z$246,MATCH('Decline and Model'!$E242,Royalty!$AI$7:$AI$246,0),MATCH('Decline and Model'!BL$8,Royalty!$U$1:$Z$1,0))</f>
        <v>3.3079606607496675E-2</v>
      </c>
      <c r="BM242" s="127">
        <f t="array" ref="BM242">BG242*INDEX(Royalty!$U$7:$Z$246,MATCH('Decline and Model'!$E242,Royalty!$AI$7:$AI$246,0),MATCH('Decline and Model'!BM$8,Royalty!$U$1:$Z$1,0))</f>
        <v>4.4611622322226728E-2</v>
      </c>
      <c r="BN242" s="127">
        <f t="array" ref="BN242">BH242*INDEX(Royalty!$U$7:$Z$246,MATCH('Decline and Model'!$E242,Royalty!$AI$7:$AI$246,0),MATCH('Decline and Model'!BN$8,Royalty!$U$1:$Z$1,0))</f>
        <v>3.6012823964074597E-2</v>
      </c>
      <c r="BO242" s="127">
        <f t="array" ref="BO242">BI242*INDEX(Royalty!$U$7:$Z$246,MATCH('Decline and Model'!$E242,Royalty!$AI$7:$AI$246,0),MATCH('Decline and Model'!BO$8,Royalty!$U$1:$Z$1,0))</f>
        <v>8.0696789550058646E-3</v>
      </c>
      <c r="BP242" s="135">
        <f t="shared" si="170"/>
        <v>0.05</v>
      </c>
      <c r="BQ242" s="7"/>
      <c r="BR242" s="7"/>
      <c r="BS242">
        <v>234</v>
      </c>
      <c r="BT242" s="120">
        <f t="shared" si="171"/>
        <v>1778.8156672250807</v>
      </c>
      <c r="BU242" s="113">
        <f t="shared" si="172"/>
        <v>6507.3473702866413</v>
      </c>
      <c r="BV242" s="113">
        <f t="shared" si="173"/>
        <v>1952.2042110859923</v>
      </c>
      <c r="BW242" s="113">
        <f t="shared" si="206"/>
        <v>65663.897490866191</v>
      </c>
      <c r="BX242" s="113">
        <f t="shared" si="199"/>
        <v>1451.4643778711093</v>
      </c>
      <c r="BY242" s="120">
        <f t="shared" si="200"/>
        <v>23886.481718032795</v>
      </c>
      <c r="BZ242" s="153">
        <f t="shared" si="207"/>
        <v>0</v>
      </c>
      <c r="CA242" s="120">
        <f t="shared" si="209"/>
        <v>23886.481718032795</v>
      </c>
      <c r="CB242" s="120">
        <f t="shared" si="201"/>
        <v>5971.6204295081989</v>
      </c>
      <c r="CC242" s="153">
        <f t="shared" si="202"/>
        <v>19366.325666395707</v>
      </c>
      <c r="CD242" s="7">
        <f t="shared" si="174"/>
        <v>3299.6806257479775</v>
      </c>
      <c r="CE242" s="11">
        <f>SUM($CD$9:CD242)</f>
        <v>25647809.3585792</v>
      </c>
      <c r="CF242" s="11">
        <f t="shared" si="203"/>
        <v>12000000</v>
      </c>
      <c r="CG242">
        <f t="shared" si="204"/>
        <v>13647809.3585792</v>
      </c>
    </row>
    <row r="243" spans="1:85">
      <c r="A243">
        <f t="shared" si="175"/>
        <v>2036</v>
      </c>
      <c r="B243">
        <f t="shared" si="176"/>
        <v>30.416666666666668</v>
      </c>
      <c r="C243">
        <f t="shared" si="210"/>
        <v>20</v>
      </c>
      <c r="E243" s="97">
        <v>49949</v>
      </c>
      <c r="F243" s="2">
        <f>$F$6*EXP(-$F$3*COUNT($E$9:$E243))</f>
        <v>6.3230098333072002E-3</v>
      </c>
      <c r="G243" s="260">
        <f>$F$6/(1+$F$5*$F$3*COUNT($E$9:$E243))^(1/$F$5)</f>
        <v>0.99245813566480479</v>
      </c>
      <c r="H243" s="260">
        <f>$H$6/(1+$H$5*$H$3*COUNT($E$9:$E243))^(1/$H$5)</f>
        <v>69.859437620056767</v>
      </c>
      <c r="I243" s="260">
        <f t="shared" si="177"/>
        <v>13.306559546677478</v>
      </c>
      <c r="J243" s="260">
        <f t="shared" si="212"/>
        <v>5.5408513952365022</v>
      </c>
      <c r="K243" s="260">
        <f t="shared" si="212"/>
        <v>3.7697483195737296</v>
      </c>
      <c r="L243" s="260">
        <f t="shared" si="212"/>
        <v>1.7977161947561273</v>
      </c>
      <c r="M243" s="260">
        <f t="shared" si="212"/>
        <v>2.1995742930657873</v>
      </c>
      <c r="N243" s="19">
        <f t="shared" si="179"/>
        <v>0.19232488242976067</v>
      </c>
      <c r="O243" s="19">
        <f t="shared" si="180"/>
        <v>30.187268293137812</v>
      </c>
      <c r="P243" s="19">
        <f t="shared" si="181"/>
        <v>2124.89122761006</v>
      </c>
      <c r="Q243" s="19">
        <f t="shared" si="182"/>
        <v>404.74118621143998</v>
      </c>
      <c r="R243" s="19">
        <f t="shared" si="183"/>
        <v>168.53422993844362</v>
      </c>
      <c r="S243" s="19">
        <f t="shared" si="184"/>
        <v>114.66317805370095</v>
      </c>
      <c r="T243" s="19">
        <f t="shared" si="185"/>
        <v>54.68053425716554</v>
      </c>
      <c r="U243" s="19">
        <f t="shared" si="186"/>
        <v>66.903718080751034</v>
      </c>
      <c r="V243" s="261">
        <f t="shared" si="205"/>
        <v>646.75348542462461</v>
      </c>
      <c r="W243" s="261">
        <f>SUM(O$9:O243)</f>
        <v>562798.68882867123</v>
      </c>
      <c r="X243" s="261">
        <f>SUM(P$9:P243)</f>
        <v>2547313.9305878668</v>
      </c>
      <c r="Y243" s="261">
        <f>SUM(Q$9:Q243)</f>
        <v>485202.65344530798</v>
      </c>
      <c r="Z243" s="261">
        <f>SUM($V$9:V243)</f>
        <v>1301936.6238068284</v>
      </c>
      <c r="AB243" s="257">
        <f t="array" ref="AB243">(INDEX(PriceDeck!$C$18:$O$77,MATCH('Decline and Model'!$A243,PriceDeck!$B$18:$B$77,0),MATCH('Decline and Model'!AB$8,PriceDeck!$C$13:$O$13,0))*(1+$AE$6))</f>
        <v>102.01706621568002</v>
      </c>
      <c r="AC243" s="257">
        <f t="array" ref="AC243">INDEX(PriceDeck!$C$18:$O$77,MATCH('Decline and Model'!$A243,PriceDeck!$B$18:$B$77,0),MATCH('Decline and Model'!AC$8,PriceDeck!$C$13:$O$13,0))*(1+$AE$6)</f>
        <v>116.48052473760001</v>
      </c>
      <c r="AD243" s="257">
        <f t="array" ref="AD243">INDEX(PriceDeck!$C$18:$O$77,MATCH('Decline and Model'!$A243,PriceDeck!$B$18:$B$77,0),MATCH('Decline and Model'!AD$8,PriceDeck!$C$13:$O$13,0))*(1+$AE$6)</f>
        <v>20.315086778879998</v>
      </c>
      <c r="AE243" s="257">
        <f t="array" ref="AE243">INDEX(PriceDeck!$C$18:$O$77,MATCH('Decline and Model'!$A243,PriceDeck!$B$18:$B$77,0),MATCH('Decline and Model'!AE$8,PriceDeck!$C$13:$O$13,0))*(1+$AE$6)</f>
        <v>40.96139779872</v>
      </c>
      <c r="AF243" s="257">
        <f t="array" ref="AF243">INDEX(PriceDeck!$C$18:$O$77,MATCH('Decline and Model'!$A243,PriceDeck!$B$18:$B$77,0),MATCH('Decline and Model'!AF$8,PriceDeck!$C$13:$O$13,0))*(1+$AE$6)</f>
        <v>120.8968479504</v>
      </c>
      <c r="AG243" s="257">
        <f t="array" ref="AG243">INDEX(PriceDeck!$C$18:$O$77,MATCH('Decline and Model'!$A243,PriceDeck!$B$18:$B$77,0),MATCH('Decline and Model'!AG$8,PriceDeck!$C$13:$O$13,0))*(1+$AE$6)</f>
        <v>85.345446087360003</v>
      </c>
      <c r="AH243" s="258">
        <f t="array" ref="AH243">INDEX(PriceDeck!$C$18:$O$77,MATCH('Decline and Model'!$A243,PriceDeck!$B$18:$B$77,0),MATCH('Decline and Model'!AH$8,PriceDeck!$C$13:$O$13,0))</f>
        <v>0.85</v>
      </c>
      <c r="AI243" s="258">
        <f t="shared" si="187"/>
        <v>5.3547918955200009</v>
      </c>
      <c r="AJ243" s="259">
        <f t="shared" si="162"/>
        <v>5.3547918955200009</v>
      </c>
      <c r="AK243" s="120">
        <v>5.3547918955200009</v>
      </c>
      <c r="AL243" s="120"/>
      <c r="AN243" s="7">
        <f t="shared" si="188"/>
        <v>3516.2288511794072</v>
      </c>
      <c r="AO243" s="7">
        <f t="shared" si="189"/>
        <v>11378.350324467894</v>
      </c>
      <c r="AP243" s="7">
        <f t="shared" si="190"/>
        <v>3423.7875064111972</v>
      </c>
      <c r="AQ243" s="7">
        <f t="shared" si="191"/>
        <v>4696.764049123105</v>
      </c>
      <c r="AR243" s="7">
        <f t="shared" si="192"/>
        <v>6610.7042359351808</v>
      </c>
      <c r="AS243" s="7">
        <f t="shared" si="193"/>
        <v>5709.9276645046702</v>
      </c>
      <c r="AT243" s="7">
        <f t="shared" si="194"/>
        <v>35335.762631621459</v>
      </c>
      <c r="AU243">
        <f>SUM($AT$9:AT243)</f>
        <v>69484475.209515497</v>
      </c>
      <c r="AV243" s="7">
        <f>AT243/(1+$AR$5)^(COUNT($E$9:E243))</f>
        <v>5975.2301115239043</v>
      </c>
      <c r="AW243" s="7">
        <f t="shared" si="208"/>
        <v>0</v>
      </c>
      <c r="AX243" s="7">
        <f t="shared" si="195"/>
        <v>0</v>
      </c>
      <c r="AY243" s="117">
        <f t="shared" si="196"/>
        <v>0</v>
      </c>
      <c r="AZ243" s="117">
        <f t="shared" si="197"/>
        <v>35335.762631621459</v>
      </c>
      <c r="BA243" s="120">
        <f t="shared" si="198"/>
        <v>1766.788131581073</v>
      </c>
      <c r="BB243" s="119">
        <f t="shared" si="163"/>
        <v>573.46965457537544</v>
      </c>
      <c r="BC243" s="17"/>
      <c r="BD243" s="126">
        <f t="shared" si="164"/>
        <v>9.9509069263239422E-2</v>
      </c>
      <c r="BE243" s="127">
        <f t="shared" si="165"/>
        <v>0.32200664361169257</v>
      </c>
      <c r="BF243" s="127">
        <f t="shared" si="166"/>
        <v>9.6892984654229589E-2</v>
      </c>
      <c r="BG243" s="127">
        <f t="shared" si="167"/>
        <v>0.1329181457914832</v>
      </c>
      <c r="BH243" s="127">
        <f t="shared" si="168"/>
        <v>0.18708254028227364</v>
      </c>
      <c r="BI243" s="128">
        <f t="shared" si="169"/>
        <v>0.1615906163970815</v>
      </c>
      <c r="BJ243" s="126">
        <f t="array" ref="BJ243">BD243*INDEX(Royalty!$U$7:$Z$246,MATCH('Decline and Model'!$E243,Royalty!$AI$7:$AI$246,0),MATCH('Decline and Model'!BJ$8,Royalty!$U$1:$Z$1,0))</f>
        <v>3.4007785715685954E-2</v>
      </c>
      <c r="BK243" s="127">
        <f t="array" ref="BK243">BE243*INDEX(Royalty!$U$7:$Z$246,MATCH('Decline and Model'!$E243,Royalty!$AI$7:$AI$246,0),MATCH('Decline and Model'!BK$8,Royalty!$U$1:$Z$1,0))</f>
        <v>0.1082586573656491</v>
      </c>
      <c r="BL243" s="127">
        <f t="array" ref="BL243">BF243*INDEX(Royalty!$U$7:$Z$246,MATCH('Decline and Model'!$E243,Royalty!$AI$7:$AI$246,0),MATCH('Decline and Model'!BL$8,Royalty!$U$1:$Z$1,0))</f>
        <v>3.3119991834139037E-2</v>
      </c>
      <c r="BM243" s="127">
        <f t="array" ref="BM243">BG243*INDEX(Royalty!$U$7:$Z$246,MATCH('Decline and Model'!$E243,Royalty!$AI$7:$AI$246,0),MATCH('Decline and Model'!BM$8,Royalty!$U$1:$Z$1,0))</f>
        <v>4.4666086406390235E-2</v>
      </c>
      <c r="BN243" s="127">
        <f t="array" ref="BN243">BH243*INDEX(Royalty!$U$7:$Z$246,MATCH('Decline and Model'!$E243,Royalty!$AI$7:$AI$246,0),MATCH('Decline and Model'!BN$8,Royalty!$U$1:$Z$1,0))</f>
        <v>3.6056790208143862E-2</v>
      </c>
      <c r="BO243" s="127">
        <f t="array" ref="BO243">BI243*INDEX(Royalty!$U$7:$Z$246,MATCH('Decline and Model'!$E243,Royalty!$AI$7:$AI$246,0),MATCH('Decline and Model'!BO$8,Royalty!$U$1:$Z$1,0))</f>
        <v>8.079530819854075E-3</v>
      </c>
      <c r="BP243" s="135">
        <f t="shared" si="170"/>
        <v>0.05</v>
      </c>
      <c r="BQ243" s="7"/>
      <c r="BR243" s="7"/>
      <c r="BS243">
        <v>235</v>
      </c>
      <c r="BT243" s="120">
        <f t="shared" si="171"/>
        <v>1766.788131581073</v>
      </c>
      <c r="BU243" s="113">
        <f t="shared" si="172"/>
        <v>6467.5348542462461</v>
      </c>
      <c r="BV243" s="113">
        <f t="shared" si="173"/>
        <v>1940.2604562738738</v>
      </c>
      <c r="BW243" s="113">
        <f t="shared" si="206"/>
        <v>64212.433112995081</v>
      </c>
      <c r="BX243" s="113">
        <f t="shared" si="199"/>
        <v>1419.3805552420638</v>
      </c>
      <c r="BY243" s="120">
        <f t="shared" si="200"/>
        <v>23741.798634278202</v>
      </c>
      <c r="BZ243" s="153">
        <f t="shared" si="207"/>
        <v>0</v>
      </c>
      <c r="CA243" s="120">
        <f t="shared" si="209"/>
        <v>23741.798634278202</v>
      </c>
      <c r="CB243" s="120">
        <f t="shared" si="201"/>
        <v>5935.4496585695506</v>
      </c>
      <c r="CC243" s="153">
        <f t="shared" si="202"/>
        <v>19225.729530950714</v>
      </c>
      <c r="CD243" s="7">
        <f t="shared" si="174"/>
        <v>3251.0451014448536</v>
      </c>
      <c r="CE243" s="11">
        <f>SUM($CD$9:CD243)</f>
        <v>25651060.403680645</v>
      </c>
      <c r="CF243" s="11">
        <f t="shared" si="203"/>
        <v>12000000</v>
      </c>
      <c r="CG243">
        <f t="shared" si="204"/>
        <v>13651060.403680645</v>
      </c>
    </row>
    <row r="244" spans="1:85">
      <c r="A244">
        <f t="shared" si="175"/>
        <v>2036</v>
      </c>
      <c r="B244">
        <f t="shared" si="176"/>
        <v>30.416666666666668</v>
      </c>
      <c r="C244">
        <f t="shared" si="210"/>
        <v>20</v>
      </c>
      <c r="E244" s="97">
        <v>49980</v>
      </c>
      <c r="F244" s="2">
        <f>$F$6*EXP(-$F$3*COUNT($E$9:$E244))</f>
        <v>6.0146330048491594E-3</v>
      </c>
      <c r="G244" s="260">
        <f>$F$6/(1+$F$5*$F$3*COUNT($E$9:$E244))^(1/$F$5)</f>
        <v>0.97503664390035127</v>
      </c>
      <c r="H244" s="260">
        <f>$H$6/(1+$H$5*$H$3*COUNT($E$9:$E244))^(1/$H$5)</f>
        <v>69.473321938294404</v>
      </c>
      <c r="I244" s="260">
        <f t="shared" si="177"/>
        <v>13.233013702532267</v>
      </c>
      <c r="J244" s="260">
        <f t="shared" si="212"/>
        <v>5.5102269057344362</v>
      </c>
      <c r="K244" s="260">
        <f t="shared" si="212"/>
        <v>3.7489127819273911</v>
      </c>
      <c r="L244" s="260">
        <f t="shared" si="212"/>
        <v>1.7877801512121092</v>
      </c>
      <c r="M244" s="260">
        <f t="shared" si="212"/>
        <v>2.1874171650285836</v>
      </c>
      <c r="N244" s="19">
        <f t="shared" si="179"/>
        <v>0.18294508723082861</v>
      </c>
      <c r="O244" s="19">
        <f t="shared" si="180"/>
        <v>29.657364585302354</v>
      </c>
      <c r="P244" s="19">
        <f t="shared" si="181"/>
        <v>2113.1468756231216</v>
      </c>
      <c r="Q244" s="19">
        <f t="shared" si="182"/>
        <v>402.50416678535646</v>
      </c>
      <c r="R244" s="19">
        <f t="shared" si="183"/>
        <v>167.60273504942245</v>
      </c>
      <c r="S244" s="19">
        <f t="shared" si="184"/>
        <v>114.02943045029149</v>
      </c>
      <c r="T244" s="19">
        <f t="shared" si="185"/>
        <v>54.378312932701654</v>
      </c>
      <c r="U244" s="19">
        <f t="shared" si="186"/>
        <v>66.533938769619425</v>
      </c>
      <c r="V244" s="261">
        <f t="shared" si="205"/>
        <v>642.81579755204791</v>
      </c>
      <c r="W244" s="261">
        <f>SUM(O$9:O244)</f>
        <v>562828.34619325656</v>
      </c>
      <c r="X244" s="261">
        <f>SUM(P$9:P244)</f>
        <v>2549427.07746349</v>
      </c>
      <c r="Y244" s="261">
        <f>SUM(Q$9:Q244)</f>
        <v>485605.15761209332</v>
      </c>
      <c r="Z244" s="261">
        <f>SUM($V$9:V244)</f>
        <v>1302579.4396043804</v>
      </c>
      <c r="AB244" s="257">
        <f t="array" ref="AB244">(INDEX(PriceDeck!$C$18:$O$77,MATCH('Decline and Model'!$A244,PriceDeck!$B$18:$B$77,0),MATCH('Decline and Model'!AB$8,PriceDeck!$C$13:$O$13,0))*(1+$AE$6))</f>
        <v>102.01706621568002</v>
      </c>
      <c r="AC244" s="257">
        <f t="array" ref="AC244">INDEX(PriceDeck!$C$18:$O$77,MATCH('Decline and Model'!$A244,PriceDeck!$B$18:$B$77,0),MATCH('Decline and Model'!AC$8,PriceDeck!$C$13:$O$13,0))*(1+$AE$6)</f>
        <v>116.48052473760001</v>
      </c>
      <c r="AD244" s="257">
        <f t="array" ref="AD244">INDEX(PriceDeck!$C$18:$O$77,MATCH('Decline and Model'!$A244,PriceDeck!$B$18:$B$77,0),MATCH('Decline and Model'!AD$8,PriceDeck!$C$13:$O$13,0))*(1+$AE$6)</f>
        <v>20.315086778879998</v>
      </c>
      <c r="AE244" s="257">
        <f t="array" ref="AE244">INDEX(PriceDeck!$C$18:$O$77,MATCH('Decline and Model'!$A244,PriceDeck!$B$18:$B$77,0),MATCH('Decline and Model'!AE$8,PriceDeck!$C$13:$O$13,0))*(1+$AE$6)</f>
        <v>40.96139779872</v>
      </c>
      <c r="AF244" s="257">
        <f t="array" ref="AF244">INDEX(PriceDeck!$C$18:$O$77,MATCH('Decline and Model'!$A244,PriceDeck!$B$18:$B$77,0),MATCH('Decline and Model'!AF$8,PriceDeck!$C$13:$O$13,0))*(1+$AE$6)</f>
        <v>120.8968479504</v>
      </c>
      <c r="AG244" s="257">
        <f t="array" ref="AG244">INDEX(PriceDeck!$C$18:$O$77,MATCH('Decline and Model'!$A244,PriceDeck!$B$18:$B$77,0),MATCH('Decline and Model'!AG$8,PriceDeck!$C$13:$O$13,0))*(1+$AE$6)</f>
        <v>85.345446087360003</v>
      </c>
      <c r="AH244" s="258">
        <f t="array" ref="AH244">INDEX(PriceDeck!$C$18:$O$77,MATCH('Decline and Model'!$A244,PriceDeck!$B$18:$B$77,0),MATCH('Decline and Model'!AH$8,PriceDeck!$C$13:$O$13,0))</f>
        <v>0.85</v>
      </c>
      <c r="AI244" s="258">
        <f t="shared" si="187"/>
        <v>5.3547918955200009</v>
      </c>
      <c r="AJ244" s="259">
        <f t="shared" si="162"/>
        <v>5.3547918955200009</v>
      </c>
      <c r="AK244" s="120">
        <v>5.3547918955200009</v>
      </c>
      <c r="AL244" s="120"/>
      <c r="AN244" s="7">
        <f t="shared" si="188"/>
        <v>3454.5053892303331</v>
      </c>
      <c r="AO244" s="7">
        <f t="shared" si="189"/>
        <v>11315.461763630103</v>
      </c>
      <c r="AP244" s="7">
        <f t="shared" si="190"/>
        <v>3404.8641069066493</v>
      </c>
      <c r="AQ244" s="7">
        <f t="shared" si="191"/>
        <v>4670.804861435865</v>
      </c>
      <c r="AR244" s="7">
        <f t="shared" si="192"/>
        <v>6574.1666304241016</v>
      </c>
      <c r="AS244" s="7">
        <f t="shared" si="193"/>
        <v>5678.3686842422658</v>
      </c>
      <c r="AT244" s="7">
        <f t="shared" si="194"/>
        <v>35098.171435869321</v>
      </c>
      <c r="AU244">
        <f>SUM($AT$9:AT244)</f>
        <v>69519573.38095136</v>
      </c>
      <c r="AV244" s="7">
        <f>AT244/(1+$AR$5)^(COUNT($E$9:E244))</f>
        <v>5890.3370628954117</v>
      </c>
      <c r="AW244" s="7">
        <f t="shared" si="208"/>
        <v>0</v>
      </c>
      <c r="AX244" s="7">
        <f t="shared" si="195"/>
        <v>0</v>
      </c>
      <c r="AY244" s="117">
        <f t="shared" si="196"/>
        <v>0</v>
      </c>
      <c r="AZ244" s="117">
        <f t="shared" si="197"/>
        <v>35098.171435869321</v>
      </c>
      <c r="BA244" s="120">
        <f t="shared" si="198"/>
        <v>1754.9085717934661</v>
      </c>
      <c r="BB244" s="119">
        <f t="shared" si="163"/>
        <v>577.40734244795215</v>
      </c>
      <c r="BC244" s="17"/>
      <c r="BD244" s="126">
        <f t="shared" si="164"/>
        <v>9.842408444389579E-2</v>
      </c>
      <c r="BE244" s="127">
        <f t="shared" si="165"/>
        <v>0.32239462344371667</v>
      </c>
      <c r="BF244" s="127">
        <f t="shared" si="166"/>
        <v>9.7009729214182827E-2</v>
      </c>
      <c r="BG244" s="127">
        <f t="shared" si="167"/>
        <v>0.13307829639986421</v>
      </c>
      <c r="BH244" s="127">
        <f t="shared" si="168"/>
        <v>0.18730795256488755</v>
      </c>
      <c r="BI244" s="128">
        <f t="shared" si="169"/>
        <v>0.16178531393345286</v>
      </c>
      <c r="BJ244" s="126">
        <f t="array" ref="BJ244">BD244*INDEX(Royalty!$U$7:$Z$246,MATCH('Decline and Model'!$E244,Royalty!$AI$7:$AI$246,0),MATCH('Decline and Model'!BJ$8,Royalty!$U$1:$Z$1,0))</f>
        <v>3.3636986033664995E-2</v>
      </c>
      <c r="BK244" s="127">
        <f t="array" ref="BK244">BE244*INDEX(Royalty!$U$7:$Z$246,MATCH('Decline and Model'!$E244,Royalty!$AI$7:$AI$246,0),MATCH('Decline and Model'!BK$8,Royalty!$U$1:$Z$1,0))</f>
        <v>0.10838909621383178</v>
      </c>
      <c r="BL244" s="127">
        <f t="array" ref="BL244">BF244*INDEX(Royalty!$U$7:$Z$246,MATCH('Decline and Model'!$E244,Royalty!$AI$7:$AI$246,0),MATCH('Decline and Model'!BL$8,Royalty!$U$1:$Z$1,0))</f>
        <v>3.3159897497961138E-2</v>
      </c>
      <c r="BM244" s="127">
        <f t="array" ref="BM244">BG244*INDEX(Royalty!$U$7:$Z$246,MATCH('Decline and Model'!$E244,Royalty!$AI$7:$AI$246,0),MATCH('Decline and Model'!BM$8,Royalty!$U$1:$Z$1,0))</f>
        <v>4.4719903745395279E-2</v>
      </c>
      <c r="BN244" s="127">
        <f t="array" ref="BN244">BH244*INDEX(Royalty!$U$7:$Z$246,MATCH('Decline and Model'!$E244,Royalty!$AI$7:$AI$246,0),MATCH('Decline and Model'!BN$8,Royalty!$U$1:$Z$1,0))</f>
        <v>3.6100234365852468E-2</v>
      </c>
      <c r="BO244" s="127">
        <f t="array" ref="BO244">BI244*INDEX(Royalty!$U$7:$Z$246,MATCH('Decline and Model'!$E244,Royalty!$AI$7:$AI$246,0),MATCH('Decline and Model'!BO$8,Royalty!$U$1:$Z$1,0))</f>
        <v>8.0892656966726432E-3</v>
      </c>
      <c r="BP244" s="135">
        <f t="shared" si="170"/>
        <v>0.05</v>
      </c>
      <c r="BQ244" s="7"/>
      <c r="BR244" s="7"/>
      <c r="BS244">
        <v>236</v>
      </c>
      <c r="BT244" s="120">
        <f t="shared" si="171"/>
        <v>1754.9085717934661</v>
      </c>
      <c r="BU244" s="113">
        <f t="shared" si="172"/>
        <v>6428.1579755204793</v>
      </c>
      <c r="BV244" s="113">
        <f t="shared" si="173"/>
        <v>1928.4473926561436</v>
      </c>
      <c r="BW244" s="113">
        <f t="shared" si="206"/>
        <v>62793.052557753013</v>
      </c>
      <c r="BX244" s="113">
        <f t="shared" si="199"/>
        <v>1388.0059278851766</v>
      </c>
      <c r="BY244" s="120">
        <f t="shared" si="200"/>
        <v>23598.651568014055</v>
      </c>
      <c r="BZ244" s="153">
        <f t="shared" si="207"/>
        <v>0</v>
      </c>
      <c r="CA244" s="120">
        <f t="shared" si="209"/>
        <v>23598.651568014055</v>
      </c>
      <c r="CB244" s="120">
        <f t="shared" si="201"/>
        <v>5899.6628920035137</v>
      </c>
      <c r="CC244" s="153">
        <f t="shared" si="202"/>
        <v>19086.994603895717</v>
      </c>
      <c r="CD244" s="7">
        <f t="shared" si="174"/>
        <v>3203.267496144048</v>
      </c>
      <c r="CE244" s="11">
        <f>SUM($CD$9:CD244)</f>
        <v>25654263.671176787</v>
      </c>
      <c r="CF244" s="11">
        <f t="shared" si="203"/>
        <v>12000000</v>
      </c>
      <c r="CG244">
        <f t="shared" si="204"/>
        <v>13654263.671176787</v>
      </c>
    </row>
    <row r="245" spans="1:85">
      <c r="A245">
        <f t="shared" si="175"/>
        <v>2036</v>
      </c>
      <c r="B245">
        <f t="shared" si="176"/>
        <v>30.416666666666668</v>
      </c>
      <c r="C245">
        <f t="shared" si="210"/>
        <v>20</v>
      </c>
      <c r="E245" s="97">
        <v>50010</v>
      </c>
      <c r="F245" s="2">
        <f>$F$6*EXP(-$F$3*COUNT($E$9:$E245))</f>
        <v>5.7212958917856622E-3</v>
      </c>
      <c r="G245" s="260">
        <f>$F$6/(1+$F$5*$F$3*COUNT($E$9:$E245))^(1/$F$5)</f>
        <v>0.95796736231038071</v>
      </c>
      <c r="H245" s="260">
        <f>$H$6/(1+$H$5*$H$3*COUNT($E$9:$E245))^(1/$H$5)</f>
        <v>69.090850498682087</v>
      </c>
      <c r="I245" s="260">
        <f t="shared" si="177"/>
        <v>13.160161999748968</v>
      </c>
      <c r="J245" s="260">
        <f t="shared" si="212"/>
        <v>5.4798914566954702</v>
      </c>
      <c r="K245" s="260">
        <f t="shared" si="212"/>
        <v>3.7282738945288827</v>
      </c>
      <c r="L245" s="260">
        <f t="shared" si="212"/>
        <v>1.7779378861660857</v>
      </c>
      <c r="M245" s="260">
        <f t="shared" si="212"/>
        <v>2.1753747785585045</v>
      </c>
      <c r="N245" s="19">
        <f t="shared" si="179"/>
        <v>0.17402275004181389</v>
      </c>
      <c r="O245" s="19">
        <f t="shared" si="180"/>
        <v>29.138173936940749</v>
      </c>
      <c r="P245" s="19">
        <f t="shared" si="181"/>
        <v>2101.5133693349135</v>
      </c>
      <c r="Q245" s="19">
        <f t="shared" si="182"/>
        <v>400.28826082569782</v>
      </c>
      <c r="R245" s="19">
        <f t="shared" si="183"/>
        <v>166.68003180782057</v>
      </c>
      <c r="S245" s="19">
        <f t="shared" si="184"/>
        <v>113.40166429192018</v>
      </c>
      <c r="T245" s="19">
        <f t="shared" si="185"/>
        <v>54.078944037551778</v>
      </c>
      <c r="U245" s="19">
        <f t="shared" si="186"/>
        <v>66.167649514487849</v>
      </c>
      <c r="V245" s="261">
        <f t="shared" si="205"/>
        <v>638.92098613265819</v>
      </c>
      <c r="W245" s="261">
        <f>SUM(O$9:O245)</f>
        <v>562857.48436719354</v>
      </c>
      <c r="X245" s="261">
        <f>SUM(P$9:P245)</f>
        <v>2551528.5908328248</v>
      </c>
      <c r="Y245" s="261">
        <f>SUM(Q$9:Q245)</f>
        <v>486005.44587291899</v>
      </c>
      <c r="Z245" s="261">
        <f>SUM($V$9:V245)</f>
        <v>1303218.3605905131</v>
      </c>
      <c r="AB245" s="257">
        <f t="array" ref="AB245">(INDEX(PriceDeck!$C$18:$O$77,MATCH('Decline and Model'!$A245,PriceDeck!$B$18:$B$77,0),MATCH('Decline and Model'!AB$8,PriceDeck!$C$13:$O$13,0))*(1+$AE$6))</f>
        <v>102.01706621568002</v>
      </c>
      <c r="AC245" s="257">
        <f t="array" ref="AC245">INDEX(PriceDeck!$C$18:$O$77,MATCH('Decline and Model'!$A245,PriceDeck!$B$18:$B$77,0),MATCH('Decline and Model'!AC$8,PriceDeck!$C$13:$O$13,0))*(1+$AE$6)</f>
        <v>116.48052473760001</v>
      </c>
      <c r="AD245" s="257">
        <f t="array" ref="AD245">INDEX(PriceDeck!$C$18:$O$77,MATCH('Decline and Model'!$A245,PriceDeck!$B$18:$B$77,0),MATCH('Decline and Model'!AD$8,PriceDeck!$C$13:$O$13,0))*(1+$AE$6)</f>
        <v>20.315086778879998</v>
      </c>
      <c r="AE245" s="257">
        <f t="array" ref="AE245">INDEX(PriceDeck!$C$18:$O$77,MATCH('Decline and Model'!$A245,PriceDeck!$B$18:$B$77,0),MATCH('Decline and Model'!AE$8,PriceDeck!$C$13:$O$13,0))*(1+$AE$6)</f>
        <v>40.96139779872</v>
      </c>
      <c r="AF245" s="257">
        <f t="array" ref="AF245">INDEX(PriceDeck!$C$18:$O$77,MATCH('Decline and Model'!$A245,PriceDeck!$B$18:$B$77,0),MATCH('Decline and Model'!AF$8,PriceDeck!$C$13:$O$13,0))*(1+$AE$6)</f>
        <v>120.8968479504</v>
      </c>
      <c r="AG245" s="257">
        <f t="array" ref="AG245">INDEX(PriceDeck!$C$18:$O$77,MATCH('Decline and Model'!$A245,PriceDeck!$B$18:$B$77,0),MATCH('Decline and Model'!AG$8,PriceDeck!$C$13:$O$13,0))*(1+$AE$6)</f>
        <v>85.345446087360003</v>
      </c>
      <c r="AH245" s="258">
        <f t="array" ref="AH245">INDEX(PriceDeck!$C$18:$O$77,MATCH('Decline and Model'!$A245,PriceDeck!$B$18:$B$77,0),MATCH('Decline and Model'!AH$8,PriceDeck!$C$13:$O$13,0))</f>
        <v>0.85</v>
      </c>
      <c r="AI245" s="258">
        <f t="shared" si="187"/>
        <v>5.3547918955200009</v>
      </c>
      <c r="AJ245" s="259">
        <f t="shared" si="162"/>
        <v>5.3547918955200009</v>
      </c>
      <c r="AK245" s="120">
        <v>5.3547918955200009</v>
      </c>
      <c r="AL245" s="120"/>
      <c r="AN245" s="7">
        <f t="shared" si="188"/>
        <v>3394.0297900703185</v>
      </c>
      <c r="AO245" s="7">
        <f t="shared" si="189"/>
        <v>11253.166758441525</v>
      </c>
      <c r="AP245" s="7">
        <f t="shared" si="190"/>
        <v>3386.1193104823533</v>
      </c>
      <c r="AQ245" s="7">
        <f t="shared" si="191"/>
        <v>4645.0906820982436</v>
      </c>
      <c r="AR245" s="7">
        <f t="shared" si="192"/>
        <v>6537.9738746260882</v>
      </c>
      <c r="AS245" s="7">
        <f t="shared" si="193"/>
        <v>5647.1075643660552</v>
      </c>
      <c r="AT245" s="7">
        <f t="shared" si="194"/>
        <v>34863.487980084581</v>
      </c>
      <c r="AU245">
        <f>SUM($AT$9:AT245)</f>
        <v>69554436.868931442</v>
      </c>
      <c r="AV245" s="7">
        <f>AT245/(1+$AR$5)^(COUNT($E$9:E245))</f>
        <v>5806.8683622926819</v>
      </c>
      <c r="AW245" s="7">
        <f t="shared" si="208"/>
        <v>0</v>
      </c>
      <c r="AX245" s="7">
        <f t="shared" si="195"/>
        <v>0</v>
      </c>
      <c r="AY245" s="117">
        <f t="shared" si="196"/>
        <v>0</v>
      </c>
      <c r="AZ245" s="117">
        <f t="shared" si="197"/>
        <v>34863.487980084581</v>
      </c>
      <c r="BA245" s="120">
        <f t="shared" si="198"/>
        <v>1743.1743990042291</v>
      </c>
      <c r="BB245" s="119">
        <f t="shared" si="163"/>
        <v>581.30215386734187</v>
      </c>
      <c r="BC245" s="17"/>
      <c r="BD245" s="126">
        <f t="shared" si="164"/>
        <v>9.7351985894501558E-2</v>
      </c>
      <c r="BE245" s="127">
        <f t="shared" si="165"/>
        <v>0.32277799527315748</v>
      </c>
      <c r="BF245" s="127">
        <f t="shared" si="166"/>
        <v>9.7125087209192607E-2</v>
      </c>
      <c r="BG245" s="127">
        <f t="shared" si="167"/>
        <v>0.13323654491345516</v>
      </c>
      <c r="BH245" s="127">
        <f t="shared" si="168"/>
        <v>0.18753068764550582</v>
      </c>
      <c r="BI245" s="128">
        <f t="shared" si="169"/>
        <v>0.16197769906418741</v>
      </c>
      <c r="BJ245" s="126">
        <f t="array" ref="BJ245">BD245*INDEX(Royalty!$U$7:$Z$246,MATCH('Decline and Model'!$E245,Royalty!$AI$7:$AI$246,0),MATCH('Decline and Model'!BJ$8,Royalty!$U$1:$Z$1,0))</f>
        <v>3.3270590307086075E-2</v>
      </c>
      <c r="BK245" s="127">
        <f t="array" ref="BK245">BE245*INDEX(Royalty!$U$7:$Z$246,MATCH('Decline and Model'!$E245,Royalty!$AI$7:$AI$246,0),MATCH('Decline and Model'!BK$8,Royalty!$U$1:$Z$1,0))</f>
        <v>0.1085179858512056</v>
      </c>
      <c r="BL245" s="127">
        <f t="array" ref="BL245">BF245*INDEX(Royalty!$U$7:$Z$246,MATCH('Decline and Model'!$E245,Royalty!$AI$7:$AI$246,0),MATCH('Decline and Model'!BL$8,Royalty!$U$1:$Z$1,0))</f>
        <v>3.3199329205698916E-2</v>
      </c>
      <c r="BM245" s="127">
        <f t="array" ref="BM245">BG245*INDEX(Royalty!$U$7:$Z$246,MATCH('Decline and Model'!$E245,Royalty!$AI$7:$AI$246,0),MATCH('Decline and Model'!BM$8,Royalty!$U$1:$Z$1,0))</f>
        <v>4.4773081900564733E-2</v>
      </c>
      <c r="BN245" s="127">
        <f t="array" ref="BN245">BH245*INDEX(Royalty!$U$7:$Z$246,MATCH('Decline and Model'!$E245,Royalty!$AI$7:$AI$246,0),MATCH('Decline and Model'!BN$8,Royalty!$U$1:$Z$1,0))</f>
        <v>3.6143162541093884E-2</v>
      </c>
      <c r="BO245" s="127">
        <f t="array" ref="BO245">BI245*INDEX(Royalty!$U$7:$Z$246,MATCH('Decline and Model'!$E245,Royalty!$AI$7:$AI$246,0),MATCH('Decline and Model'!BO$8,Royalty!$U$1:$Z$1,0))</f>
        <v>8.0988849532093714E-3</v>
      </c>
      <c r="BP245" s="135">
        <f t="shared" si="170"/>
        <v>0.05</v>
      </c>
      <c r="BQ245" s="7"/>
      <c r="BR245" s="7"/>
      <c r="BS245">
        <v>237</v>
      </c>
      <c r="BT245" s="120">
        <f t="shared" si="171"/>
        <v>1743.1743990042291</v>
      </c>
      <c r="BU245" s="113">
        <f t="shared" si="172"/>
        <v>6389.2098613265816</v>
      </c>
      <c r="BV245" s="113">
        <f t="shared" si="173"/>
        <v>1916.7629583979747</v>
      </c>
      <c r="BW245" s="113">
        <f t="shared" si="206"/>
        <v>61405.046629867837</v>
      </c>
      <c r="BX245" s="113">
        <f t="shared" si="199"/>
        <v>1357.3248194285927</v>
      </c>
      <c r="BY245" s="120">
        <f t="shared" si="200"/>
        <v>23457.015941927202</v>
      </c>
      <c r="BZ245" s="153">
        <f t="shared" si="207"/>
        <v>0</v>
      </c>
      <c r="CA245" s="120">
        <f t="shared" si="209"/>
        <v>23457.015941927202</v>
      </c>
      <c r="CB245" s="120">
        <f t="shared" si="201"/>
        <v>5864.2539854818006</v>
      </c>
      <c r="CC245" s="153">
        <f t="shared" si="202"/>
        <v>18950.086775873991</v>
      </c>
      <c r="CD245" s="7">
        <f t="shared" si="174"/>
        <v>3156.3296083393388</v>
      </c>
      <c r="CE245" s="11">
        <f>SUM($CD$9:CD245)</f>
        <v>25657420.000785127</v>
      </c>
      <c r="CF245" s="11">
        <f t="shared" si="203"/>
        <v>12000000</v>
      </c>
      <c r="CG245">
        <f t="shared" si="204"/>
        <v>13657420.000785127</v>
      </c>
    </row>
    <row r="246" spans="1:85">
      <c r="A246">
        <f t="shared" si="175"/>
        <v>2037</v>
      </c>
      <c r="B246">
        <f t="shared" si="176"/>
        <v>30.416666666666668</v>
      </c>
      <c r="C246">
        <f t="shared" si="210"/>
        <v>20</v>
      </c>
      <c r="E246" s="97">
        <v>50041</v>
      </c>
      <c r="F246" s="2">
        <f>$F$6*EXP(-$F$3*COUNT($E$9:$E246))</f>
        <v>5.4422649985415798E-3</v>
      </c>
      <c r="G246" s="260">
        <f>$F$6/(1+$F$5*$F$3*COUNT($E$9:$E246))^(1/$F$5)</f>
        <v>0.94124223736679502</v>
      </c>
      <c r="H246" s="260">
        <f>$H$6/(1+$H$5*$H$3*COUNT($E$9:$E246))^(1/$H$5)</f>
        <v>68.711974764500212</v>
      </c>
      <c r="I246" s="260">
        <f t="shared" si="177"/>
        <v>13.087995193238134</v>
      </c>
      <c r="J246" s="260">
        <f t="shared" si="212"/>
        <v>5.4498411984643589</v>
      </c>
      <c r="K246" s="260">
        <f t="shared" si="212"/>
        <v>3.7078290382443635</v>
      </c>
      <c r="L246" s="260">
        <f t="shared" si="212"/>
        <v>1.7681881506064718</v>
      </c>
      <c r="M246" s="260">
        <f t="shared" si="212"/>
        <v>2.1634456054422637</v>
      </c>
      <c r="N246" s="19">
        <f t="shared" si="179"/>
        <v>0.16553556037230638</v>
      </c>
      <c r="O246" s="19">
        <f t="shared" si="180"/>
        <v>28.629451386573351</v>
      </c>
      <c r="P246" s="19">
        <f t="shared" si="181"/>
        <v>2089.9892324202146</v>
      </c>
      <c r="Q246" s="19">
        <f t="shared" si="182"/>
        <v>398.09318712765992</v>
      </c>
      <c r="R246" s="19">
        <f t="shared" si="183"/>
        <v>165.76600311995759</v>
      </c>
      <c r="S246" s="19">
        <f t="shared" si="184"/>
        <v>112.77979991326606</v>
      </c>
      <c r="T246" s="19">
        <f t="shared" si="185"/>
        <v>53.782389580946855</v>
      </c>
      <c r="U246" s="19">
        <f t="shared" si="186"/>
        <v>65.804803832202197</v>
      </c>
      <c r="V246" s="261">
        <f t="shared" si="205"/>
        <v>635.06837782904552</v>
      </c>
      <c r="W246" s="261">
        <f>SUM(O$9:O246)</f>
        <v>562886.11381858017</v>
      </c>
      <c r="X246" s="261">
        <f>SUM(P$9:P246)</f>
        <v>2553618.5800652448</v>
      </c>
      <c r="Y246" s="261">
        <f>SUM(Q$9:Q246)</f>
        <v>486403.53906004666</v>
      </c>
      <c r="Z246" s="261">
        <f>SUM($V$9:V246)</f>
        <v>1303853.4289683423</v>
      </c>
      <c r="AB246" s="257">
        <f t="array" ref="AB246">(INDEX(PriceDeck!$C$18:$O$77,MATCH('Decline and Model'!$A246,PriceDeck!$B$18:$B$77,0),MATCH('Decline and Model'!AB$8,PriceDeck!$C$13:$O$13,0))*(1+$AE$6))</f>
        <v>104.05740753999362</v>
      </c>
      <c r="AC246" s="257">
        <f t="array" ref="AC246">INDEX(PriceDeck!$C$18:$O$77,MATCH('Decline and Model'!$A246,PriceDeck!$B$18:$B$77,0),MATCH('Decline and Model'!AC$8,PriceDeck!$C$13:$O$13,0))*(1+$AE$6)</f>
        <v>118.81013523235201</v>
      </c>
      <c r="AD246" s="257">
        <f t="array" ref="AD246">INDEX(PriceDeck!$C$18:$O$77,MATCH('Decline and Model'!$A246,PriceDeck!$B$18:$B$77,0),MATCH('Decline and Model'!AD$8,PriceDeck!$C$13:$O$13,0))*(1+$AE$6)</f>
        <v>20.721388514457598</v>
      </c>
      <c r="AE246" s="257">
        <f t="array" ref="AE246">INDEX(PriceDeck!$C$18:$O$77,MATCH('Decline and Model'!$A246,PriceDeck!$B$18:$B$77,0),MATCH('Decline and Model'!AE$8,PriceDeck!$C$13:$O$13,0))*(1+$AE$6)</f>
        <v>41.780625754694398</v>
      </c>
      <c r="AF246" s="257">
        <f t="array" ref="AF246">INDEX(PriceDeck!$C$18:$O$77,MATCH('Decline and Model'!$A246,PriceDeck!$B$18:$B$77,0),MATCH('Decline and Model'!AF$8,PriceDeck!$C$13:$O$13,0))*(1+$AE$6)</f>
        <v>123.314784909408</v>
      </c>
      <c r="AG246" s="257">
        <f t="array" ref="AG246">INDEX(PriceDeck!$C$18:$O$77,MATCH('Decline and Model'!$A246,PriceDeck!$B$18:$B$77,0),MATCH('Decline and Model'!AG$8,PriceDeck!$C$13:$O$13,0))*(1+$AE$6)</f>
        <v>87.052355009107202</v>
      </c>
      <c r="AH246" s="258">
        <f t="array" ref="AH246">INDEX(PriceDeck!$C$18:$O$77,MATCH('Decline and Model'!$A246,PriceDeck!$B$18:$B$77,0),MATCH('Decline and Model'!AH$8,PriceDeck!$C$13:$O$13,0))</f>
        <v>0.85</v>
      </c>
      <c r="AI246" s="258">
        <f t="shared" si="187"/>
        <v>5.4618877334304008</v>
      </c>
      <c r="AJ246" s="259">
        <f t="shared" si="162"/>
        <v>5.4618877334304008</v>
      </c>
      <c r="AK246" s="120">
        <v>5.4618877334304008</v>
      </c>
      <c r="AL246" s="120"/>
      <c r="AN246" s="7">
        <f t="shared" si="188"/>
        <v>3401.4689908668274</v>
      </c>
      <c r="AO246" s="7">
        <f t="shared" si="189"/>
        <v>11415.286551557589</v>
      </c>
      <c r="AP246" s="7">
        <f t="shared" si="190"/>
        <v>3434.9017531374316</v>
      </c>
      <c r="AQ246" s="7">
        <f t="shared" si="191"/>
        <v>4712.0106128654852</v>
      </c>
      <c r="AR246" s="7">
        <f t="shared" si="192"/>
        <v>6632.1638030884478</v>
      </c>
      <c r="AS246" s="7">
        <f t="shared" si="193"/>
        <v>5728.4631445055238</v>
      </c>
      <c r="AT246" s="7">
        <f t="shared" si="194"/>
        <v>35324.294856021297</v>
      </c>
      <c r="AU246">
        <f>SUM($AT$9:AT246)</f>
        <v>69589761.163787469</v>
      </c>
      <c r="AV246" s="7">
        <f>AT246/(1+$AR$5)^(COUNT($E$9:E246))</f>
        <v>5839.2912524912308</v>
      </c>
      <c r="AW246" s="7">
        <f t="shared" si="208"/>
        <v>0</v>
      </c>
      <c r="AX246" s="7">
        <f t="shared" si="195"/>
        <v>0</v>
      </c>
      <c r="AY246" s="117">
        <f t="shared" si="196"/>
        <v>0</v>
      </c>
      <c r="AZ246" s="117">
        <f t="shared" si="197"/>
        <v>35324.294856021297</v>
      </c>
      <c r="BA246" s="120">
        <f t="shared" si="198"/>
        <v>1766.2147428010649</v>
      </c>
      <c r="BB246" s="119">
        <f t="shared" si="163"/>
        <v>585.15476217095454</v>
      </c>
      <c r="BC246" s="17"/>
      <c r="BD246" s="126">
        <f t="shared" si="164"/>
        <v>9.629262253446004E-2</v>
      </c>
      <c r="BE246" s="127">
        <f t="shared" si="165"/>
        <v>0.32315681312494099</v>
      </c>
      <c r="BF246" s="127">
        <f t="shared" si="166"/>
        <v>9.7239074895558067E-2</v>
      </c>
      <c r="BG246" s="127">
        <f t="shared" si="167"/>
        <v>0.13339291363270586</v>
      </c>
      <c r="BH246" s="127">
        <f t="shared" si="168"/>
        <v>0.18775077691205333</v>
      </c>
      <c r="BI246" s="128">
        <f t="shared" si="169"/>
        <v>0.16216779890028188</v>
      </c>
      <c r="BJ246" s="126">
        <f t="array" ref="BJ246">BD246*INDEX(Royalty!$U$7:$Z$246,MATCH('Decline and Model'!$E246,Royalty!$AI$7:$AI$246,0),MATCH('Decline and Model'!BJ$8,Royalty!$U$1:$Z$1,0))</f>
        <v>3.3201437555342016E-2</v>
      </c>
      <c r="BK246" s="127">
        <f t="array" ref="BK246">BE246*INDEX(Royalty!$U$7:$Z$246,MATCH('Decline and Model'!$E246,Royalty!$AI$7:$AI$246,0),MATCH('Decline and Model'!BK$8,Royalty!$U$1:$Z$1,0))</f>
        <v>0.10959237534859312</v>
      </c>
      <c r="BL246" s="127">
        <f t="array" ref="BL246">BF246*INDEX(Royalty!$U$7:$Z$246,MATCH('Decline and Model'!$E246,Royalty!$AI$7:$AI$246,0),MATCH('Decline and Model'!BL$8,Royalty!$U$1:$Z$1,0))</f>
        <v>3.3565055631747866E-2</v>
      </c>
      <c r="BM246" s="127">
        <f t="array" ref="BM246">BG246*INDEX(Royalty!$U$7:$Z$246,MATCH('Decline and Model'!$E246,Royalty!$AI$7:$AI$246,0),MATCH('Decline and Model'!BM$8,Royalty!$U$1:$Z$1,0))</f>
        <v>4.5231162169467015E-2</v>
      </c>
      <c r="BN246" s="127">
        <f t="array" ref="BN246">BH246*INDEX(Royalty!$U$7:$Z$246,MATCH('Decline and Model'!$E246,Royalty!$AI$7:$AI$246,0),MATCH('Decline and Model'!BN$8,Royalty!$U$1:$Z$1,0))</f>
        <v>3.7040142171123641E-2</v>
      </c>
      <c r="BO246" s="127">
        <f t="array" ref="BO246">BI246*INDEX(Royalty!$U$7:$Z$246,MATCH('Decline and Model'!$E246,Royalty!$AI$7:$AI$246,0),MATCH('Decline and Model'!BO$8,Royalty!$U$1:$Z$1,0))</f>
        <v>8.1083899450140936E-3</v>
      </c>
      <c r="BP246" s="135">
        <f t="shared" si="170"/>
        <v>0.05</v>
      </c>
      <c r="BQ246" s="7"/>
      <c r="BR246" s="7"/>
      <c r="BS246">
        <v>238</v>
      </c>
      <c r="BT246" s="120">
        <f t="shared" si="171"/>
        <v>1766.2147428010649</v>
      </c>
      <c r="BU246" s="113">
        <f t="shared" si="172"/>
        <v>6350.6837782904549</v>
      </c>
      <c r="BV246" s="113">
        <f t="shared" si="173"/>
        <v>1905.2051334871367</v>
      </c>
      <c r="BW246" s="113">
        <f t="shared" si="206"/>
        <v>60047.721810439245</v>
      </c>
      <c r="BX246" s="113">
        <f t="shared" si="199"/>
        <v>1327.3219000180447</v>
      </c>
      <c r="BY246" s="120">
        <f t="shared" si="200"/>
        <v>23974.869301424598</v>
      </c>
      <c r="BZ246" s="153">
        <f t="shared" si="207"/>
        <v>0</v>
      </c>
      <c r="CA246" s="120">
        <f t="shared" si="209"/>
        <v>23974.869301424598</v>
      </c>
      <c r="CB246" s="120">
        <f t="shared" si="201"/>
        <v>5993.7173253561496</v>
      </c>
      <c r="CC246" s="153">
        <f t="shared" si="202"/>
        <v>19308.473876086493</v>
      </c>
      <c r="CD246" s="7">
        <f t="shared" si="174"/>
        <v>3191.7920248128771</v>
      </c>
      <c r="CE246" s="11">
        <f>SUM($CD$9:CD246)</f>
        <v>25660611.792809941</v>
      </c>
      <c r="CF246" s="11">
        <f t="shared" si="203"/>
        <v>12000000</v>
      </c>
      <c r="CG246">
        <f t="shared" si="204"/>
        <v>13660611.792809941</v>
      </c>
    </row>
    <row r="247" spans="1:85">
      <c r="A247">
        <f t="shared" si="175"/>
        <v>2037</v>
      </c>
      <c r="B247">
        <f t="shared" si="176"/>
        <v>30.416666666666668</v>
      </c>
      <c r="C247">
        <f t="shared" si="210"/>
        <v>20</v>
      </c>
      <c r="E247" s="97">
        <v>50072</v>
      </c>
      <c r="F247" s="2">
        <f>$F$6*EXP(-$F$3*COUNT($E$9:$E247))</f>
        <v>5.1768426025430832E-3</v>
      </c>
      <c r="G247" s="260">
        <f>$F$6/(1+$F$5*$F$3*COUNT($E$9:$E247))^(1/$F$5)</f>
        <v>0.92485342090713507</v>
      </c>
      <c r="H247" s="260">
        <f>$H$6/(1+$H$5*$H$3*COUNT($E$9:$E247))^(1/$H$5)</f>
        <v>68.336647032355174</v>
      </c>
      <c r="I247" s="260">
        <f t="shared" si="177"/>
        <v>13.01650419663908</v>
      </c>
      <c r="J247" s="260">
        <f t="shared" si="212"/>
        <v>5.420072347480513</v>
      </c>
      <c r="K247" s="260">
        <f t="shared" si="212"/>
        <v>3.6875756389078513</v>
      </c>
      <c r="L247" s="260">
        <f t="shared" si="212"/>
        <v>1.7585297169659395</v>
      </c>
      <c r="M247" s="260">
        <f t="shared" si="212"/>
        <v>2.15162814370444</v>
      </c>
      <c r="N247" s="19">
        <f t="shared" si="179"/>
        <v>0.15746229582735213</v>
      </c>
      <c r="O247" s="19">
        <f t="shared" si="180"/>
        <v>28.130958219258694</v>
      </c>
      <c r="P247" s="19">
        <f t="shared" si="181"/>
        <v>2078.5730139008033</v>
      </c>
      <c r="Q247" s="19">
        <f t="shared" si="182"/>
        <v>395.91866931443866</v>
      </c>
      <c r="R247" s="19">
        <f t="shared" si="183"/>
        <v>164.86053390253227</v>
      </c>
      <c r="S247" s="19">
        <f t="shared" si="184"/>
        <v>112.16375901678049</v>
      </c>
      <c r="T247" s="19">
        <f t="shared" si="185"/>
        <v>53.48861222438066</v>
      </c>
      <c r="U247" s="19">
        <f t="shared" si="186"/>
        <v>65.445356037676717</v>
      </c>
      <c r="V247" s="261">
        <f t="shared" si="205"/>
        <v>631.2573129051159</v>
      </c>
      <c r="W247" s="261">
        <f>SUM(O$9:O247)</f>
        <v>562914.24477679946</v>
      </c>
      <c r="X247" s="261">
        <f>SUM(P$9:P247)</f>
        <v>2555697.1530791456</v>
      </c>
      <c r="Y247" s="261">
        <f>SUM(Q$9:Q247)</f>
        <v>486799.45772936108</v>
      </c>
      <c r="Z247" s="261">
        <f>SUM($V$9:V247)</f>
        <v>1304484.6862812473</v>
      </c>
      <c r="AB247" s="257">
        <f t="array" ref="AB247">(INDEX(PriceDeck!$C$18:$O$77,MATCH('Decline and Model'!$A247,PriceDeck!$B$18:$B$77,0),MATCH('Decline and Model'!AB$8,PriceDeck!$C$13:$O$13,0))*(1+$AE$6))</f>
        <v>104.05740753999362</v>
      </c>
      <c r="AC247" s="257">
        <f t="array" ref="AC247">INDEX(PriceDeck!$C$18:$O$77,MATCH('Decline and Model'!$A247,PriceDeck!$B$18:$B$77,0),MATCH('Decline and Model'!AC$8,PriceDeck!$C$13:$O$13,0))*(1+$AE$6)</f>
        <v>118.81013523235201</v>
      </c>
      <c r="AD247" s="257">
        <f t="array" ref="AD247">INDEX(PriceDeck!$C$18:$O$77,MATCH('Decline and Model'!$A247,PriceDeck!$B$18:$B$77,0),MATCH('Decline and Model'!AD$8,PriceDeck!$C$13:$O$13,0))*(1+$AE$6)</f>
        <v>20.721388514457598</v>
      </c>
      <c r="AE247" s="257">
        <f t="array" ref="AE247">INDEX(PriceDeck!$C$18:$O$77,MATCH('Decline and Model'!$A247,PriceDeck!$B$18:$B$77,0),MATCH('Decline and Model'!AE$8,PriceDeck!$C$13:$O$13,0))*(1+$AE$6)</f>
        <v>41.780625754694398</v>
      </c>
      <c r="AF247" s="257">
        <f t="array" ref="AF247">INDEX(PriceDeck!$C$18:$O$77,MATCH('Decline and Model'!$A247,PriceDeck!$B$18:$B$77,0),MATCH('Decline and Model'!AF$8,PriceDeck!$C$13:$O$13,0))*(1+$AE$6)</f>
        <v>123.314784909408</v>
      </c>
      <c r="AG247" s="257">
        <f t="array" ref="AG247">INDEX(PriceDeck!$C$18:$O$77,MATCH('Decline and Model'!$A247,PriceDeck!$B$18:$B$77,0),MATCH('Decline and Model'!AG$8,PriceDeck!$C$13:$O$13,0))*(1+$AE$6)</f>
        <v>87.052355009107202</v>
      </c>
      <c r="AH247" s="258">
        <f t="array" ref="AH247">INDEX(PriceDeck!$C$18:$O$77,MATCH('Decline and Model'!$A247,PriceDeck!$B$18:$B$77,0),MATCH('Decline and Model'!AH$8,PriceDeck!$C$13:$O$13,0))</f>
        <v>0.85</v>
      </c>
      <c r="AI247" s="258">
        <f t="shared" si="187"/>
        <v>5.4618877334304008</v>
      </c>
      <c r="AJ247" s="259">
        <f t="shared" si="162"/>
        <v>5.4618877334304008</v>
      </c>
      <c r="AK247" s="120">
        <v>5.4618877334304008</v>
      </c>
      <c r="AL247" s="120"/>
      <c r="AN247" s="7">
        <f t="shared" si="188"/>
        <v>3342.2429502457699</v>
      </c>
      <c r="AO247" s="7">
        <f t="shared" si="189"/>
        <v>11352.932447664256</v>
      </c>
      <c r="AP247" s="7">
        <f t="shared" si="190"/>
        <v>3416.1391736952796</v>
      </c>
      <c r="AQ247" s="7">
        <f t="shared" si="191"/>
        <v>4686.2720387198351</v>
      </c>
      <c r="AR247" s="7">
        <f t="shared" si="192"/>
        <v>6595.9367115522327</v>
      </c>
      <c r="AS247" s="7">
        <f t="shared" si="193"/>
        <v>5697.172367489251</v>
      </c>
      <c r="AT247" s="7">
        <f t="shared" si="194"/>
        <v>35090.695689366621</v>
      </c>
      <c r="AU247">
        <f>SUM($AT$9:AT247)</f>
        <v>69624851.859476835</v>
      </c>
      <c r="AV247" s="7">
        <f>AT247/(1+$AR$5)^(COUNT($E$9:E247))</f>
        <v>5756.9718356713838</v>
      </c>
      <c r="AW247" s="7">
        <f t="shared" si="208"/>
        <v>0</v>
      </c>
      <c r="AX247" s="7">
        <f t="shared" si="195"/>
        <v>0</v>
      </c>
      <c r="AY247" s="117">
        <f t="shared" si="196"/>
        <v>0</v>
      </c>
      <c r="AZ247" s="117">
        <f t="shared" si="197"/>
        <v>35090.695689366621</v>
      </c>
      <c r="BA247" s="120">
        <f t="shared" si="198"/>
        <v>1754.5347844683311</v>
      </c>
      <c r="BB247" s="119">
        <f t="shared" si="163"/>
        <v>588.96582709488416</v>
      </c>
      <c r="BC247" s="17"/>
      <c r="BD247" s="126">
        <f t="shared" si="164"/>
        <v>9.5245844648744166E-2</v>
      </c>
      <c r="BE247" s="127">
        <f t="shared" si="165"/>
        <v>0.32353113053567889</v>
      </c>
      <c r="BF247" s="127">
        <f t="shared" si="166"/>
        <v>9.7351708382642788E-2</v>
      </c>
      <c r="BG247" s="127">
        <f t="shared" si="167"/>
        <v>0.13354742465649935</v>
      </c>
      <c r="BH247" s="127">
        <f t="shared" si="168"/>
        <v>0.1879682514687496</v>
      </c>
      <c r="BI247" s="128">
        <f t="shared" si="169"/>
        <v>0.16235564030768532</v>
      </c>
      <c r="BJ247" s="126">
        <f t="array" ref="BJ247">BD247*INDEX(Royalty!$U$7:$Z$246,MATCH('Decline and Model'!$E247,Royalty!$AI$7:$AI$246,0),MATCH('Decline and Model'!BJ$8,Royalty!$U$1:$Z$1,0))</f>
        <v>3.2840511352563904E-2</v>
      </c>
      <c r="BK247" s="127">
        <f t="array" ref="BK247">BE247*INDEX(Royalty!$U$7:$Z$246,MATCH('Decline and Model'!$E247,Royalty!$AI$7:$AI$246,0),MATCH('Decline and Model'!BK$8,Royalty!$U$1:$Z$1,0))</f>
        <v>0.10971931784991443</v>
      </c>
      <c r="BL247" s="127">
        <f t="array" ref="BL247">BF247*INDEX(Royalty!$U$7:$Z$246,MATCH('Decline and Model'!$E247,Royalty!$AI$7:$AI$246,0),MATCH('Decline and Model'!BL$8,Royalty!$U$1:$Z$1,0))</f>
        <v>3.3603934541939648E-2</v>
      </c>
      <c r="BM247" s="127">
        <f t="array" ref="BM247">BG247*INDEX(Royalty!$U$7:$Z$246,MATCH('Decline and Model'!$E247,Royalty!$AI$7:$AI$246,0),MATCH('Decline and Model'!BM$8,Royalty!$U$1:$Z$1,0))</f>
        <v>4.5283554106818481E-2</v>
      </c>
      <c r="BN247" s="127">
        <f t="array" ref="BN247">BH247*INDEX(Royalty!$U$7:$Z$246,MATCH('Decline and Model'!$E247,Royalty!$AI$7:$AI$246,0),MATCH('Decline and Model'!BN$8,Royalty!$U$1:$Z$1,0))</f>
        <v>3.7083046326467854E-2</v>
      </c>
      <c r="BO247" s="127">
        <f t="array" ref="BO247">BI247*INDEX(Royalty!$U$7:$Z$246,MATCH('Decline and Model'!$E247,Royalty!$AI$7:$AI$246,0),MATCH('Decline and Model'!BO$8,Royalty!$U$1:$Z$1,0))</f>
        <v>8.1177820153842655E-3</v>
      </c>
      <c r="BP247" s="135">
        <f t="shared" si="170"/>
        <v>0.05</v>
      </c>
      <c r="BQ247" s="7"/>
      <c r="BR247" s="7"/>
      <c r="BS247">
        <v>239</v>
      </c>
      <c r="BT247" s="120">
        <f t="shared" si="171"/>
        <v>1754.5347844683311</v>
      </c>
      <c r="BU247" s="113">
        <f t="shared" si="172"/>
        <v>6312.5731290511594</v>
      </c>
      <c r="BV247" s="113">
        <f t="shared" si="173"/>
        <v>1893.7719387153477</v>
      </c>
      <c r="BW247" s="113">
        <f t="shared" si="206"/>
        <v>58720.399910421198</v>
      </c>
      <c r="BX247" s="113">
        <f t="shared" si="199"/>
        <v>1297.9821786572716</v>
      </c>
      <c r="BY247" s="120">
        <f t="shared" si="200"/>
        <v>23831.833658474512</v>
      </c>
      <c r="BZ247" s="153">
        <f t="shared" si="207"/>
        <v>0</v>
      </c>
      <c r="CA247" s="120">
        <f t="shared" si="209"/>
        <v>23831.833658474512</v>
      </c>
      <c r="CB247" s="120">
        <f t="shared" si="201"/>
        <v>5957.958414618628</v>
      </c>
      <c r="CC247" s="153">
        <f t="shared" si="202"/>
        <v>19171.857422513156</v>
      </c>
      <c r="CD247" s="7">
        <f t="shared" si="174"/>
        <v>3145.3307223077113</v>
      </c>
      <c r="CE247" s="11">
        <f>SUM($CD$9:CD247)</f>
        <v>25663757.123532247</v>
      </c>
      <c r="CF247" s="11">
        <f t="shared" si="203"/>
        <v>12000000</v>
      </c>
      <c r="CG247">
        <f t="shared" si="204"/>
        <v>13663757.123532247</v>
      </c>
    </row>
    <row r="248" spans="1:85" ht="16.3" thickBot="1">
      <c r="A248">
        <f t="shared" si="175"/>
        <v>2037</v>
      </c>
      <c r="B248">
        <f t="shared" si="176"/>
        <v>30.416666666666668</v>
      </c>
      <c r="C248">
        <f t="shared" si="210"/>
        <v>20</v>
      </c>
      <c r="E248" s="97">
        <v>50100</v>
      </c>
      <c r="F248" s="2">
        <f>$F$6*EXP(-$F$3*COUNT($E$9:$E248))</f>
        <v>4.9243650095478408E-3</v>
      </c>
      <c r="G248" s="260">
        <f>$F$6/(1+$F$5*$F$3*COUNT($E$9:$E248))^(1/$F$5)</f>
        <v>0.9087932643596478</v>
      </c>
      <c r="H248" s="260">
        <f>$H$6/(1+$H$5*$H$3*COUNT($E$9:$E248))^(1/$H$5)</f>
        <v>67.964820414688347</v>
      </c>
      <c r="I248" s="260">
        <f t="shared" si="177"/>
        <v>12.945680078988255</v>
      </c>
      <c r="J248" s="260">
        <f t="shared" si="212"/>
        <v>5.390581184890709</v>
      </c>
      <c r="K248" s="260">
        <f t="shared" si="212"/>
        <v>3.6675111663773725</v>
      </c>
      <c r="L248" s="260">
        <f t="shared" si="212"/>
        <v>1.7489613786713132</v>
      </c>
      <c r="M248" s="260">
        <f t="shared" si="212"/>
        <v>2.1399209170567586</v>
      </c>
      <c r="N248" s="19">
        <f t="shared" si="179"/>
        <v>0.14978276904041349</v>
      </c>
      <c r="O248" s="19">
        <f t="shared" si="180"/>
        <v>27.64246179093929</v>
      </c>
      <c r="P248" s="19">
        <f t="shared" si="181"/>
        <v>2067.2632876134371</v>
      </c>
      <c r="Q248" s="19">
        <f t="shared" si="182"/>
        <v>393.76443573589279</v>
      </c>
      <c r="R248" s="19">
        <f t="shared" si="183"/>
        <v>163.96351104042574</v>
      </c>
      <c r="S248" s="19">
        <f t="shared" si="184"/>
        <v>111.55346464397842</v>
      </c>
      <c r="T248" s="19">
        <f t="shared" si="185"/>
        <v>53.197575267919113</v>
      </c>
      <c r="U248" s="19">
        <f t="shared" si="186"/>
        <v>65.089261227143069</v>
      </c>
      <c r="V248" s="261">
        <f t="shared" si="205"/>
        <v>627.48714489606482</v>
      </c>
      <c r="W248" s="261">
        <f>SUM(O$9:O248)</f>
        <v>562941.8872385904</v>
      </c>
      <c r="X248" s="261">
        <f>SUM(P$9:P248)</f>
        <v>2557764.4163667592</v>
      </c>
      <c r="Y248" s="261">
        <f>SUM(Q$9:Q248)</f>
        <v>487193.22216509696</v>
      </c>
      <c r="Z248" s="261">
        <f>SUM($V$9:V248)</f>
        <v>1305112.1734261434</v>
      </c>
      <c r="AB248" s="257">
        <f t="array" ref="AB248">(INDEX(PriceDeck!$C$18:$O$77,MATCH('Decline and Model'!$A248,PriceDeck!$B$18:$B$77,0),MATCH('Decline and Model'!AB$8,PriceDeck!$C$13:$O$13,0))*(1+$AE$6))</f>
        <v>104.05740753999362</v>
      </c>
      <c r="AC248" s="257">
        <f t="array" ref="AC248">INDEX(PriceDeck!$C$18:$O$77,MATCH('Decline and Model'!$A248,PriceDeck!$B$18:$B$77,0),MATCH('Decline and Model'!AC$8,PriceDeck!$C$13:$O$13,0))*(1+$AE$6)</f>
        <v>118.81013523235201</v>
      </c>
      <c r="AD248" s="257">
        <f t="array" ref="AD248">INDEX(PriceDeck!$C$18:$O$77,MATCH('Decline and Model'!$A248,PriceDeck!$B$18:$B$77,0),MATCH('Decline and Model'!AD$8,PriceDeck!$C$13:$O$13,0))*(1+$AE$6)</f>
        <v>20.721388514457598</v>
      </c>
      <c r="AE248" s="257">
        <f t="array" ref="AE248">INDEX(PriceDeck!$C$18:$O$77,MATCH('Decline and Model'!$A248,PriceDeck!$B$18:$B$77,0),MATCH('Decline and Model'!AE$8,PriceDeck!$C$13:$O$13,0))*(1+$AE$6)</f>
        <v>41.780625754694398</v>
      </c>
      <c r="AF248" s="257">
        <f t="array" ref="AF248">INDEX(PriceDeck!$C$18:$O$77,MATCH('Decline and Model'!$A248,PriceDeck!$B$18:$B$77,0),MATCH('Decline and Model'!AF$8,PriceDeck!$C$13:$O$13,0))*(1+$AE$6)</f>
        <v>123.314784909408</v>
      </c>
      <c r="AG248" s="257">
        <f t="array" ref="AG248">INDEX(PriceDeck!$C$18:$O$77,MATCH('Decline and Model'!$A248,PriceDeck!$B$18:$B$77,0),MATCH('Decline and Model'!AG$8,PriceDeck!$C$13:$O$13,0))*(1+$AE$6)</f>
        <v>87.052355009107202</v>
      </c>
      <c r="AH248" s="258">
        <f t="array" ref="AH248">INDEX(PriceDeck!$C$18:$O$77,MATCH('Decline and Model'!$A248,PriceDeck!$B$18:$B$77,0),MATCH('Decline and Model'!AH$8,PriceDeck!$C$13:$O$13,0))</f>
        <v>0.85</v>
      </c>
      <c r="AI248" s="258">
        <f t="shared" si="187"/>
        <v>5.4618877334304008</v>
      </c>
      <c r="AJ248" s="259">
        <f t="shared" si="162"/>
        <v>5.4618877334304008</v>
      </c>
      <c r="AK248" s="120">
        <v>5.4618877334304008</v>
      </c>
      <c r="AL248" s="120"/>
      <c r="AN248" s="7">
        <f t="shared" si="188"/>
        <v>3284.2046235366206</v>
      </c>
      <c r="AO248" s="7">
        <f t="shared" si="189"/>
        <v>11291.159992386834</v>
      </c>
      <c r="AP248" s="7">
        <f t="shared" si="190"/>
        <v>3397.5516144632193</v>
      </c>
      <c r="AQ248" s="7">
        <f t="shared" si="191"/>
        <v>4660.7735579295959</v>
      </c>
      <c r="AR248" s="7">
        <f t="shared" si="192"/>
        <v>6560.0475518654885</v>
      </c>
      <c r="AS248" s="7">
        <f t="shared" si="193"/>
        <v>5666.1734756257756</v>
      </c>
      <c r="AT248" s="7">
        <f t="shared" si="194"/>
        <v>34859.91081580754</v>
      </c>
      <c r="AU248">
        <f>SUM($AT$9:AT248)</f>
        <v>69659711.77029264</v>
      </c>
      <c r="AV248" s="7">
        <f>AT248/(1+$AR$5)^(COUNT($E$9:E248))</f>
        <v>5676.0196223538596</v>
      </c>
      <c r="AW248" s="7">
        <f t="shared" si="208"/>
        <v>0</v>
      </c>
      <c r="AX248" s="7">
        <f t="shared" si="195"/>
        <v>0</v>
      </c>
      <c r="AY248" s="117">
        <f t="shared" si="196"/>
        <v>0</v>
      </c>
      <c r="AZ248" s="117">
        <f t="shared" si="197"/>
        <v>34859.91081580754</v>
      </c>
      <c r="BA248" s="120">
        <f t="shared" si="198"/>
        <v>1742.9955407903772</v>
      </c>
      <c r="BB248" s="119">
        <f t="shared" si="163"/>
        <v>592.73599510393524</v>
      </c>
      <c r="BC248" s="17"/>
      <c r="BD248" s="129">
        <f t="shared" si="164"/>
        <v>9.4211503893101428E-2</v>
      </c>
      <c r="BE248" s="130">
        <f t="shared" si="165"/>
        <v>0.32390100055180737</v>
      </c>
      <c r="BF248" s="130">
        <f t="shared" si="166"/>
        <v>9.7463003632314776E-2</v>
      </c>
      <c r="BG248" s="130">
        <f t="shared" si="167"/>
        <v>0.1337000998813837</v>
      </c>
      <c r="BH248" s="130">
        <f t="shared" si="168"/>
        <v>0.18818314213502738</v>
      </c>
      <c r="BI248" s="131">
        <f t="shared" si="169"/>
        <v>0.16254124990636518</v>
      </c>
      <c r="BJ248" s="129">
        <f t="array" ref="BJ248">BD248*INDEX(Royalty!$U$7:$Z$246,MATCH('Decline and Model'!$E248,Royalty!$AI$7:$AI$246,0),MATCH('Decline and Model'!BJ$8,Royalty!$U$1:$Z$1,0))</f>
        <v>3.2483873438822093E-2</v>
      </c>
      <c r="BK248" s="130">
        <f t="array" ref="BK248">BE248*INDEX(Royalty!$U$7:$Z$246,MATCH('Decline and Model'!$E248,Royalty!$AI$7:$AI$246,0),MATCH('Decline and Model'!BK$8,Royalty!$U$1:$Z$1,0))</f>
        <v>0.10984475210347625</v>
      </c>
      <c r="BL248" s="130">
        <f t="array" ref="BL248">BF248*INDEX(Royalty!$U$7:$Z$246,MATCH('Decline and Model'!$E248,Royalty!$AI$7:$AI$246,0),MATCH('Decline and Model'!BL$8,Royalty!$U$1:$Z$1,0))</f>
        <v>3.3642351518353729E-2</v>
      </c>
      <c r="BM248" s="130">
        <f t="array" ref="BM248">BG248*INDEX(Royalty!$U$7:$Z$246,MATCH('Decline and Model'!$E248,Royalty!$AI$7:$AI$246,0),MATCH('Decline and Model'!BM$8,Royalty!$U$1:$Z$1,0))</f>
        <v>4.5335323557443262E-2</v>
      </c>
      <c r="BN248" s="130">
        <f t="array" ref="BN248">BH248*INDEX(Royalty!$U$7:$Z$246,MATCH('Decline and Model'!$E248,Royalty!$AI$7:$AI$246,0),MATCH('Decline and Model'!BN$8,Royalty!$U$1:$Z$1,0))</f>
        <v>3.7125440722704656E-2</v>
      </c>
      <c r="BO248" s="130">
        <f t="array" ref="BO248">BI248*INDEX(Royalty!$U$7:$Z$246,MATCH('Decline and Model'!$E248,Royalty!$AI$7:$AI$246,0),MATCH('Decline and Model'!BO$8,Royalty!$U$1:$Z$1,0))</f>
        <v>8.1270624953182595E-3</v>
      </c>
      <c r="BP248" s="136">
        <f t="shared" si="170"/>
        <v>0.05</v>
      </c>
      <c r="BQ248" s="7"/>
      <c r="BR248" s="7"/>
      <c r="BS248">
        <v>240</v>
      </c>
      <c r="BT248" s="120">
        <f t="shared" si="171"/>
        <v>1742.9955407903772</v>
      </c>
      <c r="BU248" s="113">
        <f t="shared" si="172"/>
        <v>6274.8714489606482</v>
      </c>
      <c r="BV248" s="113">
        <f t="shared" si="173"/>
        <v>1882.4614346881945</v>
      </c>
      <c r="BW248" s="113">
        <f t="shared" si="206"/>
        <v>57422.417731763926</v>
      </c>
      <c r="BX248" s="113">
        <f t="shared" si="199"/>
        <v>1269.290995717748</v>
      </c>
      <c r="BY248" s="120">
        <f t="shared" si="200"/>
        <v>23690.291395650573</v>
      </c>
      <c r="BZ248" s="153">
        <f t="shared" si="207"/>
        <v>0</v>
      </c>
      <c r="CA248" s="120">
        <f t="shared" si="209"/>
        <v>23690.291395650573</v>
      </c>
      <c r="CB248" s="120">
        <f t="shared" si="201"/>
        <v>5922.5728489126432</v>
      </c>
      <c r="CC248" s="153">
        <f t="shared" si="202"/>
        <v>19037.009542455678</v>
      </c>
      <c r="CD248" s="7">
        <f t="shared" si="174"/>
        <v>3099.6763096972081</v>
      </c>
      <c r="CE248" s="11">
        <f>SUM($CD$9:CD248)</f>
        <v>25666856.799841944</v>
      </c>
      <c r="CF248" s="11">
        <f t="shared" si="203"/>
        <v>12000000</v>
      </c>
      <c r="CG248">
        <f t="shared" si="204"/>
        <v>13666856.799841944</v>
      </c>
    </row>
    <row r="249" spans="1:85">
      <c r="A249">
        <f t="shared" si="175"/>
        <v>2037</v>
      </c>
      <c r="E249" s="97">
        <v>50131</v>
      </c>
      <c r="N249" s="99"/>
      <c r="O249" s="5"/>
      <c r="P249" s="5"/>
      <c r="Q249" s="5"/>
      <c r="R249" s="5"/>
      <c r="S249" s="5"/>
      <c r="T249" s="5"/>
      <c r="U249" s="100"/>
      <c r="V249" s="112"/>
      <c r="W249" s="112"/>
      <c r="X249" s="112"/>
      <c r="Y249" s="112"/>
      <c r="AC249" s="99"/>
      <c r="AD249" s="5"/>
      <c r="AE249" s="5"/>
      <c r="AF249" s="5"/>
      <c r="AG249" s="5"/>
      <c r="AH249" s="5"/>
      <c r="AI249" s="5"/>
      <c r="AJ249" s="100"/>
    </row>
    <row r="251" spans="1:85">
      <c r="F251" s="2"/>
      <c r="G251" s="2"/>
      <c r="H251" s="2"/>
      <c r="Z251" s="112">
        <f>SUM($V$9:V249)</f>
        <v>1305112.1734261434</v>
      </c>
      <c r="CC251" t="s">
        <v>275</v>
      </c>
      <c r="CD251">
        <f>CD248/(0.095)</f>
        <v>32628.171681023243</v>
      </c>
    </row>
    <row r="252" spans="1:85">
      <c r="CC252" t="s">
        <v>276</v>
      </c>
      <c r="CD252">
        <f>CD251/(1+AR5)^(240)</f>
        <v>5312.6396014483971</v>
      </c>
    </row>
  </sheetData>
  <mergeCells count="3">
    <mergeCell ref="CJ44:CL44"/>
    <mergeCell ref="CN67:CQ67"/>
    <mergeCell ref="CJ73:CK7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U246"/>
  <sheetViews>
    <sheetView topLeftCell="A4" zoomScale="70" zoomScaleNormal="70" workbookViewId="0">
      <selection activeCell="B14" sqref="B14:F29"/>
    </sheetView>
  </sheetViews>
  <sheetFormatPr defaultRowHeight="15.9"/>
  <cols>
    <col min="2" max="2" width="16.5" customWidth="1"/>
    <col min="3" max="3" width="12.2109375" customWidth="1"/>
    <col min="4" max="4" width="11.7109375" customWidth="1"/>
    <col min="5" max="6" width="12.7109375" customWidth="1"/>
    <col min="10" max="14" width="13.35546875" customWidth="1"/>
    <col min="15" max="15" width="11.85546875" customWidth="1"/>
    <col min="16" max="16" width="12.140625" customWidth="1"/>
    <col min="17" max="18" width="11.85546875" customWidth="1"/>
    <col min="19" max="24" width="14.35546875" customWidth="1"/>
    <col min="25" max="26" width="13.35546875" customWidth="1"/>
    <col min="30" max="30" width="12.85546875" customWidth="1"/>
    <col min="31" max="45" width="11" customWidth="1"/>
  </cols>
  <sheetData>
    <row r="1" spans="2:47">
      <c r="T1" t="s">
        <v>204</v>
      </c>
      <c r="U1" s="115" t="s">
        <v>198</v>
      </c>
      <c r="V1" s="115" t="s">
        <v>199</v>
      </c>
      <c r="W1" s="115" t="s">
        <v>200</v>
      </c>
      <c r="X1" s="115" t="s">
        <v>201</v>
      </c>
      <c r="Y1" s="115" t="s">
        <v>202</v>
      </c>
      <c r="Z1" s="115" t="s">
        <v>203</v>
      </c>
    </row>
    <row r="2" spans="2:47">
      <c r="T2" t="s">
        <v>185</v>
      </c>
      <c r="U2">
        <v>16</v>
      </c>
      <c r="V2">
        <v>16</v>
      </c>
      <c r="W2">
        <v>13</v>
      </c>
      <c r="X2">
        <v>10</v>
      </c>
      <c r="Y2">
        <v>7</v>
      </c>
      <c r="Z2">
        <v>7</v>
      </c>
    </row>
    <row r="3" spans="2:47">
      <c r="T3" t="s">
        <v>186</v>
      </c>
      <c r="U3">
        <v>15</v>
      </c>
      <c r="V3">
        <v>15</v>
      </c>
      <c r="W3">
        <v>12</v>
      </c>
      <c r="X3">
        <v>9</v>
      </c>
      <c r="Y3">
        <v>6</v>
      </c>
      <c r="Z3">
        <v>6</v>
      </c>
    </row>
    <row r="4" spans="2:47">
      <c r="T4" t="s">
        <v>179</v>
      </c>
      <c r="U4">
        <v>14</v>
      </c>
      <c r="V4">
        <v>14</v>
      </c>
      <c r="W4">
        <v>11</v>
      </c>
      <c r="X4">
        <v>8</v>
      </c>
      <c r="Y4">
        <v>4</v>
      </c>
      <c r="Z4">
        <v>5</v>
      </c>
    </row>
    <row r="5" spans="2:47" s="16" customFormat="1" ht="63.75" customHeight="1"/>
    <row r="6" spans="2:47" s="16" customFormat="1" ht="76.5" customHeight="1">
      <c r="U6" s="16" t="s">
        <v>195</v>
      </c>
      <c r="V6" s="16" t="s">
        <v>194</v>
      </c>
      <c r="W6" s="16" t="s">
        <v>187</v>
      </c>
      <c r="X6" s="16" t="s">
        <v>184</v>
      </c>
      <c r="Y6" s="16" t="s">
        <v>161</v>
      </c>
      <c r="Z6" s="16" t="s">
        <v>162</v>
      </c>
      <c r="AB6" s="16" t="s">
        <v>192</v>
      </c>
      <c r="AC6" s="16" t="s">
        <v>191</v>
      </c>
      <c r="AD6" s="16" t="s">
        <v>188</v>
      </c>
      <c r="AE6" s="16" t="s">
        <v>180</v>
      </c>
      <c r="AF6" s="16" t="s">
        <v>176</v>
      </c>
      <c r="AG6" s="16" t="s">
        <v>175</v>
      </c>
      <c r="AJ6" s="105" t="s">
        <v>104</v>
      </c>
      <c r="AK6" s="105" t="s">
        <v>56</v>
      </c>
      <c r="AL6" s="105" t="s">
        <v>32</v>
      </c>
      <c r="AM6" s="105" t="s">
        <v>58</v>
      </c>
      <c r="AN6" s="105" t="s">
        <v>33</v>
      </c>
      <c r="AO6" s="105" t="s">
        <v>120</v>
      </c>
      <c r="AP6" s="105" t="s">
        <v>121</v>
      </c>
      <c r="AQ6" s="105" t="s">
        <v>122</v>
      </c>
      <c r="AR6" s="16" t="s">
        <v>181</v>
      </c>
      <c r="AS6" s="16" t="s">
        <v>182</v>
      </c>
      <c r="AT6" s="16" t="s">
        <v>189</v>
      </c>
      <c r="AU6" s="16" t="s">
        <v>190</v>
      </c>
    </row>
    <row r="7" spans="2:47">
      <c r="U7" s="118">
        <f>MIN(((AT7-VLOOKUP(AB7,$B$25:$Q$28,U$4,FALSE))*VLOOKUP(AB7,$B$25:$Q$28,U$3,FALSE)+VLOOKUP(AB7,$B$25:$Q$28,U$2,FALSE)),$O$29)</f>
        <v>0.23076248552</v>
      </c>
      <c r="V7" s="118">
        <f>MIN(((AU7-VLOOKUP(AC7,$B$25:$Q$28,V$4,FALSE))*VLOOKUP(AC7,$B$25:$Q$28,V$3,FALSE)+VLOOKUP(AC7,$B$25:$Q$28,V$2,FALSE)),$O$29)</f>
        <v>0.22340340782000001</v>
      </c>
      <c r="W7" s="118">
        <f>MIN(((AS7-VLOOKUP(AD7,$B$25:$Q$28,W$4,FALSE))*VLOOKUP(AD7,$B$25:$Q$28,W$3,FALSE)+VLOOKUP(AD7,$B$25:$Q$28,W$2,FALSE)),$C$29)</f>
        <v>0.19868315255500002</v>
      </c>
      <c r="X7" s="118">
        <f>MIN(((AR7-VLOOKUP(AE7,$B$25:$Q$28,X$4,FALSE))*VLOOKUP(AE7,$B$25:$Q$28,X$3,FALSE)+VLOOKUP(AE7,$B$25:$Q$28,X$2,FALSE)),$C$29)</f>
        <v>0.214995933749</v>
      </c>
      <c r="Y7" s="118">
        <f>MIN(((AQ7-VLOOKUP(AF7,$B$25:$H$28,Y$4,FALSE))*VLOOKUP(AF7,$B$25:$H$28,Y$3,FALSE)+VLOOKUP(AF7,$B$25:$H$28,Y$2,FALSE)),$C$29)</f>
        <v>0.10965333404103668</v>
      </c>
      <c r="Z7">
        <f>MIN(((AK7-VLOOKUP(AG7,$B$25:$H$28,Z$4,FALSE))*VLOOKUP(AG7,$B$25:$H$28,Z$3,FALSE)+VLOOKUP(AG7,$B$25:$H$28,Z$2,FALSE)),$C$29)</f>
        <v>0.05</v>
      </c>
      <c r="AB7">
        <f>IF(AT7&lt;$O$26,1,IF(AT7&lt;$O$27,2,IF(AT7&lt;$O$28,3,4)))</f>
        <v>3</v>
      </c>
      <c r="AC7">
        <f>IF(AU7&lt;$O$26,1,IF(AU7&lt;$O$27,2,IF(AU7&lt;$O$28,3,4)))</f>
        <v>3</v>
      </c>
      <c r="AD7">
        <f>IF(AS7&lt;$L$26,1,IF(AS7&lt;$L$27,2,IF(AS7&lt;$L$28,3,4)))</f>
        <v>2</v>
      </c>
      <c r="AE7">
        <f t="shared" ref="AE7:AE70" si="0">IF(AR7&lt;$I$26,1,IF(AR7&lt;$I$27,2,IF(AR7&lt;$I$28,3,4)))</f>
        <v>3</v>
      </c>
      <c r="AF7">
        <f t="shared" ref="AF7:AF70" si="1">IF(AQ7&lt;$E$26,1,IF(AQ7&lt;$E$27,2,IF(AQ7&lt;$E$28,3,4)))</f>
        <v>3</v>
      </c>
      <c r="AG7">
        <f t="shared" ref="AG7:AG70" si="2">IF(AK7&lt;$F$26,1,IF(AK7&lt;$F$27,2,IF(AK7&lt;$F$28,3,4)))</f>
        <v>1</v>
      </c>
      <c r="AI7" s="97">
        <f>'Decline and Model'!E9</f>
        <v>42826</v>
      </c>
      <c r="AJ7" s="140">
        <f>'Decline and Model'!AC9</f>
        <v>69.8</v>
      </c>
      <c r="AK7" s="141">
        <f>'Decline and Model'!AD9</f>
        <v>12.8</v>
      </c>
      <c r="AL7" s="141">
        <f>'Decline and Model'!AE9</f>
        <v>23.3</v>
      </c>
      <c r="AM7" s="141">
        <f>'Decline and Model'!AF9</f>
        <v>72.8</v>
      </c>
      <c r="AN7" s="141">
        <f>'Decline and Model'!AG9</f>
        <v>43.5</v>
      </c>
      <c r="AO7" s="141">
        <f>'Decline and Model'!AH9</f>
        <v>0.75</v>
      </c>
      <c r="AP7" s="141">
        <f>'Decline and Model'!AI9</f>
        <v>3.4</v>
      </c>
      <c r="AQ7" s="142">
        <f>'Decline and Model'!AJ9</f>
        <v>3.4</v>
      </c>
      <c r="AR7" s="4">
        <f t="shared" ref="AR7:AR70" si="3">AL7*$C$14</f>
        <v>146.552573</v>
      </c>
      <c r="AS7" s="4">
        <f t="shared" ref="AS7:AS70" si="4">AN7*$C$14</f>
        <v>273.60673500000001</v>
      </c>
      <c r="AT7" s="4">
        <f t="shared" ref="AT7:AT70" si="5">AM7*$C$14</f>
        <v>457.898168</v>
      </c>
      <c r="AU7" s="4">
        <f t="shared" ref="AU7:AU70" si="6">AJ7*$C$14</f>
        <v>439.02873799999998</v>
      </c>
    </row>
    <row r="8" spans="2:47">
      <c r="U8" s="118">
        <f t="shared" ref="U8:U71" si="7">MIN(((AT8-VLOOKUP(AB8,$B$25:$Q$28,U$4,FALSE))*VLOOKUP(AB8,$B$25:$Q$28,U$3,FALSE)+VLOOKUP(AB8,$B$25:$Q$28,U$2,FALSE)),$O$29)</f>
        <v>0.23076248552</v>
      </c>
      <c r="V8" s="118">
        <f t="shared" ref="V8:V71" si="8">MIN(((AU8-VLOOKUP(AC8,$B$25:$Q$28,V$4,FALSE))*VLOOKUP(AC8,$B$25:$Q$28,V$3,FALSE)+VLOOKUP(AC8,$B$25:$Q$28,V$2,FALSE)),$O$29)</f>
        <v>0.22340340782000001</v>
      </c>
      <c r="W8" s="118">
        <f t="shared" ref="W8:W71" si="9">MIN(((AS8-VLOOKUP(AD8,$B$25:$Q$28,W$4,FALSE))*VLOOKUP(AD8,$B$25:$Q$28,W$3,FALSE)+VLOOKUP(AD8,$B$25:$Q$28,W$2,FALSE)),$C$29)</f>
        <v>0.19868315255500002</v>
      </c>
      <c r="X8" s="118">
        <f t="shared" ref="X8:X71" si="10">MIN(((AR8-VLOOKUP(AE8,$B$25:$Q$28,X$4,FALSE))*VLOOKUP(AE8,$B$25:$Q$28,X$3,FALSE)+VLOOKUP(AE8,$B$25:$Q$28,X$2,FALSE)),$C$29)</f>
        <v>0.214995933749</v>
      </c>
      <c r="Y8" s="118">
        <f t="shared" ref="Y8:Y71" si="11">MIN(((AQ8-VLOOKUP(AF8,$B$25:$H$28,Y$4,FALSE))*VLOOKUP(AF8,$B$25:$H$28,Y$3,FALSE)+VLOOKUP(AF8,$B$25:$H$28,Y$2,FALSE)),$C$29)</f>
        <v>0.10965333404103668</v>
      </c>
      <c r="Z8">
        <f t="shared" ref="Z8:Z71" si="12">MIN(((AK8-VLOOKUP(AG8,$B$25:$H$28,Z$4,FALSE))*VLOOKUP(AG8,$B$25:$H$28,Z$3,FALSE)+VLOOKUP(AG8,$B$25:$H$28,Z$2,FALSE)),$C$29)</f>
        <v>0.05</v>
      </c>
      <c r="AB8">
        <f t="shared" ref="AB8:AB71" si="13">IF(AT8&lt;$O$26,1,IF(AT8&lt;$O$27,2,IF(AT8&lt;$O$28,3,4)))</f>
        <v>3</v>
      </c>
      <c r="AC8">
        <f t="shared" ref="AC8:AC71" si="14">IF(AU8&lt;$O$26,1,IF(AU8&lt;$O$27,2,IF(AU8&lt;$O$28,3,4)))</f>
        <v>3</v>
      </c>
      <c r="AD8">
        <f t="shared" ref="AD8:AD71" si="15">IF(AS8&lt;$L$26,1,IF(AS8&lt;$L$27,2,IF(AS8&lt;$L$28,3,4)))</f>
        <v>2</v>
      </c>
      <c r="AE8">
        <f t="shared" si="0"/>
        <v>3</v>
      </c>
      <c r="AF8">
        <f t="shared" si="1"/>
        <v>3</v>
      </c>
      <c r="AG8">
        <f t="shared" si="2"/>
        <v>1</v>
      </c>
      <c r="AI8" s="97">
        <f>'Decline and Model'!E10</f>
        <v>42856</v>
      </c>
      <c r="AJ8" s="106">
        <f>'Decline and Model'!AC10</f>
        <v>69.8</v>
      </c>
      <c r="AK8" s="107">
        <f>'Decline and Model'!AD10</f>
        <v>12.8</v>
      </c>
      <c r="AL8" s="107">
        <f>'Decline and Model'!AE10</f>
        <v>23.3</v>
      </c>
      <c r="AM8" s="107">
        <f>'Decline and Model'!AF10</f>
        <v>72.8</v>
      </c>
      <c r="AN8" s="107">
        <f>'Decline and Model'!AG10</f>
        <v>43.5</v>
      </c>
      <c r="AO8" s="107">
        <f>'Decline and Model'!AH10</f>
        <v>0.75</v>
      </c>
      <c r="AP8" s="107">
        <f>'Decline and Model'!AI10</f>
        <v>3.4</v>
      </c>
      <c r="AQ8" s="108">
        <f>'Decline and Model'!AJ10</f>
        <v>3.4</v>
      </c>
      <c r="AR8" s="4">
        <f t="shared" si="3"/>
        <v>146.552573</v>
      </c>
      <c r="AS8" s="4">
        <f t="shared" si="4"/>
        <v>273.60673500000001</v>
      </c>
      <c r="AT8" s="4">
        <f t="shared" si="5"/>
        <v>457.898168</v>
      </c>
      <c r="AU8" s="4">
        <f t="shared" si="6"/>
        <v>439.02873799999998</v>
      </c>
    </row>
    <row r="9" spans="2:47">
      <c r="U9" s="118">
        <f t="shared" si="7"/>
        <v>0.23076248552</v>
      </c>
      <c r="V9" s="118">
        <f t="shared" si="8"/>
        <v>0.22340340782000001</v>
      </c>
      <c r="W9" s="118">
        <f t="shared" si="9"/>
        <v>0.19868315255500002</v>
      </c>
      <c r="X9" s="118">
        <f t="shared" si="10"/>
        <v>0.214995933749</v>
      </c>
      <c r="Y9" s="118">
        <f t="shared" si="11"/>
        <v>0.10965333404103668</v>
      </c>
      <c r="Z9">
        <f t="shared" si="12"/>
        <v>0.05</v>
      </c>
      <c r="AB9">
        <f t="shared" si="13"/>
        <v>3</v>
      </c>
      <c r="AC9">
        <f t="shared" si="14"/>
        <v>3</v>
      </c>
      <c r="AD9">
        <f t="shared" si="15"/>
        <v>2</v>
      </c>
      <c r="AE9">
        <f t="shared" si="0"/>
        <v>3</v>
      </c>
      <c r="AF9">
        <f t="shared" si="1"/>
        <v>3</v>
      </c>
      <c r="AG9">
        <f t="shared" si="2"/>
        <v>1</v>
      </c>
      <c r="AI9" s="97">
        <f>'Decline and Model'!E11</f>
        <v>42887</v>
      </c>
      <c r="AJ9" s="106">
        <f>'Decline and Model'!AC11</f>
        <v>69.8</v>
      </c>
      <c r="AK9" s="107">
        <f>'Decline and Model'!AD11</f>
        <v>12.8</v>
      </c>
      <c r="AL9" s="107">
        <f>'Decline and Model'!AE11</f>
        <v>23.3</v>
      </c>
      <c r="AM9" s="107">
        <f>'Decline and Model'!AF11</f>
        <v>72.8</v>
      </c>
      <c r="AN9" s="107">
        <f>'Decline and Model'!AG11</f>
        <v>43.5</v>
      </c>
      <c r="AO9" s="107">
        <f>'Decline and Model'!AH11</f>
        <v>0.75</v>
      </c>
      <c r="AP9" s="107">
        <f>'Decline and Model'!AI11</f>
        <v>3.4</v>
      </c>
      <c r="AQ9" s="108">
        <f>'Decline and Model'!AJ11</f>
        <v>3.4</v>
      </c>
      <c r="AR9" s="4">
        <f t="shared" si="3"/>
        <v>146.552573</v>
      </c>
      <c r="AS9" s="4">
        <f t="shared" si="4"/>
        <v>273.60673500000001</v>
      </c>
      <c r="AT9" s="4">
        <f t="shared" si="5"/>
        <v>457.898168</v>
      </c>
      <c r="AU9" s="4">
        <f t="shared" si="6"/>
        <v>439.02873799999998</v>
      </c>
    </row>
    <row r="10" spans="2:47">
      <c r="U10" s="118">
        <f t="shared" si="7"/>
        <v>0.23076248552</v>
      </c>
      <c r="V10" s="118">
        <f t="shared" si="8"/>
        <v>0.22340340782000001</v>
      </c>
      <c r="W10" s="118">
        <f t="shared" si="9"/>
        <v>0.19868315255500002</v>
      </c>
      <c r="X10" s="118">
        <f t="shared" si="10"/>
        <v>0.214995933749</v>
      </c>
      <c r="Y10" s="118">
        <f t="shared" si="11"/>
        <v>0.10965333404103668</v>
      </c>
      <c r="Z10">
        <f t="shared" si="12"/>
        <v>0.05</v>
      </c>
      <c r="AB10">
        <f t="shared" si="13"/>
        <v>3</v>
      </c>
      <c r="AC10">
        <f t="shared" si="14"/>
        <v>3</v>
      </c>
      <c r="AD10">
        <f t="shared" si="15"/>
        <v>2</v>
      </c>
      <c r="AE10">
        <f t="shared" si="0"/>
        <v>3</v>
      </c>
      <c r="AF10">
        <f t="shared" si="1"/>
        <v>3</v>
      </c>
      <c r="AG10">
        <f t="shared" si="2"/>
        <v>1</v>
      </c>
      <c r="AI10" s="97">
        <f>'Decline and Model'!E12</f>
        <v>42917</v>
      </c>
      <c r="AJ10" s="106">
        <f>'Decline and Model'!AC12</f>
        <v>69.8</v>
      </c>
      <c r="AK10" s="107">
        <f>'Decline and Model'!AD12</f>
        <v>12.8</v>
      </c>
      <c r="AL10" s="107">
        <f>'Decline and Model'!AE12</f>
        <v>23.3</v>
      </c>
      <c r="AM10" s="107">
        <f>'Decline and Model'!AF12</f>
        <v>72.8</v>
      </c>
      <c r="AN10" s="107">
        <f>'Decline and Model'!AG12</f>
        <v>43.5</v>
      </c>
      <c r="AO10" s="107">
        <f>'Decline and Model'!AH12</f>
        <v>0.75</v>
      </c>
      <c r="AP10" s="107">
        <f>'Decline and Model'!AI12</f>
        <v>3.4</v>
      </c>
      <c r="AQ10" s="108">
        <f>'Decline and Model'!AJ12</f>
        <v>3.4</v>
      </c>
      <c r="AR10" s="4">
        <f t="shared" si="3"/>
        <v>146.552573</v>
      </c>
      <c r="AS10" s="4">
        <f t="shared" si="4"/>
        <v>273.60673500000001</v>
      </c>
      <c r="AT10" s="4">
        <f t="shared" si="5"/>
        <v>457.898168</v>
      </c>
      <c r="AU10" s="4">
        <f t="shared" si="6"/>
        <v>439.02873799999998</v>
      </c>
    </row>
    <row r="11" spans="2:47">
      <c r="U11" s="118">
        <f t="shared" si="7"/>
        <v>0.23076248552</v>
      </c>
      <c r="V11" s="118">
        <f t="shared" si="8"/>
        <v>0.22340340782000001</v>
      </c>
      <c r="W11" s="118">
        <f t="shared" si="9"/>
        <v>0.19868315255500002</v>
      </c>
      <c r="X11" s="118">
        <f t="shared" si="10"/>
        <v>0.214995933749</v>
      </c>
      <c r="Y11" s="118">
        <f t="shared" si="11"/>
        <v>0.10965333404103668</v>
      </c>
      <c r="Z11">
        <f t="shared" si="12"/>
        <v>0.05</v>
      </c>
      <c r="AB11">
        <f t="shared" si="13"/>
        <v>3</v>
      </c>
      <c r="AC11">
        <f t="shared" si="14"/>
        <v>3</v>
      </c>
      <c r="AD11">
        <f t="shared" si="15"/>
        <v>2</v>
      </c>
      <c r="AE11">
        <f t="shared" si="0"/>
        <v>3</v>
      </c>
      <c r="AF11">
        <f t="shared" si="1"/>
        <v>3</v>
      </c>
      <c r="AG11">
        <f t="shared" si="2"/>
        <v>1</v>
      </c>
      <c r="AI11" s="97">
        <f>'Decline and Model'!E13</f>
        <v>42948</v>
      </c>
      <c r="AJ11" s="106">
        <f>'Decline and Model'!AC13</f>
        <v>69.8</v>
      </c>
      <c r="AK11" s="107">
        <f>'Decline and Model'!AD13</f>
        <v>12.8</v>
      </c>
      <c r="AL11" s="107">
        <f>'Decline and Model'!AE13</f>
        <v>23.3</v>
      </c>
      <c r="AM11" s="107">
        <f>'Decline and Model'!AF13</f>
        <v>72.8</v>
      </c>
      <c r="AN11" s="107">
        <f>'Decline and Model'!AG13</f>
        <v>43.5</v>
      </c>
      <c r="AO11" s="107">
        <f>'Decline and Model'!AH13</f>
        <v>0.75</v>
      </c>
      <c r="AP11" s="107">
        <f>'Decline and Model'!AI13</f>
        <v>3.4</v>
      </c>
      <c r="AQ11" s="108">
        <f>'Decline and Model'!AJ13</f>
        <v>3.4</v>
      </c>
      <c r="AR11" s="4">
        <f t="shared" si="3"/>
        <v>146.552573</v>
      </c>
      <c r="AS11" s="4">
        <f t="shared" si="4"/>
        <v>273.60673500000001</v>
      </c>
      <c r="AT11" s="4">
        <f t="shared" si="5"/>
        <v>457.898168</v>
      </c>
      <c r="AU11" s="4">
        <f t="shared" si="6"/>
        <v>439.02873799999998</v>
      </c>
    </row>
    <row r="12" spans="2:47">
      <c r="U12" s="118">
        <f t="shared" si="7"/>
        <v>0.23076248552</v>
      </c>
      <c r="V12" s="118">
        <f t="shared" si="8"/>
        <v>0.22340340782000001</v>
      </c>
      <c r="W12" s="118">
        <f t="shared" si="9"/>
        <v>0.19868315255500002</v>
      </c>
      <c r="X12" s="118">
        <f t="shared" si="10"/>
        <v>0.214995933749</v>
      </c>
      <c r="Y12" s="118">
        <f t="shared" si="11"/>
        <v>0.10965333404103668</v>
      </c>
      <c r="Z12">
        <f t="shared" si="12"/>
        <v>0.05</v>
      </c>
      <c r="AB12">
        <f t="shared" si="13"/>
        <v>3</v>
      </c>
      <c r="AC12">
        <f t="shared" si="14"/>
        <v>3</v>
      </c>
      <c r="AD12">
        <f t="shared" si="15"/>
        <v>2</v>
      </c>
      <c r="AE12">
        <f t="shared" si="0"/>
        <v>3</v>
      </c>
      <c r="AF12">
        <f t="shared" si="1"/>
        <v>3</v>
      </c>
      <c r="AG12">
        <f t="shared" si="2"/>
        <v>1</v>
      </c>
      <c r="AI12" s="97">
        <f>'Decline and Model'!E14</f>
        <v>42979</v>
      </c>
      <c r="AJ12" s="106">
        <f>'Decline and Model'!AC14</f>
        <v>69.8</v>
      </c>
      <c r="AK12" s="107">
        <f>'Decline and Model'!AD14</f>
        <v>12.8</v>
      </c>
      <c r="AL12" s="107">
        <f>'Decline and Model'!AE14</f>
        <v>23.3</v>
      </c>
      <c r="AM12" s="107">
        <f>'Decline and Model'!AF14</f>
        <v>72.8</v>
      </c>
      <c r="AN12" s="107">
        <f>'Decline and Model'!AG14</f>
        <v>43.5</v>
      </c>
      <c r="AO12" s="107">
        <f>'Decline and Model'!AH14</f>
        <v>0.75</v>
      </c>
      <c r="AP12" s="107">
        <f>'Decline and Model'!AI14</f>
        <v>3.4</v>
      </c>
      <c r="AQ12" s="108">
        <f>'Decline and Model'!AJ14</f>
        <v>3.4</v>
      </c>
      <c r="AR12" s="4">
        <f t="shared" si="3"/>
        <v>146.552573</v>
      </c>
      <c r="AS12" s="4">
        <f t="shared" si="4"/>
        <v>273.60673500000001</v>
      </c>
      <c r="AT12" s="4">
        <f t="shared" si="5"/>
        <v>457.898168</v>
      </c>
      <c r="AU12" s="4">
        <f t="shared" si="6"/>
        <v>439.02873799999998</v>
      </c>
    </row>
    <row r="13" spans="2:47">
      <c r="U13" s="118">
        <f t="shared" si="7"/>
        <v>0.23076248552</v>
      </c>
      <c r="V13" s="118">
        <f t="shared" si="8"/>
        <v>0.22340340782000001</v>
      </c>
      <c r="W13" s="118">
        <f t="shared" si="9"/>
        <v>0.19868315255500002</v>
      </c>
      <c r="X13" s="118">
        <f t="shared" si="10"/>
        <v>0.214995933749</v>
      </c>
      <c r="Y13" s="118">
        <f t="shared" si="11"/>
        <v>0.10965333404103668</v>
      </c>
      <c r="Z13">
        <f t="shared" si="12"/>
        <v>0.05</v>
      </c>
      <c r="AB13">
        <f t="shared" si="13"/>
        <v>3</v>
      </c>
      <c r="AC13">
        <f t="shared" si="14"/>
        <v>3</v>
      </c>
      <c r="AD13">
        <f t="shared" si="15"/>
        <v>2</v>
      </c>
      <c r="AE13">
        <f t="shared" si="0"/>
        <v>3</v>
      </c>
      <c r="AF13">
        <f t="shared" si="1"/>
        <v>3</v>
      </c>
      <c r="AG13">
        <f t="shared" si="2"/>
        <v>1</v>
      </c>
      <c r="AI13" s="97">
        <f>'Decline and Model'!E15</f>
        <v>43009</v>
      </c>
      <c r="AJ13" s="106">
        <f>'Decline and Model'!AC15</f>
        <v>69.8</v>
      </c>
      <c r="AK13" s="107">
        <f>'Decline and Model'!AD15</f>
        <v>12.8</v>
      </c>
      <c r="AL13" s="107">
        <f>'Decline and Model'!AE15</f>
        <v>23.3</v>
      </c>
      <c r="AM13" s="107">
        <f>'Decline and Model'!AF15</f>
        <v>72.8</v>
      </c>
      <c r="AN13" s="107">
        <f>'Decline and Model'!AG15</f>
        <v>43.5</v>
      </c>
      <c r="AO13" s="107">
        <f>'Decline and Model'!AH15</f>
        <v>0.75</v>
      </c>
      <c r="AP13" s="107">
        <f>'Decline and Model'!AI15</f>
        <v>3.4</v>
      </c>
      <c r="AQ13" s="108">
        <f>'Decline and Model'!AJ15</f>
        <v>3.4</v>
      </c>
      <c r="AR13" s="4">
        <f t="shared" si="3"/>
        <v>146.552573</v>
      </c>
      <c r="AS13" s="4">
        <f t="shared" si="4"/>
        <v>273.60673500000001</v>
      </c>
      <c r="AT13" s="4">
        <f t="shared" si="5"/>
        <v>457.898168</v>
      </c>
      <c r="AU13" s="4">
        <f t="shared" si="6"/>
        <v>439.02873799999998</v>
      </c>
    </row>
    <row r="14" spans="2:47" ht="20.6">
      <c r="B14" t="s">
        <v>177</v>
      </c>
      <c r="C14">
        <v>6.2898100000000001</v>
      </c>
      <c r="I14" s="143" t="s">
        <v>160</v>
      </c>
      <c r="U14" s="118">
        <f t="shared" si="7"/>
        <v>0.23076248552</v>
      </c>
      <c r="V14" s="118">
        <f t="shared" si="8"/>
        <v>0.22340340782000001</v>
      </c>
      <c r="W14" s="118">
        <f t="shared" si="9"/>
        <v>0.19868315255500002</v>
      </c>
      <c r="X14" s="118">
        <f t="shared" si="10"/>
        <v>0.214995933749</v>
      </c>
      <c r="Y14" s="118">
        <f t="shared" si="11"/>
        <v>0.10965333404103668</v>
      </c>
      <c r="Z14">
        <f t="shared" si="12"/>
        <v>0.05</v>
      </c>
      <c r="AB14">
        <f t="shared" si="13"/>
        <v>3</v>
      </c>
      <c r="AC14">
        <f t="shared" si="14"/>
        <v>3</v>
      </c>
      <c r="AD14">
        <f t="shared" si="15"/>
        <v>2</v>
      </c>
      <c r="AE14">
        <f t="shared" si="0"/>
        <v>3</v>
      </c>
      <c r="AF14">
        <f t="shared" si="1"/>
        <v>3</v>
      </c>
      <c r="AG14">
        <f t="shared" si="2"/>
        <v>1</v>
      </c>
      <c r="AI14" s="97">
        <f>'Decline and Model'!E16</f>
        <v>43040</v>
      </c>
      <c r="AJ14" s="106">
        <f>'Decline and Model'!AC16</f>
        <v>69.8</v>
      </c>
      <c r="AK14" s="107">
        <f>'Decline and Model'!AD16</f>
        <v>12.8</v>
      </c>
      <c r="AL14" s="107">
        <f>'Decline and Model'!AE16</f>
        <v>23.3</v>
      </c>
      <c r="AM14" s="107">
        <f>'Decline and Model'!AF16</f>
        <v>72.8</v>
      </c>
      <c r="AN14" s="107">
        <f>'Decline and Model'!AG16</f>
        <v>43.5</v>
      </c>
      <c r="AO14" s="107">
        <f>'Decline and Model'!AH16</f>
        <v>0.75</v>
      </c>
      <c r="AP14" s="107">
        <f>'Decline and Model'!AI16</f>
        <v>3.4</v>
      </c>
      <c r="AQ14" s="108">
        <f>'Decline and Model'!AJ16</f>
        <v>3.4</v>
      </c>
      <c r="AR14" s="4">
        <f t="shared" si="3"/>
        <v>146.552573</v>
      </c>
      <c r="AS14" s="4">
        <f t="shared" si="4"/>
        <v>273.60673500000001</v>
      </c>
      <c r="AT14" s="4">
        <f t="shared" si="5"/>
        <v>457.898168</v>
      </c>
      <c r="AU14" s="4">
        <f t="shared" si="6"/>
        <v>439.02873799999998</v>
      </c>
    </row>
    <row r="15" spans="2:47">
      <c r="B15" t="s">
        <v>156</v>
      </c>
      <c r="C15">
        <v>28.327839999999998</v>
      </c>
      <c r="U15" s="118">
        <f t="shared" si="7"/>
        <v>0.23076248552</v>
      </c>
      <c r="V15" s="118">
        <f t="shared" si="8"/>
        <v>0.22340340782000001</v>
      </c>
      <c r="W15" s="118">
        <f t="shared" si="9"/>
        <v>0.19868315255500002</v>
      </c>
      <c r="X15" s="118">
        <f t="shared" si="10"/>
        <v>0.214995933749</v>
      </c>
      <c r="Y15" s="118">
        <f t="shared" si="11"/>
        <v>0.10965333404103668</v>
      </c>
      <c r="Z15">
        <f t="shared" si="12"/>
        <v>0.05</v>
      </c>
      <c r="AB15">
        <f t="shared" si="13"/>
        <v>3</v>
      </c>
      <c r="AC15">
        <f t="shared" si="14"/>
        <v>3</v>
      </c>
      <c r="AD15">
        <f t="shared" si="15"/>
        <v>2</v>
      </c>
      <c r="AE15">
        <f t="shared" si="0"/>
        <v>3</v>
      </c>
      <c r="AF15">
        <f t="shared" si="1"/>
        <v>3</v>
      </c>
      <c r="AG15">
        <f t="shared" si="2"/>
        <v>1</v>
      </c>
      <c r="AI15" s="97">
        <f>'Decline and Model'!E17</f>
        <v>43070</v>
      </c>
      <c r="AJ15" s="106">
        <f>'Decline and Model'!AC17</f>
        <v>69.8</v>
      </c>
      <c r="AK15" s="107">
        <f>'Decline and Model'!AD17</f>
        <v>12.8</v>
      </c>
      <c r="AL15" s="107">
        <f>'Decline and Model'!AE17</f>
        <v>23.3</v>
      </c>
      <c r="AM15" s="107">
        <f>'Decline and Model'!AF17</f>
        <v>72.8</v>
      </c>
      <c r="AN15" s="107">
        <f>'Decline and Model'!AG17</f>
        <v>43.5</v>
      </c>
      <c r="AO15" s="107">
        <f>'Decline and Model'!AH17</f>
        <v>0.75</v>
      </c>
      <c r="AP15" s="107">
        <f>'Decline and Model'!AI17</f>
        <v>3.4</v>
      </c>
      <c r="AQ15" s="108">
        <f>'Decline and Model'!AJ17</f>
        <v>3.4</v>
      </c>
      <c r="AR15" s="4">
        <f t="shared" si="3"/>
        <v>146.552573</v>
      </c>
      <c r="AS15" s="4">
        <f t="shared" si="4"/>
        <v>273.60673500000001</v>
      </c>
      <c r="AT15" s="4">
        <f t="shared" si="5"/>
        <v>457.898168</v>
      </c>
      <c r="AU15" s="4">
        <f t="shared" si="6"/>
        <v>439.02873799999998</v>
      </c>
    </row>
    <row r="16" spans="2:47">
      <c r="B16" t="s">
        <v>158</v>
      </c>
      <c r="C16">
        <v>2823.3911277846605</v>
      </c>
      <c r="U16" s="118">
        <f t="shared" si="7"/>
        <v>0.23812156322</v>
      </c>
      <c r="V16" s="118">
        <f t="shared" si="8"/>
        <v>0.23051718293000001</v>
      </c>
      <c r="W16" s="118">
        <f t="shared" si="9"/>
        <v>0.21951443204599999</v>
      </c>
      <c r="X16" s="118">
        <f t="shared" si="10"/>
        <v>0.21779615716100001</v>
      </c>
      <c r="Y16" s="118">
        <f t="shared" si="11"/>
        <v>9.9028334041036684E-2</v>
      </c>
      <c r="Z16">
        <f t="shared" si="12"/>
        <v>0.05</v>
      </c>
      <c r="AB16">
        <f t="shared" si="13"/>
        <v>3</v>
      </c>
      <c r="AC16">
        <f t="shared" si="14"/>
        <v>3</v>
      </c>
      <c r="AD16">
        <f t="shared" si="15"/>
        <v>3</v>
      </c>
      <c r="AE16">
        <f t="shared" si="0"/>
        <v>3</v>
      </c>
      <c r="AF16">
        <f t="shared" si="1"/>
        <v>3</v>
      </c>
      <c r="AG16">
        <f t="shared" si="2"/>
        <v>1</v>
      </c>
      <c r="AI16" s="97">
        <f>'Decline and Model'!E18</f>
        <v>43101</v>
      </c>
      <c r="AJ16" s="106">
        <f>'Decline and Model'!AC18</f>
        <v>72.7</v>
      </c>
      <c r="AK16" s="107">
        <f>'Decline and Model'!AD18</f>
        <v>11.8</v>
      </c>
      <c r="AL16" s="107">
        <f>'Decline and Model'!AE18</f>
        <v>23.7</v>
      </c>
      <c r="AM16" s="107">
        <f>'Decline and Model'!AF18</f>
        <v>75.8</v>
      </c>
      <c r="AN16" s="107">
        <f>'Decline and Model'!AG18</f>
        <v>47.9</v>
      </c>
      <c r="AO16" s="107">
        <f>'Decline and Model'!AH18</f>
        <v>0.77500000000000002</v>
      </c>
      <c r="AP16" s="107">
        <f>'Decline and Model'!AI18</f>
        <v>3.15</v>
      </c>
      <c r="AQ16" s="108">
        <f>'Decline and Model'!AJ18</f>
        <v>3.15</v>
      </c>
      <c r="AR16" s="4">
        <f t="shared" si="3"/>
        <v>149.06849700000001</v>
      </c>
      <c r="AS16" s="4">
        <f t="shared" si="4"/>
        <v>301.28189900000001</v>
      </c>
      <c r="AT16" s="4">
        <f t="shared" si="5"/>
        <v>476.76759799999996</v>
      </c>
      <c r="AU16" s="4">
        <f t="shared" si="6"/>
        <v>457.26918700000004</v>
      </c>
    </row>
    <row r="17" spans="2:47">
      <c r="B17" t="s">
        <v>155</v>
      </c>
      <c r="C17">
        <v>1.055056</v>
      </c>
      <c r="U17" s="118">
        <f t="shared" si="7"/>
        <v>0.23812156322</v>
      </c>
      <c r="V17" s="118">
        <f t="shared" si="8"/>
        <v>0.23051718293000001</v>
      </c>
      <c r="W17" s="118">
        <f t="shared" si="9"/>
        <v>0.21951443204599999</v>
      </c>
      <c r="X17" s="118">
        <f t="shared" si="10"/>
        <v>0.21779615716100001</v>
      </c>
      <c r="Y17" s="118">
        <f t="shared" si="11"/>
        <v>9.9028334041036684E-2</v>
      </c>
      <c r="Z17">
        <f t="shared" si="12"/>
        <v>0.05</v>
      </c>
      <c r="AB17">
        <f t="shared" si="13"/>
        <v>3</v>
      </c>
      <c r="AC17">
        <f t="shared" si="14"/>
        <v>3</v>
      </c>
      <c r="AD17">
        <f t="shared" si="15"/>
        <v>3</v>
      </c>
      <c r="AE17">
        <f t="shared" si="0"/>
        <v>3</v>
      </c>
      <c r="AF17">
        <f t="shared" si="1"/>
        <v>3</v>
      </c>
      <c r="AG17">
        <f t="shared" si="2"/>
        <v>1</v>
      </c>
      <c r="AI17" s="97">
        <f>'Decline and Model'!E19</f>
        <v>43132</v>
      </c>
      <c r="AJ17" s="106">
        <f>'Decline and Model'!AC19</f>
        <v>72.7</v>
      </c>
      <c r="AK17" s="107">
        <f>'Decline and Model'!AD19</f>
        <v>11.8</v>
      </c>
      <c r="AL17" s="107">
        <f>'Decline and Model'!AE19</f>
        <v>23.7</v>
      </c>
      <c r="AM17" s="107">
        <f>'Decline and Model'!AF19</f>
        <v>75.8</v>
      </c>
      <c r="AN17" s="107">
        <f>'Decline and Model'!AG19</f>
        <v>47.9</v>
      </c>
      <c r="AO17" s="107">
        <f>'Decline and Model'!AH19</f>
        <v>0.77500000000000002</v>
      </c>
      <c r="AP17" s="107">
        <f>'Decline and Model'!AI19</f>
        <v>3.15</v>
      </c>
      <c r="AQ17" s="108">
        <f>'Decline and Model'!AJ19</f>
        <v>3.15</v>
      </c>
      <c r="AR17" s="4">
        <f t="shared" si="3"/>
        <v>149.06849700000001</v>
      </c>
      <c r="AS17" s="4">
        <f t="shared" si="4"/>
        <v>301.28189900000001</v>
      </c>
      <c r="AT17" s="4">
        <f t="shared" si="5"/>
        <v>476.76759799999996</v>
      </c>
      <c r="AU17" s="4">
        <f t="shared" si="6"/>
        <v>457.26918700000004</v>
      </c>
    </row>
    <row r="18" spans="2:47">
      <c r="B18" t="s">
        <v>150</v>
      </c>
      <c r="C18">
        <v>10.033268051751334</v>
      </c>
      <c r="U18" s="118">
        <f t="shared" si="7"/>
        <v>0.23812156322</v>
      </c>
      <c r="V18" s="118">
        <f t="shared" si="8"/>
        <v>0.23051718293000001</v>
      </c>
      <c r="W18" s="118">
        <f t="shared" si="9"/>
        <v>0.21951443204599999</v>
      </c>
      <c r="X18" s="118">
        <f t="shared" si="10"/>
        <v>0.21779615716100001</v>
      </c>
      <c r="Y18" s="118">
        <f t="shared" si="11"/>
        <v>9.9028334041036684E-2</v>
      </c>
      <c r="Z18">
        <f t="shared" si="12"/>
        <v>0.05</v>
      </c>
      <c r="AB18">
        <f t="shared" si="13"/>
        <v>3</v>
      </c>
      <c r="AC18">
        <f t="shared" si="14"/>
        <v>3</v>
      </c>
      <c r="AD18">
        <f t="shared" si="15"/>
        <v>3</v>
      </c>
      <c r="AE18">
        <f t="shared" si="0"/>
        <v>3</v>
      </c>
      <c r="AF18">
        <f t="shared" si="1"/>
        <v>3</v>
      </c>
      <c r="AG18">
        <f t="shared" si="2"/>
        <v>1</v>
      </c>
      <c r="AI18" s="97">
        <f>'Decline and Model'!E20</f>
        <v>43160</v>
      </c>
      <c r="AJ18" s="106">
        <f>'Decline and Model'!AC20</f>
        <v>72.7</v>
      </c>
      <c r="AK18" s="107">
        <f>'Decline and Model'!AD20</f>
        <v>11.8</v>
      </c>
      <c r="AL18" s="107">
        <f>'Decline and Model'!AE20</f>
        <v>23.7</v>
      </c>
      <c r="AM18" s="107">
        <f>'Decline and Model'!AF20</f>
        <v>75.8</v>
      </c>
      <c r="AN18" s="107">
        <f>'Decline and Model'!AG20</f>
        <v>47.9</v>
      </c>
      <c r="AO18" s="107">
        <f>'Decline and Model'!AH20</f>
        <v>0.77500000000000002</v>
      </c>
      <c r="AP18" s="107">
        <f>'Decline and Model'!AI20</f>
        <v>3.15</v>
      </c>
      <c r="AQ18" s="108">
        <f>'Decline and Model'!AJ20</f>
        <v>3.15</v>
      </c>
      <c r="AR18" s="4">
        <f t="shared" si="3"/>
        <v>149.06849700000001</v>
      </c>
      <c r="AS18" s="4">
        <f t="shared" si="4"/>
        <v>301.28189900000001</v>
      </c>
      <c r="AT18" s="4">
        <f t="shared" si="5"/>
        <v>476.76759799999996</v>
      </c>
      <c r="AU18" s="4">
        <f t="shared" si="6"/>
        <v>457.26918700000004</v>
      </c>
    </row>
    <row r="19" spans="2:47">
      <c r="B19" t="s">
        <v>169</v>
      </c>
      <c r="C19">
        <f>'Decline and Model'!AJ6</f>
        <v>1</v>
      </c>
      <c r="F19">
        <f>F20/C18</f>
        <v>1215.6041547820098</v>
      </c>
      <c r="G19">
        <f>F19/6.28981</f>
        <v>193.26563994492835</v>
      </c>
      <c r="U19" s="118">
        <f t="shared" si="7"/>
        <v>0.23812156322</v>
      </c>
      <c r="V19" s="118">
        <f t="shared" si="8"/>
        <v>0.23051718293000001</v>
      </c>
      <c r="W19" s="118">
        <f t="shared" si="9"/>
        <v>0.21951443204599999</v>
      </c>
      <c r="X19" s="118">
        <f t="shared" si="10"/>
        <v>0.21779615716100001</v>
      </c>
      <c r="Y19" s="118">
        <f t="shared" si="11"/>
        <v>9.9028334041036684E-2</v>
      </c>
      <c r="Z19">
        <f t="shared" si="12"/>
        <v>0.05</v>
      </c>
      <c r="AB19">
        <f t="shared" si="13"/>
        <v>3</v>
      </c>
      <c r="AC19">
        <f t="shared" si="14"/>
        <v>3</v>
      </c>
      <c r="AD19">
        <f t="shared" si="15"/>
        <v>3</v>
      </c>
      <c r="AE19">
        <f t="shared" si="0"/>
        <v>3</v>
      </c>
      <c r="AF19">
        <f t="shared" si="1"/>
        <v>3</v>
      </c>
      <c r="AG19">
        <f t="shared" si="2"/>
        <v>1</v>
      </c>
      <c r="AI19" s="97">
        <f>'Decline and Model'!E21</f>
        <v>43191</v>
      </c>
      <c r="AJ19" s="106">
        <f>'Decline and Model'!AC21</f>
        <v>72.7</v>
      </c>
      <c r="AK19" s="107">
        <f>'Decline and Model'!AD21</f>
        <v>11.8</v>
      </c>
      <c r="AL19" s="107">
        <f>'Decline and Model'!AE21</f>
        <v>23.7</v>
      </c>
      <c r="AM19" s="107">
        <f>'Decline and Model'!AF21</f>
        <v>75.8</v>
      </c>
      <c r="AN19" s="107">
        <f>'Decline and Model'!AG21</f>
        <v>47.9</v>
      </c>
      <c r="AO19" s="107">
        <f>'Decline and Model'!AH21</f>
        <v>0.77500000000000002</v>
      </c>
      <c r="AP19" s="107">
        <f>'Decline and Model'!AI21</f>
        <v>3.15</v>
      </c>
      <c r="AQ19" s="108">
        <f>'Decline and Model'!AJ21</f>
        <v>3.15</v>
      </c>
      <c r="AR19" s="4">
        <f t="shared" si="3"/>
        <v>149.06849700000001</v>
      </c>
      <c r="AS19" s="4">
        <f t="shared" si="4"/>
        <v>301.28189900000001</v>
      </c>
      <c r="AT19" s="4">
        <f t="shared" si="5"/>
        <v>476.76759799999996</v>
      </c>
      <c r="AU19" s="4">
        <f t="shared" si="6"/>
        <v>457.26918700000004</v>
      </c>
    </row>
    <row r="20" spans="2:47">
      <c r="E20" t="s">
        <v>74</v>
      </c>
      <c r="F20">
        <f>F21*1000</f>
        <v>12196.482329750521</v>
      </c>
      <c r="I20" t="s">
        <v>210</v>
      </c>
      <c r="U20" s="118">
        <f t="shared" si="7"/>
        <v>0.23812156322</v>
      </c>
      <c r="V20" s="118">
        <f t="shared" si="8"/>
        <v>0.23051718293000001</v>
      </c>
      <c r="W20" s="118">
        <f t="shared" si="9"/>
        <v>0.21951443204599999</v>
      </c>
      <c r="X20" s="118">
        <f t="shared" si="10"/>
        <v>0.21779615716100001</v>
      </c>
      <c r="Y20" s="118">
        <f t="shared" si="11"/>
        <v>9.9028334041036684E-2</v>
      </c>
      <c r="Z20">
        <f t="shared" si="12"/>
        <v>0.05</v>
      </c>
      <c r="AB20">
        <f t="shared" si="13"/>
        <v>3</v>
      </c>
      <c r="AC20">
        <f t="shared" si="14"/>
        <v>3</v>
      </c>
      <c r="AD20">
        <f t="shared" si="15"/>
        <v>3</v>
      </c>
      <c r="AE20">
        <f t="shared" si="0"/>
        <v>3</v>
      </c>
      <c r="AF20">
        <f t="shared" si="1"/>
        <v>3</v>
      </c>
      <c r="AG20">
        <f t="shared" si="2"/>
        <v>1</v>
      </c>
      <c r="AI20" s="97">
        <f>'Decline and Model'!E22</f>
        <v>43221</v>
      </c>
      <c r="AJ20" s="106">
        <f>'Decline and Model'!AC22</f>
        <v>72.7</v>
      </c>
      <c r="AK20" s="107">
        <f>'Decline and Model'!AD22</f>
        <v>11.8</v>
      </c>
      <c r="AL20" s="107">
        <f>'Decline and Model'!AE22</f>
        <v>23.7</v>
      </c>
      <c r="AM20" s="107">
        <f>'Decline and Model'!AF22</f>
        <v>75.8</v>
      </c>
      <c r="AN20" s="107">
        <f>'Decline and Model'!AG22</f>
        <v>47.9</v>
      </c>
      <c r="AO20" s="107">
        <f>'Decline and Model'!AH22</f>
        <v>0.77500000000000002</v>
      </c>
      <c r="AP20" s="107">
        <f>'Decline and Model'!AI22</f>
        <v>3.15</v>
      </c>
      <c r="AQ20" s="108">
        <f>'Decline and Model'!AJ22</f>
        <v>3.15</v>
      </c>
      <c r="AR20" s="4">
        <f t="shared" si="3"/>
        <v>149.06849700000001</v>
      </c>
      <c r="AS20" s="4">
        <f t="shared" si="4"/>
        <v>301.28189900000001</v>
      </c>
      <c r="AT20" s="4">
        <f t="shared" si="5"/>
        <v>476.76759799999996</v>
      </c>
      <c r="AU20" s="4">
        <f t="shared" si="6"/>
        <v>457.26918700000004</v>
      </c>
    </row>
    <row r="21" spans="2:47">
      <c r="F21">
        <f>F22/C15</f>
        <v>12.196482329750522</v>
      </c>
      <c r="I21" t="s">
        <v>208</v>
      </c>
      <c r="J21" t="s">
        <v>211</v>
      </c>
      <c r="L21" t="s">
        <v>208</v>
      </c>
      <c r="M21" t="s">
        <v>211</v>
      </c>
      <c r="U21" s="118">
        <f t="shared" si="7"/>
        <v>0.23812156322</v>
      </c>
      <c r="V21" s="118">
        <f t="shared" si="8"/>
        <v>0.23051718293000001</v>
      </c>
      <c r="W21" s="118">
        <f t="shared" si="9"/>
        <v>0.21951443204599999</v>
      </c>
      <c r="X21" s="118">
        <f t="shared" si="10"/>
        <v>0.21779615716100001</v>
      </c>
      <c r="Y21" s="118">
        <f t="shared" si="11"/>
        <v>9.9028334041036684E-2</v>
      </c>
      <c r="Z21">
        <f t="shared" si="12"/>
        <v>0.05</v>
      </c>
      <c r="AB21">
        <f t="shared" si="13"/>
        <v>3</v>
      </c>
      <c r="AC21">
        <f t="shared" si="14"/>
        <v>3</v>
      </c>
      <c r="AD21">
        <f t="shared" si="15"/>
        <v>3</v>
      </c>
      <c r="AE21">
        <f t="shared" si="0"/>
        <v>3</v>
      </c>
      <c r="AF21">
        <f t="shared" si="1"/>
        <v>3</v>
      </c>
      <c r="AG21">
        <f t="shared" si="2"/>
        <v>1</v>
      </c>
      <c r="AI21" s="97">
        <f>'Decline and Model'!E23</f>
        <v>43252</v>
      </c>
      <c r="AJ21" s="106">
        <f>'Decline and Model'!AC23</f>
        <v>72.7</v>
      </c>
      <c r="AK21" s="107">
        <f>'Decline and Model'!AD23</f>
        <v>11.8</v>
      </c>
      <c r="AL21" s="107">
        <f>'Decline and Model'!AE23</f>
        <v>23.7</v>
      </c>
      <c r="AM21" s="107">
        <f>'Decline and Model'!AF23</f>
        <v>75.8</v>
      </c>
      <c r="AN21" s="107">
        <f>'Decline and Model'!AG23</f>
        <v>47.9</v>
      </c>
      <c r="AO21" s="107">
        <f>'Decline and Model'!AH23</f>
        <v>0.77500000000000002</v>
      </c>
      <c r="AP21" s="107">
        <f>'Decline and Model'!AI23</f>
        <v>3.15</v>
      </c>
      <c r="AQ21" s="108">
        <f>'Decline and Model'!AJ23</f>
        <v>3.15</v>
      </c>
      <c r="AR21" s="4">
        <f t="shared" si="3"/>
        <v>149.06849700000001</v>
      </c>
      <c r="AS21" s="4">
        <f t="shared" si="4"/>
        <v>301.28189900000001</v>
      </c>
      <c r="AT21" s="4">
        <f t="shared" si="5"/>
        <v>476.76759799999996</v>
      </c>
      <c r="AU21" s="4">
        <f t="shared" si="6"/>
        <v>457.26918700000004</v>
      </c>
    </row>
    <row r="22" spans="2:47">
      <c r="D22" t="s">
        <v>212</v>
      </c>
      <c r="F22">
        <v>345.5</v>
      </c>
      <c r="G22" s="10">
        <v>4.9370000000000002E-4</v>
      </c>
      <c r="I22" t="s">
        <v>209</v>
      </c>
      <c r="J22">
        <v>194</v>
      </c>
      <c r="K22" s="10">
        <v>1.3500000000000001E-3</v>
      </c>
      <c r="L22" t="s">
        <v>209</v>
      </c>
      <c r="M22">
        <v>194</v>
      </c>
      <c r="N22" s="10">
        <v>1.3500000000000001E-3</v>
      </c>
      <c r="O22" t="s">
        <v>213</v>
      </c>
      <c r="P22">
        <v>194</v>
      </c>
      <c r="Q22" s="10">
        <v>1.3500000000000001E-3</v>
      </c>
      <c r="U22" s="118">
        <f t="shared" si="7"/>
        <v>0.23812156322</v>
      </c>
      <c r="V22" s="118">
        <f t="shared" si="8"/>
        <v>0.23051718293000001</v>
      </c>
      <c r="W22" s="118">
        <f t="shared" si="9"/>
        <v>0.21951443204599999</v>
      </c>
      <c r="X22" s="118">
        <f t="shared" si="10"/>
        <v>0.21779615716100001</v>
      </c>
      <c r="Y22" s="118">
        <f t="shared" si="11"/>
        <v>9.9028334041036684E-2</v>
      </c>
      <c r="Z22">
        <f t="shared" si="12"/>
        <v>0.05</v>
      </c>
      <c r="AB22">
        <f t="shared" si="13"/>
        <v>3</v>
      </c>
      <c r="AC22">
        <f t="shared" si="14"/>
        <v>3</v>
      </c>
      <c r="AD22">
        <f t="shared" si="15"/>
        <v>3</v>
      </c>
      <c r="AE22">
        <f t="shared" si="0"/>
        <v>3</v>
      </c>
      <c r="AF22">
        <f t="shared" si="1"/>
        <v>3</v>
      </c>
      <c r="AG22">
        <f t="shared" si="2"/>
        <v>1</v>
      </c>
      <c r="AI22" s="97">
        <f>'Decline and Model'!E24</f>
        <v>43282</v>
      </c>
      <c r="AJ22" s="106">
        <f>'Decline and Model'!AC24</f>
        <v>72.7</v>
      </c>
      <c r="AK22" s="107">
        <f>'Decline and Model'!AD24</f>
        <v>11.8</v>
      </c>
      <c r="AL22" s="107">
        <f>'Decline and Model'!AE24</f>
        <v>23.7</v>
      </c>
      <c r="AM22" s="107">
        <f>'Decline and Model'!AF24</f>
        <v>75.8</v>
      </c>
      <c r="AN22" s="107">
        <f>'Decline and Model'!AG24</f>
        <v>47.9</v>
      </c>
      <c r="AO22" s="107">
        <f>'Decline and Model'!AH24</f>
        <v>0.77500000000000002</v>
      </c>
      <c r="AP22" s="107">
        <f>'Decline and Model'!AI24</f>
        <v>3.15</v>
      </c>
      <c r="AQ22" s="108">
        <f>'Decline and Model'!AJ24</f>
        <v>3.15</v>
      </c>
      <c r="AR22" s="4">
        <f t="shared" si="3"/>
        <v>149.06849700000001</v>
      </c>
      <c r="AS22" s="4">
        <f t="shared" si="4"/>
        <v>301.28189900000001</v>
      </c>
      <c r="AT22" s="4">
        <f t="shared" si="5"/>
        <v>476.76759799999996</v>
      </c>
      <c r="AU22" s="4">
        <f t="shared" si="6"/>
        <v>457.26918700000004</v>
      </c>
    </row>
    <row r="23" spans="2:47">
      <c r="D23" s="110"/>
      <c r="E23" s="110" t="s">
        <v>166</v>
      </c>
      <c r="F23" s="110"/>
      <c r="G23" s="110"/>
      <c r="H23" s="110"/>
      <c r="I23" s="121"/>
      <c r="J23" s="121" t="s">
        <v>32</v>
      </c>
      <c r="K23" s="121"/>
      <c r="L23" s="122"/>
      <c r="M23" s="122" t="s">
        <v>57</v>
      </c>
      <c r="N23" s="122"/>
      <c r="O23" s="109"/>
      <c r="P23" s="109" t="s">
        <v>193</v>
      </c>
      <c r="Q23" s="109"/>
      <c r="U23" s="118">
        <f t="shared" si="7"/>
        <v>0.23812156322</v>
      </c>
      <c r="V23" s="118">
        <f t="shared" si="8"/>
        <v>0.23051718293000001</v>
      </c>
      <c r="W23" s="118">
        <f t="shared" si="9"/>
        <v>0.21951443204599999</v>
      </c>
      <c r="X23" s="118">
        <f t="shared" si="10"/>
        <v>0.21779615716100001</v>
      </c>
      <c r="Y23" s="118">
        <f t="shared" si="11"/>
        <v>9.9028334041036684E-2</v>
      </c>
      <c r="Z23">
        <f t="shared" si="12"/>
        <v>0.05</v>
      </c>
      <c r="AB23">
        <f t="shared" si="13"/>
        <v>3</v>
      </c>
      <c r="AC23">
        <f t="shared" si="14"/>
        <v>3</v>
      </c>
      <c r="AD23">
        <f t="shared" si="15"/>
        <v>3</v>
      </c>
      <c r="AE23">
        <f t="shared" si="0"/>
        <v>3</v>
      </c>
      <c r="AF23">
        <f t="shared" si="1"/>
        <v>3</v>
      </c>
      <c r="AG23">
        <f t="shared" si="2"/>
        <v>1</v>
      </c>
      <c r="AI23" s="97">
        <f>'Decline and Model'!E25</f>
        <v>43313</v>
      </c>
      <c r="AJ23" s="106">
        <f>'Decline and Model'!AC25</f>
        <v>72.7</v>
      </c>
      <c r="AK23" s="107">
        <f>'Decline and Model'!AD25</f>
        <v>11.8</v>
      </c>
      <c r="AL23" s="107">
        <f>'Decline and Model'!AE25</f>
        <v>23.7</v>
      </c>
      <c r="AM23" s="107">
        <f>'Decline and Model'!AF25</f>
        <v>75.8</v>
      </c>
      <c r="AN23" s="107">
        <f>'Decline and Model'!AG25</f>
        <v>47.9</v>
      </c>
      <c r="AO23" s="107">
        <f>'Decline and Model'!AH25</f>
        <v>0.77500000000000002</v>
      </c>
      <c r="AP23" s="107">
        <f>'Decline and Model'!AI25</f>
        <v>3.15</v>
      </c>
      <c r="AQ23" s="108">
        <f>'Decline and Model'!AJ25</f>
        <v>3.15</v>
      </c>
      <c r="AR23" s="4">
        <f t="shared" si="3"/>
        <v>149.06849700000001</v>
      </c>
      <c r="AS23" s="4">
        <f t="shared" si="4"/>
        <v>301.28189900000001</v>
      </c>
      <c r="AT23" s="4">
        <f t="shared" si="5"/>
        <v>476.76759799999996</v>
      </c>
      <c r="AU23" s="4">
        <f t="shared" si="6"/>
        <v>457.26918700000004</v>
      </c>
    </row>
    <row r="24" spans="2:47">
      <c r="B24" t="s">
        <v>166</v>
      </c>
      <c r="D24" t="s">
        <v>167</v>
      </c>
      <c r="E24" t="s">
        <v>168</v>
      </c>
      <c r="F24" t="s">
        <v>170</v>
      </c>
      <c r="G24" t="s">
        <v>171</v>
      </c>
      <c r="H24" t="s">
        <v>173</v>
      </c>
      <c r="I24" t="s">
        <v>178</v>
      </c>
      <c r="J24" t="s">
        <v>183</v>
      </c>
      <c r="K24" t="s">
        <v>173</v>
      </c>
      <c r="L24" t="s">
        <v>178</v>
      </c>
      <c r="M24" t="s">
        <v>183</v>
      </c>
      <c r="N24" t="s">
        <v>173</v>
      </c>
      <c r="O24" t="s">
        <v>178</v>
      </c>
      <c r="P24" t="s">
        <v>183</v>
      </c>
      <c r="Q24" t="s">
        <v>173</v>
      </c>
      <c r="U24" s="118">
        <f t="shared" si="7"/>
        <v>0.23812156322</v>
      </c>
      <c r="V24" s="118">
        <f t="shared" si="8"/>
        <v>0.23051718293000001</v>
      </c>
      <c r="W24" s="118">
        <f t="shared" si="9"/>
        <v>0.21951443204599999</v>
      </c>
      <c r="X24" s="118">
        <f t="shared" si="10"/>
        <v>0.21779615716100001</v>
      </c>
      <c r="Y24" s="118">
        <f t="shared" si="11"/>
        <v>9.9028334041036684E-2</v>
      </c>
      <c r="Z24">
        <f t="shared" si="12"/>
        <v>0.05</v>
      </c>
      <c r="AB24">
        <f t="shared" si="13"/>
        <v>3</v>
      </c>
      <c r="AC24">
        <f t="shared" si="14"/>
        <v>3</v>
      </c>
      <c r="AD24">
        <f t="shared" si="15"/>
        <v>3</v>
      </c>
      <c r="AE24">
        <f t="shared" si="0"/>
        <v>3</v>
      </c>
      <c r="AF24">
        <f t="shared" si="1"/>
        <v>3</v>
      </c>
      <c r="AG24">
        <f t="shared" si="2"/>
        <v>1</v>
      </c>
      <c r="AI24" s="97">
        <f>'Decline and Model'!E26</f>
        <v>43344</v>
      </c>
      <c r="AJ24" s="106">
        <f>'Decline and Model'!AC26</f>
        <v>72.7</v>
      </c>
      <c r="AK24" s="107">
        <f>'Decline and Model'!AD26</f>
        <v>11.8</v>
      </c>
      <c r="AL24" s="107">
        <f>'Decline and Model'!AE26</f>
        <v>23.7</v>
      </c>
      <c r="AM24" s="107">
        <f>'Decline and Model'!AF26</f>
        <v>75.8</v>
      </c>
      <c r="AN24" s="107">
        <f>'Decline and Model'!AG26</f>
        <v>47.9</v>
      </c>
      <c r="AO24" s="107">
        <f>'Decline and Model'!AH26</f>
        <v>0.77500000000000002</v>
      </c>
      <c r="AP24" s="107">
        <f>'Decline and Model'!AI26</f>
        <v>3.15</v>
      </c>
      <c r="AQ24" s="108">
        <f>'Decline and Model'!AJ26</f>
        <v>3.15</v>
      </c>
      <c r="AR24" s="4">
        <f t="shared" si="3"/>
        <v>149.06849700000001</v>
      </c>
      <c r="AS24" s="4">
        <f t="shared" si="4"/>
        <v>301.28189900000001</v>
      </c>
      <c r="AT24" s="4">
        <f t="shared" si="5"/>
        <v>476.76759799999996</v>
      </c>
      <c r="AU24" s="4">
        <f t="shared" si="6"/>
        <v>457.26918700000004</v>
      </c>
    </row>
    <row r="25" spans="2:47">
      <c r="B25">
        <v>1</v>
      </c>
      <c r="C25" t="s">
        <v>172</v>
      </c>
      <c r="D25">
        <v>0</v>
      </c>
      <c r="E25">
        <v>0</v>
      </c>
      <c r="F25">
        <v>0</v>
      </c>
      <c r="G25">
        <v>0</v>
      </c>
      <c r="H25">
        <v>0.05</v>
      </c>
      <c r="I25">
        <v>0</v>
      </c>
      <c r="J25">
        <v>0</v>
      </c>
      <c r="K25">
        <v>0.1</v>
      </c>
      <c r="L25">
        <v>0</v>
      </c>
      <c r="M25" s="10">
        <v>0</v>
      </c>
      <c r="N25">
        <v>0.1</v>
      </c>
      <c r="O25">
        <v>0</v>
      </c>
      <c r="P25">
        <v>0</v>
      </c>
      <c r="Q25">
        <v>0.1</v>
      </c>
      <c r="U25" s="118">
        <f t="shared" si="7"/>
        <v>0.23812156322</v>
      </c>
      <c r="V25" s="118">
        <f t="shared" si="8"/>
        <v>0.23051718293000001</v>
      </c>
      <c r="W25" s="118">
        <f t="shared" si="9"/>
        <v>0.21951443204599999</v>
      </c>
      <c r="X25" s="118">
        <f t="shared" si="10"/>
        <v>0.21779615716100001</v>
      </c>
      <c r="Y25" s="118">
        <f t="shared" si="11"/>
        <v>9.9028334041036684E-2</v>
      </c>
      <c r="Z25">
        <f t="shared" si="12"/>
        <v>0.05</v>
      </c>
      <c r="AB25">
        <f t="shared" si="13"/>
        <v>3</v>
      </c>
      <c r="AC25">
        <f t="shared" si="14"/>
        <v>3</v>
      </c>
      <c r="AD25">
        <f t="shared" si="15"/>
        <v>3</v>
      </c>
      <c r="AE25">
        <f t="shared" si="0"/>
        <v>3</v>
      </c>
      <c r="AF25">
        <f t="shared" si="1"/>
        <v>3</v>
      </c>
      <c r="AG25">
        <f t="shared" si="2"/>
        <v>1</v>
      </c>
      <c r="AI25" s="97">
        <f>'Decline and Model'!E27</f>
        <v>43374</v>
      </c>
      <c r="AJ25" s="106">
        <f>'Decline and Model'!AC27</f>
        <v>72.7</v>
      </c>
      <c r="AK25" s="107">
        <f>'Decline and Model'!AD27</f>
        <v>11.8</v>
      </c>
      <c r="AL25" s="107">
        <f>'Decline and Model'!AE27</f>
        <v>23.7</v>
      </c>
      <c r="AM25" s="107">
        <f>'Decline and Model'!AF27</f>
        <v>75.8</v>
      </c>
      <c r="AN25" s="107">
        <f>'Decline and Model'!AG27</f>
        <v>47.9</v>
      </c>
      <c r="AO25" s="107">
        <f>'Decline and Model'!AH27</f>
        <v>0.77500000000000002</v>
      </c>
      <c r="AP25" s="107">
        <f>'Decline and Model'!AI27</f>
        <v>3.15</v>
      </c>
      <c r="AQ25" s="108">
        <f>'Decline and Model'!AJ27</f>
        <v>3.15</v>
      </c>
      <c r="AR25" s="4">
        <f t="shared" si="3"/>
        <v>149.06849700000001</v>
      </c>
      <c r="AS25" s="4">
        <f t="shared" si="4"/>
        <v>301.28189900000001</v>
      </c>
      <c r="AT25" s="4">
        <f t="shared" si="5"/>
        <v>476.76759799999996</v>
      </c>
      <c r="AU25" s="4">
        <f t="shared" si="6"/>
        <v>457.26918700000004</v>
      </c>
    </row>
    <row r="26" spans="2:47">
      <c r="B26">
        <v>2</v>
      </c>
      <c r="C26" t="s">
        <v>163</v>
      </c>
      <c r="D26">
        <v>2.4</v>
      </c>
      <c r="E26" s="4">
        <f>D26/$C$17*$C$19</f>
        <v>2.2747607709922506</v>
      </c>
      <c r="F26" s="4">
        <f>E26*$C$18</f>
        <v>22.823284568973779</v>
      </c>
      <c r="G26" s="1">
        <v>0.06</v>
      </c>
      <c r="H26">
        <v>0.05</v>
      </c>
      <c r="I26">
        <v>88.1</v>
      </c>
      <c r="J26">
        <v>2.0249999999999999E-3</v>
      </c>
      <c r="K26">
        <v>0.1</v>
      </c>
      <c r="L26">
        <v>176.19</v>
      </c>
      <c r="M26" s="10">
        <v>1.013E-3</v>
      </c>
      <c r="N26">
        <v>0.1</v>
      </c>
      <c r="O26">
        <v>251.7</v>
      </c>
      <c r="P26" s="10">
        <v>7.1000000000000002E-4</v>
      </c>
      <c r="Q26">
        <v>0.1</v>
      </c>
      <c r="U26" s="118">
        <f t="shared" si="7"/>
        <v>0.23812156322</v>
      </c>
      <c r="V26" s="118">
        <f t="shared" si="8"/>
        <v>0.23051718293000001</v>
      </c>
      <c r="W26" s="118">
        <f t="shared" si="9"/>
        <v>0.21951443204599999</v>
      </c>
      <c r="X26" s="118">
        <f t="shared" si="10"/>
        <v>0.21779615716100001</v>
      </c>
      <c r="Y26" s="118">
        <f t="shared" si="11"/>
        <v>9.9028334041036684E-2</v>
      </c>
      <c r="Z26">
        <f t="shared" si="12"/>
        <v>0.05</v>
      </c>
      <c r="AB26">
        <f t="shared" si="13"/>
        <v>3</v>
      </c>
      <c r="AC26">
        <f t="shared" si="14"/>
        <v>3</v>
      </c>
      <c r="AD26">
        <f t="shared" si="15"/>
        <v>3</v>
      </c>
      <c r="AE26">
        <f t="shared" si="0"/>
        <v>3</v>
      </c>
      <c r="AF26">
        <f t="shared" si="1"/>
        <v>3</v>
      </c>
      <c r="AG26">
        <f t="shared" si="2"/>
        <v>1</v>
      </c>
      <c r="AI26" s="97">
        <f>'Decline and Model'!E28</f>
        <v>43405</v>
      </c>
      <c r="AJ26" s="106">
        <f>'Decline and Model'!AC28</f>
        <v>72.7</v>
      </c>
      <c r="AK26" s="107">
        <f>'Decline and Model'!AD28</f>
        <v>11.8</v>
      </c>
      <c r="AL26" s="107">
        <f>'Decline and Model'!AE28</f>
        <v>23.7</v>
      </c>
      <c r="AM26" s="107">
        <f>'Decline and Model'!AF28</f>
        <v>75.8</v>
      </c>
      <c r="AN26" s="107">
        <f>'Decline and Model'!AG28</f>
        <v>47.9</v>
      </c>
      <c r="AO26" s="107">
        <f>'Decline and Model'!AH28</f>
        <v>0.77500000000000002</v>
      </c>
      <c r="AP26" s="107">
        <f>'Decline and Model'!AI28</f>
        <v>3.15</v>
      </c>
      <c r="AQ26" s="108">
        <f>'Decline and Model'!AJ28</f>
        <v>3.15</v>
      </c>
      <c r="AR26" s="4">
        <f t="shared" si="3"/>
        <v>149.06849700000001</v>
      </c>
      <c r="AS26" s="4">
        <f t="shared" si="4"/>
        <v>301.28189900000001</v>
      </c>
      <c r="AT26" s="4">
        <f t="shared" si="5"/>
        <v>476.76759799999996</v>
      </c>
      <c r="AU26" s="4">
        <f t="shared" si="6"/>
        <v>457.26918700000004</v>
      </c>
    </row>
    <row r="27" spans="2:47">
      <c r="B27">
        <v>3</v>
      </c>
      <c r="C27" t="s">
        <v>164</v>
      </c>
      <c r="D27">
        <v>3</v>
      </c>
      <c r="E27" s="4">
        <f>D27/$C$17*$C$19</f>
        <v>2.8434509637403131</v>
      </c>
      <c r="F27" s="4">
        <f>E27*$C$18</f>
        <v>28.529105711217223</v>
      </c>
      <c r="G27" s="10">
        <v>4.2500000000000003E-2</v>
      </c>
      <c r="H27">
        <v>8.5999999999999993E-2</v>
      </c>
      <c r="I27">
        <v>143.16</v>
      </c>
      <c r="J27">
        <v>1.1130000000000001E-3</v>
      </c>
      <c r="K27">
        <v>0.21121999999999999</v>
      </c>
      <c r="L27">
        <v>286.31</v>
      </c>
      <c r="M27" s="10">
        <v>5.5400000000000002E-4</v>
      </c>
      <c r="N27">
        <v>0.21121999999999999</v>
      </c>
      <c r="O27">
        <v>409.02</v>
      </c>
      <c r="P27" s="10">
        <v>3.8999999999999999E-4</v>
      </c>
      <c r="Q27">
        <v>0.2117</v>
      </c>
      <c r="U27" s="118">
        <f t="shared" si="7"/>
        <v>0.23812156322</v>
      </c>
      <c r="V27" s="118">
        <f t="shared" si="8"/>
        <v>0.23051718293000001</v>
      </c>
      <c r="W27" s="118">
        <f t="shared" si="9"/>
        <v>0.21951443204599999</v>
      </c>
      <c r="X27" s="118">
        <f t="shared" si="10"/>
        <v>0.21779615716100001</v>
      </c>
      <c r="Y27" s="118">
        <f t="shared" si="11"/>
        <v>9.9028334041036684E-2</v>
      </c>
      <c r="Z27">
        <f t="shared" si="12"/>
        <v>0.05</v>
      </c>
      <c r="AB27">
        <f t="shared" si="13"/>
        <v>3</v>
      </c>
      <c r="AC27">
        <f t="shared" si="14"/>
        <v>3</v>
      </c>
      <c r="AD27">
        <f t="shared" si="15"/>
        <v>3</v>
      </c>
      <c r="AE27">
        <f t="shared" si="0"/>
        <v>3</v>
      </c>
      <c r="AF27">
        <f t="shared" si="1"/>
        <v>3</v>
      </c>
      <c r="AG27">
        <f t="shared" si="2"/>
        <v>1</v>
      </c>
      <c r="AI27" s="97">
        <f>'Decline and Model'!E29</f>
        <v>43435</v>
      </c>
      <c r="AJ27" s="106">
        <f>'Decline and Model'!AC29</f>
        <v>72.7</v>
      </c>
      <c r="AK27" s="107">
        <f>'Decline and Model'!AD29</f>
        <v>11.8</v>
      </c>
      <c r="AL27" s="107">
        <f>'Decline and Model'!AE29</f>
        <v>23.7</v>
      </c>
      <c r="AM27" s="107">
        <f>'Decline and Model'!AF29</f>
        <v>75.8</v>
      </c>
      <c r="AN27" s="107">
        <f>'Decline and Model'!AG29</f>
        <v>47.9</v>
      </c>
      <c r="AO27" s="107">
        <f>'Decline and Model'!AH29</f>
        <v>0.77500000000000002</v>
      </c>
      <c r="AP27" s="107">
        <f>'Decline and Model'!AI29</f>
        <v>3.15</v>
      </c>
      <c r="AQ27" s="108">
        <f>'Decline and Model'!AJ29</f>
        <v>3.15</v>
      </c>
      <c r="AR27" s="4">
        <f t="shared" si="3"/>
        <v>149.06849700000001</v>
      </c>
      <c r="AS27" s="4">
        <f t="shared" si="4"/>
        <v>301.28189900000001</v>
      </c>
      <c r="AT27" s="4">
        <f t="shared" si="5"/>
        <v>476.76759799999996</v>
      </c>
      <c r="AU27" s="4">
        <f t="shared" si="6"/>
        <v>457.26918700000004</v>
      </c>
    </row>
    <row r="28" spans="2:47">
      <c r="B28">
        <v>4</v>
      </c>
      <c r="C28" t="s">
        <v>165</v>
      </c>
      <c r="D28">
        <v>6.75</v>
      </c>
      <c r="E28" s="4">
        <f>D28/$C$17*$C$19</f>
        <v>6.3977646684157046</v>
      </c>
      <c r="F28" s="4">
        <f>E28*$C$18</f>
        <v>64.190487850238753</v>
      </c>
      <c r="G28" s="10">
        <v>2.2499999999999999E-2</v>
      </c>
      <c r="H28">
        <v>0.24537999999999999</v>
      </c>
      <c r="I28">
        <v>253.28</v>
      </c>
      <c r="J28">
        <v>5.9000000000000003E-4</v>
      </c>
      <c r="K28">
        <v>0.33346999999999999</v>
      </c>
      <c r="L28">
        <v>506.55</v>
      </c>
      <c r="M28" s="10">
        <v>3.1300000000000002E-4</v>
      </c>
      <c r="N28">
        <v>0.33234999999999998</v>
      </c>
      <c r="O28">
        <v>723.64</v>
      </c>
      <c r="P28" s="10">
        <v>2.0000000000000001E-4</v>
      </c>
      <c r="Q28">
        <v>0.33439999999999998</v>
      </c>
      <c r="U28" s="118">
        <f t="shared" si="7"/>
        <v>0.24499003574</v>
      </c>
      <c r="V28" s="118">
        <f t="shared" si="8"/>
        <v>0.23738565545000001</v>
      </c>
      <c r="W28" s="118">
        <f t="shared" si="9"/>
        <v>0.22613508605199997</v>
      </c>
      <c r="X28" s="118">
        <f t="shared" si="10"/>
        <v>0.23529755348600001</v>
      </c>
      <c r="Y28" s="118">
        <f t="shared" si="11"/>
        <v>0.10540333404103668</v>
      </c>
      <c r="Z28">
        <f t="shared" si="12"/>
        <v>0.05</v>
      </c>
      <c r="AB28">
        <f t="shared" si="13"/>
        <v>3</v>
      </c>
      <c r="AC28">
        <f t="shared" si="14"/>
        <v>3</v>
      </c>
      <c r="AD28">
        <f t="shared" si="15"/>
        <v>3</v>
      </c>
      <c r="AE28">
        <f t="shared" si="0"/>
        <v>3</v>
      </c>
      <c r="AF28">
        <f t="shared" si="1"/>
        <v>3</v>
      </c>
      <c r="AG28">
        <f t="shared" si="2"/>
        <v>1</v>
      </c>
      <c r="AI28" s="97">
        <f>'Decline and Model'!E30</f>
        <v>43466</v>
      </c>
      <c r="AJ28" s="106">
        <f>'Decline and Model'!AC30</f>
        <v>75.5</v>
      </c>
      <c r="AK28" s="107">
        <f>'Decline and Model'!AD30</f>
        <v>12.4</v>
      </c>
      <c r="AL28" s="107">
        <f>'Decline and Model'!AE30</f>
        <v>26.2</v>
      </c>
      <c r="AM28" s="107">
        <f>'Decline and Model'!AF30</f>
        <v>78.599999999999994</v>
      </c>
      <c r="AN28" s="107">
        <f>'Decline and Model'!AG30</f>
        <v>49.8</v>
      </c>
      <c r="AO28" s="107">
        <f>'Decline and Model'!AH30</f>
        <v>0.8</v>
      </c>
      <c r="AP28" s="107">
        <f>'Decline and Model'!AI30</f>
        <v>3.3</v>
      </c>
      <c r="AQ28" s="108">
        <f>'Decline and Model'!AJ30</f>
        <v>3.3</v>
      </c>
      <c r="AR28" s="4">
        <f t="shared" si="3"/>
        <v>164.79302200000001</v>
      </c>
      <c r="AS28" s="4">
        <f t="shared" si="4"/>
        <v>313.23253799999998</v>
      </c>
      <c r="AT28" s="4">
        <f t="shared" si="5"/>
        <v>494.37906599999997</v>
      </c>
      <c r="AU28" s="4">
        <f t="shared" si="6"/>
        <v>474.88065499999999</v>
      </c>
    </row>
    <row r="29" spans="2:47">
      <c r="B29" t="s">
        <v>174</v>
      </c>
      <c r="C29">
        <v>0.36</v>
      </c>
      <c r="E29" s="4"/>
      <c r="F29" s="4"/>
      <c r="O29">
        <v>0.4</v>
      </c>
      <c r="U29" s="118">
        <f t="shared" si="7"/>
        <v>0.24499003574</v>
      </c>
      <c r="V29" s="118">
        <f t="shared" si="8"/>
        <v>0.23738565545000001</v>
      </c>
      <c r="W29" s="118">
        <f t="shared" si="9"/>
        <v>0.22613508605199997</v>
      </c>
      <c r="X29" s="118">
        <f t="shared" si="10"/>
        <v>0.23529755348600001</v>
      </c>
      <c r="Y29" s="118">
        <f t="shared" si="11"/>
        <v>0.10540333404103668</v>
      </c>
      <c r="Z29">
        <f t="shared" si="12"/>
        <v>0.05</v>
      </c>
      <c r="AB29">
        <f t="shared" si="13"/>
        <v>3</v>
      </c>
      <c r="AC29">
        <f t="shared" si="14"/>
        <v>3</v>
      </c>
      <c r="AD29">
        <f t="shared" si="15"/>
        <v>3</v>
      </c>
      <c r="AE29">
        <f t="shared" si="0"/>
        <v>3</v>
      </c>
      <c r="AF29">
        <f t="shared" si="1"/>
        <v>3</v>
      </c>
      <c r="AG29">
        <f t="shared" si="2"/>
        <v>1</v>
      </c>
      <c r="AI29" s="97">
        <f>'Decline and Model'!E31</f>
        <v>43497</v>
      </c>
      <c r="AJ29" s="106">
        <f>'Decline and Model'!AC31</f>
        <v>75.5</v>
      </c>
      <c r="AK29" s="107">
        <f>'Decline and Model'!AD31</f>
        <v>12.4</v>
      </c>
      <c r="AL29" s="107">
        <f>'Decline and Model'!AE31</f>
        <v>26.2</v>
      </c>
      <c r="AM29" s="107">
        <f>'Decline and Model'!AF31</f>
        <v>78.599999999999994</v>
      </c>
      <c r="AN29" s="107">
        <f>'Decline and Model'!AG31</f>
        <v>49.8</v>
      </c>
      <c r="AO29" s="107">
        <f>'Decline and Model'!AH31</f>
        <v>0.8</v>
      </c>
      <c r="AP29" s="107">
        <f>'Decline and Model'!AI31</f>
        <v>3.3</v>
      </c>
      <c r="AQ29" s="108">
        <f>'Decline and Model'!AJ31</f>
        <v>3.3</v>
      </c>
      <c r="AR29" s="4">
        <f t="shared" si="3"/>
        <v>164.79302200000001</v>
      </c>
      <c r="AS29" s="4">
        <f t="shared" si="4"/>
        <v>313.23253799999998</v>
      </c>
      <c r="AT29" s="4">
        <f t="shared" si="5"/>
        <v>494.37906599999997</v>
      </c>
      <c r="AU29" s="4">
        <f t="shared" si="6"/>
        <v>474.88065499999999</v>
      </c>
    </row>
    <row r="30" spans="2:47">
      <c r="U30" s="118">
        <f t="shared" si="7"/>
        <v>0.24499003574</v>
      </c>
      <c r="V30" s="118">
        <f t="shared" si="8"/>
        <v>0.23738565545000001</v>
      </c>
      <c r="W30" s="118">
        <f t="shared" si="9"/>
        <v>0.22613508605199997</v>
      </c>
      <c r="X30" s="118">
        <f t="shared" si="10"/>
        <v>0.23529755348600001</v>
      </c>
      <c r="Y30" s="118">
        <f t="shared" si="11"/>
        <v>0.10540333404103668</v>
      </c>
      <c r="Z30">
        <f t="shared" si="12"/>
        <v>0.05</v>
      </c>
      <c r="AB30">
        <f t="shared" si="13"/>
        <v>3</v>
      </c>
      <c r="AC30">
        <f t="shared" si="14"/>
        <v>3</v>
      </c>
      <c r="AD30">
        <f t="shared" si="15"/>
        <v>3</v>
      </c>
      <c r="AE30">
        <f t="shared" si="0"/>
        <v>3</v>
      </c>
      <c r="AF30">
        <f t="shared" si="1"/>
        <v>3</v>
      </c>
      <c r="AG30">
        <f t="shared" si="2"/>
        <v>1</v>
      </c>
      <c r="AI30" s="97">
        <f>'Decline and Model'!E32</f>
        <v>43525</v>
      </c>
      <c r="AJ30" s="106">
        <f>'Decline and Model'!AC32</f>
        <v>75.5</v>
      </c>
      <c r="AK30" s="107">
        <f>'Decline and Model'!AD32</f>
        <v>12.4</v>
      </c>
      <c r="AL30" s="107">
        <f>'Decline and Model'!AE32</f>
        <v>26.2</v>
      </c>
      <c r="AM30" s="107">
        <f>'Decline and Model'!AF32</f>
        <v>78.599999999999994</v>
      </c>
      <c r="AN30" s="107">
        <f>'Decline and Model'!AG32</f>
        <v>49.8</v>
      </c>
      <c r="AO30" s="107">
        <f>'Decline and Model'!AH32</f>
        <v>0.8</v>
      </c>
      <c r="AP30" s="107">
        <f>'Decline and Model'!AI32</f>
        <v>3.3</v>
      </c>
      <c r="AQ30" s="108">
        <f>'Decline and Model'!AJ32</f>
        <v>3.3</v>
      </c>
      <c r="AR30" s="4">
        <f t="shared" si="3"/>
        <v>164.79302200000001</v>
      </c>
      <c r="AS30" s="4">
        <f t="shared" si="4"/>
        <v>313.23253799999998</v>
      </c>
      <c r="AT30" s="4">
        <f t="shared" si="5"/>
        <v>494.37906599999997</v>
      </c>
      <c r="AU30" s="4">
        <f t="shared" si="6"/>
        <v>474.88065499999999</v>
      </c>
    </row>
    <row r="31" spans="2:47">
      <c r="U31" s="118">
        <f t="shared" si="7"/>
        <v>0.24499003574</v>
      </c>
      <c r="V31" s="118">
        <f t="shared" si="8"/>
        <v>0.23738565545000001</v>
      </c>
      <c r="W31" s="118">
        <f t="shared" si="9"/>
        <v>0.22613508605199997</v>
      </c>
      <c r="X31" s="118">
        <f t="shared" si="10"/>
        <v>0.23529755348600001</v>
      </c>
      <c r="Y31" s="118">
        <f t="shared" si="11"/>
        <v>0.10540333404103668</v>
      </c>
      <c r="Z31">
        <f t="shared" si="12"/>
        <v>0.05</v>
      </c>
      <c r="AB31">
        <f t="shared" si="13"/>
        <v>3</v>
      </c>
      <c r="AC31">
        <f t="shared" si="14"/>
        <v>3</v>
      </c>
      <c r="AD31">
        <f t="shared" si="15"/>
        <v>3</v>
      </c>
      <c r="AE31">
        <f t="shared" si="0"/>
        <v>3</v>
      </c>
      <c r="AF31">
        <f t="shared" si="1"/>
        <v>3</v>
      </c>
      <c r="AG31">
        <f t="shared" si="2"/>
        <v>1</v>
      </c>
      <c r="AI31" s="97">
        <f>'Decline and Model'!E33</f>
        <v>43556</v>
      </c>
      <c r="AJ31" s="106">
        <f>'Decline and Model'!AC33</f>
        <v>75.5</v>
      </c>
      <c r="AK31" s="107">
        <f>'Decline and Model'!AD33</f>
        <v>12.4</v>
      </c>
      <c r="AL31" s="107">
        <f>'Decline and Model'!AE33</f>
        <v>26.2</v>
      </c>
      <c r="AM31" s="107">
        <f>'Decline and Model'!AF33</f>
        <v>78.599999999999994</v>
      </c>
      <c r="AN31" s="107">
        <f>'Decline and Model'!AG33</f>
        <v>49.8</v>
      </c>
      <c r="AO31" s="107">
        <f>'Decline and Model'!AH33</f>
        <v>0.8</v>
      </c>
      <c r="AP31" s="107">
        <f>'Decline and Model'!AI33</f>
        <v>3.3</v>
      </c>
      <c r="AQ31" s="108">
        <f>'Decline and Model'!AJ33</f>
        <v>3.3</v>
      </c>
      <c r="AR31" s="4">
        <f t="shared" si="3"/>
        <v>164.79302200000001</v>
      </c>
      <c r="AS31" s="4">
        <f t="shared" si="4"/>
        <v>313.23253799999998</v>
      </c>
      <c r="AT31" s="4">
        <f t="shared" si="5"/>
        <v>494.37906599999997</v>
      </c>
      <c r="AU31" s="4">
        <f t="shared" si="6"/>
        <v>474.88065499999999</v>
      </c>
    </row>
    <row r="32" spans="2:47">
      <c r="U32" s="118">
        <f t="shared" si="7"/>
        <v>0.24499003574</v>
      </c>
      <c r="V32" s="118">
        <f t="shared" si="8"/>
        <v>0.23738565545000001</v>
      </c>
      <c r="W32" s="118">
        <f t="shared" si="9"/>
        <v>0.22613508605199997</v>
      </c>
      <c r="X32" s="118">
        <f t="shared" si="10"/>
        <v>0.23529755348600001</v>
      </c>
      <c r="Y32" s="118">
        <f t="shared" si="11"/>
        <v>0.10540333404103668</v>
      </c>
      <c r="Z32">
        <f t="shared" si="12"/>
        <v>0.05</v>
      </c>
      <c r="AB32">
        <f t="shared" si="13"/>
        <v>3</v>
      </c>
      <c r="AC32">
        <f t="shared" si="14"/>
        <v>3</v>
      </c>
      <c r="AD32">
        <f t="shared" si="15"/>
        <v>3</v>
      </c>
      <c r="AE32">
        <f t="shared" si="0"/>
        <v>3</v>
      </c>
      <c r="AF32">
        <f t="shared" si="1"/>
        <v>3</v>
      </c>
      <c r="AG32">
        <f t="shared" si="2"/>
        <v>1</v>
      </c>
      <c r="AI32" s="97">
        <f>'Decline and Model'!E34</f>
        <v>43586</v>
      </c>
      <c r="AJ32" s="106">
        <f>'Decline and Model'!AC34</f>
        <v>75.5</v>
      </c>
      <c r="AK32" s="107">
        <f>'Decline and Model'!AD34</f>
        <v>12.4</v>
      </c>
      <c r="AL32" s="107">
        <f>'Decline and Model'!AE34</f>
        <v>26.2</v>
      </c>
      <c r="AM32" s="107">
        <f>'Decline and Model'!AF34</f>
        <v>78.599999999999994</v>
      </c>
      <c r="AN32" s="107">
        <f>'Decline and Model'!AG34</f>
        <v>49.8</v>
      </c>
      <c r="AO32" s="107">
        <f>'Decline and Model'!AH34</f>
        <v>0.8</v>
      </c>
      <c r="AP32" s="107">
        <f>'Decline and Model'!AI34</f>
        <v>3.3</v>
      </c>
      <c r="AQ32" s="108">
        <f>'Decline and Model'!AJ34</f>
        <v>3.3</v>
      </c>
      <c r="AR32" s="4">
        <f t="shared" si="3"/>
        <v>164.79302200000001</v>
      </c>
      <c r="AS32" s="4">
        <f t="shared" si="4"/>
        <v>313.23253799999998</v>
      </c>
      <c r="AT32" s="4">
        <f t="shared" si="5"/>
        <v>494.37906599999997</v>
      </c>
      <c r="AU32" s="4">
        <f t="shared" si="6"/>
        <v>474.88065499999999</v>
      </c>
    </row>
    <row r="33" spans="21:47">
      <c r="U33" s="118">
        <f t="shared" si="7"/>
        <v>0.24499003574</v>
      </c>
      <c r="V33" s="118">
        <f t="shared" si="8"/>
        <v>0.23738565545000001</v>
      </c>
      <c r="W33" s="118">
        <f t="shared" si="9"/>
        <v>0.22613508605199997</v>
      </c>
      <c r="X33" s="118">
        <f t="shared" si="10"/>
        <v>0.23529755348600001</v>
      </c>
      <c r="Y33" s="118">
        <f t="shared" si="11"/>
        <v>0.10540333404103668</v>
      </c>
      <c r="Z33">
        <f t="shared" si="12"/>
        <v>0.05</v>
      </c>
      <c r="AB33">
        <f t="shared" si="13"/>
        <v>3</v>
      </c>
      <c r="AC33">
        <f t="shared" si="14"/>
        <v>3</v>
      </c>
      <c r="AD33">
        <f t="shared" si="15"/>
        <v>3</v>
      </c>
      <c r="AE33">
        <f t="shared" si="0"/>
        <v>3</v>
      </c>
      <c r="AF33">
        <f t="shared" si="1"/>
        <v>3</v>
      </c>
      <c r="AG33">
        <f t="shared" si="2"/>
        <v>1</v>
      </c>
      <c r="AI33" s="97">
        <f>'Decline and Model'!E35</f>
        <v>43617</v>
      </c>
      <c r="AJ33" s="106">
        <f>'Decline and Model'!AC35</f>
        <v>75.5</v>
      </c>
      <c r="AK33" s="107">
        <f>'Decline and Model'!AD35</f>
        <v>12.4</v>
      </c>
      <c r="AL33" s="107">
        <f>'Decline and Model'!AE35</f>
        <v>26.2</v>
      </c>
      <c r="AM33" s="107">
        <f>'Decline and Model'!AF35</f>
        <v>78.599999999999994</v>
      </c>
      <c r="AN33" s="107">
        <f>'Decline and Model'!AG35</f>
        <v>49.8</v>
      </c>
      <c r="AO33" s="107">
        <f>'Decline and Model'!AH35</f>
        <v>0.8</v>
      </c>
      <c r="AP33" s="107">
        <f>'Decline and Model'!AI35</f>
        <v>3.3</v>
      </c>
      <c r="AQ33" s="108">
        <f>'Decline and Model'!AJ35</f>
        <v>3.3</v>
      </c>
      <c r="AR33" s="4">
        <f t="shared" si="3"/>
        <v>164.79302200000001</v>
      </c>
      <c r="AS33" s="4">
        <f t="shared" si="4"/>
        <v>313.23253799999998</v>
      </c>
      <c r="AT33" s="4">
        <f t="shared" si="5"/>
        <v>494.37906599999997</v>
      </c>
      <c r="AU33" s="4">
        <f t="shared" si="6"/>
        <v>474.88065499999999</v>
      </c>
    </row>
    <row r="34" spans="21:47">
      <c r="U34" s="118">
        <f t="shared" si="7"/>
        <v>0.24499003574</v>
      </c>
      <c r="V34" s="118">
        <f t="shared" si="8"/>
        <v>0.23738565545000001</v>
      </c>
      <c r="W34" s="118">
        <f t="shared" si="9"/>
        <v>0.22613508605199997</v>
      </c>
      <c r="X34" s="118">
        <f t="shared" si="10"/>
        <v>0.23529755348600001</v>
      </c>
      <c r="Y34" s="118">
        <f t="shared" si="11"/>
        <v>0.10540333404103668</v>
      </c>
      <c r="Z34">
        <f t="shared" si="12"/>
        <v>0.05</v>
      </c>
      <c r="AB34">
        <f t="shared" si="13"/>
        <v>3</v>
      </c>
      <c r="AC34">
        <f t="shared" si="14"/>
        <v>3</v>
      </c>
      <c r="AD34">
        <f t="shared" si="15"/>
        <v>3</v>
      </c>
      <c r="AE34">
        <f t="shared" si="0"/>
        <v>3</v>
      </c>
      <c r="AF34">
        <f t="shared" si="1"/>
        <v>3</v>
      </c>
      <c r="AG34">
        <f t="shared" si="2"/>
        <v>1</v>
      </c>
      <c r="AI34" s="97">
        <f>'Decline and Model'!E36</f>
        <v>43647</v>
      </c>
      <c r="AJ34" s="106">
        <f>'Decline and Model'!AC36</f>
        <v>75.5</v>
      </c>
      <c r="AK34" s="107">
        <f>'Decline and Model'!AD36</f>
        <v>12.4</v>
      </c>
      <c r="AL34" s="107">
        <f>'Decline and Model'!AE36</f>
        <v>26.2</v>
      </c>
      <c r="AM34" s="107">
        <f>'Decline and Model'!AF36</f>
        <v>78.599999999999994</v>
      </c>
      <c r="AN34" s="107">
        <f>'Decline and Model'!AG36</f>
        <v>49.8</v>
      </c>
      <c r="AO34" s="107">
        <f>'Decline and Model'!AH36</f>
        <v>0.8</v>
      </c>
      <c r="AP34" s="107">
        <f>'Decline and Model'!AI36</f>
        <v>3.3</v>
      </c>
      <c r="AQ34" s="108">
        <f>'Decline and Model'!AJ36</f>
        <v>3.3</v>
      </c>
      <c r="AR34" s="4">
        <f t="shared" si="3"/>
        <v>164.79302200000001</v>
      </c>
      <c r="AS34" s="4">
        <f t="shared" si="4"/>
        <v>313.23253799999998</v>
      </c>
      <c r="AT34" s="4">
        <f t="shared" si="5"/>
        <v>494.37906599999997</v>
      </c>
      <c r="AU34" s="4">
        <f t="shared" si="6"/>
        <v>474.88065499999999</v>
      </c>
    </row>
    <row r="35" spans="21:47">
      <c r="U35" s="118">
        <f t="shared" si="7"/>
        <v>0.24499003574</v>
      </c>
      <c r="V35" s="118">
        <f t="shared" si="8"/>
        <v>0.23738565545000001</v>
      </c>
      <c r="W35" s="118">
        <f t="shared" si="9"/>
        <v>0.22613508605199997</v>
      </c>
      <c r="X35" s="118">
        <f t="shared" si="10"/>
        <v>0.23529755348600001</v>
      </c>
      <c r="Y35" s="118">
        <f t="shared" si="11"/>
        <v>0.10540333404103668</v>
      </c>
      <c r="Z35">
        <f t="shared" si="12"/>
        <v>0.05</v>
      </c>
      <c r="AB35">
        <f t="shared" si="13"/>
        <v>3</v>
      </c>
      <c r="AC35">
        <f t="shared" si="14"/>
        <v>3</v>
      </c>
      <c r="AD35">
        <f t="shared" si="15"/>
        <v>3</v>
      </c>
      <c r="AE35">
        <f t="shared" si="0"/>
        <v>3</v>
      </c>
      <c r="AF35">
        <f t="shared" si="1"/>
        <v>3</v>
      </c>
      <c r="AG35">
        <f t="shared" si="2"/>
        <v>1</v>
      </c>
      <c r="AI35" s="97">
        <f>'Decline and Model'!E37</f>
        <v>43678</v>
      </c>
      <c r="AJ35" s="106">
        <f>'Decline and Model'!AC37</f>
        <v>75.5</v>
      </c>
      <c r="AK35" s="107">
        <f>'Decline and Model'!AD37</f>
        <v>12.4</v>
      </c>
      <c r="AL35" s="107">
        <f>'Decline and Model'!AE37</f>
        <v>26.2</v>
      </c>
      <c r="AM35" s="107">
        <f>'Decline and Model'!AF37</f>
        <v>78.599999999999994</v>
      </c>
      <c r="AN35" s="107">
        <f>'Decline and Model'!AG37</f>
        <v>49.8</v>
      </c>
      <c r="AO35" s="107">
        <f>'Decline and Model'!AH37</f>
        <v>0.8</v>
      </c>
      <c r="AP35" s="107">
        <f>'Decline and Model'!AI37</f>
        <v>3.3</v>
      </c>
      <c r="AQ35" s="108">
        <f>'Decline and Model'!AJ37</f>
        <v>3.3</v>
      </c>
      <c r="AR35" s="4">
        <f t="shared" si="3"/>
        <v>164.79302200000001</v>
      </c>
      <c r="AS35" s="4">
        <f t="shared" si="4"/>
        <v>313.23253799999998</v>
      </c>
      <c r="AT35" s="4">
        <f t="shared" si="5"/>
        <v>494.37906599999997</v>
      </c>
      <c r="AU35" s="4">
        <f t="shared" si="6"/>
        <v>474.88065499999999</v>
      </c>
    </row>
    <row r="36" spans="21:47">
      <c r="U36" s="118">
        <f t="shared" si="7"/>
        <v>0.24499003574</v>
      </c>
      <c r="V36" s="118">
        <f t="shared" si="8"/>
        <v>0.23738565545000001</v>
      </c>
      <c r="W36" s="118">
        <f t="shared" si="9"/>
        <v>0.22613508605199997</v>
      </c>
      <c r="X36" s="118">
        <f t="shared" si="10"/>
        <v>0.23529755348600001</v>
      </c>
      <c r="Y36" s="118">
        <f t="shared" si="11"/>
        <v>0.10540333404103668</v>
      </c>
      <c r="Z36">
        <f t="shared" si="12"/>
        <v>0.05</v>
      </c>
      <c r="AB36">
        <f t="shared" si="13"/>
        <v>3</v>
      </c>
      <c r="AC36">
        <f t="shared" si="14"/>
        <v>3</v>
      </c>
      <c r="AD36">
        <f t="shared" si="15"/>
        <v>3</v>
      </c>
      <c r="AE36">
        <f t="shared" si="0"/>
        <v>3</v>
      </c>
      <c r="AF36">
        <f t="shared" si="1"/>
        <v>3</v>
      </c>
      <c r="AG36">
        <f t="shared" si="2"/>
        <v>1</v>
      </c>
      <c r="AI36" s="97">
        <f>'Decline and Model'!E38</f>
        <v>43709</v>
      </c>
      <c r="AJ36" s="106">
        <f>'Decline and Model'!AC38</f>
        <v>75.5</v>
      </c>
      <c r="AK36" s="107">
        <f>'Decline and Model'!AD38</f>
        <v>12.4</v>
      </c>
      <c r="AL36" s="107">
        <f>'Decline and Model'!AE38</f>
        <v>26.2</v>
      </c>
      <c r="AM36" s="107">
        <f>'Decline and Model'!AF38</f>
        <v>78.599999999999994</v>
      </c>
      <c r="AN36" s="107">
        <f>'Decline and Model'!AG38</f>
        <v>49.8</v>
      </c>
      <c r="AO36" s="107">
        <f>'Decline and Model'!AH38</f>
        <v>0.8</v>
      </c>
      <c r="AP36" s="107">
        <f>'Decline and Model'!AI38</f>
        <v>3.3</v>
      </c>
      <c r="AQ36" s="108">
        <f>'Decline and Model'!AJ38</f>
        <v>3.3</v>
      </c>
      <c r="AR36" s="4">
        <f t="shared" si="3"/>
        <v>164.79302200000001</v>
      </c>
      <c r="AS36" s="4">
        <f t="shared" si="4"/>
        <v>313.23253799999998</v>
      </c>
      <c r="AT36" s="4">
        <f t="shared" si="5"/>
        <v>494.37906599999997</v>
      </c>
      <c r="AU36" s="4">
        <f t="shared" si="6"/>
        <v>474.88065499999999</v>
      </c>
    </row>
    <row r="37" spans="21:47">
      <c r="U37" s="118">
        <f t="shared" si="7"/>
        <v>0.24499003574</v>
      </c>
      <c r="V37" s="118">
        <f t="shared" si="8"/>
        <v>0.23738565545000001</v>
      </c>
      <c r="W37" s="118">
        <f t="shared" si="9"/>
        <v>0.22613508605199997</v>
      </c>
      <c r="X37" s="118">
        <f t="shared" si="10"/>
        <v>0.23529755348600001</v>
      </c>
      <c r="Y37" s="118">
        <f t="shared" si="11"/>
        <v>0.10540333404103668</v>
      </c>
      <c r="Z37">
        <f t="shared" si="12"/>
        <v>0.05</v>
      </c>
      <c r="AB37">
        <f t="shared" si="13"/>
        <v>3</v>
      </c>
      <c r="AC37">
        <f t="shared" si="14"/>
        <v>3</v>
      </c>
      <c r="AD37">
        <f t="shared" si="15"/>
        <v>3</v>
      </c>
      <c r="AE37">
        <f t="shared" si="0"/>
        <v>3</v>
      </c>
      <c r="AF37">
        <f t="shared" si="1"/>
        <v>3</v>
      </c>
      <c r="AG37">
        <f t="shared" si="2"/>
        <v>1</v>
      </c>
      <c r="AI37" s="97">
        <f>'Decline and Model'!E39</f>
        <v>43739</v>
      </c>
      <c r="AJ37" s="106">
        <f>'Decline and Model'!AC39</f>
        <v>75.5</v>
      </c>
      <c r="AK37" s="107">
        <f>'Decline and Model'!AD39</f>
        <v>12.4</v>
      </c>
      <c r="AL37" s="107">
        <f>'Decline and Model'!AE39</f>
        <v>26.2</v>
      </c>
      <c r="AM37" s="107">
        <f>'Decline and Model'!AF39</f>
        <v>78.599999999999994</v>
      </c>
      <c r="AN37" s="107">
        <f>'Decline and Model'!AG39</f>
        <v>49.8</v>
      </c>
      <c r="AO37" s="107">
        <f>'Decline and Model'!AH39</f>
        <v>0.8</v>
      </c>
      <c r="AP37" s="107">
        <f>'Decline and Model'!AI39</f>
        <v>3.3</v>
      </c>
      <c r="AQ37" s="108">
        <f>'Decline and Model'!AJ39</f>
        <v>3.3</v>
      </c>
      <c r="AR37" s="4">
        <f t="shared" si="3"/>
        <v>164.79302200000001</v>
      </c>
      <c r="AS37" s="4">
        <f t="shared" si="4"/>
        <v>313.23253799999998</v>
      </c>
      <c r="AT37" s="4">
        <f t="shared" si="5"/>
        <v>494.37906599999997</v>
      </c>
      <c r="AU37" s="4">
        <f t="shared" si="6"/>
        <v>474.88065499999999</v>
      </c>
    </row>
    <row r="38" spans="21:47">
      <c r="U38" s="118">
        <f t="shared" si="7"/>
        <v>0.24499003574</v>
      </c>
      <c r="V38" s="118">
        <f t="shared" si="8"/>
        <v>0.23738565545000001</v>
      </c>
      <c r="W38" s="118">
        <f t="shared" si="9"/>
        <v>0.22613508605199997</v>
      </c>
      <c r="X38" s="118">
        <f t="shared" si="10"/>
        <v>0.23529755348600001</v>
      </c>
      <c r="Y38" s="118">
        <f t="shared" si="11"/>
        <v>0.10540333404103668</v>
      </c>
      <c r="Z38">
        <f t="shared" si="12"/>
        <v>0.05</v>
      </c>
      <c r="AB38">
        <f t="shared" si="13"/>
        <v>3</v>
      </c>
      <c r="AC38">
        <f t="shared" si="14"/>
        <v>3</v>
      </c>
      <c r="AD38">
        <f t="shared" si="15"/>
        <v>3</v>
      </c>
      <c r="AE38">
        <f t="shared" si="0"/>
        <v>3</v>
      </c>
      <c r="AF38">
        <f t="shared" si="1"/>
        <v>3</v>
      </c>
      <c r="AG38">
        <f t="shared" si="2"/>
        <v>1</v>
      </c>
      <c r="AI38" s="97">
        <f>'Decline and Model'!E40</f>
        <v>43770</v>
      </c>
      <c r="AJ38" s="106">
        <f>'Decline and Model'!AC40</f>
        <v>75.5</v>
      </c>
      <c r="AK38" s="107">
        <f>'Decline and Model'!AD40</f>
        <v>12.4</v>
      </c>
      <c r="AL38" s="107">
        <f>'Decline and Model'!AE40</f>
        <v>26.2</v>
      </c>
      <c r="AM38" s="107">
        <f>'Decline and Model'!AF40</f>
        <v>78.599999999999994</v>
      </c>
      <c r="AN38" s="107">
        <f>'Decline and Model'!AG40</f>
        <v>49.8</v>
      </c>
      <c r="AO38" s="107">
        <f>'Decline and Model'!AH40</f>
        <v>0.8</v>
      </c>
      <c r="AP38" s="107">
        <f>'Decline and Model'!AI40</f>
        <v>3.3</v>
      </c>
      <c r="AQ38" s="108">
        <f>'Decline and Model'!AJ40</f>
        <v>3.3</v>
      </c>
      <c r="AR38" s="4">
        <f t="shared" si="3"/>
        <v>164.79302200000001</v>
      </c>
      <c r="AS38" s="4">
        <f t="shared" si="4"/>
        <v>313.23253799999998</v>
      </c>
      <c r="AT38" s="4">
        <f t="shared" si="5"/>
        <v>494.37906599999997</v>
      </c>
      <c r="AU38" s="4">
        <f t="shared" si="6"/>
        <v>474.88065499999999</v>
      </c>
    </row>
    <row r="39" spans="21:47">
      <c r="U39" s="118">
        <f t="shared" si="7"/>
        <v>0.24499003574</v>
      </c>
      <c r="V39" s="118">
        <f t="shared" si="8"/>
        <v>0.23738565545000001</v>
      </c>
      <c r="W39" s="118">
        <f t="shared" si="9"/>
        <v>0.22613508605199997</v>
      </c>
      <c r="X39" s="118">
        <f t="shared" si="10"/>
        <v>0.23529755348600001</v>
      </c>
      <c r="Y39" s="118">
        <f t="shared" si="11"/>
        <v>0.10540333404103668</v>
      </c>
      <c r="Z39">
        <f t="shared" si="12"/>
        <v>0.05</v>
      </c>
      <c r="AB39">
        <f t="shared" si="13"/>
        <v>3</v>
      </c>
      <c r="AC39">
        <f t="shared" si="14"/>
        <v>3</v>
      </c>
      <c r="AD39">
        <f t="shared" si="15"/>
        <v>3</v>
      </c>
      <c r="AE39">
        <f t="shared" si="0"/>
        <v>3</v>
      </c>
      <c r="AF39">
        <f t="shared" si="1"/>
        <v>3</v>
      </c>
      <c r="AG39">
        <f t="shared" si="2"/>
        <v>1</v>
      </c>
      <c r="AI39" s="97">
        <f>'Decline and Model'!E41</f>
        <v>43800</v>
      </c>
      <c r="AJ39" s="106">
        <f>'Decline and Model'!AC41</f>
        <v>75.5</v>
      </c>
      <c r="AK39" s="107">
        <f>'Decline and Model'!AD41</f>
        <v>12.4</v>
      </c>
      <c r="AL39" s="107">
        <f>'Decline and Model'!AE41</f>
        <v>26.2</v>
      </c>
      <c r="AM39" s="107">
        <f>'Decline and Model'!AF41</f>
        <v>78.599999999999994</v>
      </c>
      <c r="AN39" s="107">
        <f>'Decline and Model'!AG41</f>
        <v>49.8</v>
      </c>
      <c r="AO39" s="107">
        <f>'Decline and Model'!AH41</f>
        <v>0.8</v>
      </c>
      <c r="AP39" s="107">
        <f>'Decline and Model'!AI41</f>
        <v>3.3</v>
      </c>
      <c r="AQ39" s="108">
        <f>'Decline and Model'!AJ41</f>
        <v>3.3</v>
      </c>
      <c r="AR39" s="4">
        <f t="shared" si="3"/>
        <v>164.79302200000001</v>
      </c>
      <c r="AS39" s="4">
        <f t="shared" si="4"/>
        <v>313.23253799999998</v>
      </c>
      <c r="AT39" s="4">
        <f t="shared" si="5"/>
        <v>494.37906599999997</v>
      </c>
      <c r="AU39" s="4">
        <f t="shared" si="6"/>
        <v>474.88065499999999</v>
      </c>
    </row>
    <row r="40" spans="21:47">
      <c r="U40" s="118">
        <f t="shared" si="7"/>
        <v>0.25897228337</v>
      </c>
      <c r="V40" s="118">
        <f t="shared" si="8"/>
        <v>0.25112260049000001</v>
      </c>
      <c r="W40" s="118">
        <f t="shared" si="9"/>
        <v>0.24913314733599998</v>
      </c>
      <c r="X40" s="118">
        <f t="shared" si="10"/>
        <v>0.249998726399</v>
      </c>
      <c r="Y40" s="118">
        <f t="shared" si="11"/>
        <v>0.1181533340410367</v>
      </c>
      <c r="Z40">
        <f t="shared" si="12"/>
        <v>0.05</v>
      </c>
      <c r="AB40">
        <f t="shared" si="13"/>
        <v>3</v>
      </c>
      <c r="AC40">
        <f t="shared" si="14"/>
        <v>3</v>
      </c>
      <c r="AD40">
        <f t="shared" si="15"/>
        <v>3</v>
      </c>
      <c r="AE40">
        <f t="shared" si="0"/>
        <v>3</v>
      </c>
      <c r="AF40">
        <f t="shared" si="1"/>
        <v>3</v>
      </c>
      <c r="AG40">
        <f t="shared" si="2"/>
        <v>1</v>
      </c>
      <c r="AI40" s="97">
        <f>'Decline and Model'!E42</f>
        <v>43831</v>
      </c>
      <c r="AJ40" s="106">
        <f>'Decline and Model'!AC42</f>
        <v>81.099999999999994</v>
      </c>
      <c r="AK40" s="107">
        <f>'Decline and Model'!AD42</f>
        <v>13.6</v>
      </c>
      <c r="AL40" s="107">
        <f>'Decline and Model'!AE42</f>
        <v>28.3</v>
      </c>
      <c r="AM40" s="107">
        <f>'Decline and Model'!AF42</f>
        <v>84.3</v>
      </c>
      <c r="AN40" s="107">
        <f>'Decline and Model'!AG42</f>
        <v>56.4</v>
      </c>
      <c r="AO40" s="107">
        <f>'Decline and Model'!AH42</f>
        <v>0.82499999999999996</v>
      </c>
      <c r="AP40" s="107">
        <f>'Decline and Model'!AI42</f>
        <v>3.6</v>
      </c>
      <c r="AQ40" s="108">
        <f>'Decline and Model'!AJ42</f>
        <v>3.6</v>
      </c>
      <c r="AR40" s="4">
        <f t="shared" si="3"/>
        <v>178.001623</v>
      </c>
      <c r="AS40" s="4">
        <f t="shared" si="4"/>
        <v>354.74528399999997</v>
      </c>
      <c r="AT40" s="4">
        <f t="shared" si="5"/>
        <v>530.23098300000004</v>
      </c>
      <c r="AU40" s="4">
        <f t="shared" si="6"/>
        <v>510.10359099999999</v>
      </c>
    </row>
    <row r="41" spans="21:47">
      <c r="U41" s="118">
        <f t="shared" si="7"/>
        <v>0.25897228337</v>
      </c>
      <c r="V41" s="118">
        <f t="shared" si="8"/>
        <v>0.25112260049000001</v>
      </c>
      <c r="W41" s="118">
        <f t="shared" si="9"/>
        <v>0.24913314733599998</v>
      </c>
      <c r="X41" s="118">
        <f t="shared" si="10"/>
        <v>0.249998726399</v>
      </c>
      <c r="Y41" s="118">
        <f t="shared" si="11"/>
        <v>0.1181533340410367</v>
      </c>
      <c r="Z41">
        <f t="shared" si="12"/>
        <v>0.05</v>
      </c>
      <c r="AB41">
        <f t="shared" si="13"/>
        <v>3</v>
      </c>
      <c r="AC41">
        <f t="shared" si="14"/>
        <v>3</v>
      </c>
      <c r="AD41">
        <f t="shared" si="15"/>
        <v>3</v>
      </c>
      <c r="AE41">
        <f t="shared" si="0"/>
        <v>3</v>
      </c>
      <c r="AF41">
        <f t="shared" si="1"/>
        <v>3</v>
      </c>
      <c r="AG41">
        <f t="shared" si="2"/>
        <v>1</v>
      </c>
      <c r="AI41" s="97">
        <f>'Decline and Model'!E43</f>
        <v>43862</v>
      </c>
      <c r="AJ41" s="106">
        <f>'Decline and Model'!AC43</f>
        <v>81.099999999999994</v>
      </c>
      <c r="AK41" s="107">
        <f>'Decline and Model'!AD43</f>
        <v>13.6</v>
      </c>
      <c r="AL41" s="107">
        <f>'Decline and Model'!AE43</f>
        <v>28.3</v>
      </c>
      <c r="AM41" s="107">
        <f>'Decline and Model'!AF43</f>
        <v>84.3</v>
      </c>
      <c r="AN41" s="107">
        <f>'Decline and Model'!AG43</f>
        <v>56.4</v>
      </c>
      <c r="AO41" s="107">
        <f>'Decline and Model'!AH43</f>
        <v>0.82499999999999996</v>
      </c>
      <c r="AP41" s="107">
        <f>'Decline and Model'!AI43</f>
        <v>3.6</v>
      </c>
      <c r="AQ41" s="108">
        <f>'Decline and Model'!AJ43</f>
        <v>3.6</v>
      </c>
      <c r="AR41" s="4">
        <f t="shared" si="3"/>
        <v>178.001623</v>
      </c>
      <c r="AS41" s="4">
        <f t="shared" si="4"/>
        <v>354.74528399999997</v>
      </c>
      <c r="AT41" s="4">
        <f t="shared" si="5"/>
        <v>530.23098300000004</v>
      </c>
      <c r="AU41" s="4">
        <f t="shared" si="6"/>
        <v>510.10359099999999</v>
      </c>
    </row>
    <row r="42" spans="21:47">
      <c r="U42" s="118">
        <f t="shared" si="7"/>
        <v>0.25897228337</v>
      </c>
      <c r="V42" s="118">
        <f t="shared" si="8"/>
        <v>0.25112260049000001</v>
      </c>
      <c r="W42" s="118">
        <f t="shared" si="9"/>
        <v>0.24913314733599998</v>
      </c>
      <c r="X42" s="118">
        <f t="shared" si="10"/>
        <v>0.249998726399</v>
      </c>
      <c r="Y42" s="118">
        <f t="shared" si="11"/>
        <v>0.1181533340410367</v>
      </c>
      <c r="Z42">
        <f t="shared" si="12"/>
        <v>0.05</v>
      </c>
      <c r="AB42">
        <f t="shared" si="13"/>
        <v>3</v>
      </c>
      <c r="AC42">
        <f t="shared" si="14"/>
        <v>3</v>
      </c>
      <c r="AD42">
        <f t="shared" si="15"/>
        <v>3</v>
      </c>
      <c r="AE42">
        <f t="shared" si="0"/>
        <v>3</v>
      </c>
      <c r="AF42">
        <f t="shared" si="1"/>
        <v>3</v>
      </c>
      <c r="AG42">
        <f t="shared" si="2"/>
        <v>1</v>
      </c>
      <c r="AI42" s="97">
        <f>'Decline and Model'!E44</f>
        <v>43891</v>
      </c>
      <c r="AJ42" s="106">
        <f>'Decline and Model'!AC44</f>
        <v>81.099999999999994</v>
      </c>
      <c r="AK42" s="107">
        <f>'Decline and Model'!AD44</f>
        <v>13.6</v>
      </c>
      <c r="AL42" s="107">
        <f>'Decline and Model'!AE44</f>
        <v>28.3</v>
      </c>
      <c r="AM42" s="107">
        <f>'Decline and Model'!AF44</f>
        <v>84.3</v>
      </c>
      <c r="AN42" s="107">
        <f>'Decline and Model'!AG44</f>
        <v>56.4</v>
      </c>
      <c r="AO42" s="107">
        <f>'Decline and Model'!AH44</f>
        <v>0.82499999999999996</v>
      </c>
      <c r="AP42" s="107">
        <f>'Decline and Model'!AI44</f>
        <v>3.6</v>
      </c>
      <c r="AQ42" s="108">
        <f>'Decline and Model'!AJ44</f>
        <v>3.6</v>
      </c>
      <c r="AR42" s="4">
        <f t="shared" si="3"/>
        <v>178.001623</v>
      </c>
      <c r="AS42" s="4">
        <f t="shared" si="4"/>
        <v>354.74528399999997</v>
      </c>
      <c r="AT42" s="4">
        <f t="shared" si="5"/>
        <v>530.23098300000004</v>
      </c>
      <c r="AU42" s="4">
        <f t="shared" si="6"/>
        <v>510.10359099999999</v>
      </c>
    </row>
    <row r="43" spans="21:47">
      <c r="U43" s="118">
        <f t="shared" si="7"/>
        <v>0.25897228337</v>
      </c>
      <c r="V43" s="118">
        <f t="shared" si="8"/>
        <v>0.25112260049000001</v>
      </c>
      <c r="W43" s="118">
        <f t="shared" si="9"/>
        <v>0.24913314733599998</v>
      </c>
      <c r="X43" s="118">
        <f t="shared" si="10"/>
        <v>0.249998726399</v>
      </c>
      <c r="Y43" s="118">
        <f t="shared" si="11"/>
        <v>0.1181533340410367</v>
      </c>
      <c r="Z43">
        <f t="shared" si="12"/>
        <v>0.05</v>
      </c>
      <c r="AB43">
        <f t="shared" si="13"/>
        <v>3</v>
      </c>
      <c r="AC43">
        <f t="shared" si="14"/>
        <v>3</v>
      </c>
      <c r="AD43">
        <f t="shared" si="15"/>
        <v>3</v>
      </c>
      <c r="AE43">
        <f t="shared" si="0"/>
        <v>3</v>
      </c>
      <c r="AF43">
        <f t="shared" si="1"/>
        <v>3</v>
      </c>
      <c r="AG43">
        <f t="shared" si="2"/>
        <v>1</v>
      </c>
      <c r="AI43" s="97">
        <f>'Decline and Model'!E45</f>
        <v>43922</v>
      </c>
      <c r="AJ43" s="106">
        <f>'Decline and Model'!AC45</f>
        <v>81.099999999999994</v>
      </c>
      <c r="AK43" s="107">
        <f>'Decline and Model'!AD45</f>
        <v>13.6</v>
      </c>
      <c r="AL43" s="107">
        <f>'Decline and Model'!AE45</f>
        <v>28.3</v>
      </c>
      <c r="AM43" s="107">
        <f>'Decline and Model'!AF45</f>
        <v>84.3</v>
      </c>
      <c r="AN43" s="107">
        <f>'Decline and Model'!AG45</f>
        <v>56.4</v>
      </c>
      <c r="AO43" s="107">
        <f>'Decline and Model'!AH45</f>
        <v>0.82499999999999996</v>
      </c>
      <c r="AP43" s="107">
        <f>'Decline and Model'!AI45</f>
        <v>3.6</v>
      </c>
      <c r="AQ43" s="108">
        <f>'Decline and Model'!AJ45</f>
        <v>3.6</v>
      </c>
      <c r="AR43" s="4">
        <f t="shared" si="3"/>
        <v>178.001623</v>
      </c>
      <c r="AS43" s="4">
        <f t="shared" si="4"/>
        <v>354.74528399999997</v>
      </c>
      <c r="AT43" s="4">
        <f t="shared" si="5"/>
        <v>530.23098300000004</v>
      </c>
      <c r="AU43" s="4">
        <f t="shared" si="6"/>
        <v>510.10359099999999</v>
      </c>
    </row>
    <row r="44" spans="21:47">
      <c r="U44" s="118">
        <f t="shared" si="7"/>
        <v>0.25897228337</v>
      </c>
      <c r="V44" s="118">
        <f t="shared" si="8"/>
        <v>0.25112260049000001</v>
      </c>
      <c r="W44" s="118">
        <f t="shared" si="9"/>
        <v>0.24913314733599998</v>
      </c>
      <c r="X44" s="118">
        <f t="shared" si="10"/>
        <v>0.249998726399</v>
      </c>
      <c r="Y44" s="118">
        <f t="shared" si="11"/>
        <v>0.1181533340410367</v>
      </c>
      <c r="Z44">
        <f t="shared" si="12"/>
        <v>0.05</v>
      </c>
      <c r="AB44">
        <f t="shared" si="13"/>
        <v>3</v>
      </c>
      <c r="AC44">
        <f t="shared" si="14"/>
        <v>3</v>
      </c>
      <c r="AD44">
        <f t="shared" si="15"/>
        <v>3</v>
      </c>
      <c r="AE44">
        <f t="shared" si="0"/>
        <v>3</v>
      </c>
      <c r="AF44">
        <f t="shared" si="1"/>
        <v>3</v>
      </c>
      <c r="AG44">
        <f t="shared" si="2"/>
        <v>1</v>
      </c>
      <c r="AI44" s="97">
        <f>'Decline and Model'!E46</f>
        <v>43952</v>
      </c>
      <c r="AJ44" s="106">
        <f>'Decline and Model'!AC46</f>
        <v>81.099999999999994</v>
      </c>
      <c r="AK44" s="107">
        <f>'Decline and Model'!AD46</f>
        <v>13.6</v>
      </c>
      <c r="AL44" s="107">
        <f>'Decline and Model'!AE46</f>
        <v>28.3</v>
      </c>
      <c r="AM44" s="107">
        <f>'Decline and Model'!AF46</f>
        <v>84.3</v>
      </c>
      <c r="AN44" s="107">
        <f>'Decline and Model'!AG46</f>
        <v>56.4</v>
      </c>
      <c r="AO44" s="107">
        <f>'Decline and Model'!AH46</f>
        <v>0.82499999999999996</v>
      </c>
      <c r="AP44" s="107">
        <f>'Decline and Model'!AI46</f>
        <v>3.6</v>
      </c>
      <c r="AQ44" s="108">
        <f>'Decline and Model'!AJ46</f>
        <v>3.6</v>
      </c>
      <c r="AR44" s="4">
        <f t="shared" si="3"/>
        <v>178.001623</v>
      </c>
      <c r="AS44" s="4">
        <f t="shared" si="4"/>
        <v>354.74528399999997</v>
      </c>
      <c r="AT44" s="4">
        <f t="shared" si="5"/>
        <v>530.23098300000004</v>
      </c>
      <c r="AU44" s="4">
        <f t="shared" si="6"/>
        <v>510.10359099999999</v>
      </c>
    </row>
    <row r="45" spans="21:47">
      <c r="U45" s="118">
        <f t="shared" si="7"/>
        <v>0.25897228337</v>
      </c>
      <c r="V45" s="118">
        <f t="shared" si="8"/>
        <v>0.25112260049000001</v>
      </c>
      <c r="W45" s="118">
        <f t="shared" si="9"/>
        <v>0.24913314733599998</v>
      </c>
      <c r="X45" s="118">
        <f t="shared" si="10"/>
        <v>0.249998726399</v>
      </c>
      <c r="Y45" s="118">
        <f t="shared" si="11"/>
        <v>0.1181533340410367</v>
      </c>
      <c r="Z45">
        <f t="shared" si="12"/>
        <v>0.05</v>
      </c>
      <c r="AB45">
        <f t="shared" si="13"/>
        <v>3</v>
      </c>
      <c r="AC45">
        <f t="shared" si="14"/>
        <v>3</v>
      </c>
      <c r="AD45">
        <f t="shared" si="15"/>
        <v>3</v>
      </c>
      <c r="AE45">
        <f t="shared" si="0"/>
        <v>3</v>
      </c>
      <c r="AF45">
        <f t="shared" si="1"/>
        <v>3</v>
      </c>
      <c r="AG45">
        <f t="shared" si="2"/>
        <v>1</v>
      </c>
      <c r="AI45" s="97">
        <f>'Decline and Model'!E47</f>
        <v>43983</v>
      </c>
      <c r="AJ45" s="106">
        <f>'Decline and Model'!AC47</f>
        <v>81.099999999999994</v>
      </c>
      <c r="AK45" s="107">
        <f>'Decline and Model'!AD47</f>
        <v>13.6</v>
      </c>
      <c r="AL45" s="107">
        <f>'Decline and Model'!AE47</f>
        <v>28.3</v>
      </c>
      <c r="AM45" s="107">
        <f>'Decline and Model'!AF47</f>
        <v>84.3</v>
      </c>
      <c r="AN45" s="107">
        <f>'Decline and Model'!AG47</f>
        <v>56.4</v>
      </c>
      <c r="AO45" s="107">
        <f>'Decline and Model'!AH47</f>
        <v>0.82499999999999996</v>
      </c>
      <c r="AP45" s="107">
        <f>'Decline and Model'!AI47</f>
        <v>3.6</v>
      </c>
      <c r="AQ45" s="108">
        <f>'Decline and Model'!AJ47</f>
        <v>3.6</v>
      </c>
      <c r="AR45" s="4">
        <f t="shared" si="3"/>
        <v>178.001623</v>
      </c>
      <c r="AS45" s="4">
        <f t="shared" si="4"/>
        <v>354.74528399999997</v>
      </c>
      <c r="AT45" s="4">
        <f t="shared" si="5"/>
        <v>530.23098300000004</v>
      </c>
      <c r="AU45" s="4">
        <f t="shared" si="6"/>
        <v>510.10359099999999</v>
      </c>
    </row>
    <row r="46" spans="21:47">
      <c r="U46" s="118">
        <f t="shared" si="7"/>
        <v>0.25897228337</v>
      </c>
      <c r="V46" s="118">
        <f t="shared" si="8"/>
        <v>0.25112260049000001</v>
      </c>
      <c r="W46" s="118">
        <f t="shared" si="9"/>
        <v>0.24913314733599998</v>
      </c>
      <c r="X46" s="118">
        <f t="shared" si="10"/>
        <v>0.249998726399</v>
      </c>
      <c r="Y46" s="118">
        <f t="shared" si="11"/>
        <v>0.1181533340410367</v>
      </c>
      <c r="Z46">
        <f t="shared" si="12"/>
        <v>0.05</v>
      </c>
      <c r="AB46">
        <f t="shared" si="13"/>
        <v>3</v>
      </c>
      <c r="AC46">
        <f t="shared" si="14"/>
        <v>3</v>
      </c>
      <c r="AD46">
        <f t="shared" si="15"/>
        <v>3</v>
      </c>
      <c r="AE46">
        <f t="shared" si="0"/>
        <v>3</v>
      </c>
      <c r="AF46">
        <f t="shared" si="1"/>
        <v>3</v>
      </c>
      <c r="AG46">
        <f t="shared" si="2"/>
        <v>1</v>
      </c>
      <c r="AI46" s="97">
        <f>'Decline and Model'!E48</f>
        <v>44013</v>
      </c>
      <c r="AJ46" s="106">
        <f>'Decline and Model'!AC48</f>
        <v>81.099999999999994</v>
      </c>
      <c r="AK46" s="107">
        <f>'Decline and Model'!AD48</f>
        <v>13.6</v>
      </c>
      <c r="AL46" s="107">
        <f>'Decline and Model'!AE48</f>
        <v>28.3</v>
      </c>
      <c r="AM46" s="107">
        <f>'Decline and Model'!AF48</f>
        <v>84.3</v>
      </c>
      <c r="AN46" s="107">
        <f>'Decline and Model'!AG48</f>
        <v>56.4</v>
      </c>
      <c r="AO46" s="107">
        <f>'Decline and Model'!AH48</f>
        <v>0.82499999999999996</v>
      </c>
      <c r="AP46" s="107">
        <f>'Decline and Model'!AI48</f>
        <v>3.6</v>
      </c>
      <c r="AQ46" s="108">
        <f>'Decline and Model'!AJ48</f>
        <v>3.6</v>
      </c>
      <c r="AR46" s="4">
        <f t="shared" si="3"/>
        <v>178.001623</v>
      </c>
      <c r="AS46" s="4">
        <f t="shared" si="4"/>
        <v>354.74528399999997</v>
      </c>
      <c r="AT46" s="4">
        <f t="shared" si="5"/>
        <v>530.23098300000004</v>
      </c>
      <c r="AU46" s="4">
        <f t="shared" si="6"/>
        <v>510.10359099999999</v>
      </c>
    </row>
    <row r="47" spans="21:47">
      <c r="U47" s="118">
        <f t="shared" si="7"/>
        <v>0.25897228337</v>
      </c>
      <c r="V47" s="118">
        <f t="shared" si="8"/>
        <v>0.25112260049000001</v>
      </c>
      <c r="W47" s="118">
        <f t="shared" si="9"/>
        <v>0.24913314733599998</v>
      </c>
      <c r="X47" s="118">
        <f t="shared" si="10"/>
        <v>0.249998726399</v>
      </c>
      <c r="Y47" s="118">
        <f t="shared" si="11"/>
        <v>0.1181533340410367</v>
      </c>
      <c r="Z47">
        <f t="shared" si="12"/>
        <v>0.05</v>
      </c>
      <c r="AB47">
        <f t="shared" si="13"/>
        <v>3</v>
      </c>
      <c r="AC47">
        <f t="shared" si="14"/>
        <v>3</v>
      </c>
      <c r="AD47">
        <f t="shared" si="15"/>
        <v>3</v>
      </c>
      <c r="AE47">
        <f t="shared" si="0"/>
        <v>3</v>
      </c>
      <c r="AF47">
        <f t="shared" si="1"/>
        <v>3</v>
      </c>
      <c r="AG47">
        <f t="shared" si="2"/>
        <v>1</v>
      </c>
      <c r="AI47" s="97">
        <f>'Decline and Model'!E49</f>
        <v>44044</v>
      </c>
      <c r="AJ47" s="106">
        <f>'Decline and Model'!AC49</f>
        <v>81.099999999999994</v>
      </c>
      <c r="AK47" s="107">
        <f>'Decline and Model'!AD49</f>
        <v>13.6</v>
      </c>
      <c r="AL47" s="107">
        <f>'Decline and Model'!AE49</f>
        <v>28.3</v>
      </c>
      <c r="AM47" s="107">
        <f>'Decline and Model'!AF49</f>
        <v>84.3</v>
      </c>
      <c r="AN47" s="107">
        <f>'Decline and Model'!AG49</f>
        <v>56.4</v>
      </c>
      <c r="AO47" s="107">
        <f>'Decline and Model'!AH49</f>
        <v>0.82499999999999996</v>
      </c>
      <c r="AP47" s="107">
        <f>'Decline and Model'!AI49</f>
        <v>3.6</v>
      </c>
      <c r="AQ47" s="108">
        <f>'Decline and Model'!AJ49</f>
        <v>3.6</v>
      </c>
      <c r="AR47" s="4">
        <f t="shared" si="3"/>
        <v>178.001623</v>
      </c>
      <c r="AS47" s="4">
        <f t="shared" si="4"/>
        <v>354.74528399999997</v>
      </c>
      <c r="AT47" s="4">
        <f t="shared" si="5"/>
        <v>530.23098300000004</v>
      </c>
      <c r="AU47" s="4">
        <f t="shared" si="6"/>
        <v>510.10359099999999</v>
      </c>
    </row>
    <row r="48" spans="21:47">
      <c r="U48" s="118">
        <f t="shared" si="7"/>
        <v>0.25897228337</v>
      </c>
      <c r="V48" s="118">
        <f t="shared" si="8"/>
        <v>0.25112260049000001</v>
      </c>
      <c r="W48" s="118">
        <f t="shared" si="9"/>
        <v>0.24913314733599998</v>
      </c>
      <c r="X48" s="118">
        <f t="shared" si="10"/>
        <v>0.249998726399</v>
      </c>
      <c r="Y48" s="118">
        <f t="shared" si="11"/>
        <v>0.1181533340410367</v>
      </c>
      <c r="Z48">
        <f t="shared" si="12"/>
        <v>0.05</v>
      </c>
      <c r="AB48">
        <f t="shared" si="13"/>
        <v>3</v>
      </c>
      <c r="AC48">
        <f t="shared" si="14"/>
        <v>3</v>
      </c>
      <c r="AD48">
        <f t="shared" si="15"/>
        <v>3</v>
      </c>
      <c r="AE48">
        <f t="shared" si="0"/>
        <v>3</v>
      </c>
      <c r="AF48">
        <f t="shared" si="1"/>
        <v>3</v>
      </c>
      <c r="AG48">
        <f t="shared" si="2"/>
        <v>1</v>
      </c>
      <c r="AI48" s="97">
        <f>'Decline and Model'!E50</f>
        <v>44075</v>
      </c>
      <c r="AJ48" s="106">
        <f>'Decline and Model'!AC50</f>
        <v>81.099999999999994</v>
      </c>
      <c r="AK48" s="107">
        <f>'Decline and Model'!AD50</f>
        <v>13.6</v>
      </c>
      <c r="AL48" s="107">
        <f>'Decline and Model'!AE50</f>
        <v>28.3</v>
      </c>
      <c r="AM48" s="107">
        <f>'Decline and Model'!AF50</f>
        <v>84.3</v>
      </c>
      <c r="AN48" s="107">
        <f>'Decline and Model'!AG50</f>
        <v>56.4</v>
      </c>
      <c r="AO48" s="107">
        <f>'Decline and Model'!AH50</f>
        <v>0.82499999999999996</v>
      </c>
      <c r="AP48" s="107">
        <f>'Decline and Model'!AI50</f>
        <v>3.6</v>
      </c>
      <c r="AQ48" s="108">
        <f>'Decline and Model'!AJ50</f>
        <v>3.6</v>
      </c>
      <c r="AR48" s="4">
        <f t="shared" si="3"/>
        <v>178.001623</v>
      </c>
      <c r="AS48" s="4">
        <f t="shared" si="4"/>
        <v>354.74528399999997</v>
      </c>
      <c r="AT48" s="4">
        <f t="shared" si="5"/>
        <v>530.23098300000004</v>
      </c>
      <c r="AU48" s="4">
        <f t="shared" si="6"/>
        <v>510.10359099999999</v>
      </c>
    </row>
    <row r="49" spans="21:47">
      <c r="U49" s="118">
        <f t="shared" si="7"/>
        <v>0.25897228337</v>
      </c>
      <c r="V49" s="118">
        <f t="shared" si="8"/>
        <v>0.25112260049000001</v>
      </c>
      <c r="W49" s="118">
        <f t="shared" si="9"/>
        <v>0.24913314733599998</v>
      </c>
      <c r="X49" s="118">
        <f t="shared" si="10"/>
        <v>0.249998726399</v>
      </c>
      <c r="Y49" s="118">
        <f t="shared" si="11"/>
        <v>0.1181533340410367</v>
      </c>
      <c r="Z49">
        <f t="shared" si="12"/>
        <v>0.05</v>
      </c>
      <c r="AB49">
        <f t="shared" si="13"/>
        <v>3</v>
      </c>
      <c r="AC49">
        <f t="shared" si="14"/>
        <v>3</v>
      </c>
      <c r="AD49">
        <f t="shared" si="15"/>
        <v>3</v>
      </c>
      <c r="AE49">
        <f t="shared" si="0"/>
        <v>3</v>
      </c>
      <c r="AF49">
        <f t="shared" si="1"/>
        <v>3</v>
      </c>
      <c r="AG49">
        <f t="shared" si="2"/>
        <v>1</v>
      </c>
      <c r="AI49" s="97">
        <f>'Decline and Model'!E51</f>
        <v>44105</v>
      </c>
      <c r="AJ49" s="106">
        <f>'Decline and Model'!AC51</f>
        <v>81.099999999999994</v>
      </c>
      <c r="AK49" s="107">
        <f>'Decline and Model'!AD51</f>
        <v>13.6</v>
      </c>
      <c r="AL49" s="107">
        <f>'Decline and Model'!AE51</f>
        <v>28.3</v>
      </c>
      <c r="AM49" s="107">
        <f>'Decline and Model'!AF51</f>
        <v>84.3</v>
      </c>
      <c r="AN49" s="107">
        <f>'Decline and Model'!AG51</f>
        <v>56.4</v>
      </c>
      <c r="AO49" s="107">
        <f>'Decline and Model'!AH51</f>
        <v>0.82499999999999996</v>
      </c>
      <c r="AP49" s="107">
        <f>'Decline and Model'!AI51</f>
        <v>3.6</v>
      </c>
      <c r="AQ49" s="108">
        <f>'Decline and Model'!AJ51</f>
        <v>3.6</v>
      </c>
      <c r="AR49" s="4">
        <f t="shared" si="3"/>
        <v>178.001623</v>
      </c>
      <c r="AS49" s="4">
        <f t="shared" si="4"/>
        <v>354.74528399999997</v>
      </c>
      <c r="AT49" s="4">
        <f t="shared" si="5"/>
        <v>530.23098300000004</v>
      </c>
      <c r="AU49" s="4">
        <f t="shared" si="6"/>
        <v>510.10359099999999</v>
      </c>
    </row>
    <row r="50" spans="21:47">
      <c r="U50" s="118">
        <f t="shared" si="7"/>
        <v>0.25897228337</v>
      </c>
      <c r="V50" s="118">
        <f t="shared" si="8"/>
        <v>0.25112260049000001</v>
      </c>
      <c r="W50" s="118">
        <f t="shared" si="9"/>
        <v>0.24913314733599998</v>
      </c>
      <c r="X50" s="118">
        <f t="shared" si="10"/>
        <v>0.249998726399</v>
      </c>
      <c r="Y50" s="118">
        <f t="shared" si="11"/>
        <v>0.1181533340410367</v>
      </c>
      <c r="Z50">
        <f t="shared" si="12"/>
        <v>0.05</v>
      </c>
      <c r="AB50">
        <f t="shared" si="13"/>
        <v>3</v>
      </c>
      <c r="AC50">
        <f t="shared" si="14"/>
        <v>3</v>
      </c>
      <c r="AD50">
        <f t="shared" si="15"/>
        <v>3</v>
      </c>
      <c r="AE50">
        <f t="shared" si="0"/>
        <v>3</v>
      </c>
      <c r="AF50">
        <f t="shared" si="1"/>
        <v>3</v>
      </c>
      <c r="AG50">
        <f t="shared" si="2"/>
        <v>1</v>
      </c>
      <c r="AI50" s="97">
        <f>'Decline and Model'!E52</f>
        <v>44136</v>
      </c>
      <c r="AJ50" s="106">
        <f>'Decline and Model'!AC52</f>
        <v>81.099999999999994</v>
      </c>
      <c r="AK50" s="107">
        <f>'Decline and Model'!AD52</f>
        <v>13.6</v>
      </c>
      <c r="AL50" s="107">
        <f>'Decline and Model'!AE52</f>
        <v>28.3</v>
      </c>
      <c r="AM50" s="107">
        <f>'Decline and Model'!AF52</f>
        <v>84.3</v>
      </c>
      <c r="AN50" s="107">
        <f>'Decline and Model'!AG52</f>
        <v>56.4</v>
      </c>
      <c r="AO50" s="107">
        <f>'Decline and Model'!AH52</f>
        <v>0.82499999999999996</v>
      </c>
      <c r="AP50" s="107">
        <f>'Decline and Model'!AI52</f>
        <v>3.6</v>
      </c>
      <c r="AQ50" s="108">
        <f>'Decline and Model'!AJ52</f>
        <v>3.6</v>
      </c>
      <c r="AR50" s="4">
        <f t="shared" si="3"/>
        <v>178.001623</v>
      </c>
      <c r="AS50" s="4">
        <f t="shared" si="4"/>
        <v>354.74528399999997</v>
      </c>
      <c r="AT50" s="4">
        <f t="shared" si="5"/>
        <v>530.23098300000004</v>
      </c>
      <c r="AU50" s="4">
        <f t="shared" si="6"/>
        <v>510.10359099999999</v>
      </c>
    </row>
    <row r="51" spans="21:47">
      <c r="U51" s="118">
        <f t="shared" si="7"/>
        <v>0.25897228337</v>
      </c>
      <c r="V51" s="118">
        <f t="shared" si="8"/>
        <v>0.25112260049000001</v>
      </c>
      <c r="W51" s="118">
        <f t="shared" si="9"/>
        <v>0.24913314733599998</v>
      </c>
      <c r="X51" s="118">
        <f t="shared" si="10"/>
        <v>0.249998726399</v>
      </c>
      <c r="Y51" s="118">
        <f t="shared" si="11"/>
        <v>0.1181533340410367</v>
      </c>
      <c r="Z51">
        <f t="shared" si="12"/>
        <v>0.05</v>
      </c>
      <c r="AB51">
        <f t="shared" si="13"/>
        <v>3</v>
      </c>
      <c r="AC51">
        <f t="shared" si="14"/>
        <v>3</v>
      </c>
      <c r="AD51">
        <f t="shared" si="15"/>
        <v>3</v>
      </c>
      <c r="AE51">
        <f t="shared" si="0"/>
        <v>3</v>
      </c>
      <c r="AF51">
        <f t="shared" si="1"/>
        <v>3</v>
      </c>
      <c r="AG51">
        <f t="shared" si="2"/>
        <v>1</v>
      </c>
      <c r="AI51" s="97">
        <f>'Decline and Model'!E53</f>
        <v>44166</v>
      </c>
      <c r="AJ51" s="106">
        <f>'Decline and Model'!AC53</f>
        <v>81.099999999999994</v>
      </c>
      <c r="AK51" s="107">
        <f>'Decline and Model'!AD53</f>
        <v>13.6</v>
      </c>
      <c r="AL51" s="107">
        <f>'Decline and Model'!AE53</f>
        <v>28.3</v>
      </c>
      <c r="AM51" s="107">
        <f>'Decline and Model'!AF53</f>
        <v>84.3</v>
      </c>
      <c r="AN51" s="107">
        <f>'Decline and Model'!AG53</f>
        <v>56.4</v>
      </c>
      <c r="AO51" s="107">
        <f>'Decline and Model'!AH53</f>
        <v>0.82499999999999996</v>
      </c>
      <c r="AP51" s="107">
        <f>'Decline and Model'!AI53</f>
        <v>3.6</v>
      </c>
      <c r="AQ51" s="108">
        <f>'Decline and Model'!AJ53</f>
        <v>3.6</v>
      </c>
      <c r="AR51" s="4">
        <f t="shared" si="3"/>
        <v>178.001623</v>
      </c>
      <c r="AS51" s="4">
        <f t="shared" si="4"/>
        <v>354.74528399999997</v>
      </c>
      <c r="AT51" s="4">
        <f t="shared" si="5"/>
        <v>530.23098300000004</v>
      </c>
      <c r="AU51" s="4">
        <f t="shared" si="6"/>
        <v>510.10359099999999</v>
      </c>
    </row>
    <row r="52" spans="21:47">
      <c r="U52" s="118">
        <f t="shared" si="7"/>
        <v>0.27246392582000001</v>
      </c>
      <c r="V52" s="118">
        <f t="shared" si="8"/>
        <v>0.26461424294000002</v>
      </c>
      <c r="W52" s="118">
        <f t="shared" si="9"/>
        <v>0.27352503051599997</v>
      </c>
      <c r="X52" s="118">
        <f t="shared" si="10"/>
        <v>0.26399984345900002</v>
      </c>
      <c r="Y52" s="118">
        <f t="shared" si="11"/>
        <v>0.13090333404103668</v>
      </c>
      <c r="Z52">
        <f t="shared" si="12"/>
        <v>0.05</v>
      </c>
      <c r="AB52">
        <f t="shared" si="13"/>
        <v>3</v>
      </c>
      <c r="AC52">
        <f t="shared" si="14"/>
        <v>3</v>
      </c>
      <c r="AD52">
        <f t="shared" si="15"/>
        <v>3</v>
      </c>
      <c r="AE52">
        <f t="shared" si="0"/>
        <v>3</v>
      </c>
      <c r="AF52">
        <f t="shared" si="1"/>
        <v>3</v>
      </c>
      <c r="AG52">
        <f t="shared" si="2"/>
        <v>1</v>
      </c>
      <c r="AI52" s="97">
        <f>'Decline and Model'!E54</f>
        <v>44197</v>
      </c>
      <c r="AJ52" s="106">
        <f>'Decline and Model'!AC54</f>
        <v>86.6</v>
      </c>
      <c r="AK52" s="107">
        <f>'Decline and Model'!AD54</f>
        <v>14.8</v>
      </c>
      <c r="AL52" s="107">
        <f>'Decline and Model'!AE54</f>
        <v>30.3</v>
      </c>
      <c r="AM52" s="107">
        <f>'Decline and Model'!AF54</f>
        <v>89.8</v>
      </c>
      <c r="AN52" s="107">
        <f>'Decline and Model'!AG54</f>
        <v>63.4</v>
      </c>
      <c r="AO52" s="107">
        <f>'Decline and Model'!AH54</f>
        <v>0.85</v>
      </c>
      <c r="AP52" s="107">
        <f>'Decline and Model'!AI54</f>
        <v>3.9</v>
      </c>
      <c r="AQ52" s="108">
        <f>'Decline and Model'!AJ54</f>
        <v>3.9</v>
      </c>
      <c r="AR52" s="4">
        <f t="shared" si="3"/>
        <v>190.581243</v>
      </c>
      <c r="AS52" s="4">
        <f t="shared" si="4"/>
        <v>398.773954</v>
      </c>
      <c r="AT52" s="4">
        <f t="shared" si="5"/>
        <v>564.82493799999997</v>
      </c>
      <c r="AU52" s="4">
        <f t="shared" si="6"/>
        <v>544.69754599999999</v>
      </c>
    </row>
    <row r="53" spans="21:47">
      <c r="U53" s="118">
        <f t="shared" si="7"/>
        <v>0.27246392582000001</v>
      </c>
      <c r="V53" s="118">
        <f t="shared" si="8"/>
        <v>0.26461424294000002</v>
      </c>
      <c r="W53" s="118">
        <f t="shared" si="9"/>
        <v>0.27352503051599997</v>
      </c>
      <c r="X53" s="118">
        <f t="shared" si="10"/>
        <v>0.26399984345900002</v>
      </c>
      <c r="Y53" s="118">
        <f t="shared" si="11"/>
        <v>0.13090333404103668</v>
      </c>
      <c r="Z53">
        <f t="shared" si="12"/>
        <v>0.05</v>
      </c>
      <c r="AB53">
        <f t="shared" si="13"/>
        <v>3</v>
      </c>
      <c r="AC53">
        <f t="shared" si="14"/>
        <v>3</v>
      </c>
      <c r="AD53">
        <f t="shared" si="15"/>
        <v>3</v>
      </c>
      <c r="AE53">
        <f t="shared" si="0"/>
        <v>3</v>
      </c>
      <c r="AF53">
        <f t="shared" si="1"/>
        <v>3</v>
      </c>
      <c r="AG53">
        <f t="shared" si="2"/>
        <v>1</v>
      </c>
      <c r="AI53" s="97">
        <f>'Decline and Model'!E55</f>
        <v>44228</v>
      </c>
      <c r="AJ53" s="106">
        <f>'Decline and Model'!AC55</f>
        <v>86.6</v>
      </c>
      <c r="AK53" s="107">
        <f>'Decline and Model'!AD55</f>
        <v>14.8</v>
      </c>
      <c r="AL53" s="107">
        <f>'Decline and Model'!AE55</f>
        <v>30.3</v>
      </c>
      <c r="AM53" s="107">
        <f>'Decline and Model'!AF55</f>
        <v>89.8</v>
      </c>
      <c r="AN53" s="107">
        <f>'Decline and Model'!AG55</f>
        <v>63.4</v>
      </c>
      <c r="AO53" s="107">
        <f>'Decline and Model'!AH55</f>
        <v>0.85</v>
      </c>
      <c r="AP53" s="107">
        <f>'Decline and Model'!AI55</f>
        <v>3.9</v>
      </c>
      <c r="AQ53" s="108">
        <f>'Decline and Model'!AJ55</f>
        <v>3.9</v>
      </c>
      <c r="AR53" s="4">
        <f t="shared" si="3"/>
        <v>190.581243</v>
      </c>
      <c r="AS53" s="4">
        <f t="shared" si="4"/>
        <v>398.773954</v>
      </c>
      <c r="AT53" s="4">
        <f t="shared" si="5"/>
        <v>564.82493799999997</v>
      </c>
      <c r="AU53" s="4">
        <f t="shared" si="6"/>
        <v>544.69754599999999</v>
      </c>
    </row>
    <row r="54" spans="21:47">
      <c r="U54" s="118">
        <f t="shared" si="7"/>
        <v>0.27246392582000001</v>
      </c>
      <c r="V54" s="118">
        <f t="shared" si="8"/>
        <v>0.26461424294000002</v>
      </c>
      <c r="W54" s="118">
        <f t="shared" si="9"/>
        <v>0.27352503051599997</v>
      </c>
      <c r="X54" s="118">
        <f t="shared" si="10"/>
        <v>0.26399984345900002</v>
      </c>
      <c r="Y54" s="118">
        <f t="shared" si="11"/>
        <v>0.13090333404103668</v>
      </c>
      <c r="Z54">
        <f t="shared" si="12"/>
        <v>0.05</v>
      </c>
      <c r="AB54">
        <f t="shared" si="13"/>
        <v>3</v>
      </c>
      <c r="AC54">
        <f t="shared" si="14"/>
        <v>3</v>
      </c>
      <c r="AD54">
        <f t="shared" si="15"/>
        <v>3</v>
      </c>
      <c r="AE54">
        <f t="shared" si="0"/>
        <v>3</v>
      </c>
      <c r="AF54">
        <f t="shared" si="1"/>
        <v>3</v>
      </c>
      <c r="AG54">
        <f t="shared" si="2"/>
        <v>1</v>
      </c>
      <c r="AI54" s="97">
        <f>'Decline and Model'!E56</f>
        <v>44256</v>
      </c>
      <c r="AJ54" s="106">
        <f>'Decline and Model'!AC56</f>
        <v>86.6</v>
      </c>
      <c r="AK54" s="107">
        <f>'Decline and Model'!AD56</f>
        <v>14.8</v>
      </c>
      <c r="AL54" s="107">
        <f>'Decline and Model'!AE56</f>
        <v>30.3</v>
      </c>
      <c r="AM54" s="107">
        <f>'Decline and Model'!AF56</f>
        <v>89.8</v>
      </c>
      <c r="AN54" s="107">
        <f>'Decline and Model'!AG56</f>
        <v>63.4</v>
      </c>
      <c r="AO54" s="107">
        <f>'Decline and Model'!AH56</f>
        <v>0.85</v>
      </c>
      <c r="AP54" s="107">
        <f>'Decline and Model'!AI56</f>
        <v>3.9</v>
      </c>
      <c r="AQ54" s="108">
        <f>'Decline and Model'!AJ56</f>
        <v>3.9</v>
      </c>
      <c r="AR54" s="4">
        <f t="shared" si="3"/>
        <v>190.581243</v>
      </c>
      <c r="AS54" s="4">
        <f t="shared" si="4"/>
        <v>398.773954</v>
      </c>
      <c r="AT54" s="4">
        <f t="shared" si="5"/>
        <v>564.82493799999997</v>
      </c>
      <c r="AU54" s="4">
        <f t="shared" si="6"/>
        <v>544.69754599999999</v>
      </c>
    </row>
    <row r="55" spans="21:47">
      <c r="U55" s="118">
        <f t="shared" si="7"/>
        <v>0.27246392582000001</v>
      </c>
      <c r="V55" s="118">
        <f t="shared" si="8"/>
        <v>0.26461424294000002</v>
      </c>
      <c r="W55" s="118">
        <f t="shared" si="9"/>
        <v>0.27352503051599997</v>
      </c>
      <c r="X55" s="118">
        <f t="shared" si="10"/>
        <v>0.26399984345900002</v>
      </c>
      <c r="Y55" s="118">
        <f t="shared" si="11"/>
        <v>0.13090333404103668</v>
      </c>
      <c r="Z55">
        <f t="shared" si="12"/>
        <v>0.05</v>
      </c>
      <c r="AB55">
        <f t="shared" si="13"/>
        <v>3</v>
      </c>
      <c r="AC55">
        <f t="shared" si="14"/>
        <v>3</v>
      </c>
      <c r="AD55">
        <f t="shared" si="15"/>
        <v>3</v>
      </c>
      <c r="AE55">
        <f t="shared" si="0"/>
        <v>3</v>
      </c>
      <c r="AF55">
        <f t="shared" si="1"/>
        <v>3</v>
      </c>
      <c r="AG55">
        <f t="shared" si="2"/>
        <v>1</v>
      </c>
      <c r="AI55" s="97">
        <f>'Decline and Model'!E57</f>
        <v>44287</v>
      </c>
      <c r="AJ55" s="106">
        <f>'Decline and Model'!AC57</f>
        <v>86.6</v>
      </c>
      <c r="AK55" s="107">
        <f>'Decline and Model'!AD57</f>
        <v>14.8</v>
      </c>
      <c r="AL55" s="107">
        <f>'Decline and Model'!AE57</f>
        <v>30.3</v>
      </c>
      <c r="AM55" s="107">
        <f>'Decline and Model'!AF57</f>
        <v>89.8</v>
      </c>
      <c r="AN55" s="107">
        <f>'Decline and Model'!AG57</f>
        <v>63.4</v>
      </c>
      <c r="AO55" s="107">
        <f>'Decline and Model'!AH57</f>
        <v>0.85</v>
      </c>
      <c r="AP55" s="107">
        <f>'Decline and Model'!AI57</f>
        <v>3.9</v>
      </c>
      <c r="AQ55" s="108">
        <f>'Decline and Model'!AJ57</f>
        <v>3.9</v>
      </c>
      <c r="AR55" s="4">
        <f t="shared" si="3"/>
        <v>190.581243</v>
      </c>
      <c r="AS55" s="4">
        <f t="shared" si="4"/>
        <v>398.773954</v>
      </c>
      <c r="AT55" s="4">
        <f t="shared" si="5"/>
        <v>564.82493799999997</v>
      </c>
      <c r="AU55" s="4">
        <f t="shared" si="6"/>
        <v>544.69754599999999</v>
      </c>
    </row>
    <row r="56" spans="21:47">
      <c r="U56" s="118">
        <f t="shared" si="7"/>
        <v>0.27246392582000001</v>
      </c>
      <c r="V56" s="118">
        <f t="shared" si="8"/>
        <v>0.26461424294000002</v>
      </c>
      <c r="W56" s="118">
        <f t="shared" si="9"/>
        <v>0.27352503051599997</v>
      </c>
      <c r="X56" s="118">
        <f t="shared" si="10"/>
        <v>0.26399984345900002</v>
      </c>
      <c r="Y56" s="118">
        <f t="shared" si="11"/>
        <v>0.13090333404103668</v>
      </c>
      <c r="Z56">
        <f t="shared" si="12"/>
        <v>0.05</v>
      </c>
      <c r="AB56">
        <f t="shared" si="13"/>
        <v>3</v>
      </c>
      <c r="AC56">
        <f t="shared" si="14"/>
        <v>3</v>
      </c>
      <c r="AD56">
        <f t="shared" si="15"/>
        <v>3</v>
      </c>
      <c r="AE56">
        <f t="shared" si="0"/>
        <v>3</v>
      </c>
      <c r="AF56">
        <f t="shared" si="1"/>
        <v>3</v>
      </c>
      <c r="AG56">
        <f t="shared" si="2"/>
        <v>1</v>
      </c>
      <c r="AI56" s="97">
        <f>'Decline and Model'!E58</f>
        <v>44317</v>
      </c>
      <c r="AJ56" s="106">
        <f>'Decline and Model'!AC58</f>
        <v>86.6</v>
      </c>
      <c r="AK56" s="107">
        <f>'Decline and Model'!AD58</f>
        <v>14.8</v>
      </c>
      <c r="AL56" s="107">
        <f>'Decline and Model'!AE58</f>
        <v>30.3</v>
      </c>
      <c r="AM56" s="107">
        <f>'Decline and Model'!AF58</f>
        <v>89.8</v>
      </c>
      <c r="AN56" s="107">
        <f>'Decline and Model'!AG58</f>
        <v>63.4</v>
      </c>
      <c r="AO56" s="107">
        <f>'Decline and Model'!AH58</f>
        <v>0.85</v>
      </c>
      <c r="AP56" s="107">
        <f>'Decline and Model'!AI58</f>
        <v>3.9</v>
      </c>
      <c r="AQ56" s="108">
        <f>'Decline and Model'!AJ58</f>
        <v>3.9</v>
      </c>
      <c r="AR56" s="4">
        <f t="shared" si="3"/>
        <v>190.581243</v>
      </c>
      <c r="AS56" s="4">
        <f t="shared" si="4"/>
        <v>398.773954</v>
      </c>
      <c r="AT56" s="4">
        <f t="shared" si="5"/>
        <v>564.82493799999997</v>
      </c>
      <c r="AU56" s="4">
        <f t="shared" si="6"/>
        <v>544.69754599999999</v>
      </c>
    </row>
    <row r="57" spans="21:47">
      <c r="U57" s="118">
        <f t="shared" si="7"/>
        <v>0.27246392582000001</v>
      </c>
      <c r="V57" s="118">
        <f t="shared" si="8"/>
        <v>0.26461424294000002</v>
      </c>
      <c r="W57" s="118">
        <f t="shared" si="9"/>
        <v>0.27352503051599997</v>
      </c>
      <c r="X57" s="118">
        <f t="shared" si="10"/>
        <v>0.26399984345900002</v>
      </c>
      <c r="Y57" s="118">
        <f t="shared" si="11"/>
        <v>0.13090333404103668</v>
      </c>
      <c r="Z57">
        <f t="shared" si="12"/>
        <v>0.05</v>
      </c>
      <c r="AB57">
        <f t="shared" si="13"/>
        <v>3</v>
      </c>
      <c r="AC57">
        <f t="shared" si="14"/>
        <v>3</v>
      </c>
      <c r="AD57">
        <f t="shared" si="15"/>
        <v>3</v>
      </c>
      <c r="AE57">
        <f t="shared" si="0"/>
        <v>3</v>
      </c>
      <c r="AF57">
        <f t="shared" si="1"/>
        <v>3</v>
      </c>
      <c r="AG57">
        <f t="shared" si="2"/>
        <v>1</v>
      </c>
      <c r="AI57" s="97">
        <f>'Decline and Model'!E59</f>
        <v>44348</v>
      </c>
      <c r="AJ57" s="106">
        <f>'Decline and Model'!AC59</f>
        <v>86.6</v>
      </c>
      <c r="AK57" s="107">
        <f>'Decline and Model'!AD59</f>
        <v>14.8</v>
      </c>
      <c r="AL57" s="107">
        <f>'Decline and Model'!AE59</f>
        <v>30.3</v>
      </c>
      <c r="AM57" s="107">
        <f>'Decline and Model'!AF59</f>
        <v>89.8</v>
      </c>
      <c r="AN57" s="107">
        <f>'Decline and Model'!AG59</f>
        <v>63.4</v>
      </c>
      <c r="AO57" s="107">
        <f>'Decline and Model'!AH59</f>
        <v>0.85</v>
      </c>
      <c r="AP57" s="107">
        <f>'Decline and Model'!AI59</f>
        <v>3.9</v>
      </c>
      <c r="AQ57" s="108">
        <f>'Decline and Model'!AJ59</f>
        <v>3.9</v>
      </c>
      <c r="AR57" s="4">
        <f t="shared" si="3"/>
        <v>190.581243</v>
      </c>
      <c r="AS57" s="4">
        <f t="shared" si="4"/>
        <v>398.773954</v>
      </c>
      <c r="AT57" s="4">
        <f t="shared" si="5"/>
        <v>564.82493799999997</v>
      </c>
      <c r="AU57" s="4">
        <f t="shared" si="6"/>
        <v>544.69754599999999</v>
      </c>
    </row>
    <row r="58" spans="21:47">
      <c r="U58" s="118">
        <f t="shared" si="7"/>
        <v>0.27246392582000001</v>
      </c>
      <c r="V58" s="118">
        <f t="shared" si="8"/>
        <v>0.26461424294000002</v>
      </c>
      <c r="W58" s="118">
        <f t="shared" si="9"/>
        <v>0.27352503051599997</v>
      </c>
      <c r="X58" s="118">
        <f t="shared" si="10"/>
        <v>0.26399984345900002</v>
      </c>
      <c r="Y58" s="118">
        <f t="shared" si="11"/>
        <v>0.13090333404103668</v>
      </c>
      <c r="Z58">
        <f t="shared" si="12"/>
        <v>0.05</v>
      </c>
      <c r="AB58">
        <f t="shared" si="13"/>
        <v>3</v>
      </c>
      <c r="AC58">
        <f t="shared" si="14"/>
        <v>3</v>
      </c>
      <c r="AD58">
        <f t="shared" si="15"/>
        <v>3</v>
      </c>
      <c r="AE58">
        <f t="shared" si="0"/>
        <v>3</v>
      </c>
      <c r="AF58">
        <f t="shared" si="1"/>
        <v>3</v>
      </c>
      <c r="AG58">
        <f t="shared" si="2"/>
        <v>1</v>
      </c>
      <c r="AI58" s="97">
        <f>'Decline and Model'!E60</f>
        <v>44378</v>
      </c>
      <c r="AJ58" s="106">
        <f>'Decline and Model'!AC60</f>
        <v>86.6</v>
      </c>
      <c r="AK58" s="107">
        <f>'Decline and Model'!AD60</f>
        <v>14.8</v>
      </c>
      <c r="AL58" s="107">
        <f>'Decline and Model'!AE60</f>
        <v>30.3</v>
      </c>
      <c r="AM58" s="107">
        <f>'Decline and Model'!AF60</f>
        <v>89.8</v>
      </c>
      <c r="AN58" s="107">
        <f>'Decline and Model'!AG60</f>
        <v>63.4</v>
      </c>
      <c r="AO58" s="107">
        <f>'Decline and Model'!AH60</f>
        <v>0.85</v>
      </c>
      <c r="AP58" s="107">
        <f>'Decline and Model'!AI60</f>
        <v>3.9</v>
      </c>
      <c r="AQ58" s="108">
        <f>'Decline and Model'!AJ60</f>
        <v>3.9</v>
      </c>
      <c r="AR58" s="4">
        <f t="shared" si="3"/>
        <v>190.581243</v>
      </c>
      <c r="AS58" s="4">
        <f t="shared" si="4"/>
        <v>398.773954</v>
      </c>
      <c r="AT58" s="4">
        <f t="shared" si="5"/>
        <v>564.82493799999997</v>
      </c>
      <c r="AU58" s="4">
        <f t="shared" si="6"/>
        <v>544.69754599999999</v>
      </c>
    </row>
    <row r="59" spans="21:47">
      <c r="U59" s="118">
        <f t="shared" si="7"/>
        <v>0.27246392582000001</v>
      </c>
      <c r="V59" s="118">
        <f t="shared" si="8"/>
        <v>0.26461424294000002</v>
      </c>
      <c r="W59" s="118">
        <f t="shared" si="9"/>
        <v>0.27352503051599997</v>
      </c>
      <c r="X59" s="118">
        <f t="shared" si="10"/>
        <v>0.26399984345900002</v>
      </c>
      <c r="Y59" s="118">
        <f t="shared" si="11"/>
        <v>0.13090333404103668</v>
      </c>
      <c r="Z59">
        <f t="shared" si="12"/>
        <v>0.05</v>
      </c>
      <c r="AB59">
        <f t="shared" si="13"/>
        <v>3</v>
      </c>
      <c r="AC59">
        <f t="shared" si="14"/>
        <v>3</v>
      </c>
      <c r="AD59">
        <f t="shared" si="15"/>
        <v>3</v>
      </c>
      <c r="AE59">
        <f t="shared" si="0"/>
        <v>3</v>
      </c>
      <c r="AF59">
        <f t="shared" si="1"/>
        <v>3</v>
      </c>
      <c r="AG59">
        <f t="shared" si="2"/>
        <v>1</v>
      </c>
      <c r="AI59" s="97">
        <f>'Decline and Model'!E61</f>
        <v>44409</v>
      </c>
      <c r="AJ59" s="106">
        <f>'Decline and Model'!AC61</f>
        <v>86.6</v>
      </c>
      <c r="AK59" s="107">
        <f>'Decline and Model'!AD61</f>
        <v>14.8</v>
      </c>
      <c r="AL59" s="107">
        <f>'Decline and Model'!AE61</f>
        <v>30.3</v>
      </c>
      <c r="AM59" s="107">
        <f>'Decline and Model'!AF61</f>
        <v>89.8</v>
      </c>
      <c r="AN59" s="107">
        <f>'Decline and Model'!AG61</f>
        <v>63.4</v>
      </c>
      <c r="AO59" s="107">
        <f>'Decline and Model'!AH61</f>
        <v>0.85</v>
      </c>
      <c r="AP59" s="107">
        <f>'Decline and Model'!AI61</f>
        <v>3.9</v>
      </c>
      <c r="AQ59" s="108">
        <f>'Decline and Model'!AJ61</f>
        <v>3.9</v>
      </c>
      <c r="AR59" s="4">
        <f t="shared" si="3"/>
        <v>190.581243</v>
      </c>
      <c r="AS59" s="4">
        <f t="shared" si="4"/>
        <v>398.773954</v>
      </c>
      <c r="AT59" s="4">
        <f t="shared" si="5"/>
        <v>564.82493799999997</v>
      </c>
      <c r="AU59" s="4">
        <f t="shared" si="6"/>
        <v>544.69754599999999</v>
      </c>
    </row>
    <row r="60" spans="21:47">
      <c r="U60" s="118">
        <f t="shared" si="7"/>
        <v>0.27246392582000001</v>
      </c>
      <c r="V60" s="118">
        <f t="shared" si="8"/>
        <v>0.26461424294000002</v>
      </c>
      <c r="W60" s="118">
        <f t="shared" si="9"/>
        <v>0.27352503051599997</v>
      </c>
      <c r="X60" s="118">
        <f t="shared" si="10"/>
        <v>0.26399984345900002</v>
      </c>
      <c r="Y60" s="118">
        <f t="shared" si="11"/>
        <v>0.13090333404103668</v>
      </c>
      <c r="Z60">
        <f t="shared" si="12"/>
        <v>0.05</v>
      </c>
      <c r="AB60">
        <f t="shared" si="13"/>
        <v>3</v>
      </c>
      <c r="AC60">
        <f t="shared" si="14"/>
        <v>3</v>
      </c>
      <c r="AD60">
        <f t="shared" si="15"/>
        <v>3</v>
      </c>
      <c r="AE60">
        <f t="shared" si="0"/>
        <v>3</v>
      </c>
      <c r="AF60">
        <f t="shared" si="1"/>
        <v>3</v>
      </c>
      <c r="AG60">
        <f t="shared" si="2"/>
        <v>1</v>
      </c>
      <c r="AI60" s="97">
        <f>'Decline and Model'!E62</f>
        <v>44440</v>
      </c>
      <c r="AJ60" s="106">
        <f>'Decline and Model'!AC62</f>
        <v>86.6</v>
      </c>
      <c r="AK60" s="107">
        <f>'Decline and Model'!AD62</f>
        <v>14.8</v>
      </c>
      <c r="AL60" s="107">
        <f>'Decline and Model'!AE62</f>
        <v>30.3</v>
      </c>
      <c r="AM60" s="107">
        <f>'Decline and Model'!AF62</f>
        <v>89.8</v>
      </c>
      <c r="AN60" s="107">
        <f>'Decline and Model'!AG62</f>
        <v>63.4</v>
      </c>
      <c r="AO60" s="107">
        <f>'Decline and Model'!AH62</f>
        <v>0.85</v>
      </c>
      <c r="AP60" s="107">
        <f>'Decline and Model'!AI62</f>
        <v>3.9</v>
      </c>
      <c r="AQ60" s="108">
        <f>'Decline and Model'!AJ62</f>
        <v>3.9</v>
      </c>
      <c r="AR60" s="4">
        <f t="shared" si="3"/>
        <v>190.581243</v>
      </c>
      <c r="AS60" s="4">
        <f t="shared" si="4"/>
        <v>398.773954</v>
      </c>
      <c r="AT60" s="4">
        <f t="shared" si="5"/>
        <v>564.82493799999997</v>
      </c>
      <c r="AU60" s="4">
        <f t="shared" si="6"/>
        <v>544.69754599999999</v>
      </c>
    </row>
    <row r="61" spans="21:47">
      <c r="U61" s="118">
        <f t="shared" si="7"/>
        <v>0.27246392582000001</v>
      </c>
      <c r="V61" s="118">
        <f t="shared" si="8"/>
        <v>0.26461424294000002</v>
      </c>
      <c r="W61" s="118">
        <f t="shared" si="9"/>
        <v>0.27352503051599997</v>
      </c>
      <c r="X61" s="118">
        <f t="shared" si="10"/>
        <v>0.26399984345900002</v>
      </c>
      <c r="Y61" s="118">
        <f t="shared" si="11"/>
        <v>0.13090333404103668</v>
      </c>
      <c r="Z61">
        <f t="shared" si="12"/>
        <v>0.05</v>
      </c>
      <c r="AB61">
        <f t="shared" si="13"/>
        <v>3</v>
      </c>
      <c r="AC61">
        <f t="shared" si="14"/>
        <v>3</v>
      </c>
      <c r="AD61">
        <f t="shared" si="15"/>
        <v>3</v>
      </c>
      <c r="AE61">
        <f t="shared" si="0"/>
        <v>3</v>
      </c>
      <c r="AF61">
        <f t="shared" si="1"/>
        <v>3</v>
      </c>
      <c r="AG61">
        <f t="shared" si="2"/>
        <v>1</v>
      </c>
      <c r="AI61" s="97">
        <f>'Decline and Model'!E63</f>
        <v>44470</v>
      </c>
      <c r="AJ61" s="106">
        <f>'Decline and Model'!AC63</f>
        <v>86.6</v>
      </c>
      <c r="AK61" s="107">
        <f>'Decline and Model'!AD63</f>
        <v>14.8</v>
      </c>
      <c r="AL61" s="107">
        <f>'Decline and Model'!AE63</f>
        <v>30.3</v>
      </c>
      <c r="AM61" s="107">
        <f>'Decline and Model'!AF63</f>
        <v>89.8</v>
      </c>
      <c r="AN61" s="107">
        <f>'Decline and Model'!AG63</f>
        <v>63.4</v>
      </c>
      <c r="AO61" s="107">
        <f>'Decline and Model'!AH63</f>
        <v>0.85</v>
      </c>
      <c r="AP61" s="107">
        <f>'Decline and Model'!AI63</f>
        <v>3.9</v>
      </c>
      <c r="AQ61" s="108">
        <f>'Decline and Model'!AJ63</f>
        <v>3.9</v>
      </c>
      <c r="AR61" s="4">
        <f t="shared" si="3"/>
        <v>190.581243</v>
      </c>
      <c r="AS61" s="4">
        <f t="shared" si="4"/>
        <v>398.773954</v>
      </c>
      <c r="AT61" s="4">
        <f t="shared" si="5"/>
        <v>564.82493799999997</v>
      </c>
      <c r="AU61" s="4">
        <f t="shared" si="6"/>
        <v>544.69754599999999</v>
      </c>
    </row>
    <row r="62" spans="21:47">
      <c r="U62" s="118">
        <f t="shared" si="7"/>
        <v>0.27246392582000001</v>
      </c>
      <c r="V62" s="118">
        <f t="shared" si="8"/>
        <v>0.26461424294000002</v>
      </c>
      <c r="W62" s="118">
        <f t="shared" si="9"/>
        <v>0.27352503051599997</v>
      </c>
      <c r="X62" s="118">
        <f t="shared" si="10"/>
        <v>0.26399984345900002</v>
      </c>
      <c r="Y62" s="118">
        <f t="shared" si="11"/>
        <v>0.13090333404103668</v>
      </c>
      <c r="Z62">
        <f t="shared" si="12"/>
        <v>0.05</v>
      </c>
      <c r="AB62">
        <f t="shared" si="13"/>
        <v>3</v>
      </c>
      <c r="AC62">
        <f t="shared" si="14"/>
        <v>3</v>
      </c>
      <c r="AD62">
        <f t="shared" si="15"/>
        <v>3</v>
      </c>
      <c r="AE62">
        <f t="shared" si="0"/>
        <v>3</v>
      </c>
      <c r="AF62">
        <f t="shared" si="1"/>
        <v>3</v>
      </c>
      <c r="AG62">
        <f t="shared" si="2"/>
        <v>1</v>
      </c>
      <c r="AI62" s="97">
        <f>'Decline and Model'!E64</f>
        <v>44501</v>
      </c>
      <c r="AJ62" s="106">
        <f>'Decline and Model'!AC64</f>
        <v>86.6</v>
      </c>
      <c r="AK62" s="107">
        <f>'Decline and Model'!AD64</f>
        <v>14.8</v>
      </c>
      <c r="AL62" s="107">
        <f>'Decline and Model'!AE64</f>
        <v>30.3</v>
      </c>
      <c r="AM62" s="107">
        <f>'Decline and Model'!AF64</f>
        <v>89.8</v>
      </c>
      <c r="AN62" s="107">
        <f>'Decline and Model'!AG64</f>
        <v>63.4</v>
      </c>
      <c r="AO62" s="107">
        <f>'Decline and Model'!AH64</f>
        <v>0.85</v>
      </c>
      <c r="AP62" s="107">
        <f>'Decline and Model'!AI64</f>
        <v>3.9</v>
      </c>
      <c r="AQ62" s="108">
        <f>'Decline and Model'!AJ64</f>
        <v>3.9</v>
      </c>
      <c r="AR62" s="4">
        <f t="shared" si="3"/>
        <v>190.581243</v>
      </c>
      <c r="AS62" s="4">
        <f t="shared" si="4"/>
        <v>398.773954</v>
      </c>
      <c r="AT62" s="4">
        <f t="shared" si="5"/>
        <v>564.82493799999997</v>
      </c>
      <c r="AU62" s="4">
        <f t="shared" si="6"/>
        <v>544.69754599999999</v>
      </c>
    </row>
    <row r="63" spans="21:47">
      <c r="U63" s="118">
        <f t="shared" si="7"/>
        <v>0.27246392582000001</v>
      </c>
      <c r="V63" s="118">
        <f t="shared" si="8"/>
        <v>0.26461424294000002</v>
      </c>
      <c r="W63" s="118">
        <f t="shared" si="9"/>
        <v>0.27352503051599997</v>
      </c>
      <c r="X63" s="118">
        <f t="shared" si="10"/>
        <v>0.26399984345900002</v>
      </c>
      <c r="Y63" s="118">
        <f t="shared" si="11"/>
        <v>0.13090333404103668</v>
      </c>
      <c r="Z63">
        <f t="shared" si="12"/>
        <v>0.05</v>
      </c>
      <c r="AB63">
        <f t="shared" si="13"/>
        <v>3</v>
      </c>
      <c r="AC63">
        <f t="shared" si="14"/>
        <v>3</v>
      </c>
      <c r="AD63">
        <f t="shared" si="15"/>
        <v>3</v>
      </c>
      <c r="AE63">
        <f t="shared" si="0"/>
        <v>3</v>
      </c>
      <c r="AF63">
        <f t="shared" si="1"/>
        <v>3</v>
      </c>
      <c r="AG63">
        <f t="shared" si="2"/>
        <v>1</v>
      </c>
      <c r="AI63" s="97">
        <f>'Decline and Model'!E65</f>
        <v>44531</v>
      </c>
      <c r="AJ63" s="106">
        <f>'Decline and Model'!AC65</f>
        <v>86.6</v>
      </c>
      <c r="AK63" s="107">
        <f>'Decline and Model'!AD65</f>
        <v>14.8</v>
      </c>
      <c r="AL63" s="107">
        <f>'Decline and Model'!AE65</f>
        <v>30.3</v>
      </c>
      <c r="AM63" s="107">
        <f>'Decline and Model'!AF65</f>
        <v>89.8</v>
      </c>
      <c r="AN63" s="107">
        <f>'Decline and Model'!AG65</f>
        <v>63.4</v>
      </c>
      <c r="AO63" s="107">
        <f>'Decline and Model'!AH65</f>
        <v>0.85</v>
      </c>
      <c r="AP63" s="107">
        <f>'Decline and Model'!AI65</f>
        <v>3.9</v>
      </c>
      <c r="AQ63" s="108">
        <f>'Decline and Model'!AJ65</f>
        <v>3.9</v>
      </c>
      <c r="AR63" s="4">
        <f t="shared" si="3"/>
        <v>190.581243</v>
      </c>
      <c r="AS63" s="4">
        <f t="shared" si="4"/>
        <v>398.773954</v>
      </c>
      <c r="AT63" s="4">
        <f t="shared" si="5"/>
        <v>564.82493799999997</v>
      </c>
      <c r="AU63" s="4">
        <f t="shared" si="6"/>
        <v>544.69754599999999</v>
      </c>
    </row>
    <row r="64" spans="21:47">
      <c r="U64" s="118">
        <f t="shared" si="7"/>
        <v>0.27687937243999999</v>
      </c>
      <c r="V64" s="118">
        <f t="shared" si="8"/>
        <v>0.26878438697000001</v>
      </c>
      <c r="W64" s="118">
        <f t="shared" si="9"/>
        <v>0.27805495167799998</v>
      </c>
      <c r="X64" s="118">
        <f t="shared" si="10"/>
        <v>0.26820017857700001</v>
      </c>
      <c r="Y64" s="118">
        <f t="shared" si="11"/>
        <v>0.1330283340410367</v>
      </c>
      <c r="Z64">
        <f t="shared" si="12"/>
        <v>0.05</v>
      </c>
      <c r="AB64">
        <f t="shared" si="13"/>
        <v>3</v>
      </c>
      <c r="AC64">
        <f t="shared" si="14"/>
        <v>3</v>
      </c>
      <c r="AD64">
        <f t="shared" si="15"/>
        <v>3</v>
      </c>
      <c r="AE64">
        <f t="shared" si="0"/>
        <v>3</v>
      </c>
      <c r="AF64">
        <f t="shared" si="1"/>
        <v>3</v>
      </c>
      <c r="AG64">
        <f t="shared" si="2"/>
        <v>1</v>
      </c>
      <c r="AI64" s="97">
        <f>'Decline and Model'!E66</f>
        <v>44562</v>
      </c>
      <c r="AJ64" s="106">
        <f>'Decline and Model'!AC66</f>
        <v>88.3</v>
      </c>
      <c r="AK64" s="107">
        <f>'Decline and Model'!AD66</f>
        <v>15</v>
      </c>
      <c r="AL64" s="107">
        <f>'Decline and Model'!AE66</f>
        <v>30.9</v>
      </c>
      <c r="AM64" s="107">
        <f>'Decline and Model'!AF66</f>
        <v>91.6</v>
      </c>
      <c r="AN64" s="107">
        <f>'Decline and Model'!AG66</f>
        <v>64.7</v>
      </c>
      <c r="AO64" s="107">
        <f>'Decline and Model'!AH66</f>
        <v>0.85</v>
      </c>
      <c r="AP64" s="107">
        <f>'Decline and Model'!AI66</f>
        <v>3.95</v>
      </c>
      <c r="AQ64" s="108">
        <f>'Decline and Model'!AJ66</f>
        <v>3.95</v>
      </c>
      <c r="AR64" s="4">
        <f t="shared" si="3"/>
        <v>194.35512900000001</v>
      </c>
      <c r="AS64" s="4">
        <f t="shared" si="4"/>
        <v>406.95070700000002</v>
      </c>
      <c r="AT64" s="4">
        <f t="shared" si="5"/>
        <v>576.14659599999993</v>
      </c>
      <c r="AU64" s="4">
        <f t="shared" si="6"/>
        <v>555.39022299999999</v>
      </c>
    </row>
    <row r="65" spans="21:47">
      <c r="U65" s="118">
        <f t="shared" si="7"/>
        <v>0.27687937243999999</v>
      </c>
      <c r="V65" s="118">
        <f t="shared" si="8"/>
        <v>0.26878438697000001</v>
      </c>
      <c r="W65" s="118">
        <f t="shared" si="9"/>
        <v>0.27805495167799998</v>
      </c>
      <c r="X65" s="118">
        <f t="shared" si="10"/>
        <v>0.26820017857700001</v>
      </c>
      <c r="Y65" s="118">
        <f t="shared" si="11"/>
        <v>0.1330283340410367</v>
      </c>
      <c r="Z65">
        <f t="shared" si="12"/>
        <v>0.05</v>
      </c>
      <c r="AB65">
        <f t="shared" si="13"/>
        <v>3</v>
      </c>
      <c r="AC65">
        <f t="shared" si="14"/>
        <v>3</v>
      </c>
      <c r="AD65">
        <f t="shared" si="15"/>
        <v>3</v>
      </c>
      <c r="AE65">
        <f t="shared" si="0"/>
        <v>3</v>
      </c>
      <c r="AF65">
        <f t="shared" si="1"/>
        <v>3</v>
      </c>
      <c r="AG65">
        <f t="shared" si="2"/>
        <v>1</v>
      </c>
      <c r="AI65" s="97">
        <f>'Decline and Model'!E67</f>
        <v>44593</v>
      </c>
      <c r="AJ65" s="106">
        <f>'Decline and Model'!AC67</f>
        <v>88.3</v>
      </c>
      <c r="AK65" s="107">
        <f>'Decline and Model'!AD67</f>
        <v>15</v>
      </c>
      <c r="AL65" s="107">
        <f>'Decline and Model'!AE67</f>
        <v>30.9</v>
      </c>
      <c r="AM65" s="107">
        <f>'Decline and Model'!AF67</f>
        <v>91.6</v>
      </c>
      <c r="AN65" s="107">
        <f>'Decline and Model'!AG67</f>
        <v>64.7</v>
      </c>
      <c r="AO65" s="107">
        <f>'Decline and Model'!AH67</f>
        <v>0.85</v>
      </c>
      <c r="AP65" s="107">
        <f>'Decline and Model'!AI67</f>
        <v>3.95</v>
      </c>
      <c r="AQ65" s="108">
        <f>'Decline and Model'!AJ67</f>
        <v>3.95</v>
      </c>
      <c r="AR65" s="4">
        <f t="shared" si="3"/>
        <v>194.35512900000001</v>
      </c>
      <c r="AS65" s="4">
        <f t="shared" si="4"/>
        <v>406.95070700000002</v>
      </c>
      <c r="AT65" s="4">
        <f t="shared" si="5"/>
        <v>576.14659599999993</v>
      </c>
      <c r="AU65" s="4">
        <f t="shared" si="6"/>
        <v>555.39022299999999</v>
      </c>
    </row>
    <row r="66" spans="21:47">
      <c r="U66" s="118">
        <f t="shared" si="7"/>
        <v>0.27687937243999999</v>
      </c>
      <c r="V66" s="118">
        <f t="shared" si="8"/>
        <v>0.26878438697000001</v>
      </c>
      <c r="W66" s="118">
        <f t="shared" si="9"/>
        <v>0.27805495167799998</v>
      </c>
      <c r="X66" s="118">
        <f t="shared" si="10"/>
        <v>0.26820017857700001</v>
      </c>
      <c r="Y66" s="118">
        <f t="shared" si="11"/>
        <v>0.1330283340410367</v>
      </c>
      <c r="Z66">
        <f t="shared" si="12"/>
        <v>0.05</v>
      </c>
      <c r="AB66">
        <f t="shared" si="13"/>
        <v>3</v>
      </c>
      <c r="AC66">
        <f t="shared" si="14"/>
        <v>3</v>
      </c>
      <c r="AD66">
        <f t="shared" si="15"/>
        <v>3</v>
      </c>
      <c r="AE66">
        <f t="shared" si="0"/>
        <v>3</v>
      </c>
      <c r="AF66">
        <f t="shared" si="1"/>
        <v>3</v>
      </c>
      <c r="AG66">
        <f t="shared" si="2"/>
        <v>1</v>
      </c>
      <c r="AI66" s="97">
        <f>'Decline and Model'!E68</f>
        <v>44621</v>
      </c>
      <c r="AJ66" s="106">
        <f>'Decline and Model'!AC68</f>
        <v>88.3</v>
      </c>
      <c r="AK66" s="107">
        <f>'Decline and Model'!AD68</f>
        <v>15</v>
      </c>
      <c r="AL66" s="107">
        <f>'Decline and Model'!AE68</f>
        <v>30.9</v>
      </c>
      <c r="AM66" s="107">
        <f>'Decline and Model'!AF68</f>
        <v>91.6</v>
      </c>
      <c r="AN66" s="107">
        <f>'Decline and Model'!AG68</f>
        <v>64.7</v>
      </c>
      <c r="AO66" s="107">
        <f>'Decline and Model'!AH68</f>
        <v>0.85</v>
      </c>
      <c r="AP66" s="107">
        <f>'Decline and Model'!AI68</f>
        <v>3.95</v>
      </c>
      <c r="AQ66" s="108">
        <f>'Decline and Model'!AJ68</f>
        <v>3.95</v>
      </c>
      <c r="AR66" s="4">
        <f t="shared" si="3"/>
        <v>194.35512900000001</v>
      </c>
      <c r="AS66" s="4">
        <f t="shared" si="4"/>
        <v>406.95070700000002</v>
      </c>
      <c r="AT66" s="4">
        <f t="shared" si="5"/>
        <v>576.14659599999993</v>
      </c>
      <c r="AU66" s="4">
        <f t="shared" si="6"/>
        <v>555.39022299999999</v>
      </c>
    </row>
    <row r="67" spans="21:47">
      <c r="U67" s="118">
        <f t="shared" si="7"/>
        <v>0.27687937243999999</v>
      </c>
      <c r="V67" s="118">
        <f t="shared" si="8"/>
        <v>0.26878438697000001</v>
      </c>
      <c r="W67" s="118">
        <f t="shared" si="9"/>
        <v>0.27805495167799998</v>
      </c>
      <c r="X67" s="118">
        <f t="shared" si="10"/>
        <v>0.26820017857700001</v>
      </c>
      <c r="Y67" s="118">
        <f t="shared" si="11"/>
        <v>0.1330283340410367</v>
      </c>
      <c r="Z67">
        <f t="shared" si="12"/>
        <v>0.05</v>
      </c>
      <c r="AB67">
        <f t="shared" si="13"/>
        <v>3</v>
      </c>
      <c r="AC67">
        <f t="shared" si="14"/>
        <v>3</v>
      </c>
      <c r="AD67">
        <f t="shared" si="15"/>
        <v>3</v>
      </c>
      <c r="AE67">
        <f t="shared" si="0"/>
        <v>3</v>
      </c>
      <c r="AF67">
        <f t="shared" si="1"/>
        <v>3</v>
      </c>
      <c r="AG67">
        <f t="shared" si="2"/>
        <v>1</v>
      </c>
      <c r="AI67" s="97">
        <f>'Decline and Model'!E69</f>
        <v>44652</v>
      </c>
      <c r="AJ67" s="106">
        <f>'Decline and Model'!AC69</f>
        <v>88.3</v>
      </c>
      <c r="AK67" s="107">
        <f>'Decline and Model'!AD69</f>
        <v>15</v>
      </c>
      <c r="AL67" s="107">
        <f>'Decline and Model'!AE69</f>
        <v>30.9</v>
      </c>
      <c r="AM67" s="107">
        <f>'Decline and Model'!AF69</f>
        <v>91.6</v>
      </c>
      <c r="AN67" s="107">
        <f>'Decline and Model'!AG69</f>
        <v>64.7</v>
      </c>
      <c r="AO67" s="107">
        <f>'Decline and Model'!AH69</f>
        <v>0.85</v>
      </c>
      <c r="AP67" s="107">
        <f>'Decline and Model'!AI69</f>
        <v>3.95</v>
      </c>
      <c r="AQ67" s="108">
        <f>'Decline and Model'!AJ69</f>
        <v>3.95</v>
      </c>
      <c r="AR67" s="4">
        <f t="shared" si="3"/>
        <v>194.35512900000001</v>
      </c>
      <c r="AS67" s="4">
        <f t="shared" si="4"/>
        <v>406.95070700000002</v>
      </c>
      <c r="AT67" s="4">
        <f t="shared" si="5"/>
        <v>576.14659599999993</v>
      </c>
      <c r="AU67" s="4">
        <f t="shared" si="6"/>
        <v>555.39022299999999</v>
      </c>
    </row>
    <row r="68" spans="21:47">
      <c r="U68" s="118">
        <f t="shared" si="7"/>
        <v>0.27687937243999999</v>
      </c>
      <c r="V68" s="118">
        <f t="shared" si="8"/>
        <v>0.26878438697000001</v>
      </c>
      <c r="W68" s="118">
        <f t="shared" si="9"/>
        <v>0.27805495167799998</v>
      </c>
      <c r="X68" s="118">
        <f t="shared" si="10"/>
        <v>0.26820017857700001</v>
      </c>
      <c r="Y68" s="118">
        <f t="shared" si="11"/>
        <v>0.1330283340410367</v>
      </c>
      <c r="Z68">
        <f t="shared" si="12"/>
        <v>0.05</v>
      </c>
      <c r="AB68">
        <f t="shared" si="13"/>
        <v>3</v>
      </c>
      <c r="AC68">
        <f t="shared" si="14"/>
        <v>3</v>
      </c>
      <c r="AD68">
        <f t="shared" si="15"/>
        <v>3</v>
      </c>
      <c r="AE68">
        <f t="shared" si="0"/>
        <v>3</v>
      </c>
      <c r="AF68">
        <f t="shared" si="1"/>
        <v>3</v>
      </c>
      <c r="AG68">
        <f t="shared" si="2"/>
        <v>1</v>
      </c>
      <c r="AI68" s="97">
        <f>'Decline and Model'!E70</f>
        <v>44682</v>
      </c>
      <c r="AJ68" s="106">
        <f>'Decline and Model'!AC70</f>
        <v>88.3</v>
      </c>
      <c r="AK68" s="107">
        <f>'Decline and Model'!AD70</f>
        <v>15</v>
      </c>
      <c r="AL68" s="107">
        <f>'Decline and Model'!AE70</f>
        <v>30.9</v>
      </c>
      <c r="AM68" s="107">
        <f>'Decline and Model'!AF70</f>
        <v>91.6</v>
      </c>
      <c r="AN68" s="107">
        <f>'Decline and Model'!AG70</f>
        <v>64.7</v>
      </c>
      <c r="AO68" s="107">
        <f>'Decline and Model'!AH70</f>
        <v>0.85</v>
      </c>
      <c r="AP68" s="107">
        <f>'Decline and Model'!AI70</f>
        <v>3.95</v>
      </c>
      <c r="AQ68" s="108">
        <f>'Decline and Model'!AJ70</f>
        <v>3.95</v>
      </c>
      <c r="AR68" s="4">
        <f t="shared" si="3"/>
        <v>194.35512900000001</v>
      </c>
      <c r="AS68" s="4">
        <f t="shared" si="4"/>
        <v>406.95070700000002</v>
      </c>
      <c r="AT68" s="4">
        <f t="shared" si="5"/>
        <v>576.14659599999993</v>
      </c>
      <c r="AU68" s="4">
        <f t="shared" si="6"/>
        <v>555.39022299999999</v>
      </c>
    </row>
    <row r="69" spans="21:47">
      <c r="U69" s="118">
        <f t="shared" si="7"/>
        <v>0.27687937243999999</v>
      </c>
      <c r="V69" s="118">
        <f t="shared" si="8"/>
        <v>0.26878438697000001</v>
      </c>
      <c r="W69" s="118">
        <f t="shared" si="9"/>
        <v>0.27805495167799998</v>
      </c>
      <c r="X69" s="118">
        <f t="shared" si="10"/>
        <v>0.26820017857700001</v>
      </c>
      <c r="Y69" s="118">
        <f t="shared" si="11"/>
        <v>0.1330283340410367</v>
      </c>
      <c r="Z69">
        <f t="shared" si="12"/>
        <v>0.05</v>
      </c>
      <c r="AB69">
        <f t="shared" si="13"/>
        <v>3</v>
      </c>
      <c r="AC69">
        <f t="shared" si="14"/>
        <v>3</v>
      </c>
      <c r="AD69">
        <f t="shared" si="15"/>
        <v>3</v>
      </c>
      <c r="AE69">
        <f t="shared" si="0"/>
        <v>3</v>
      </c>
      <c r="AF69">
        <f t="shared" si="1"/>
        <v>3</v>
      </c>
      <c r="AG69">
        <f t="shared" si="2"/>
        <v>1</v>
      </c>
      <c r="AI69" s="97">
        <f>'Decline and Model'!E71</f>
        <v>44713</v>
      </c>
      <c r="AJ69" s="106">
        <f>'Decline and Model'!AC71</f>
        <v>88.3</v>
      </c>
      <c r="AK69" s="107">
        <f>'Decline and Model'!AD71</f>
        <v>15</v>
      </c>
      <c r="AL69" s="107">
        <f>'Decline and Model'!AE71</f>
        <v>30.9</v>
      </c>
      <c r="AM69" s="107">
        <f>'Decline and Model'!AF71</f>
        <v>91.6</v>
      </c>
      <c r="AN69" s="107">
        <f>'Decline and Model'!AG71</f>
        <v>64.7</v>
      </c>
      <c r="AO69" s="107">
        <f>'Decline and Model'!AH71</f>
        <v>0.85</v>
      </c>
      <c r="AP69" s="107">
        <f>'Decline and Model'!AI71</f>
        <v>3.95</v>
      </c>
      <c r="AQ69" s="108">
        <f>'Decline and Model'!AJ71</f>
        <v>3.95</v>
      </c>
      <c r="AR69" s="4">
        <f t="shared" si="3"/>
        <v>194.35512900000001</v>
      </c>
      <c r="AS69" s="4">
        <f t="shared" si="4"/>
        <v>406.95070700000002</v>
      </c>
      <c r="AT69" s="4">
        <f t="shared" si="5"/>
        <v>576.14659599999993</v>
      </c>
      <c r="AU69" s="4">
        <f t="shared" si="6"/>
        <v>555.39022299999999</v>
      </c>
    </row>
    <row r="70" spans="21:47">
      <c r="U70" s="118">
        <f t="shared" si="7"/>
        <v>0.27687937243999999</v>
      </c>
      <c r="V70" s="118">
        <f t="shared" si="8"/>
        <v>0.26878438697000001</v>
      </c>
      <c r="W70" s="118">
        <f t="shared" si="9"/>
        <v>0.27805495167799998</v>
      </c>
      <c r="X70" s="118">
        <f t="shared" si="10"/>
        <v>0.26820017857700001</v>
      </c>
      <c r="Y70" s="118">
        <f t="shared" si="11"/>
        <v>0.1330283340410367</v>
      </c>
      <c r="Z70">
        <f t="shared" si="12"/>
        <v>0.05</v>
      </c>
      <c r="AB70">
        <f t="shared" si="13"/>
        <v>3</v>
      </c>
      <c r="AC70">
        <f t="shared" si="14"/>
        <v>3</v>
      </c>
      <c r="AD70">
        <f t="shared" si="15"/>
        <v>3</v>
      </c>
      <c r="AE70">
        <f t="shared" si="0"/>
        <v>3</v>
      </c>
      <c r="AF70">
        <f t="shared" si="1"/>
        <v>3</v>
      </c>
      <c r="AG70">
        <f t="shared" si="2"/>
        <v>1</v>
      </c>
      <c r="AI70" s="97">
        <f>'Decline and Model'!E72</f>
        <v>44743</v>
      </c>
      <c r="AJ70" s="106">
        <f>'Decline and Model'!AC72</f>
        <v>88.3</v>
      </c>
      <c r="AK70" s="107">
        <f>'Decline and Model'!AD72</f>
        <v>15</v>
      </c>
      <c r="AL70" s="107">
        <f>'Decline and Model'!AE72</f>
        <v>30.9</v>
      </c>
      <c r="AM70" s="107">
        <f>'Decline and Model'!AF72</f>
        <v>91.6</v>
      </c>
      <c r="AN70" s="107">
        <f>'Decline and Model'!AG72</f>
        <v>64.7</v>
      </c>
      <c r="AO70" s="107">
        <f>'Decline and Model'!AH72</f>
        <v>0.85</v>
      </c>
      <c r="AP70" s="107">
        <f>'Decline and Model'!AI72</f>
        <v>3.95</v>
      </c>
      <c r="AQ70" s="108">
        <f>'Decline and Model'!AJ72</f>
        <v>3.95</v>
      </c>
      <c r="AR70" s="4">
        <f t="shared" si="3"/>
        <v>194.35512900000001</v>
      </c>
      <c r="AS70" s="4">
        <f t="shared" si="4"/>
        <v>406.95070700000002</v>
      </c>
      <c r="AT70" s="4">
        <f t="shared" si="5"/>
        <v>576.14659599999993</v>
      </c>
      <c r="AU70" s="4">
        <f t="shared" si="6"/>
        <v>555.39022299999999</v>
      </c>
    </row>
    <row r="71" spans="21:47">
      <c r="U71" s="118">
        <f t="shared" si="7"/>
        <v>0.27687937243999999</v>
      </c>
      <c r="V71" s="118">
        <f t="shared" si="8"/>
        <v>0.26878438697000001</v>
      </c>
      <c r="W71" s="118">
        <f t="shared" si="9"/>
        <v>0.27805495167799998</v>
      </c>
      <c r="X71" s="118">
        <f t="shared" si="10"/>
        <v>0.26820017857700001</v>
      </c>
      <c r="Y71" s="118">
        <f t="shared" si="11"/>
        <v>0.1330283340410367</v>
      </c>
      <c r="Z71">
        <f t="shared" si="12"/>
        <v>0.05</v>
      </c>
      <c r="AB71">
        <f t="shared" si="13"/>
        <v>3</v>
      </c>
      <c r="AC71">
        <f t="shared" si="14"/>
        <v>3</v>
      </c>
      <c r="AD71">
        <f t="shared" si="15"/>
        <v>3</v>
      </c>
      <c r="AE71">
        <f t="shared" ref="AE71:AE134" si="16">IF(AR71&lt;$I$26,1,IF(AR71&lt;$I$27,2,IF(AR71&lt;$I$28,3,4)))</f>
        <v>3</v>
      </c>
      <c r="AF71">
        <f t="shared" ref="AF71:AF134" si="17">IF(AQ71&lt;$E$26,1,IF(AQ71&lt;$E$27,2,IF(AQ71&lt;$E$28,3,4)))</f>
        <v>3</v>
      </c>
      <c r="AG71">
        <f t="shared" ref="AG71:AG134" si="18">IF(AK71&lt;$F$26,1,IF(AK71&lt;$F$27,2,IF(AK71&lt;$F$28,3,4)))</f>
        <v>1</v>
      </c>
      <c r="AI71" s="97">
        <f>'Decline and Model'!E73</f>
        <v>44774</v>
      </c>
      <c r="AJ71" s="106">
        <f>'Decline and Model'!AC73</f>
        <v>88.3</v>
      </c>
      <c r="AK71" s="107">
        <f>'Decline and Model'!AD73</f>
        <v>15</v>
      </c>
      <c r="AL71" s="107">
        <f>'Decline and Model'!AE73</f>
        <v>30.9</v>
      </c>
      <c r="AM71" s="107">
        <f>'Decline and Model'!AF73</f>
        <v>91.6</v>
      </c>
      <c r="AN71" s="107">
        <f>'Decline and Model'!AG73</f>
        <v>64.7</v>
      </c>
      <c r="AO71" s="107">
        <f>'Decline and Model'!AH73</f>
        <v>0.85</v>
      </c>
      <c r="AP71" s="107">
        <f>'Decline and Model'!AI73</f>
        <v>3.95</v>
      </c>
      <c r="AQ71" s="108">
        <f>'Decline and Model'!AJ73</f>
        <v>3.95</v>
      </c>
      <c r="AR71" s="4">
        <f t="shared" ref="AR71:AR134" si="19">AL71*$C$14</f>
        <v>194.35512900000001</v>
      </c>
      <c r="AS71" s="4">
        <f t="shared" ref="AS71:AS134" si="20">AN71*$C$14</f>
        <v>406.95070700000002</v>
      </c>
      <c r="AT71" s="4">
        <f t="shared" ref="AT71:AT134" si="21">AM71*$C$14</f>
        <v>576.14659599999993</v>
      </c>
      <c r="AU71" s="4">
        <f t="shared" ref="AU71:AU134" si="22">AJ71*$C$14</f>
        <v>555.39022299999999</v>
      </c>
    </row>
    <row r="72" spans="21:47">
      <c r="U72" s="118">
        <f t="shared" ref="U72:U135" si="23">MIN(((AT72-VLOOKUP(AB72,$B$25:$Q$28,U$4,FALSE))*VLOOKUP(AB72,$B$25:$Q$28,U$3,FALSE)+VLOOKUP(AB72,$B$25:$Q$28,U$2,FALSE)),$O$29)</f>
        <v>0.27687937243999999</v>
      </c>
      <c r="V72" s="118">
        <f t="shared" ref="V72:V135" si="24">MIN(((AU72-VLOOKUP(AC72,$B$25:$Q$28,V$4,FALSE))*VLOOKUP(AC72,$B$25:$Q$28,V$3,FALSE)+VLOOKUP(AC72,$B$25:$Q$28,V$2,FALSE)),$O$29)</f>
        <v>0.26878438697000001</v>
      </c>
      <c r="W72" s="118">
        <f t="shared" ref="W72:W135" si="25">MIN(((AS72-VLOOKUP(AD72,$B$25:$Q$28,W$4,FALSE))*VLOOKUP(AD72,$B$25:$Q$28,W$3,FALSE)+VLOOKUP(AD72,$B$25:$Q$28,W$2,FALSE)),$C$29)</f>
        <v>0.27805495167799998</v>
      </c>
      <c r="X72" s="118">
        <f t="shared" ref="X72:X135" si="26">MIN(((AR72-VLOOKUP(AE72,$B$25:$Q$28,X$4,FALSE))*VLOOKUP(AE72,$B$25:$Q$28,X$3,FALSE)+VLOOKUP(AE72,$B$25:$Q$28,X$2,FALSE)),$C$29)</f>
        <v>0.26820017857700001</v>
      </c>
      <c r="Y72" s="118">
        <f t="shared" ref="Y72:Y135" si="27">MIN(((AQ72-VLOOKUP(AF72,$B$25:$H$28,Y$4,FALSE))*VLOOKUP(AF72,$B$25:$H$28,Y$3,FALSE)+VLOOKUP(AF72,$B$25:$H$28,Y$2,FALSE)),$C$29)</f>
        <v>0.1330283340410367</v>
      </c>
      <c r="Z72">
        <f t="shared" ref="Z72:Z135" si="28">MIN(((AK72-VLOOKUP(AG72,$B$25:$H$28,Z$4,FALSE))*VLOOKUP(AG72,$B$25:$H$28,Z$3,FALSE)+VLOOKUP(AG72,$B$25:$H$28,Z$2,FALSE)),$C$29)</f>
        <v>0.05</v>
      </c>
      <c r="AB72">
        <f t="shared" ref="AB72:AB135" si="29">IF(AT72&lt;$O$26,1,IF(AT72&lt;$O$27,2,IF(AT72&lt;$O$28,3,4)))</f>
        <v>3</v>
      </c>
      <c r="AC72">
        <f t="shared" ref="AC72:AC135" si="30">IF(AU72&lt;$O$26,1,IF(AU72&lt;$O$27,2,IF(AU72&lt;$O$28,3,4)))</f>
        <v>3</v>
      </c>
      <c r="AD72">
        <f t="shared" ref="AD72:AD135" si="31">IF(AS72&lt;$L$26,1,IF(AS72&lt;$L$27,2,IF(AS72&lt;$L$28,3,4)))</f>
        <v>3</v>
      </c>
      <c r="AE72">
        <f t="shared" si="16"/>
        <v>3</v>
      </c>
      <c r="AF72">
        <f t="shared" si="17"/>
        <v>3</v>
      </c>
      <c r="AG72">
        <f t="shared" si="18"/>
        <v>1</v>
      </c>
      <c r="AI72" s="97">
        <f>'Decline and Model'!E74</f>
        <v>44805</v>
      </c>
      <c r="AJ72" s="106">
        <f>'Decline and Model'!AC74</f>
        <v>88.3</v>
      </c>
      <c r="AK72" s="107">
        <f>'Decline and Model'!AD74</f>
        <v>15</v>
      </c>
      <c r="AL72" s="107">
        <f>'Decline and Model'!AE74</f>
        <v>30.9</v>
      </c>
      <c r="AM72" s="107">
        <f>'Decline and Model'!AF74</f>
        <v>91.6</v>
      </c>
      <c r="AN72" s="107">
        <f>'Decline and Model'!AG74</f>
        <v>64.7</v>
      </c>
      <c r="AO72" s="107">
        <f>'Decline and Model'!AH74</f>
        <v>0.85</v>
      </c>
      <c r="AP72" s="107">
        <f>'Decline and Model'!AI74</f>
        <v>3.95</v>
      </c>
      <c r="AQ72" s="108">
        <f>'Decline and Model'!AJ74</f>
        <v>3.95</v>
      </c>
      <c r="AR72" s="4">
        <f t="shared" si="19"/>
        <v>194.35512900000001</v>
      </c>
      <c r="AS72" s="4">
        <f t="shared" si="20"/>
        <v>406.95070700000002</v>
      </c>
      <c r="AT72" s="4">
        <f t="shared" si="21"/>
        <v>576.14659599999993</v>
      </c>
      <c r="AU72" s="4">
        <f t="shared" si="22"/>
        <v>555.39022299999999</v>
      </c>
    </row>
    <row r="73" spans="21:47">
      <c r="U73" s="118">
        <f t="shared" si="23"/>
        <v>0.27687937243999999</v>
      </c>
      <c r="V73" s="118">
        <f t="shared" si="24"/>
        <v>0.26878438697000001</v>
      </c>
      <c r="W73" s="118">
        <f t="shared" si="25"/>
        <v>0.27805495167799998</v>
      </c>
      <c r="X73" s="118">
        <f t="shared" si="26"/>
        <v>0.26820017857700001</v>
      </c>
      <c r="Y73" s="118">
        <f t="shared" si="27"/>
        <v>0.1330283340410367</v>
      </c>
      <c r="Z73">
        <f t="shared" si="28"/>
        <v>0.05</v>
      </c>
      <c r="AB73">
        <f t="shared" si="29"/>
        <v>3</v>
      </c>
      <c r="AC73">
        <f t="shared" si="30"/>
        <v>3</v>
      </c>
      <c r="AD73">
        <f t="shared" si="31"/>
        <v>3</v>
      </c>
      <c r="AE73">
        <f t="shared" si="16"/>
        <v>3</v>
      </c>
      <c r="AF73">
        <f t="shared" si="17"/>
        <v>3</v>
      </c>
      <c r="AG73">
        <f t="shared" si="18"/>
        <v>1</v>
      </c>
      <c r="AI73" s="97">
        <f>'Decline and Model'!E75</f>
        <v>44835</v>
      </c>
      <c r="AJ73" s="106">
        <f>'Decline and Model'!AC75</f>
        <v>88.3</v>
      </c>
      <c r="AK73" s="107">
        <f>'Decline and Model'!AD75</f>
        <v>15</v>
      </c>
      <c r="AL73" s="107">
        <f>'Decline and Model'!AE75</f>
        <v>30.9</v>
      </c>
      <c r="AM73" s="107">
        <f>'Decline and Model'!AF75</f>
        <v>91.6</v>
      </c>
      <c r="AN73" s="107">
        <f>'Decline and Model'!AG75</f>
        <v>64.7</v>
      </c>
      <c r="AO73" s="107">
        <f>'Decline and Model'!AH75</f>
        <v>0.85</v>
      </c>
      <c r="AP73" s="107">
        <f>'Decline and Model'!AI75</f>
        <v>3.95</v>
      </c>
      <c r="AQ73" s="108">
        <f>'Decline and Model'!AJ75</f>
        <v>3.95</v>
      </c>
      <c r="AR73" s="4">
        <f t="shared" si="19"/>
        <v>194.35512900000001</v>
      </c>
      <c r="AS73" s="4">
        <f t="shared" si="20"/>
        <v>406.95070700000002</v>
      </c>
      <c r="AT73" s="4">
        <f t="shared" si="21"/>
        <v>576.14659599999993</v>
      </c>
      <c r="AU73" s="4">
        <f t="shared" si="22"/>
        <v>555.39022299999999</v>
      </c>
    </row>
    <row r="74" spans="21:47">
      <c r="U74" s="118">
        <f t="shared" si="23"/>
        <v>0.27687937243999999</v>
      </c>
      <c r="V74" s="118">
        <f t="shared" si="24"/>
        <v>0.26878438697000001</v>
      </c>
      <c r="W74" s="118">
        <f t="shared" si="25"/>
        <v>0.27805495167799998</v>
      </c>
      <c r="X74" s="118">
        <f t="shared" si="26"/>
        <v>0.26820017857700001</v>
      </c>
      <c r="Y74" s="118">
        <f t="shared" si="27"/>
        <v>0.1330283340410367</v>
      </c>
      <c r="Z74">
        <f t="shared" si="28"/>
        <v>0.05</v>
      </c>
      <c r="AB74">
        <f t="shared" si="29"/>
        <v>3</v>
      </c>
      <c r="AC74">
        <f t="shared" si="30"/>
        <v>3</v>
      </c>
      <c r="AD74">
        <f t="shared" si="31"/>
        <v>3</v>
      </c>
      <c r="AE74">
        <f t="shared" si="16"/>
        <v>3</v>
      </c>
      <c r="AF74">
        <f t="shared" si="17"/>
        <v>3</v>
      </c>
      <c r="AG74">
        <f t="shared" si="18"/>
        <v>1</v>
      </c>
      <c r="AI74" s="97">
        <f>'Decline and Model'!E76</f>
        <v>44866</v>
      </c>
      <c r="AJ74" s="106">
        <f>'Decline and Model'!AC76</f>
        <v>88.3</v>
      </c>
      <c r="AK74" s="107">
        <f>'Decline and Model'!AD76</f>
        <v>15</v>
      </c>
      <c r="AL74" s="107">
        <f>'Decline and Model'!AE76</f>
        <v>30.9</v>
      </c>
      <c r="AM74" s="107">
        <f>'Decline and Model'!AF76</f>
        <v>91.6</v>
      </c>
      <c r="AN74" s="107">
        <f>'Decline and Model'!AG76</f>
        <v>64.7</v>
      </c>
      <c r="AO74" s="107">
        <f>'Decline and Model'!AH76</f>
        <v>0.85</v>
      </c>
      <c r="AP74" s="107">
        <f>'Decline and Model'!AI76</f>
        <v>3.95</v>
      </c>
      <c r="AQ74" s="108">
        <f>'Decline and Model'!AJ76</f>
        <v>3.95</v>
      </c>
      <c r="AR74" s="4">
        <f t="shared" si="19"/>
        <v>194.35512900000001</v>
      </c>
      <c r="AS74" s="4">
        <f t="shared" si="20"/>
        <v>406.95070700000002</v>
      </c>
      <c r="AT74" s="4">
        <f t="shared" si="21"/>
        <v>576.14659599999993</v>
      </c>
      <c r="AU74" s="4">
        <f t="shared" si="22"/>
        <v>555.39022299999999</v>
      </c>
    </row>
    <row r="75" spans="21:47">
      <c r="U75" s="118">
        <f t="shared" si="23"/>
        <v>0.27687937243999999</v>
      </c>
      <c r="V75" s="118">
        <f t="shared" si="24"/>
        <v>0.26878438697000001</v>
      </c>
      <c r="W75" s="118">
        <f t="shared" si="25"/>
        <v>0.27805495167799998</v>
      </c>
      <c r="X75" s="118">
        <f t="shared" si="26"/>
        <v>0.26820017857700001</v>
      </c>
      <c r="Y75" s="118">
        <f t="shared" si="27"/>
        <v>0.1330283340410367</v>
      </c>
      <c r="Z75">
        <f t="shared" si="28"/>
        <v>0.05</v>
      </c>
      <c r="AB75">
        <f t="shared" si="29"/>
        <v>3</v>
      </c>
      <c r="AC75">
        <f t="shared" si="30"/>
        <v>3</v>
      </c>
      <c r="AD75">
        <f t="shared" si="31"/>
        <v>3</v>
      </c>
      <c r="AE75">
        <f t="shared" si="16"/>
        <v>3</v>
      </c>
      <c r="AF75">
        <f t="shared" si="17"/>
        <v>3</v>
      </c>
      <c r="AG75">
        <f t="shared" si="18"/>
        <v>1</v>
      </c>
      <c r="AI75" s="97">
        <f>'Decline and Model'!E77</f>
        <v>44896</v>
      </c>
      <c r="AJ75" s="106">
        <f>'Decline and Model'!AC77</f>
        <v>88.3</v>
      </c>
      <c r="AK75" s="107">
        <f>'Decline and Model'!AD77</f>
        <v>15</v>
      </c>
      <c r="AL75" s="107">
        <f>'Decline and Model'!AE77</f>
        <v>30.9</v>
      </c>
      <c r="AM75" s="107">
        <f>'Decline and Model'!AF77</f>
        <v>91.6</v>
      </c>
      <c r="AN75" s="107">
        <f>'Decline and Model'!AG77</f>
        <v>64.7</v>
      </c>
      <c r="AO75" s="107">
        <f>'Decline and Model'!AH77</f>
        <v>0.85</v>
      </c>
      <c r="AP75" s="107">
        <f>'Decline and Model'!AI77</f>
        <v>3.95</v>
      </c>
      <c r="AQ75" s="108">
        <f>'Decline and Model'!AJ77</f>
        <v>3.95</v>
      </c>
      <c r="AR75" s="4">
        <f t="shared" si="19"/>
        <v>194.35512900000001</v>
      </c>
      <c r="AS75" s="4">
        <f t="shared" si="20"/>
        <v>406.95070700000002</v>
      </c>
      <c r="AT75" s="4">
        <f t="shared" si="21"/>
        <v>576.14659599999993</v>
      </c>
      <c r="AU75" s="4">
        <f t="shared" si="22"/>
        <v>555.39022299999999</v>
      </c>
    </row>
    <row r="76" spans="21:47">
      <c r="U76" s="118">
        <f t="shared" si="23"/>
        <v>0.28129481905999998</v>
      </c>
      <c r="V76" s="118">
        <f t="shared" si="24"/>
        <v>0.272954531</v>
      </c>
      <c r="W76" s="118">
        <f t="shared" si="25"/>
        <v>0.28223641736600003</v>
      </c>
      <c r="X76" s="118">
        <f t="shared" si="26"/>
        <v>0.27240051369500001</v>
      </c>
      <c r="Y76" s="118">
        <f t="shared" si="27"/>
        <v>0.13940333404103666</v>
      </c>
      <c r="Z76">
        <f t="shared" si="28"/>
        <v>0.05</v>
      </c>
      <c r="AB76">
        <f t="shared" si="29"/>
        <v>3</v>
      </c>
      <c r="AC76">
        <f t="shared" si="30"/>
        <v>3</v>
      </c>
      <c r="AD76">
        <f t="shared" si="31"/>
        <v>3</v>
      </c>
      <c r="AE76">
        <f t="shared" si="16"/>
        <v>3</v>
      </c>
      <c r="AF76">
        <f t="shared" si="17"/>
        <v>3</v>
      </c>
      <c r="AG76">
        <f t="shared" si="18"/>
        <v>1</v>
      </c>
      <c r="AI76" s="97">
        <f>'Decline and Model'!E78</f>
        <v>44927</v>
      </c>
      <c r="AJ76" s="106">
        <f>'Decline and Model'!AC78</f>
        <v>90</v>
      </c>
      <c r="AK76" s="107">
        <f>'Decline and Model'!AD78</f>
        <v>15.4</v>
      </c>
      <c r="AL76" s="107">
        <f>'Decline and Model'!AE78</f>
        <v>31.5</v>
      </c>
      <c r="AM76" s="107">
        <f>'Decline and Model'!AF78</f>
        <v>93.4</v>
      </c>
      <c r="AN76" s="107">
        <f>'Decline and Model'!AG78</f>
        <v>65.900000000000006</v>
      </c>
      <c r="AO76" s="107">
        <f>'Decline and Model'!AH78</f>
        <v>0.85</v>
      </c>
      <c r="AP76" s="107">
        <f>'Decline and Model'!AI78</f>
        <v>4.0999999999999996</v>
      </c>
      <c r="AQ76" s="108">
        <f>'Decline and Model'!AJ78</f>
        <v>4.0999999999999996</v>
      </c>
      <c r="AR76" s="4">
        <f t="shared" si="19"/>
        <v>198.12901500000001</v>
      </c>
      <c r="AS76" s="4">
        <f t="shared" si="20"/>
        <v>414.49847900000003</v>
      </c>
      <c r="AT76" s="4">
        <f t="shared" si="21"/>
        <v>587.468254</v>
      </c>
      <c r="AU76" s="4">
        <f t="shared" si="22"/>
        <v>566.0829</v>
      </c>
    </row>
    <row r="77" spans="21:47">
      <c r="U77" s="118">
        <f t="shared" si="23"/>
        <v>0.28129481905999998</v>
      </c>
      <c r="V77" s="118">
        <f t="shared" si="24"/>
        <v>0.272954531</v>
      </c>
      <c r="W77" s="118">
        <f t="shared" si="25"/>
        <v>0.28223641736600003</v>
      </c>
      <c r="X77" s="118">
        <f t="shared" si="26"/>
        <v>0.27240051369500001</v>
      </c>
      <c r="Y77" s="118">
        <f t="shared" si="27"/>
        <v>0.13940333404103666</v>
      </c>
      <c r="Z77">
        <f t="shared" si="28"/>
        <v>0.05</v>
      </c>
      <c r="AB77">
        <f t="shared" si="29"/>
        <v>3</v>
      </c>
      <c r="AC77">
        <f t="shared" si="30"/>
        <v>3</v>
      </c>
      <c r="AD77">
        <f t="shared" si="31"/>
        <v>3</v>
      </c>
      <c r="AE77">
        <f t="shared" si="16"/>
        <v>3</v>
      </c>
      <c r="AF77">
        <f t="shared" si="17"/>
        <v>3</v>
      </c>
      <c r="AG77">
        <f t="shared" si="18"/>
        <v>1</v>
      </c>
      <c r="AI77" s="97">
        <f>'Decline and Model'!E79</f>
        <v>44958</v>
      </c>
      <c r="AJ77" s="106">
        <f>'Decline and Model'!AC79</f>
        <v>90</v>
      </c>
      <c r="AK77" s="107">
        <f>'Decline and Model'!AD79</f>
        <v>15.4</v>
      </c>
      <c r="AL77" s="107">
        <f>'Decline and Model'!AE79</f>
        <v>31.5</v>
      </c>
      <c r="AM77" s="107">
        <f>'Decline and Model'!AF79</f>
        <v>93.4</v>
      </c>
      <c r="AN77" s="107">
        <f>'Decline and Model'!AG79</f>
        <v>65.900000000000006</v>
      </c>
      <c r="AO77" s="107">
        <f>'Decline and Model'!AH79</f>
        <v>0.85</v>
      </c>
      <c r="AP77" s="107">
        <f>'Decline and Model'!AI79</f>
        <v>4.0999999999999996</v>
      </c>
      <c r="AQ77" s="108">
        <f>'Decline and Model'!AJ79</f>
        <v>4.0999999999999996</v>
      </c>
      <c r="AR77" s="4">
        <f t="shared" si="19"/>
        <v>198.12901500000001</v>
      </c>
      <c r="AS77" s="4">
        <f t="shared" si="20"/>
        <v>414.49847900000003</v>
      </c>
      <c r="AT77" s="4">
        <f t="shared" si="21"/>
        <v>587.468254</v>
      </c>
      <c r="AU77" s="4">
        <f t="shared" si="22"/>
        <v>566.0829</v>
      </c>
    </row>
    <row r="78" spans="21:47">
      <c r="U78" s="118">
        <f t="shared" si="23"/>
        <v>0.28129481905999998</v>
      </c>
      <c r="V78" s="118">
        <f t="shared" si="24"/>
        <v>0.272954531</v>
      </c>
      <c r="W78" s="118">
        <f t="shared" si="25"/>
        <v>0.28223641736600003</v>
      </c>
      <c r="X78" s="118">
        <f t="shared" si="26"/>
        <v>0.27240051369500001</v>
      </c>
      <c r="Y78" s="118">
        <f t="shared" si="27"/>
        <v>0.13940333404103666</v>
      </c>
      <c r="Z78">
        <f t="shared" si="28"/>
        <v>0.05</v>
      </c>
      <c r="AB78">
        <f t="shared" si="29"/>
        <v>3</v>
      </c>
      <c r="AC78">
        <f t="shared" si="30"/>
        <v>3</v>
      </c>
      <c r="AD78">
        <f t="shared" si="31"/>
        <v>3</v>
      </c>
      <c r="AE78">
        <f t="shared" si="16"/>
        <v>3</v>
      </c>
      <c r="AF78">
        <f t="shared" si="17"/>
        <v>3</v>
      </c>
      <c r="AG78">
        <f t="shared" si="18"/>
        <v>1</v>
      </c>
      <c r="AI78" s="97">
        <f>'Decline and Model'!E80</f>
        <v>44986</v>
      </c>
      <c r="AJ78" s="106">
        <f>'Decline and Model'!AC80</f>
        <v>90</v>
      </c>
      <c r="AK78" s="107">
        <f>'Decline and Model'!AD80</f>
        <v>15.4</v>
      </c>
      <c r="AL78" s="107">
        <f>'Decline and Model'!AE80</f>
        <v>31.5</v>
      </c>
      <c r="AM78" s="107">
        <f>'Decline and Model'!AF80</f>
        <v>93.4</v>
      </c>
      <c r="AN78" s="107">
        <f>'Decline and Model'!AG80</f>
        <v>65.900000000000006</v>
      </c>
      <c r="AO78" s="107">
        <f>'Decline and Model'!AH80</f>
        <v>0.85</v>
      </c>
      <c r="AP78" s="107">
        <f>'Decline and Model'!AI80</f>
        <v>4.0999999999999996</v>
      </c>
      <c r="AQ78" s="108">
        <f>'Decline and Model'!AJ80</f>
        <v>4.0999999999999996</v>
      </c>
      <c r="AR78" s="4">
        <f t="shared" si="19"/>
        <v>198.12901500000001</v>
      </c>
      <c r="AS78" s="4">
        <f t="shared" si="20"/>
        <v>414.49847900000003</v>
      </c>
      <c r="AT78" s="4">
        <f t="shared" si="21"/>
        <v>587.468254</v>
      </c>
      <c r="AU78" s="4">
        <f t="shared" si="22"/>
        <v>566.0829</v>
      </c>
    </row>
    <row r="79" spans="21:47">
      <c r="U79" s="118">
        <f t="shared" si="23"/>
        <v>0.28129481905999998</v>
      </c>
      <c r="V79" s="118">
        <f t="shared" si="24"/>
        <v>0.272954531</v>
      </c>
      <c r="W79" s="118">
        <f t="shared" si="25"/>
        <v>0.28223641736600003</v>
      </c>
      <c r="X79" s="118">
        <f t="shared" si="26"/>
        <v>0.27240051369500001</v>
      </c>
      <c r="Y79" s="118">
        <f t="shared" si="27"/>
        <v>0.13940333404103666</v>
      </c>
      <c r="Z79">
        <f t="shared" si="28"/>
        <v>0.05</v>
      </c>
      <c r="AB79">
        <f t="shared" si="29"/>
        <v>3</v>
      </c>
      <c r="AC79">
        <f t="shared" si="30"/>
        <v>3</v>
      </c>
      <c r="AD79">
        <f t="shared" si="31"/>
        <v>3</v>
      </c>
      <c r="AE79">
        <f t="shared" si="16"/>
        <v>3</v>
      </c>
      <c r="AF79">
        <f t="shared" si="17"/>
        <v>3</v>
      </c>
      <c r="AG79">
        <f t="shared" si="18"/>
        <v>1</v>
      </c>
      <c r="AI79" s="97">
        <f>'Decline and Model'!E81</f>
        <v>45017</v>
      </c>
      <c r="AJ79" s="106">
        <f>'Decline and Model'!AC81</f>
        <v>90</v>
      </c>
      <c r="AK79" s="107">
        <f>'Decline and Model'!AD81</f>
        <v>15.4</v>
      </c>
      <c r="AL79" s="107">
        <f>'Decline and Model'!AE81</f>
        <v>31.5</v>
      </c>
      <c r="AM79" s="107">
        <f>'Decline and Model'!AF81</f>
        <v>93.4</v>
      </c>
      <c r="AN79" s="107">
        <f>'Decline and Model'!AG81</f>
        <v>65.900000000000006</v>
      </c>
      <c r="AO79" s="107">
        <f>'Decline and Model'!AH81</f>
        <v>0.85</v>
      </c>
      <c r="AP79" s="107">
        <f>'Decline and Model'!AI81</f>
        <v>4.0999999999999996</v>
      </c>
      <c r="AQ79" s="108">
        <f>'Decline and Model'!AJ81</f>
        <v>4.0999999999999996</v>
      </c>
      <c r="AR79" s="4">
        <f t="shared" si="19"/>
        <v>198.12901500000001</v>
      </c>
      <c r="AS79" s="4">
        <f t="shared" si="20"/>
        <v>414.49847900000003</v>
      </c>
      <c r="AT79" s="4">
        <f t="shared" si="21"/>
        <v>587.468254</v>
      </c>
      <c r="AU79" s="4">
        <f t="shared" si="22"/>
        <v>566.0829</v>
      </c>
    </row>
    <row r="80" spans="21:47">
      <c r="U80" s="118">
        <f t="shared" si="23"/>
        <v>0.28129481905999998</v>
      </c>
      <c r="V80" s="118">
        <f t="shared" si="24"/>
        <v>0.272954531</v>
      </c>
      <c r="W80" s="118">
        <f t="shared" si="25"/>
        <v>0.28223641736600003</v>
      </c>
      <c r="X80" s="118">
        <f t="shared" si="26"/>
        <v>0.27240051369500001</v>
      </c>
      <c r="Y80" s="118">
        <f t="shared" si="27"/>
        <v>0.13940333404103666</v>
      </c>
      <c r="Z80">
        <f t="shared" si="28"/>
        <v>0.05</v>
      </c>
      <c r="AB80">
        <f t="shared" si="29"/>
        <v>3</v>
      </c>
      <c r="AC80">
        <f t="shared" si="30"/>
        <v>3</v>
      </c>
      <c r="AD80">
        <f t="shared" si="31"/>
        <v>3</v>
      </c>
      <c r="AE80">
        <f t="shared" si="16"/>
        <v>3</v>
      </c>
      <c r="AF80">
        <f t="shared" si="17"/>
        <v>3</v>
      </c>
      <c r="AG80">
        <f t="shared" si="18"/>
        <v>1</v>
      </c>
      <c r="AI80" s="97">
        <f>'Decline and Model'!E82</f>
        <v>45047</v>
      </c>
      <c r="AJ80" s="106">
        <f>'Decline and Model'!AC82</f>
        <v>90</v>
      </c>
      <c r="AK80" s="107">
        <f>'Decline and Model'!AD82</f>
        <v>15.4</v>
      </c>
      <c r="AL80" s="107">
        <f>'Decline and Model'!AE82</f>
        <v>31.5</v>
      </c>
      <c r="AM80" s="107">
        <f>'Decline and Model'!AF82</f>
        <v>93.4</v>
      </c>
      <c r="AN80" s="107">
        <f>'Decline and Model'!AG82</f>
        <v>65.900000000000006</v>
      </c>
      <c r="AO80" s="107">
        <f>'Decline and Model'!AH82</f>
        <v>0.85</v>
      </c>
      <c r="AP80" s="107">
        <f>'Decline and Model'!AI82</f>
        <v>4.0999999999999996</v>
      </c>
      <c r="AQ80" s="108">
        <f>'Decline and Model'!AJ82</f>
        <v>4.0999999999999996</v>
      </c>
      <c r="AR80" s="4">
        <f t="shared" si="19"/>
        <v>198.12901500000001</v>
      </c>
      <c r="AS80" s="4">
        <f t="shared" si="20"/>
        <v>414.49847900000003</v>
      </c>
      <c r="AT80" s="4">
        <f t="shared" si="21"/>
        <v>587.468254</v>
      </c>
      <c r="AU80" s="4">
        <f t="shared" si="22"/>
        <v>566.0829</v>
      </c>
    </row>
    <row r="81" spans="21:47">
      <c r="U81" s="118">
        <f t="shared" si="23"/>
        <v>0.28129481905999998</v>
      </c>
      <c r="V81" s="118">
        <f t="shared" si="24"/>
        <v>0.272954531</v>
      </c>
      <c r="W81" s="118">
        <f t="shared" si="25"/>
        <v>0.28223641736600003</v>
      </c>
      <c r="X81" s="118">
        <f t="shared" si="26"/>
        <v>0.27240051369500001</v>
      </c>
      <c r="Y81" s="118">
        <f t="shared" si="27"/>
        <v>0.13940333404103666</v>
      </c>
      <c r="Z81">
        <f t="shared" si="28"/>
        <v>0.05</v>
      </c>
      <c r="AB81">
        <f t="shared" si="29"/>
        <v>3</v>
      </c>
      <c r="AC81">
        <f t="shared" si="30"/>
        <v>3</v>
      </c>
      <c r="AD81">
        <f t="shared" si="31"/>
        <v>3</v>
      </c>
      <c r="AE81">
        <f t="shared" si="16"/>
        <v>3</v>
      </c>
      <c r="AF81">
        <f t="shared" si="17"/>
        <v>3</v>
      </c>
      <c r="AG81">
        <f t="shared" si="18"/>
        <v>1</v>
      </c>
      <c r="AI81" s="97">
        <f>'Decline and Model'!E83</f>
        <v>45078</v>
      </c>
      <c r="AJ81" s="106">
        <f>'Decline and Model'!AC83</f>
        <v>90</v>
      </c>
      <c r="AK81" s="107">
        <f>'Decline and Model'!AD83</f>
        <v>15.4</v>
      </c>
      <c r="AL81" s="107">
        <f>'Decline and Model'!AE83</f>
        <v>31.5</v>
      </c>
      <c r="AM81" s="107">
        <f>'Decline and Model'!AF83</f>
        <v>93.4</v>
      </c>
      <c r="AN81" s="107">
        <f>'Decline and Model'!AG83</f>
        <v>65.900000000000006</v>
      </c>
      <c r="AO81" s="107">
        <f>'Decline and Model'!AH83</f>
        <v>0.85</v>
      </c>
      <c r="AP81" s="107">
        <f>'Decline and Model'!AI83</f>
        <v>4.0999999999999996</v>
      </c>
      <c r="AQ81" s="108">
        <f>'Decline and Model'!AJ83</f>
        <v>4.0999999999999996</v>
      </c>
      <c r="AR81" s="4">
        <f t="shared" si="19"/>
        <v>198.12901500000001</v>
      </c>
      <c r="AS81" s="4">
        <f t="shared" si="20"/>
        <v>414.49847900000003</v>
      </c>
      <c r="AT81" s="4">
        <f t="shared" si="21"/>
        <v>587.468254</v>
      </c>
      <c r="AU81" s="4">
        <f t="shared" si="22"/>
        <v>566.0829</v>
      </c>
    </row>
    <row r="82" spans="21:47">
      <c r="U82" s="118">
        <f t="shared" si="23"/>
        <v>0.28129481905999998</v>
      </c>
      <c r="V82" s="118">
        <f t="shared" si="24"/>
        <v>0.272954531</v>
      </c>
      <c r="W82" s="118">
        <f t="shared" si="25"/>
        <v>0.28223641736600003</v>
      </c>
      <c r="X82" s="118">
        <f t="shared" si="26"/>
        <v>0.27240051369500001</v>
      </c>
      <c r="Y82" s="118">
        <f t="shared" si="27"/>
        <v>0.13940333404103666</v>
      </c>
      <c r="Z82">
        <f t="shared" si="28"/>
        <v>0.05</v>
      </c>
      <c r="AB82">
        <f t="shared" si="29"/>
        <v>3</v>
      </c>
      <c r="AC82">
        <f t="shared" si="30"/>
        <v>3</v>
      </c>
      <c r="AD82">
        <f t="shared" si="31"/>
        <v>3</v>
      </c>
      <c r="AE82">
        <f t="shared" si="16"/>
        <v>3</v>
      </c>
      <c r="AF82">
        <f t="shared" si="17"/>
        <v>3</v>
      </c>
      <c r="AG82">
        <f t="shared" si="18"/>
        <v>1</v>
      </c>
      <c r="AI82" s="97">
        <f>'Decline and Model'!E84</f>
        <v>45108</v>
      </c>
      <c r="AJ82" s="106">
        <f>'Decline and Model'!AC84</f>
        <v>90</v>
      </c>
      <c r="AK82" s="107">
        <f>'Decline and Model'!AD84</f>
        <v>15.4</v>
      </c>
      <c r="AL82" s="107">
        <f>'Decline and Model'!AE84</f>
        <v>31.5</v>
      </c>
      <c r="AM82" s="107">
        <f>'Decline and Model'!AF84</f>
        <v>93.4</v>
      </c>
      <c r="AN82" s="107">
        <f>'Decline and Model'!AG84</f>
        <v>65.900000000000006</v>
      </c>
      <c r="AO82" s="107">
        <f>'Decline and Model'!AH84</f>
        <v>0.85</v>
      </c>
      <c r="AP82" s="107">
        <f>'Decline and Model'!AI84</f>
        <v>4.0999999999999996</v>
      </c>
      <c r="AQ82" s="108">
        <f>'Decline and Model'!AJ84</f>
        <v>4.0999999999999996</v>
      </c>
      <c r="AR82" s="4">
        <f t="shared" si="19"/>
        <v>198.12901500000001</v>
      </c>
      <c r="AS82" s="4">
        <f t="shared" si="20"/>
        <v>414.49847900000003</v>
      </c>
      <c r="AT82" s="4">
        <f t="shared" si="21"/>
        <v>587.468254</v>
      </c>
      <c r="AU82" s="4">
        <f t="shared" si="22"/>
        <v>566.0829</v>
      </c>
    </row>
    <row r="83" spans="21:47">
      <c r="U83" s="118">
        <f t="shared" si="23"/>
        <v>0.28129481905999998</v>
      </c>
      <c r="V83" s="118">
        <f t="shared" si="24"/>
        <v>0.272954531</v>
      </c>
      <c r="W83" s="118">
        <f t="shared" si="25"/>
        <v>0.28223641736600003</v>
      </c>
      <c r="X83" s="118">
        <f t="shared" si="26"/>
        <v>0.27240051369500001</v>
      </c>
      <c r="Y83" s="118">
        <f t="shared" si="27"/>
        <v>0.13940333404103666</v>
      </c>
      <c r="Z83">
        <f t="shared" si="28"/>
        <v>0.05</v>
      </c>
      <c r="AB83">
        <f t="shared" si="29"/>
        <v>3</v>
      </c>
      <c r="AC83">
        <f t="shared" si="30"/>
        <v>3</v>
      </c>
      <c r="AD83">
        <f t="shared" si="31"/>
        <v>3</v>
      </c>
      <c r="AE83">
        <f t="shared" si="16"/>
        <v>3</v>
      </c>
      <c r="AF83">
        <f t="shared" si="17"/>
        <v>3</v>
      </c>
      <c r="AG83">
        <f t="shared" si="18"/>
        <v>1</v>
      </c>
      <c r="AI83" s="97">
        <f>'Decline and Model'!E85</f>
        <v>45139</v>
      </c>
      <c r="AJ83" s="106">
        <f>'Decline and Model'!AC85</f>
        <v>90</v>
      </c>
      <c r="AK83" s="107">
        <f>'Decline and Model'!AD85</f>
        <v>15.4</v>
      </c>
      <c r="AL83" s="107">
        <f>'Decline and Model'!AE85</f>
        <v>31.5</v>
      </c>
      <c r="AM83" s="107">
        <f>'Decline and Model'!AF85</f>
        <v>93.4</v>
      </c>
      <c r="AN83" s="107">
        <f>'Decline and Model'!AG85</f>
        <v>65.900000000000006</v>
      </c>
      <c r="AO83" s="107">
        <f>'Decline and Model'!AH85</f>
        <v>0.85</v>
      </c>
      <c r="AP83" s="107">
        <f>'Decline and Model'!AI85</f>
        <v>4.0999999999999996</v>
      </c>
      <c r="AQ83" s="108">
        <f>'Decline and Model'!AJ85</f>
        <v>4.0999999999999996</v>
      </c>
      <c r="AR83" s="4">
        <f t="shared" si="19"/>
        <v>198.12901500000001</v>
      </c>
      <c r="AS83" s="4">
        <f t="shared" si="20"/>
        <v>414.49847900000003</v>
      </c>
      <c r="AT83" s="4">
        <f t="shared" si="21"/>
        <v>587.468254</v>
      </c>
      <c r="AU83" s="4">
        <f t="shared" si="22"/>
        <v>566.0829</v>
      </c>
    </row>
    <row r="84" spans="21:47">
      <c r="U84" s="118">
        <f t="shared" si="23"/>
        <v>0.28129481905999998</v>
      </c>
      <c r="V84" s="118">
        <f t="shared" si="24"/>
        <v>0.272954531</v>
      </c>
      <c r="W84" s="118">
        <f t="shared" si="25"/>
        <v>0.28223641736600003</v>
      </c>
      <c r="X84" s="118">
        <f t="shared" si="26"/>
        <v>0.27240051369500001</v>
      </c>
      <c r="Y84" s="118">
        <f t="shared" si="27"/>
        <v>0.13940333404103666</v>
      </c>
      <c r="Z84">
        <f t="shared" si="28"/>
        <v>0.05</v>
      </c>
      <c r="AB84">
        <f t="shared" si="29"/>
        <v>3</v>
      </c>
      <c r="AC84">
        <f t="shared" si="30"/>
        <v>3</v>
      </c>
      <c r="AD84">
        <f t="shared" si="31"/>
        <v>3</v>
      </c>
      <c r="AE84">
        <f t="shared" si="16"/>
        <v>3</v>
      </c>
      <c r="AF84">
        <f t="shared" si="17"/>
        <v>3</v>
      </c>
      <c r="AG84">
        <f t="shared" si="18"/>
        <v>1</v>
      </c>
      <c r="AI84" s="97">
        <f>'Decline and Model'!E86</f>
        <v>45170</v>
      </c>
      <c r="AJ84" s="106">
        <f>'Decline and Model'!AC86</f>
        <v>90</v>
      </c>
      <c r="AK84" s="107">
        <f>'Decline and Model'!AD86</f>
        <v>15.4</v>
      </c>
      <c r="AL84" s="107">
        <f>'Decline and Model'!AE86</f>
        <v>31.5</v>
      </c>
      <c r="AM84" s="107">
        <f>'Decline and Model'!AF86</f>
        <v>93.4</v>
      </c>
      <c r="AN84" s="107">
        <f>'Decline and Model'!AG86</f>
        <v>65.900000000000006</v>
      </c>
      <c r="AO84" s="107">
        <f>'Decline and Model'!AH86</f>
        <v>0.85</v>
      </c>
      <c r="AP84" s="107">
        <f>'Decline and Model'!AI86</f>
        <v>4.0999999999999996</v>
      </c>
      <c r="AQ84" s="108">
        <f>'Decline and Model'!AJ86</f>
        <v>4.0999999999999996</v>
      </c>
      <c r="AR84" s="4">
        <f t="shared" si="19"/>
        <v>198.12901500000001</v>
      </c>
      <c r="AS84" s="4">
        <f t="shared" si="20"/>
        <v>414.49847900000003</v>
      </c>
      <c r="AT84" s="4">
        <f t="shared" si="21"/>
        <v>587.468254</v>
      </c>
      <c r="AU84" s="4">
        <f t="shared" si="22"/>
        <v>566.0829</v>
      </c>
    </row>
    <row r="85" spans="21:47">
      <c r="U85" s="118">
        <f t="shared" si="23"/>
        <v>0.28129481905999998</v>
      </c>
      <c r="V85" s="118">
        <f t="shared" si="24"/>
        <v>0.272954531</v>
      </c>
      <c r="W85" s="118">
        <f t="shared" si="25"/>
        <v>0.28223641736600003</v>
      </c>
      <c r="X85" s="118">
        <f t="shared" si="26"/>
        <v>0.27240051369500001</v>
      </c>
      <c r="Y85" s="118">
        <f t="shared" si="27"/>
        <v>0.13940333404103666</v>
      </c>
      <c r="Z85">
        <f t="shared" si="28"/>
        <v>0.05</v>
      </c>
      <c r="AB85">
        <f t="shared" si="29"/>
        <v>3</v>
      </c>
      <c r="AC85">
        <f t="shared" si="30"/>
        <v>3</v>
      </c>
      <c r="AD85">
        <f t="shared" si="31"/>
        <v>3</v>
      </c>
      <c r="AE85">
        <f t="shared" si="16"/>
        <v>3</v>
      </c>
      <c r="AF85">
        <f t="shared" si="17"/>
        <v>3</v>
      </c>
      <c r="AG85">
        <f t="shared" si="18"/>
        <v>1</v>
      </c>
      <c r="AI85" s="97">
        <f>'Decline and Model'!E87</f>
        <v>45200</v>
      </c>
      <c r="AJ85" s="106">
        <f>'Decline and Model'!AC87</f>
        <v>90</v>
      </c>
      <c r="AK85" s="107">
        <f>'Decline and Model'!AD87</f>
        <v>15.4</v>
      </c>
      <c r="AL85" s="107">
        <f>'Decline and Model'!AE87</f>
        <v>31.5</v>
      </c>
      <c r="AM85" s="107">
        <f>'Decline and Model'!AF87</f>
        <v>93.4</v>
      </c>
      <c r="AN85" s="107">
        <f>'Decline and Model'!AG87</f>
        <v>65.900000000000006</v>
      </c>
      <c r="AO85" s="107">
        <f>'Decline and Model'!AH87</f>
        <v>0.85</v>
      </c>
      <c r="AP85" s="107">
        <f>'Decline and Model'!AI87</f>
        <v>4.0999999999999996</v>
      </c>
      <c r="AQ85" s="108">
        <f>'Decline and Model'!AJ87</f>
        <v>4.0999999999999996</v>
      </c>
      <c r="AR85" s="4">
        <f t="shared" si="19"/>
        <v>198.12901500000001</v>
      </c>
      <c r="AS85" s="4">
        <f t="shared" si="20"/>
        <v>414.49847900000003</v>
      </c>
      <c r="AT85" s="4">
        <f t="shared" si="21"/>
        <v>587.468254</v>
      </c>
      <c r="AU85" s="4">
        <f t="shared" si="22"/>
        <v>566.0829</v>
      </c>
    </row>
    <row r="86" spans="21:47">
      <c r="U86" s="118">
        <f t="shared" si="23"/>
        <v>0.28129481905999998</v>
      </c>
      <c r="V86" s="118">
        <f t="shared" si="24"/>
        <v>0.272954531</v>
      </c>
      <c r="W86" s="118">
        <f t="shared" si="25"/>
        <v>0.28223641736600003</v>
      </c>
      <c r="X86" s="118">
        <f t="shared" si="26"/>
        <v>0.27240051369500001</v>
      </c>
      <c r="Y86" s="118">
        <f t="shared" si="27"/>
        <v>0.13940333404103666</v>
      </c>
      <c r="Z86">
        <f t="shared" si="28"/>
        <v>0.05</v>
      </c>
      <c r="AB86">
        <f t="shared" si="29"/>
        <v>3</v>
      </c>
      <c r="AC86">
        <f t="shared" si="30"/>
        <v>3</v>
      </c>
      <c r="AD86">
        <f t="shared" si="31"/>
        <v>3</v>
      </c>
      <c r="AE86">
        <f t="shared" si="16"/>
        <v>3</v>
      </c>
      <c r="AF86">
        <f t="shared" si="17"/>
        <v>3</v>
      </c>
      <c r="AG86">
        <f t="shared" si="18"/>
        <v>1</v>
      </c>
      <c r="AI86" s="97">
        <f>'Decline and Model'!E88</f>
        <v>45231</v>
      </c>
      <c r="AJ86" s="106">
        <f>'Decline and Model'!AC88</f>
        <v>90</v>
      </c>
      <c r="AK86" s="107">
        <f>'Decline and Model'!AD88</f>
        <v>15.4</v>
      </c>
      <c r="AL86" s="107">
        <f>'Decline and Model'!AE88</f>
        <v>31.5</v>
      </c>
      <c r="AM86" s="107">
        <f>'Decline and Model'!AF88</f>
        <v>93.4</v>
      </c>
      <c r="AN86" s="107">
        <f>'Decline and Model'!AG88</f>
        <v>65.900000000000006</v>
      </c>
      <c r="AO86" s="107">
        <f>'Decline and Model'!AH88</f>
        <v>0.85</v>
      </c>
      <c r="AP86" s="107">
        <f>'Decline and Model'!AI88</f>
        <v>4.0999999999999996</v>
      </c>
      <c r="AQ86" s="108">
        <f>'Decline and Model'!AJ88</f>
        <v>4.0999999999999996</v>
      </c>
      <c r="AR86" s="4">
        <f t="shared" si="19"/>
        <v>198.12901500000001</v>
      </c>
      <c r="AS86" s="4">
        <f t="shared" si="20"/>
        <v>414.49847900000003</v>
      </c>
      <c r="AT86" s="4">
        <f t="shared" si="21"/>
        <v>587.468254</v>
      </c>
      <c r="AU86" s="4">
        <f t="shared" si="22"/>
        <v>566.0829</v>
      </c>
    </row>
    <row r="87" spans="21:47">
      <c r="U87" s="118">
        <f t="shared" si="23"/>
        <v>0.28129481905999998</v>
      </c>
      <c r="V87" s="118">
        <f t="shared" si="24"/>
        <v>0.272954531</v>
      </c>
      <c r="W87" s="118">
        <f t="shared" si="25"/>
        <v>0.28223641736600003</v>
      </c>
      <c r="X87" s="118">
        <f t="shared" si="26"/>
        <v>0.27240051369500001</v>
      </c>
      <c r="Y87" s="118">
        <f t="shared" si="27"/>
        <v>0.13940333404103666</v>
      </c>
      <c r="Z87">
        <f t="shared" si="28"/>
        <v>0.05</v>
      </c>
      <c r="AB87">
        <f t="shared" si="29"/>
        <v>3</v>
      </c>
      <c r="AC87">
        <f t="shared" si="30"/>
        <v>3</v>
      </c>
      <c r="AD87">
        <f t="shared" si="31"/>
        <v>3</v>
      </c>
      <c r="AE87">
        <f t="shared" si="16"/>
        <v>3</v>
      </c>
      <c r="AF87">
        <f t="shared" si="17"/>
        <v>3</v>
      </c>
      <c r="AG87">
        <f t="shared" si="18"/>
        <v>1</v>
      </c>
      <c r="AI87" s="97">
        <f>'Decline and Model'!E89</f>
        <v>45261</v>
      </c>
      <c r="AJ87" s="106">
        <f>'Decline and Model'!AC89</f>
        <v>90</v>
      </c>
      <c r="AK87" s="107">
        <f>'Decline and Model'!AD89</f>
        <v>15.4</v>
      </c>
      <c r="AL87" s="107">
        <f>'Decline and Model'!AE89</f>
        <v>31.5</v>
      </c>
      <c r="AM87" s="107">
        <f>'Decline and Model'!AF89</f>
        <v>93.4</v>
      </c>
      <c r="AN87" s="107">
        <f>'Decline and Model'!AG89</f>
        <v>65.900000000000006</v>
      </c>
      <c r="AO87" s="107">
        <f>'Decline and Model'!AH89</f>
        <v>0.85</v>
      </c>
      <c r="AP87" s="107">
        <f>'Decline and Model'!AI89</f>
        <v>4.0999999999999996</v>
      </c>
      <c r="AQ87" s="108">
        <f>'Decline and Model'!AJ89</f>
        <v>4.0999999999999996</v>
      </c>
      <c r="AR87" s="4">
        <f t="shared" si="19"/>
        <v>198.12901500000001</v>
      </c>
      <c r="AS87" s="4">
        <f t="shared" si="20"/>
        <v>414.49847900000003</v>
      </c>
      <c r="AT87" s="4">
        <f t="shared" si="21"/>
        <v>587.468254</v>
      </c>
      <c r="AU87" s="4">
        <f t="shared" si="22"/>
        <v>566.0829</v>
      </c>
    </row>
    <row r="88" spans="21:47">
      <c r="U88" s="118">
        <f t="shared" si="23"/>
        <v>0.28571026568000002</v>
      </c>
      <c r="V88" s="118">
        <f t="shared" si="24"/>
        <v>0.27736997761999999</v>
      </c>
      <c r="W88" s="118">
        <f t="shared" si="25"/>
        <v>0.28711479400200002</v>
      </c>
      <c r="X88" s="118">
        <f t="shared" si="26"/>
        <v>0.27730090466599999</v>
      </c>
      <c r="Y88" s="118">
        <f t="shared" si="27"/>
        <v>0.14577833404103668</v>
      </c>
      <c r="Z88">
        <f t="shared" si="28"/>
        <v>0.05</v>
      </c>
      <c r="AB88">
        <f t="shared" si="29"/>
        <v>3</v>
      </c>
      <c r="AC88">
        <f t="shared" si="30"/>
        <v>3</v>
      </c>
      <c r="AD88">
        <f t="shared" si="31"/>
        <v>3</v>
      </c>
      <c r="AE88">
        <f t="shared" si="16"/>
        <v>3</v>
      </c>
      <c r="AF88">
        <f t="shared" si="17"/>
        <v>3</v>
      </c>
      <c r="AG88">
        <f t="shared" si="18"/>
        <v>1</v>
      </c>
      <c r="AI88" s="97">
        <f>'Decline and Model'!E90</f>
        <v>45292</v>
      </c>
      <c r="AJ88" s="106">
        <f>'Decline and Model'!AC90</f>
        <v>91.8</v>
      </c>
      <c r="AK88" s="107">
        <f>'Decline and Model'!AD90</f>
        <v>16</v>
      </c>
      <c r="AL88" s="107">
        <f>'Decline and Model'!AE90</f>
        <v>32.200000000000003</v>
      </c>
      <c r="AM88" s="107">
        <f>'Decline and Model'!AF90</f>
        <v>95.2</v>
      </c>
      <c r="AN88" s="107">
        <f>'Decline and Model'!AG90</f>
        <v>67.3</v>
      </c>
      <c r="AO88" s="107">
        <f>'Decline and Model'!AH90</f>
        <v>0.85</v>
      </c>
      <c r="AP88" s="107">
        <f>'Decline and Model'!AI90</f>
        <v>4.25</v>
      </c>
      <c r="AQ88" s="108">
        <f>'Decline and Model'!AJ90</f>
        <v>4.25</v>
      </c>
      <c r="AR88" s="4">
        <f t="shared" si="19"/>
        <v>202.53188200000002</v>
      </c>
      <c r="AS88" s="4">
        <f t="shared" si="20"/>
        <v>423.304213</v>
      </c>
      <c r="AT88" s="4">
        <f t="shared" si="21"/>
        <v>598.78991200000007</v>
      </c>
      <c r="AU88" s="4">
        <f t="shared" si="22"/>
        <v>577.40455799999995</v>
      </c>
    </row>
    <row r="89" spans="21:47">
      <c r="U89" s="118">
        <f t="shared" si="23"/>
        <v>0.28571026568000002</v>
      </c>
      <c r="V89" s="118">
        <f t="shared" si="24"/>
        <v>0.27736997761999999</v>
      </c>
      <c r="W89" s="118">
        <f t="shared" si="25"/>
        <v>0.28711479400200002</v>
      </c>
      <c r="X89" s="118">
        <f t="shared" si="26"/>
        <v>0.27730090466599999</v>
      </c>
      <c r="Y89" s="118">
        <f t="shared" si="27"/>
        <v>0.14577833404103668</v>
      </c>
      <c r="Z89">
        <f t="shared" si="28"/>
        <v>0.05</v>
      </c>
      <c r="AB89">
        <f t="shared" si="29"/>
        <v>3</v>
      </c>
      <c r="AC89">
        <f t="shared" si="30"/>
        <v>3</v>
      </c>
      <c r="AD89">
        <f t="shared" si="31"/>
        <v>3</v>
      </c>
      <c r="AE89">
        <f t="shared" si="16"/>
        <v>3</v>
      </c>
      <c r="AF89">
        <f t="shared" si="17"/>
        <v>3</v>
      </c>
      <c r="AG89">
        <f t="shared" si="18"/>
        <v>1</v>
      </c>
      <c r="AI89" s="97">
        <f>'Decline and Model'!E91</f>
        <v>45323</v>
      </c>
      <c r="AJ89" s="106">
        <f>'Decline and Model'!AC91</f>
        <v>91.8</v>
      </c>
      <c r="AK89" s="107">
        <f>'Decline and Model'!AD91</f>
        <v>16</v>
      </c>
      <c r="AL89" s="107">
        <f>'Decline and Model'!AE91</f>
        <v>32.200000000000003</v>
      </c>
      <c r="AM89" s="107">
        <f>'Decline and Model'!AF91</f>
        <v>95.2</v>
      </c>
      <c r="AN89" s="107">
        <f>'Decline and Model'!AG91</f>
        <v>67.3</v>
      </c>
      <c r="AO89" s="107">
        <f>'Decline and Model'!AH91</f>
        <v>0.85</v>
      </c>
      <c r="AP89" s="107">
        <f>'Decline and Model'!AI91</f>
        <v>4.25</v>
      </c>
      <c r="AQ89" s="108">
        <f>'Decline and Model'!AJ91</f>
        <v>4.25</v>
      </c>
      <c r="AR89" s="4">
        <f t="shared" si="19"/>
        <v>202.53188200000002</v>
      </c>
      <c r="AS89" s="4">
        <f t="shared" si="20"/>
        <v>423.304213</v>
      </c>
      <c r="AT89" s="4">
        <f t="shared" si="21"/>
        <v>598.78991200000007</v>
      </c>
      <c r="AU89" s="4">
        <f t="shared" si="22"/>
        <v>577.40455799999995</v>
      </c>
    </row>
    <row r="90" spans="21:47">
      <c r="U90" s="118">
        <f t="shared" si="23"/>
        <v>0.28571026568000002</v>
      </c>
      <c r="V90" s="118">
        <f t="shared" si="24"/>
        <v>0.27736997761999999</v>
      </c>
      <c r="W90" s="118">
        <f t="shared" si="25"/>
        <v>0.28711479400200002</v>
      </c>
      <c r="X90" s="118">
        <f t="shared" si="26"/>
        <v>0.27730090466599999</v>
      </c>
      <c r="Y90" s="118">
        <f t="shared" si="27"/>
        <v>0.14577833404103668</v>
      </c>
      <c r="Z90">
        <f t="shared" si="28"/>
        <v>0.05</v>
      </c>
      <c r="AB90">
        <f t="shared" si="29"/>
        <v>3</v>
      </c>
      <c r="AC90">
        <f t="shared" si="30"/>
        <v>3</v>
      </c>
      <c r="AD90">
        <f t="shared" si="31"/>
        <v>3</v>
      </c>
      <c r="AE90">
        <f t="shared" si="16"/>
        <v>3</v>
      </c>
      <c r="AF90">
        <f t="shared" si="17"/>
        <v>3</v>
      </c>
      <c r="AG90">
        <f t="shared" si="18"/>
        <v>1</v>
      </c>
      <c r="AI90" s="97">
        <f>'Decline and Model'!E92</f>
        <v>45352</v>
      </c>
      <c r="AJ90" s="106">
        <f>'Decline and Model'!AC92</f>
        <v>91.8</v>
      </c>
      <c r="AK90" s="107">
        <f>'Decline and Model'!AD92</f>
        <v>16</v>
      </c>
      <c r="AL90" s="107">
        <f>'Decline and Model'!AE92</f>
        <v>32.200000000000003</v>
      </c>
      <c r="AM90" s="107">
        <f>'Decline and Model'!AF92</f>
        <v>95.2</v>
      </c>
      <c r="AN90" s="107">
        <f>'Decline and Model'!AG92</f>
        <v>67.3</v>
      </c>
      <c r="AO90" s="107">
        <f>'Decline and Model'!AH92</f>
        <v>0.85</v>
      </c>
      <c r="AP90" s="107">
        <f>'Decline and Model'!AI92</f>
        <v>4.25</v>
      </c>
      <c r="AQ90" s="108">
        <f>'Decline and Model'!AJ92</f>
        <v>4.25</v>
      </c>
      <c r="AR90" s="4">
        <f t="shared" si="19"/>
        <v>202.53188200000002</v>
      </c>
      <c r="AS90" s="4">
        <f t="shared" si="20"/>
        <v>423.304213</v>
      </c>
      <c r="AT90" s="4">
        <f t="shared" si="21"/>
        <v>598.78991200000007</v>
      </c>
      <c r="AU90" s="4">
        <f t="shared" si="22"/>
        <v>577.40455799999995</v>
      </c>
    </row>
    <row r="91" spans="21:47">
      <c r="U91" s="118">
        <f t="shared" si="23"/>
        <v>0.28571026568000002</v>
      </c>
      <c r="V91" s="118">
        <f t="shared" si="24"/>
        <v>0.27736997761999999</v>
      </c>
      <c r="W91" s="118">
        <f t="shared" si="25"/>
        <v>0.28711479400200002</v>
      </c>
      <c r="X91" s="118">
        <f t="shared" si="26"/>
        <v>0.27730090466599999</v>
      </c>
      <c r="Y91" s="118">
        <f t="shared" si="27"/>
        <v>0.14577833404103668</v>
      </c>
      <c r="Z91">
        <f t="shared" si="28"/>
        <v>0.05</v>
      </c>
      <c r="AB91">
        <f t="shared" si="29"/>
        <v>3</v>
      </c>
      <c r="AC91">
        <f t="shared" si="30"/>
        <v>3</v>
      </c>
      <c r="AD91">
        <f t="shared" si="31"/>
        <v>3</v>
      </c>
      <c r="AE91">
        <f t="shared" si="16"/>
        <v>3</v>
      </c>
      <c r="AF91">
        <f t="shared" si="17"/>
        <v>3</v>
      </c>
      <c r="AG91">
        <f t="shared" si="18"/>
        <v>1</v>
      </c>
      <c r="AI91" s="97">
        <f>'Decline and Model'!E93</f>
        <v>45383</v>
      </c>
      <c r="AJ91" s="106">
        <f>'Decline and Model'!AC93</f>
        <v>91.8</v>
      </c>
      <c r="AK91" s="107">
        <f>'Decline and Model'!AD93</f>
        <v>16</v>
      </c>
      <c r="AL91" s="107">
        <f>'Decline and Model'!AE93</f>
        <v>32.200000000000003</v>
      </c>
      <c r="AM91" s="107">
        <f>'Decline and Model'!AF93</f>
        <v>95.2</v>
      </c>
      <c r="AN91" s="107">
        <f>'Decline and Model'!AG93</f>
        <v>67.3</v>
      </c>
      <c r="AO91" s="107">
        <f>'Decline and Model'!AH93</f>
        <v>0.85</v>
      </c>
      <c r="AP91" s="107">
        <f>'Decline and Model'!AI93</f>
        <v>4.25</v>
      </c>
      <c r="AQ91" s="108">
        <f>'Decline and Model'!AJ93</f>
        <v>4.25</v>
      </c>
      <c r="AR91" s="4">
        <f t="shared" si="19"/>
        <v>202.53188200000002</v>
      </c>
      <c r="AS91" s="4">
        <f t="shared" si="20"/>
        <v>423.304213</v>
      </c>
      <c r="AT91" s="4">
        <f t="shared" si="21"/>
        <v>598.78991200000007</v>
      </c>
      <c r="AU91" s="4">
        <f t="shared" si="22"/>
        <v>577.40455799999995</v>
      </c>
    </row>
    <row r="92" spans="21:47">
      <c r="U92" s="118">
        <f t="shared" si="23"/>
        <v>0.28571026568000002</v>
      </c>
      <c r="V92" s="118">
        <f t="shared" si="24"/>
        <v>0.27736997761999999</v>
      </c>
      <c r="W92" s="118">
        <f t="shared" si="25"/>
        <v>0.28711479400200002</v>
      </c>
      <c r="X92" s="118">
        <f t="shared" si="26"/>
        <v>0.27730090466599999</v>
      </c>
      <c r="Y92" s="118">
        <f t="shared" si="27"/>
        <v>0.14577833404103668</v>
      </c>
      <c r="Z92">
        <f t="shared" si="28"/>
        <v>0.05</v>
      </c>
      <c r="AB92">
        <f t="shared" si="29"/>
        <v>3</v>
      </c>
      <c r="AC92">
        <f t="shared" si="30"/>
        <v>3</v>
      </c>
      <c r="AD92">
        <f t="shared" si="31"/>
        <v>3</v>
      </c>
      <c r="AE92">
        <f t="shared" si="16"/>
        <v>3</v>
      </c>
      <c r="AF92">
        <f t="shared" si="17"/>
        <v>3</v>
      </c>
      <c r="AG92">
        <f t="shared" si="18"/>
        <v>1</v>
      </c>
      <c r="AI92" s="97">
        <f>'Decline and Model'!E94</f>
        <v>45413</v>
      </c>
      <c r="AJ92" s="106">
        <f>'Decline and Model'!AC94</f>
        <v>91.8</v>
      </c>
      <c r="AK92" s="107">
        <f>'Decline and Model'!AD94</f>
        <v>16</v>
      </c>
      <c r="AL92" s="107">
        <f>'Decline and Model'!AE94</f>
        <v>32.200000000000003</v>
      </c>
      <c r="AM92" s="107">
        <f>'Decline and Model'!AF94</f>
        <v>95.2</v>
      </c>
      <c r="AN92" s="107">
        <f>'Decline and Model'!AG94</f>
        <v>67.3</v>
      </c>
      <c r="AO92" s="107">
        <f>'Decline and Model'!AH94</f>
        <v>0.85</v>
      </c>
      <c r="AP92" s="107">
        <f>'Decline and Model'!AI94</f>
        <v>4.25</v>
      </c>
      <c r="AQ92" s="108">
        <f>'Decline and Model'!AJ94</f>
        <v>4.25</v>
      </c>
      <c r="AR92" s="4">
        <f t="shared" si="19"/>
        <v>202.53188200000002</v>
      </c>
      <c r="AS92" s="4">
        <f t="shared" si="20"/>
        <v>423.304213</v>
      </c>
      <c r="AT92" s="4">
        <f t="shared" si="21"/>
        <v>598.78991200000007</v>
      </c>
      <c r="AU92" s="4">
        <f t="shared" si="22"/>
        <v>577.40455799999995</v>
      </c>
    </row>
    <row r="93" spans="21:47">
      <c r="U93" s="118">
        <f t="shared" si="23"/>
        <v>0.28571026568000002</v>
      </c>
      <c r="V93" s="118">
        <f t="shared" si="24"/>
        <v>0.27736997761999999</v>
      </c>
      <c r="W93" s="118">
        <f t="shared" si="25"/>
        <v>0.28711479400200002</v>
      </c>
      <c r="X93" s="118">
        <f t="shared" si="26"/>
        <v>0.27730090466599999</v>
      </c>
      <c r="Y93" s="118">
        <f t="shared" si="27"/>
        <v>0.14577833404103668</v>
      </c>
      <c r="Z93">
        <f t="shared" si="28"/>
        <v>0.05</v>
      </c>
      <c r="AB93">
        <f t="shared" si="29"/>
        <v>3</v>
      </c>
      <c r="AC93">
        <f t="shared" si="30"/>
        <v>3</v>
      </c>
      <c r="AD93">
        <f t="shared" si="31"/>
        <v>3</v>
      </c>
      <c r="AE93">
        <f t="shared" si="16"/>
        <v>3</v>
      </c>
      <c r="AF93">
        <f t="shared" si="17"/>
        <v>3</v>
      </c>
      <c r="AG93">
        <f t="shared" si="18"/>
        <v>1</v>
      </c>
      <c r="AI93" s="97">
        <f>'Decline and Model'!E95</f>
        <v>45444</v>
      </c>
      <c r="AJ93" s="106">
        <f>'Decline and Model'!AC95</f>
        <v>91.8</v>
      </c>
      <c r="AK93" s="107">
        <f>'Decline and Model'!AD95</f>
        <v>16</v>
      </c>
      <c r="AL93" s="107">
        <f>'Decline and Model'!AE95</f>
        <v>32.200000000000003</v>
      </c>
      <c r="AM93" s="107">
        <f>'Decline and Model'!AF95</f>
        <v>95.2</v>
      </c>
      <c r="AN93" s="107">
        <f>'Decline and Model'!AG95</f>
        <v>67.3</v>
      </c>
      <c r="AO93" s="107">
        <f>'Decline and Model'!AH95</f>
        <v>0.85</v>
      </c>
      <c r="AP93" s="107">
        <f>'Decline and Model'!AI95</f>
        <v>4.25</v>
      </c>
      <c r="AQ93" s="108">
        <f>'Decline and Model'!AJ95</f>
        <v>4.25</v>
      </c>
      <c r="AR93" s="4">
        <f t="shared" si="19"/>
        <v>202.53188200000002</v>
      </c>
      <c r="AS93" s="4">
        <f t="shared" si="20"/>
        <v>423.304213</v>
      </c>
      <c r="AT93" s="4">
        <f t="shared" si="21"/>
        <v>598.78991200000007</v>
      </c>
      <c r="AU93" s="4">
        <f t="shared" si="22"/>
        <v>577.40455799999995</v>
      </c>
    </row>
    <row r="94" spans="21:47">
      <c r="U94" s="118">
        <f t="shared" si="23"/>
        <v>0.28571026568000002</v>
      </c>
      <c r="V94" s="118">
        <f t="shared" si="24"/>
        <v>0.27736997761999999</v>
      </c>
      <c r="W94" s="118">
        <f t="shared" si="25"/>
        <v>0.28711479400200002</v>
      </c>
      <c r="X94" s="118">
        <f t="shared" si="26"/>
        <v>0.27730090466599999</v>
      </c>
      <c r="Y94" s="118">
        <f t="shared" si="27"/>
        <v>0.14577833404103668</v>
      </c>
      <c r="Z94">
        <f t="shared" si="28"/>
        <v>0.05</v>
      </c>
      <c r="AB94">
        <f t="shared" si="29"/>
        <v>3</v>
      </c>
      <c r="AC94">
        <f t="shared" si="30"/>
        <v>3</v>
      </c>
      <c r="AD94">
        <f t="shared" si="31"/>
        <v>3</v>
      </c>
      <c r="AE94">
        <f t="shared" si="16"/>
        <v>3</v>
      </c>
      <c r="AF94">
        <f t="shared" si="17"/>
        <v>3</v>
      </c>
      <c r="AG94">
        <f t="shared" si="18"/>
        <v>1</v>
      </c>
      <c r="AI94" s="97">
        <f>'Decline and Model'!E96</f>
        <v>45474</v>
      </c>
      <c r="AJ94" s="106">
        <f>'Decline and Model'!AC96</f>
        <v>91.8</v>
      </c>
      <c r="AK94" s="107">
        <f>'Decline and Model'!AD96</f>
        <v>16</v>
      </c>
      <c r="AL94" s="107">
        <f>'Decline and Model'!AE96</f>
        <v>32.200000000000003</v>
      </c>
      <c r="AM94" s="107">
        <f>'Decline and Model'!AF96</f>
        <v>95.2</v>
      </c>
      <c r="AN94" s="107">
        <f>'Decline and Model'!AG96</f>
        <v>67.3</v>
      </c>
      <c r="AO94" s="107">
        <f>'Decline and Model'!AH96</f>
        <v>0.85</v>
      </c>
      <c r="AP94" s="107">
        <f>'Decline and Model'!AI96</f>
        <v>4.25</v>
      </c>
      <c r="AQ94" s="108">
        <f>'Decline and Model'!AJ96</f>
        <v>4.25</v>
      </c>
      <c r="AR94" s="4">
        <f t="shared" si="19"/>
        <v>202.53188200000002</v>
      </c>
      <c r="AS94" s="4">
        <f t="shared" si="20"/>
        <v>423.304213</v>
      </c>
      <c r="AT94" s="4">
        <f t="shared" si="21"/>
        <v>598.78991200000007</v>
      </c>
      <c r="AU94" s="4">
        <f t="shared" si="22"/>
        <v>577.40455799999995</v>
      </c>
    </row>
    <row r="95" spans="21:47">
      <c r="U95" s="118">
        <f t="shared" si="23"/>
        <v>0.28571026568000002</v>
      </c>
      <c r="V95" s="118">
        <f t="shared" si="24"/>
        <v>0.27736997761999999</v>
      </c>
      <c r="W95" s="118">
        <f t="shared" si="25"/>
        <v>0.28711479400200002</v>
      </c>
      <c r="X95" s="118">
        <f t="shared" si="26"/>
        <v>0.27730090466599999</v>
      </c>
      <c r="Y95" s="118">
        <f t="shared" si="27"/>
        <v>0.14577833404103668</v>
      </c>
      <c r="Z95">
        <f t="shared" si="28"/>
        <v>0.05</v>
      </c>
      <c r="AB95">
        <f t="shared" si="29"/>
        <v>3</v>
      </c>
      <c r="AC95">
        <f t="shared" si="30"/>
        <v>3</v>
      </c>
      <c r="AD95">
        <f t="shared" si="31"/>
        <v>3</v>
      </c>
      <c r="AE95">
        <f t="shared" si="16"/>
        <v>3</v>
      </c>
      <c r="AF95">
        <f t="shared" si="17"/>
        <v>3</v>
      </c>
      <c r="AG95">
        <f t="shared" si="18"/>
        <v>1</v>
      </c>
      <c r="AI95" s="97">
        <f>'Decline and Model'!E97</f>
        <v>45505</v>
      </c>
      <c r="AJ95" s="106">
        <f>'Decline and Model'!AC97</f>
        <v>91.8</v>
      </c>
      <c r="AK95" s="107">
        <f>'Decline and Model'!AD97</f>
        <v>16</v>
      </c>
      <c r="AL95" s="107">
        <f>'Decline and Model'!AE97</f>
        <v>32.200000000000003</v>
      </c>
      <c r="AM95" s="107">
        <f>'Decline and Model'!AF97</f>
        <v>95.2</v>
      </c>
      <c r="AN95" s="107">
        <f>'Decline and Model'!AG97</f>
        <v>67.3</v>
      </c>
      <c r="AO95" s="107">
        <f>'Decline and Model'!AH97</f>
        <v>0.85</v>
      </c>
      <c r="AP95" s="107">
        <f>'Decline and Model'!AI97</f>
        <v>4.25</v>
      </c>
      <c r="AQ95" s="108">
        <f>'Decline and Model'!AJ97</f>
        <v>4.25</v>
      </c>
      <c r="AR95" s="4">
        <f t="shared" si="19"/>
        <v>202.53188200000002</v>
      </c>
      <c r="AS95" s="4">
        <f t="shared" si="20"/>
        <v>423.304213</v>
      </c>
      <c r="AT95" s="4">
        <f t="shared" si="21"/>
        <v>598.78991200000007</v>
      </c>
      <c r="AU95" s="4">
        <f t="shared" si="22"/>
        <v>577.40455799999995</v>
      </c>
    </row>
    <row r="96" spans="21:47">
      <c r="U96" s="118">
        <f t="shared" si="23"/>
        <v>0.28571026568000002</v>
      </c>
      <c r="V96" s="118">
        <f t="shared" si="24"/>
        <v>0.27736997761999999</v>
      </c>
      <c r="W96" s="118">
        <f t="shared" si="25"/>
        <v>0.28711479400200002</v>
      </c>
      <c r="X96" s="118">
        <f t="shared" si="26"/>
        <v>0.27730090466599999</v>
      </c>
      <c r="Y96" s="118">
        <f t="shared" si="27"/>
        <v>0.14577833404103668</v>
      </c>
      <c r="Z96">
        <f t="shared" si="28"/>
        <v>0.05</v>
      </c>
      <c r="AB96">
        <f t="shared" si="29"/>
        <v>3</v>
      </c>
      <c r="AC96">
        <f t="shared" si="30"/>
        <v>3</v>
      </c>
      <c r="AD96">
        <f t="shared" si="31"/>
        <v>3</v>
      </c>
      <c r="AE96">
        <f t="shared" si="16"/>
        <v>3</v>
      </c>
      <c r="AF96">
        <f t="shared" si="17"/>
        <v>3</v>
      </c>
      <c r="AG96">
        <f t="shared" si="18"/>
        <v>1</v>
      </c>
      <c r="AI96" s="97">
        <f>'Decline and Model'!E98</f>
        <v>45536</v>
      </c>
      <c r="AJ96" s="106">
        <f>'Decline and Model'!AC98</f>
        <v>91.8</v>
      </c>
      <c r="AK96" s="107">
        <f>'Decline and Model'!AD98</f>
        <v>16</v>
      </c>
      <c r="AL96" s="107">
        <f>'Decline and Model'!AE98</f>
        <v>32.200000000000003</v>
      </c>
      <c r="AM96" s="107">
        <f>'Decline and Model'!AF98</f>
        <v>95.2</v>
      </c>
      <c r="AN96" s="107">
        <f>'Decline and Model'!AG98</f>
        <v>67.3</v>
      </c>
      <c r="AO96" s="107">
        <f>'Decline and Model'!AH98</f>
        <v>0.85</v>
      </c>
      <c r="AP96" s="107">
        <f>'Decline and Model'!AI98</f>
        <v>4.25</v>
      </c>
      <c r="AQ96" s="108">
        <f>'Decline and Model'!AJ98</f>
        <v>4.25</v>
      </c>
      <c r="AR96" s="4">
        <f t="shared" si="19"/>
        <v>202.53188200000002</v>
      </c>
      <c r="AS96" s="4">
        <f t="shared" si="20"/>
        <v>423.304213</v>
      </c>
      <c r="AT96" s="4">
        <f t="shared" si="21"/>
        <v>598.78991200000007</v>
      </c>
      <c r="AU96" s="4">
        <f t="shared" si="22"/>
        <v>577.40455799999995</v>
      </c>
    </row>
    <row r="97" spans="21:47">
      <c r="U97" s="118">
        <f t="shared" si="23"/>
        <v>0.28571026568000002</v>
      </c>
      <c r="V97" s="118">
        <f t="shared" si="24"/>
        <v>0.27736997761999999</v>
      </c>
      <c r="W97" s="118">
        <f t="shared" si="25"/>
        <v>0.28711479400200002</v>
      </c>
      <c r="X97" s="118">
        <f t="shared" si="26"/>
        <v>0.27730090466599999</v>
      </c>
      <c r="Y97" s="118">
        <f t="shared" si="27"/>
        <v>0.14577833404103668</v>
      </c>
      <c r="Z97">
        <f t="shared" si="28"/>
        <v>0.05</v>
      </c>
      <c r="AB97">
        <f t="shared" si="29"/>
        <v>3</v>
      </c>
      <c r="AC97">
        <f t="shared" si="30"/>
        <v>3</v>
      </c>
      <c r="AD97">
        <f t="shared" si="31"/>
        <v>3</v>
      </c>
      <c r="AE97">
        <f t="shared" si="16"/>
        <v>3</v>
      </c>
      <c r="AF97">
        <f t="shared" si="17"/>
        <v>3</v>
      </c>
      <c r="AG97">
        <f t="shared" si="18"/>
        <v>1</v>
      </c>
      <c r="AI97" s="97">
        <f>'Decline and Model'!E99</f>
        <v>45566</v>
      </c>
      <c r="AJ97" s="106">
        <f>'Decline and Model'!AC99</f>
        <v>91.8</v>
      </c>
      <c r="AK97" s="107">
        <f>'Decline and Model'!AD99</f>
        <v>16</v>
      </c>
      <c r="AL97" s="107">
        <f>'Decline and Model'!AE99</f>
        <v>32.200000000000003</v>
      </c>
      <c r="AM97" s="107">
        <f>'Decline and Model'!AF99</f>
        <v>95.2</v>
      </c>
      <c r="AN97" s="107">
        <f>'Decline and Model'!AG99</f>
        <v>67.3</v>
      </c>
      <c r="AO97" s="107">
        <f>'Decline and Model'!AH99</f>
        <v>0.85</v>
      </c>
      <c r="AP97" s="107">
        <f>'Decline and Model'!AI99</f>
        <v>4.25</v>
      </c>
      <c r="AQ97" s="108">
        <f>'Decline and Model'!AJ99</f>
        <v>4.25</v>
      </c>
      <c r="AR97" s="4">
        <f t="shared" si="19"/>
        <v>202.53188200000002</v>
      </c>
      <c r="AS97" s="4">
        <f t="shared" si="20"/>
        <v>423.304213</v>
      </c>
      <c r="AT97" s="4">
        <f t="shared" si="21"/>
        <v>598.78991200000007</v>
      </c>
      <c r="AU97" s="4">
        <f t="shared" si="22"/>
        <v>577.40455799999995</v>
      </c>
    </row>
    <row r="98" spans="21:47">
      <c r="U98" s="118">
        <f t="shared" si="23"/>
        <v>0.28571026568000002</v>
      </c>
      <c r="V98" s="118">
        <f t="shared" si="24"/>
        <v>0.27736997761999999</v>
      </c>
      <c r="W98" s="118">
        <f t="shared" si="25"/>
        <v>0.28711479400200002</v>
      </c>
      <c r="X98" s="118">
        <f t="shared" si="26"/>
        <v>0.27730090466599999</v>
      </c>
      <c r="Y98" s="118">
        <f t="shared" si="27"/>
        <v>0.14577833404103668</v>
      </c>
      <c r="Z98">
        <f t="shared" si="28"/>
        <v>0.05</v>
      </c>
      <c r="AB98">
        <f t="shared" si="29"/>
        <v>3</v>
      </c>
      <c r="AC98">
        <f t="shared" si="30"/>
        <v>3</v>
      </c>
      <c r="AD98">
        <f t="shared" si="31"/>
        <v>3</v>
      </c>
      <c r="AE98">
        <f t="shared" si="16"/>
        <v>3</v>
      </c>
      <c r="AF98">
        <f t="shared" si="17"/>
        <v>3</v>
      </c>
      <c r="AG98">
        <f t="shared" si="18"/>
        <v>1</v>
      </c>
      <c r="AI98" s="97">
        <f>'Decline and Model'!E100</f>
        <v>45597</v>
      </c>
      <c r="AJ98" s="106">
        <f>'Decline and Model'!AC100</f>
        <v>91.8</v>
      </c>
      <c r="AK98" s="107">
        <f>'Decline and Model'!AD100</f>
        <v>16</v>
      </c>
      <c r="AL98" s="107">
        <f>'Decline and Model'!AE100</f>
        <v>32.200000000000003</v>
      </c>
      <c r="AM98" s="107">
        <f>'Decline and Model'!AF100</f>
        <v>95.2</v>
      </c>
      <c r="AN98" s="107">
        <f>'Decline and Model'!AG100</f>
        <v>67.3</v>
      </c>
      <c r="AO98" s="107">
        <f>'Decline and Model'!AH100</f>
        <v>0.85</v>
      </c>
      <c r="AP98" s="107">
        <f>'Decline and Model'!AI100</f>
        <v>4.25</v>
      </c>
      <c r="AQ98" s="108">
        <f>'Decline and Model'!AJ100</f>
        <v>4.25</v>
      </c>
      <c r="AR98" s="4">
        <f t="shared" si="19"/>
        <v>202.53188200000002</v>
      </c>
      <c r="AS98" s="4">
        <f t="shared" si="20"/>
        <v>423.304213</v>
      </c>
      <c r="AT98" s="4">
        <f t="shared" si="21"/>
        <v>598.78991200000007</v>
      </c>
      <c r="AU98" s="4">
        <f t="shared" si="22"/>
        <v>577.40455799999995</v>
      </c>
    </row>
    <row r="99" spans="21:47">
      <c r="U99" s="118">
        <f t="shared" si="23"/>
        <v>0.28571026568000002</v>
      </c>
      <c r="V99" s="118">
        <f t="shared" si="24"/>
        <v>0.27736997761999999</v>
      </c>
      <c r="W99" s="118">
        <f t="shared" si="25"/>
        <v>0.28711479400200002</v>
      </c>
      <c r="X99" s="118">
        <f t="shared" si="26"/>
        <v>0.27730090466599999</v>
      </c>
      <c r="Y99" s="118">
        <f t="shared" si="27"/>
        <v>0.14577833404103668</v>
      </c>
      <c r="Z99">
        <f t="shared" si="28"/>
        <v>0.05</v>
      </c>
      <c r="AB99">
        <f t="shared" si="29"/>
        <v>3</v>
      </c>
      <c r="AC99">
        <f t="shared" si="30"/>
        <v>3</v>
      </c>
      <c r="AD99">
        <f t="shared" si="31"/>
        <v>3</v>
      </c>
      <c r="AE99">
        <f t="shared" si="16"/>
        <v>3</v>
      </c>
      <c r="AF99">
        <f t="shared" si="17"/>
        <v>3</v>
      </c>
      <c r="AG99">
        <f t="shared" si="18"/>
        <v>1</v>
      </c>
      <c r="AI99" s="97">
        <f>'Decline and Model'!E101</f>
        <v>45627</v>
      </c>
      <c r="AJ99" s="106">
        <f>'Decline and Model'!AC101</f>
        <v>91.8</v>
      </c>
      <c r="AK99" s="107">
        <f>'Decline and Model'!AD101</f>
        <v>16</v>
      </c>
      <c r="AL99" s="107">
        <f>'Decline and Model'!AE101</f>
        <v>32.200000000000003</v>
      </c>
      <c r="AM99" s="107">
        <f>'Decline and Model'!AF101</f>
        <v>95.2</v>
      </c>
      <c r="AN99" s="107">
        <f>'Decline and Model'!AG101</f>
        <v>67.3</v>
      </c>
      <c r="AO99" s="107">
        <f>'Decline and Model'!AH101</f>
        <v>0.85</v>
      </c>
      <c r="AP99" s="107">
        <f>'Decline and Model'!AI101</f>
        <v>4.25</v>
      </c>
      <c r="AQ99" s="108">
        <f>'Decline and Model'!AJ101</f>
        <v>4.25</v>
      </c>
      <c r="AR99" s="4">
        <f t="shared" si="19"/>
        <v>202.53188200000002</v>
      </c>
      <c r="AS99" s="4">
        <f t="shared" si="20"/>
        <v>423.304213</v>
      </c>
      <c r="AT99" s="4">
        <f t="shared" si="21"/>
        <v>598.78991200000007</v>
      </c>
      <c r="AU99" s="4">
        <f t="shared" si="22"/>
        <v>577.40455799999995</v>
      </c>
    </row>
    <row r="100" spans="21:47">
      <c r="U100" s="118">
        <f t="shared" si="23"/>
        <v>0.29061631748000005</v>
      </c>
      <c r="V100" s="118">
        <f t="shared" si="24"/>
        <v>0.28203072682999997</v>
      </c>
      <c r="W100" s="118">
        <f t="shared" si="25"/>
        <v>0.29164471516399998</v>
      </c>
      <c r="X100" s="118">
        <f t="shared" si="26"/>
        <v>0.28220129563699997</v>
      </c>
      <c r="Y100" s="118">
        <f t="shared" si="27"/>
        <v>0.14790333404103667</v>
      </c>
      <c r="Z100">
        <f t="shared" si="28"/>
        <v>0.05</v>
      </c>
      <c r="AB100">
        <f t="shared" si="29"/>
        <v>3</v>
      </c>
      <c r="AC100">
        <f t="shared" si="30"/>
        <v>3</v>
      </c>
      <c r="AD100">
        <f t="shared" si="31"/>
        <v>3</v>
      </c>
      <c r="AE100">
        <f t="shared" si="16"/>
        <v>3</v>
      </c>
      <c r="AF100">
        <f t="shared" si="17"/>
        <v>3</v>
      </c>
      <c r="AG100">
        <f t="shared" si="18"/>
        <v>1</v>
      </c>
      <c r="AI100" s="97">
        <f>'Decline and Model'!E102</f>
        <v>45658</v>
      </c>
      <c r="AJ100" s="106">
        <f>'Decline and Model'!AC102</f>
        <v>93.7</v>
      </c>
      <c r="AK100" s="107">
        <f>'Decline and Model'!AD102</f>
        <v>16.2</v>
      </c>
      <c r="AL100" s="107">
        <f>'Decline and Model'!AE102</f>
        <v>32.9</v>
      </c>
      <c r="AM100" s="107">
        <f>'Decline and Model'!AF102</f>
        <v>97.2</v>
      </c>
      <c r="AN100" s="107">
        <f>'Decline and Model'!AG102</f>
        <v>68.599999999999994</v>
      </c>
      <c r="AO100" s="107">
        <f>'Decline and Model'!AH102</f>
        <v>0.85</v>
      </c>
      <c r="AP100" s="107">
        <f>'Decline and Model'!AI102</f>
        <v>4.3</v>
      </c>
      <c r="AQ100" s="108">
        <f>'Decline and Model'!AJ102</f>
        <v>4.3</v>
      </c>
      <c r="AR100" s="4">
        <f t="shared" si="19"/>
        <v>206.93474899999998</v>
      </c>
      <c r="AS100" s="4">
        <f t="shared" si="20"/>
        <v>431.48096599999997</v>
      </c>
      <c r="AT100" s="4">
        <f t="shared" si="21"/>
        <v>611.36953200000005</v>
      </c>
      <c r="AU100" s="4">
        <f t="shared" si="22"/>
        <v>589.35519699999998</v>
      </c>
    </row>
    <row r="101" spans="21:47">
      <c r="U101" s="118">
        <f t="shared" si="23"/>
        <v>0.29061631748000005</v>
      </c>
      <c r="V101" s="118">
        <f t="shared" si="24"/>
        <v>0.28203072682999997</v>
      </c>
      <c r="W101" s="118">
        <f t="shared" si="25"/>
        <v>0.29164471516399998</v>
      </c>
      <c r="X101" s="118">
        <f t="shared" si="26"/>
        <v>0.28220129563699997</v>
      </c>
      <c r="Y101" s="118">
        <f t="shared" si="27"/>
        <v>0.14790333404103667</v>
      </c>
      <c r="Z101">
        <f t="shared" si="28"/>
        <v>0.05</v>
      </c>
      <c r="AB101">
        <f t="shared" si="29"/>
        <v>3</v>
      </c>
      <c r="AC101">
        <f t="shared" si="30"/>
        <v>3</v>
      </c>
      <c r="AD101">
        <f t="shared" si="31"/>
        <v>3</v>
      </c>
      <c r="AE101">
        <f t="shared" si="16"/>
        <v>3</v>
      </c>
      <c r="AF101">
        <f t="shared" si="17"/>
        <v>3</v>
      </c>
      <c r="AG101">
        <f t="shared" si="18"/>
        <v>1</v>
      </c>
      <c r="AI101" s="97">
        <f>'Decline and Model'!E103</f>
        <v>45689</v>
      </c>
      <c r="AJ101" s="106">
        <f>'Decline and Model'!AC103</f>
        <v>93.7</v>
      </c>
      <c r="AK101" s="107">
        <f>'Decline and Model'!AD103</f>
        <v>16.2</v>
      </c>
      <c r="AL101" s="107">
        <f>'Decline and Model'!AE103</f>
        <v>32.9</v>
      </c>
      <c r="AM101" s="107">
        <f>'Decline and Model'!AF103</f>
        <v>97.2</v>
      </c>
      <c r="AN101" s="107">
        <f>'Decline and Model'!AG103</f>
        <v>68.599999999999994</v>
      </c>
      <c r="AO101" s="107">
        <f>'Decline and Model'!AH103</f>
        <v>0.85</v>
      </c>
      <c r="AP101" s="107">
        <f>'Decline and Model'!AI103</f>
        <v>4.3</v>
      </c>
      <c r="AQ101" s="108">
        <f>'Decline and Model'!AJ103</f>
        <v>4.3</v>
      </c>
      <c r="AR101" s="4">
        <f t="shared" si="19"/>
        <v>206.93474899999998</v>
      </c>
      <c r="AS101" s="4">
        <f t="shared" si="20"/>
        <v>431.48096599999997</v>
      </c>
      <c r="AT101" s="4">
        <f t="shared" si="21"/>
        <v>611.36953200000005</v>
      </c>
      <c r="AU101" s="4">
        <f t="shared" si="22"/>
        <v>589.35519699999998</v>
      </c>
    </row>
    <row r="102" spans="21:47">
      <c r="U102" s="118">
        <f t="shared" si="23"/>
        <v>0.29061631748000005</v>
      </c>
      <c r="V102" s="118">
        <f t="shared" si="24"/>
        <v>0.28203072682999997</v>
      </c>
      <c r="W102" s="118">
        <f t="shared" si="25"/>
        <v>0.29164471516399998</v>
      </c>
      <c r="X102" s="118">
        <f t="shared" si="26"/>
        <v>0.28220129563699997</v>
      </c>
      <c r="Y102" s="118">
        <f t="shared" si="27"/>
        <v>0.14790333404103667</v>
      </c>
      <c r="Z102">
        <f t="shared" si="28"/>
        <v>0.05</v>
      </c>
      <c r="AB102">
        <f t="shared" si="29"/>
        <v>3</v>
      </c>
      <c r="AC102">
        <f t="shared" si="30"/>
        <v>3</v>
      </c>
      <c r="AD102">
        <f t="shared" si="31"/>
        <v>3</v>
      </c>
      <c r="AE102">
        <f t="shared" si="16"/>
        <v>3</v>
      </c>
      <c r="AF102">
        <f t="shared" si="17"/>
        <v>3</v>
      </c>
      <c r="AG102">
        <f t="shared" si="18"/>
        <v>1</v>
      </c>
      <c r="AI102" s="97">
        <f>'Decline and Model'!E104</f>
        <v>45717</v>
      </c>
      <c r="AJ102" s="106">
        <f>'Decline and Model'!AC104</f>
        <v>93.7</v>
      </c>
      <c r="AK102" s="107">
        <f>'Decline and Model'!AD104</f>
        <v>16.2</v>
      </c>
      <c r="AL102" s="107">
        <f>'Decline and Model'!AE104</f>
        <v>32.9</v>
      </c>
      <c r="AM102" s="107">
        <f>'Decline and Model'!AF104</f>
        <v>97.2</v>
      </c>
      <c r="AN102" s="107">
        <f>'Decline and Model'!AG104</f>
        <v>68.599999999999994</v>
      </c>
      <c r="AO102" s="107">
        <f>'Decline and Model'!AH104</f>
        <v>0.85</v>
      </c>
      <c r="AP102" s="107">
        <f>'Decline and Model'!AI104</f>
        <v>4.3</v>
      </c>
      <c r="AQ102" s="108">
        <f>'Decline and Model'!AJ104</f>
        <v>4.3</v>
      </c>
      <c r="AR102" s="4">
        <f t="shared" si="19"/>
        <v>206.93474899999998</v>
      </c>
      <c r="AS102" s="4">
        <f t="shared" si="20"/>
        <v>431.48096599999997</v>
      </c>
      <c r="AT102" s="4">
        <f t="shared" si="21"/>
        <v>611.36953200000005</v>
      </c>
      <c r="AU102" s="4">
        <f t="shared" si="22"/>
        <v>589.35519699999998</v>
      </c>
    </row>
    <row r="103" spans="21:47">
      <c r="U103" s="118">
        <f t="shared" si="23"/>
        <v>0.29061631748000005</v>
      </c>
      <c r="V103" s="118">
        <f t="shared" si="24"/>
        <v>0.28203072682999997</v>
      </c>
      <c r="W103" s="118">
        <f t="shared" si="25"/>
        <v>0.29164471516399998</v>
      </c>
      <c r="X103" s="118">
        <f t="shared" si="26"/>
        <v>0.28220129563699997</v>
      </c>
      <c r="Y103" s="118">
        <f t="shared" si="27"/>
        <v>0.14790333404103667</v>
      </c>
      <c r="Z103">
        <f t="shared" si="28"/>
        <v>0.05</v>
      </c>
      <c r="AB103">
        <f t="shared" si="29"/>
        <v>3</v>
      </c>
      <c r="AC103">
        <f t="shared" si="30"/>
        <v>3</v>
      </c>
      <c r="AD103">
        <f t="shared" si="31"/>
        <v>3</v>
      </c>
      <c r="AE103">
        <f t="shared" si="16"/>
        <v>3</v>
      </c>
      <c r="AF103">
        <f t="shared" si="17"/>
        <v>3</v>
      </c>
      <c r="AG103">
        <f t="shared" si="18"/>
        <v>1</v>
      </c>
      <c r="AI103" s="97">
        <f>'Decline and Model'!E105</f>
        <v>45748</v>
      </c>
      <c r="AJ103" s="106">
        <f>'Decline and Model'!AC105</f>
        <v>93.7</v>
      </c>
      <c r="AK103" s="107">
        <f>'Decline and Model'!AD105</f>
        <v>16.2</v>
      </c>
      <c r="AL103" s="107">
        <f>'Decline and Model'!AE105</f>
        <v>32.9</v>
      </c>
      <c r="AM103" s="107">
        <f>'Decline and Model'!AF105</f>
        <v>97.2</v>
      </c>
      <c r="AN103" s="107">
        <f>'Decline and Model'!AG105</f>
        <v>68.599999999999994</v>
      </c>
      <c r="AO103" s="107">
        <f>'Decline and Model'!AH105</f>
        <v>0.85</v>
      </c>
      <c r="AP103" s="107">
        <f>'Decline and Model'!AI105</f>
        <v>4.3</v>
      </c>
      <c r="AQ103" s="108">
        <f>'Decline and Model'!AJ105</f>
        <v>4.3</v>
      </c>
      <c r="AR103" s="4">
        <f t="shared" si="19"/>
        <v>206.93474899999998</v>
      </c>
      <c r="AS103" s="4">
        <f t="shared" si="20"/>
        <v>431.48096599999997</v>
      </c>
      <c r="AT103" s="4">
        <f t="shared" si="21"/>
        <v>611.36953200000005</v>
      </c>
      <c r="AU103" s="4">
        <f t="shared" si="22"/>
        <v>589.35519699999998</v>
      </c>
    </row>
    <row r="104" spans="21:47">
      <c r="U104" s="118">
        <f t="shared" si="23"/>
        <v>0.29061631748000005</v>
      </c>
      <c r="V104" s="118">
        <f t="shared" si="24"/>
        <v>0.28203072682999997</v>
      </c>
      <c r="W104" s="118">
        <f t="shared" si="25"/>
        <v>0.29164471516399998</v>
      </c>
      <c r="X104" s="118">
        <f t="shared" si="26"/>
        <v>0.28220129563699997</v>
      </c>
      <c r="Y104" s="118">
        <f t="shared" si="27"/>
        <v>0.14790333404103667</v>
      </c>
      <c r="Z104">
        <f t="shared" si="28"/>
        <v>0.05</v>
      </c>
      <c r="AB104">
        <f t="shared" si="29"/>
        <v>3</v>
      </c>
      <c r="AC104">
        <f t="shared" si="30"/>
        <v>3</v>
      </c>
      <c r="AD104">
        <f t="shared" si="31"/>
        <v>3</v>
      </c>
      <c r="AE104">
        <f t="shared" si="16"/>
        <v>3</v>
      </c>
      <c r="AF104">
        <f t="shared" si="17"/>
        <v>3</v>
      </c>
      <c r="AG104">
        <f t="shared" si="18"/>
        <v>1</v>
      </c>
      <c r="AI104" s="97">
        <f>'Decline and Model'!E106</f>
        <v>45778</v>
      </c>
      <c r="AJ104" s="106">
        <f>'Decline and Model'!AC106</f>
        <v>93.7</v>
      </c>
      <c r="AK104" s="107">
        <f>'Decline and Model'!AD106</f>
        <v>16.2</v>
      </c>
      <c r="AL104" s="107">
        <f>'Decline and Model'!AE106</f>
        <v>32.9</v>
      </c>
      <c r="AM104" s="107">
        <f>'Decline and Model'!AF106</f>
        <v>97.2</v>
      </c>
      <c r="AN104" s="107">
        <f>'Decline and Model'!AG106</f>
        <v>68.599999999999994</v>
      </c>
      <c r="AO104" s="107">
        <f>'Decline and Model'!AH106</f>
        <v>0.85</v>
      </c>
      <c r="AP104" s="107">
        <f>'Decline and Model'!AI106</f>
        <v>4.3</v>
      </c>
      <c r="AQ104" s="108">
        <f>'Decline and Model'!AJ106</f>
        <v>4.3</v>
      </c>
      <c r="AR104" s="4">
        <f t="shared" si="19"/>
        <v>206.93474899999998</v>
      </c>
      <c r="AS104" s="4">
        <f t="shared" si="20"/>
        <v>431.48096599999997</v>
      </c>
      <c r="AT104" s="4">
        <f t="shared" si="21"/>
        <v>611.36953200000005</v>
      </c>
      <c r="AU104" s="4">
        <f t="shared" si="22"/>
        <v>589.35519699999998</v>
      </c>
    </row>
    <row r="105" spans="21:47">
      <c r="U105" s="118">
        <f t="shared" si="23"/>
        <v>0.29061631748000005</v>
      </c>
      <c r="V105" s="118">
        <f t="shared" si="24"/>
        <v>0.28203072682999997</v>
      </c>
      <c r="W105" s="118">
        <f t="shared" si="25"/>
        <v>0.29164471516399998</v>
      </c>
      <c r="X105" s="118">
        <f t="shared" si="26"/>
        <v>0.28220129563699997</v>
      </c>
      <c r="Y105" s="118">
        <f t="shared" si="27"/>
        <v>0.14790333404103667</v>
      </c>
      <c r="Z105">
        <f t="shared" si="28"/>
        <v>0.05</v>
      </c>
      <c r="AB105">
        <f t="shared" si="29"/>
        <v>3</v>
      </c>
      <c r="AC105">
        <f t="shared" si="30"/>
        <v>3</v>
      </c>
      <c r="AD105">
        <f t="shared" si="31"/>
        <v>3</v>
      </c>
      <c r="AE105">
        <f t="shared" si="16"/>
        <v>3</v>
      </c>
      <c r="AF105">
        <f t="shared" si="17"/>
        <v>3</v>
      </c>
      <c r="AG105">
        <f t="shared" si="18"/>
        <v>1</v>
      </c>
      <c r="AI105" s="97">
        <f>'Decline and Model'!E107</f>
        <v>45809</v>
      </c>
      <c r="AJ105" s="106">
        <f>'Decline and Model'!AC107</f>
        <v>93.7</v>
      </c>
      <c r="AK105" s="107">
        <f>'Decline and Model'!AD107</f>
        <v>16.2</v>
      </c>
      <c r="AL105" s="107">
        <f>'Decline and Model'!AE107</f>
        <v>32.9</v>
      </c>
      <c r="AM105" s="107">
        <f>'Decline and Model'!AF107</f>
        <v>97.2</v>
      </c>
      <c r="AN105" s="107">
        <f>'Decline and Model'!AG107</f>
        <v>68.599999999999994</v>
      </c>
      <c r="AO105" s="107">
        <f>'Decline and Model'!AH107</f>
        <v>0.85</v>
      </c>
      <c r="AP105" s="107">
        <f>'Decline and Model'!AI107</f>
        <v>4.3</v>
      </c>
      <c r="AQ105" s="108">
        <f>'Decline and Model'!AJ107</f>
        <v>4.3</v>
      </c>
      <c r="AR105" s="4">
        <f t="shared" si="19"/>
        <v>206.93474899999998</v>
      </c>
      <c r="AS105" s="4">
        <f t="shared" si="20"/>
        <v>431.48096599999997</v>
      </c>
      <c r="AT105" s="4">
        <f t="shared" si="21"/>
        <v>611.36953200000005</v>
      </c>
      <c r="AU105" s="4">
        <f t="shared" si="22"/>
        <v>589.35519699999998</v>
      </c>
    </row>
    <row r="106" spans="21:47">
      <c r="U106" s="118">
        <f t="shared" si="23"/>
        <v>0.29061631748000005</v>
      </c>
      <c r="V106" s="118">
        <f t="shared" si="24"/>
        <v>0.28203072682999997</v>
      </c>
      <c r="W106" s="118">
        <f t="shared" si="25"/>
        <v>0.29164471516399998</v>
      </c>
      <c r="X106" s="118">
        <f t="shared" si="26"/>
        <v>0.28220129563699997</v>
      </c>
      <c r="Y106" s="118">
        <f t="shared" si="27"/>
        <v>0.14790333404103667</v>
      </c>
      <c r="Z106">
        <f t="shared" si="28"/>
        <v>0.05</v>
      </c>
      <c r="AB106">
        <f t="shared" si="29"/>
        <v>3</v>
      </c>
      <c r="AC106">
        <f t="shared" si="30"/>
        <v>3</v>
      </c>
      <c r="AD106">
        <f t="shared" si="31"/>
        <v>3</v>
      </c>
      <c r="AE106">
        <f t="shared" si="16"/>
        <v>3</v>
      </c>
      <c r="AF106">
        <f t="shared" si="17"/>
        <v>3</v>
      </c>
      <c r="AG106">
        <f t="shared" si="18"/>
        <v>1</v>
      </c>
      <c r="AI106" s="97">
        <f>'Decline and Model'!E108</f>
        <v>45839</v>
      </c>
      <c r="AJ106" s="106">
        <f>'Decline and Model'!AC108</f>
        <v>93.7</v>
      </c>
      <c r="AK106" s="107">
        <f>'Decline and Model'!AD108</f>
        <v>16.2</v>
      </c>
      <c r="AL106" s="107">
        <f>'Decline and Model'!AE108</f>
        <v>32.9</v>
      </c>
      <c r="AM106" s="107">
        <f>'Decline and Model'!AF108</f>
        <v>97.2</v>
      </c>
      <c r="AN106" s="107">
        <f>'Decline and Model'!AG108</f>
        <v>68.599999999999994</v>
      </c>
      <c r="AO106" s="107">
        <f>'Decline and Model'!AH108</f>
        <v>0.85</v>
      </c>
      <c r="AP106" s="107">
        <f>'Decline and Model'!AI108</f>
        <v>4.3</v>
      </c>
      <c r="AQ106" s="108">
        <f>'Decline and Model'!AJ108</f>
        <v>4.3</v>
      </c>
      <c r="AR106" s="4">
        <f t="shared" si="19"/>
        <v>206.93474899999998</v>
      </c>
      <c r="AS106" s="4">
        <f t="shared" si="20"/>
        <v>431.48096599999997</v>
      </c>
      <c r="AT106" s="4">
        <f t="shared" si="21"/>
        <v>611.36953200000005</v>
      </c>
      <c r="AU106" s="4">
        <f t="shared" si="22"/>
        <v>589.35519699999998</v>
      </c>
    </row>
    <row r="107" spans="21:47">
      <c r="U107" s="118">
        <f t="shared" si="23"/>
        <v>0.29061631748000005</v>
      </c>
      <c r="V107" s="118">
        <f t="shared" si="24"/>
        <v>0.28203072682999997</v>
      </c>
      <c r="W107" s="118">
        <f t="shared" si="25"/>
        <v>0.29164471516399998</v>
      </c>
      <c r="X107" s="118">
        <f t="shared" si="26"/>
        <v>0.28220129563699997</v>
      </c>
      <c r="Y107" s="118">
        <f t="shared" si="27"/>
        <v>0.14790333404103667</v>
      </c>
      <c r="Z107">
        <f t="shared" si="28"/>
        <v>0.05</v>
      </c>
      <c r="AB107">
        <f t="shared" si="29"/>
        <v>3</v>
      </c>
      <c r="AC107">
        <f t="shared" si="30"/>
        <v>3</v>
      </c>
      <c r="AD107">
        <f t="shared" si="31"/>
        <v>3</v>
      </c>
      <c r="AE107">
        <f t="shared" si="16"/>
        <v>3</v>
      </c>
      <c r="AF107">
        <f t="shared" si="17"/>
        <v>3</v>
      </c>
      <c r="AG107">
        <f t="shared" si="18"/>
        <v>1</v>
      </c>
      <c r="AI107" s="97">
        <f>'Decline and Model'!E109</f>
        <v>45870</v>
      </c>
      <c r="AJ107" s="106">
        <f>'Decline and Model'!AC109</f>
        <v>93.7</v>
      </c>
      <c r="AK107" s="107">
        <f>'Decline and Model'!AD109</f>
        <v>16.2</v>
      </c>
      <c r="AL107" s="107">
        <f>'Decline and Model'!AE109</f>
        <v>32.9</v>
      </c>
      <c r="AM107" s="107">
        <f>'Decline and Model'!AF109</f>
        <v>97.2</v>
      </c>
      <c r="AN107" s="107">
        <f>'Decline and Model'!AG109</f>
        <v>68.599999999999994</v>
      </c>
      <c r="AO107" s="107">
        <f>'Decline and Model'!AH109</f>
        <v>0.85</v>
      </c>
      <c r="AP107" s="107">
        <f>'Decline and Model'!AI109</f>
        <v>4.3</v>
      </c>
      <c r="AQ107" s="108">
        <f>'Decline and Model'!AJ109</f>
        <v>4.3</v>
      </c>
      <c r="AR107" s="4">
        <f t="shared" si="19"/>
        <v>206.93474899999998</v>
      </c>
      <c r="AS107" s="4">
        <f t="shared" si="20"/>
        <v>431.48096599999997</v>
      </c>
      <c r="AT107" s="4">
        <f t="shared" si="21"/>
        <v>611.36953200000005</v>
      </c>
      <c r="AU107" s="4">
        <f t="shared" si="22"/>
        <v>589.35519699999998</v>
      </c>
    </row>
    <row r="108" spans="21:47">
      <c r="U108" s="118">
        <f t="shared" si="23"/>
        <v>0.29061631748000005</v>
      </c>
      <c r="V108" s="118">
        <f t="shared" si="24"/>
        <v>0.28203072682999997</v>
      </c>
      <c r="W108" s="118">
        <f t="shared" si="25"/>
        <v>0.29164471516399998</v>
      </c>
      <c r="X108" s="118">
        <f t="shared" si="26"/>
        <v>0.28220129563699997</v>
      </c>
      <c r="Y108" s="118">
        <f t="shared" si="27"/>
        <v>0.14790333404103667</v>
      </c>
      <c r="Z108">
        <f t="shared" si="28"/>
        <v>0.05</v>
      </c>
      <c r="AB108">
        <f t="shared" si="29"/>
        <v>3</v>
      </c>
      <c r="AC108">
        <f t="shared" si="30"/>
        <v>3</v>
      </c>
      <c r="AD108">
        <f t="shared" si="31"/>
        <v>3</v>
      </c>
      <c r="AE108">
        <f t="shared" si="16"/>
        <v>3</v>
      </c>
      <c r="AF108">
        <f t="shared" si="17"/>
        <v>3</v>
      </c>
      <c r="AG108">
        <f t="shared" si="18"/>
        <v>1</v>
      </c>
      <c r="AI108" s="97">
        <f>'Decline and Model'!E110</f>
        <v>45901</v>
      </c>
      <c r="AJ108" s="106">
        <f>'Decline and Model'!AC110</f>
        <v>93.7</v>
      </c>
      <c r="AK108" s="107">
        <f>'Decline and Model'!AD110</f>
        <v>16.2</v>
      </c>
      <c r="AL108" s="107">
        <f>'Decline and Model'!AE110</f>
        <v>32.9</v>
      </c>
      <c r="AM108" s="107">
        <f>'Decline and Model'!AF110</f>
        <v>97.2</v>
      </c>
      <c r="AN108" s="107">
        <f>'Decline and Model'!AG110</f>
        <v>68.599999999999994</v>
      </c>
      <c r="AO108" s="107">
        <f>'Decline and Model'!AH110</f>
        <v>0.85</v>
      </c>
      <c r="AP108" s="107">
        <f>'Decline and Model'!AI110</f>
        <v>4.3</v>
      </c>
      <c r="AQ108" s="108">
        <f>'Decline and Model'!AJ110</f>
        <v>4.3</v>
      </c>
      <c r="AR108" s="4">
        <f t="shared" si="19"/>
        <v>206.93474899999998</v>
      </c>
      <c r="AS108" s="4">
        <f t="shared" si="20"/>
        <v>431.48096599999997</v>
      </c>
      <c r="AT108" s="4">
        <f t="shared" si="21"/>
        <v>611.36953200000005</v>
      </c>
      <c r="AU108" s="4">
        <f t="shared" si="22"/>
        <v>589.35519699999998</v>
      </c>
    </row>
    <row r="109" spans="21:47">
      <c r="U109" s="118">
        <f t="shared" si="23"/>
        <v>0.29061631748000005</v>
      </c>
      <c r="V109" s="118">
        <f t="shared" si="24"/>
        <v>0.28203072682999997</v>
      </c>
      <c r="W109" s="118">
        <f t="shared" si="25"/>
        <v>0.29164471516399998</v>
      </c>
      <c r="X109" s="118">
        <f t="shared" si="26"/>
        <v>0.28220129563699997</v>
      </c>
      <c r="Y109" s="118">
        <f t="shared" si="27"/>
        <v>0.14790333404103667</v>
      </c>
      <c r="Z109">
        <f t="shared" si="28"/>
        <v>0.05</v>
      </c>
      <c r="AB109">
        <f t="shared" si="29"/>
        <v>3</v>
      </c>
      <c r="AC109">
        <f t="shared" si="30"/>
        <v>3</v>
      </c>
      <c r="AD109">
        <f t="shared" si="31"/>
        <v>3</v>
      </c>
      <c r="AE109">
        <f t="shared" si="16"/>
        <v>3</v>
      </c>
      <c r="AF109">
        <f t="shared" si="17"/>
        <v>3</v>
      </c>
      <c r="AG109">
        <f t="shared" si="18"/>
        <v>1</v>
      </c>
      <c r="AI109" s="97">
        <f>'Decline and Model'!E111</f>
        <v>45931</v>
      </c>
      <c r="AJ109" s="106">
        <f>'Decline and Model'!AC111</f>
        <v>93.7</v>
      </c>
      <c r="AK109" s="107">
        <f>'Decline and Model'!AD111</f>
        <v>16.2</v>
      </c>
      <c r="AL109" s="107">
        <f>'Decline and Model'!AE111</f>
        <v>32.9</v>
      </c>
      <c r="AM109" s="107">
        <f>'Decline and Model'!AF111</f>
        <v>97.2</v>
      </c>
      <c r="AN109" s="107">
        <f>'Decline and Model'!AG111</f>
        <v>68.599999999999994</v>
      </c>
      <c r="AO109" s="107">
        <f>'Decline and Model'!AH111</f>
        <v>0.85</v>
      </c>
      <c r="AP109" s="107">
        <f>'Decline and Model'!AI111</f>
        <v>4.3</v>
      </c>
      <c r="AQ109" s="108">
        <f>'Decline and Model'!AJ111</f>
        <v>4.3</v>
      </c>
      <c r="AR109" s="4">
        <f t="shared" si="19"/>
        <v>206.93474899999998</v>
      </c>
      <c r="AS109" s="4">
        <f t="shared" si="20"/>
        <v>431.48096599999997</v>
      </c>
      <c r="AT109" s="4">
        <f t="shared" si="21"/>
        <v>611.36953200000005</v>
      </c>
      <c r="AU109" s="4">
        <f t="shared" si="22"/>
        <v>589.35519699999998</v>
      </c>
    </row>
    <row r="110" spans="21:47">
      <c r="U110" s="118">
        <f t="shared" si="23"/>
        <v>0.29061631748000005</v>
      </c>
      <c r="V110" s="118">
        <f t="shared" si="24"/>
        <v>0.28203072682999997</v>
      </c>
      <c r="W110" s="118">
        <f t="shared" si="25"/>
        <v>0.29164471516399998</v>
      </c>
      <c r="X110" s="118">
        <f t="shared" si="26"/>
        <v>0.28220129563699997</v>
      </c>
      <c r="Y110" s="118">
        <f t="shared" si="27"/>
        <v>0.14790333404103667</v>
      </c>
      <c r="Z110">
        <f t="shared" si="28"/>
        <v>0.05</v>
      </c>
      <c r="AB110">
        <f t="shared" si="29"/>
        <v>3</v>
      </c>
      <c r="AC110">
        <f t="shared" si="30"/>
        <v>3</v>
      </c>
      <c r="AD110">
        <f t="shared" si="31"/>
        <v>3</v>
      </c>
      <c r="AE110">
        <f t="shared" si="16"/>
        <v>3</v>
      </c>
      <c r="AF110">
        <f t="shared" si="17"/>
        <v>3</v>
      </c>
      <c r="AG110">
        <f t="shared" si="18"/>
        <v>1</v>
      </c>
      <c r="AI110" s="97">
        <f>'Decline and Model'!E112</f>
        <v>45962</v>
      </c>
      <c r="AJ110" s="106">
        <f>'Decline and Model'!AC112</f>
        <v>93.7</v>
      </c>
      <c r="AK110" s="107">
        <f>'Decline and Model'!AD112</f>
        <v>16.2</v>
      </c>
      <c r="AL110" s="107">
        <f>'Decline and Model'!AE112</f>
        <v>32.9</v>
      </c>
      <c r="AM110" s="107">
        <f>'Decline and Model'!AF112</f>
        <v>97.2</v>
      </c>
      <c r="AN110" s="107">
        <f>'Decline and Model'!AG112</f>
        <v>68.599999999999994</v>
      </c>
      <c r="AO110" s="107">
        <f>'Decline and Model'!AH112</f>
        <v>0.85</v>
      </c>
      <c r="AP110" s="107">
        <f>'Decline and Model'!AI112</f>
        <v>4.3</v>
      </c>
      <c r="AQ110" s="108">
        <f>'Decline and Model'!AJ112</f>
        <v>4.3</v>
      </c>
      <c r="AR110" s="4">
        <f t="shared" si="19"/>
        <v>206.93474899999998</v>
      </c>
      <c r="AS110" s="4">
        <f t="shared" si="20"/>
        <v>431.48096599999997</v>
      </c>
      <c r="AT110" s="4">
        <f t="shared" si="21"/>
        <v>611.36953200000005</v>
      </c>
      <c r="AU110" s="4">
        <f t="shared" si="22"/>
        <v>589.35519699999998</v>
      </c>
    </row>
    <row r="111" spans="21:47">
      <c r="U111" s="118">
        <f t="shared" si="23"/>
        <v>0.29061631748000005</v>
      </c>
      <c r="V111" s="118">
        <f t="shared" si="24"/>
        <v>0.28203072682999997</v>
      </c>
      <c r="W111" s="118">
        <f t="shared" si="25"/>
        <v>0.29164471516399998</v>
      </c>
      <c r="X111" s="118">
        <f t="shared" si="26"/>
        <v>0.28220129563699997</v>
      </c>
      <c r="Y111" s="118">
        <f t="shared" si="27"/>
        <v>0.14790333404103667</v>
      </c>
      <c r="Z111">
        <f t="shared" si="28"/>
        <v>0.05</v>
      </c>
      <c r="AB111">
        <f t="shared" si="29"/>
        <v>3</v>
      </c>
      <c r="AC111">
        <f t="shared" si="30"/>
        <v>3</v>
      </c>
      <c r="AD111">
        <f t="shared" si="31"/>
        <v>3</v>
      </c>
      <c r="AE111">
        <f t="shared" si="16"/>
        <v>3</v>
      </c>
      <c r="AF111">
        <f t="shared" si="17"/>
        <v>3</v>
      </c>
      <c r="AG111">
        <f t="shared" si="18"/>
        <v>1</v>
      </c>
      <c r="AI111" s="97">
        <f>'Decline and Model'!E113</f>
        <v>45992</v>
      </c>
      <c r="AJ111" s="106">
        <f>'Decline and Model'!AC113</f>
        <v>93.7</v>
      </c>
      <c r="AK111" s="107">
        <f>'Decline and Model'!AD113</f>
        <v>16.2</v>
      </c>
      <c r="AL111" s="107">
        <f>'Decline and Model'!AE113</f>
        <v>32.9</v>
      </c>
      <c r="AM111" s="107">
        <f>'Decline and Model'!AF113</f>
        <v>97.2</v>
      </c>
      <c r="AN111" s="107">
        <f>'Decline and Model'!AG113</f>
        <v>68.599999999999994</v>
      </c>
      <c r="AO111" s="107">
        <f>'Decline and Model'!AH113</f>
        <v>0.85</v>
      </c>
      <c r="AP111" s="107">
        <f>'Decline and Model'!AI113</f>
        <v>4.3</v>
      </c>
      <c r="AQ111" s="108">
        <f>'Decline and Model'!AJ113</f>
        <v>4.3</v>
      </c>
      <c r="AR111" s="4">
        <f t="shared" si="19"/>
        <v>206.93474899999998</v>
      </c>
      <c r="AS111" s="4">
        <f t="shared" si="20"/>
        <v>431.48096599999997</v>
      </c>
      <c r="AT111" s="4">
        <f t="shared" si="21"/>
        <v>611.36953200000005</v>
      </c>
      <c r="AU111" s="4">
        <f t="shared" si="22"/>
        <v>589.35519699999998</v>
      </c>
    </row>
    <row r="112" spans="21:47">
      <c r="U112" s="118">
        <f t="shared" si="23"/>
        <v>0.29552236928000003</v>
      </c>
      <c r="V112" s="118">
        <f t="shared" si="24"/>
        <v>0.28669147604</v>
      </c>
      <c r="W112" s="118">
        <f t="shared" si="25"/>
        <v>0.29652309179999997</v>
      </c>
      <c r="X112" s="118">
        <f t="shared" si="26"/>
        <v>0.28710168660800006</v>
      </c>
      <c r="Y112" s="118">
        <f t="shared" si="27"/>
        <v>0.1521533340410367</v>
      </c>
      <c r="Z112">
        <f t="shared" si="28"/>
        <v>0.05</v>
      </c>
      <c r="AB112">
        <f t="shared" si="29"/>
        <v>3</v>
      </c>
      <c r="AC112">
        <f t="shared" si="30"/>
        <v>3</v>
      </c>
      <c r="AD112">
        <f t="shared" si="31"/>
        <v>3</v>
      </c>
      <c r="AE112">
        <f t="shared" si="16"/>
        <v>3</v>
      </c>
      <c r="AF112">
        <f t="shared" si="17"/>
        <v>3</v>
      </c>
      <c r="AG112">
        <f t="shared" si="18"/>
        <v>1</v>
      </c>
      <c r="AI112" s="97">
        <f>'Decline and Model'!E114</f>
        <v>46023</v>
      </c>
      <c r="AJ112" s="106">
        <f>'Decline and Model'!AC114</f>
        <v>95.6</v>
      </c>
      <c r="AK112" s="107">
        <f>'Decline and Model'!AD114</f>
        <v>16.600000000000001</v>
      </c>
      <c r="AL112" s="107">
        <f>'Decline and Model'!AE114</f>
        <v>33.6</v>
      </c>
      <c r="AM112" s="107">
        <f>'Decline and Model'!AF114</f>
        <v>99.2</v>
      </c>
      <c r="AN112" s="107">
        <f>'Decline and Model'!AG114</f>
        <v>70</v>
      </c>
      <c r="AO112" s="107">
        <f>'Decline and Model'!AH114</f>
        <v>0.85</v>
      </c>
      <c r="AP112" s="107">
        <f>'Decline and Model'!AI114</f>
        <v>4.4000000000000004</v>
      </c>
      <c r="AQ112" s="108">
        <f>'Decline and Model'!AJ114</f>
        <v>4.4000000000000004</v>
      </c>
      <c r="AR112" s="4">
        <f t="shared" si="19"/>
        <v>211.33761600000003</v>
      </c>
      <c r="AS112" s="4">
        <f t="shared" si="20"/>
        <v>440.2867</v>
      </c>
      <c r="AT112" s="4">
        <f t="shared" si="21"/>
        <v>623.94915200000003</v>
      </c>
      <c r="AU112" s="4">
        <f t="shared" si="22"/>
        <v>601.305836</v>
      </c>
    </row>
    <row r="113" spans="21:47">
      <c r="U113" s="118">
        <f t="shared" si="23"/>
        <v>0.29552236928000003</v>
      </c>
      <c r="V113" s="118">
        <f t="shared" si="24"/>
        <v>0.28669147604</v>
      </c>
      <c r="W113" s="118">
        <f t="shared" si="25"/>
        <v>0.29652309179999997</v>
      </c>
      <c r="X113" s="118">
        <f t="shared" si="26"/>
        <v>0.28710168660800006</v>
      </c>
      <c r="Y113" s="118">
        <f t="shared" si="27"/>
        <v>0.1521533340410367</v>
      </c>
      <c r="Z113">
        <f t="shared" si="28"/>
        <v>0.05</v>
      </c>
      <c r="AB113">
        <f t="shared" si="29"/>
        <v>3</v>
      </c>
      <c r="AC113">
        <f t="shared" si="30"/>
        <v>3</v>
      </c>
      <c r="AD113">
        <f t="shared" si="31"/>
        <v>3</v>
      </c>
      <c r="AE113">
        <f t="shared" si="16"/>
        <v>3</v>
      </c>
      <c r="AF113">
        <f t="shared" si="17"/>
        <v>3</v>
      </c>
      <c r="AG113">
        <f t="shared" si="18"/>
        <v>1</v>
      </c>
      <c r="AI113" s="97">
        <f>'Decline and Model'!E115</f>
        <v>46054</v>
      </c>
      <c r="AJ113" s="106">
        <f>'Decline and Model'!AC115</f>
        <v>95.6</v>
      </c>
      <c r="AK113" s="107">
        <f>'Decline and Model'!AD115</f>
        <v>16.600000000000001</v>
      </c>
      <c r="AL113" s="107">
        <f>'Decline and Model'!AE115</f>
        <v>33.6</v>
      </c>
      <c r="AM113" s="107">
        <f>'Decline and Model'!AF115</f>
        <v>99.2</v>
      </c>
      <c r="AN113" s="107">
        <f>'Decline and Model'!AG115</f>
        <v>70</v>
      </c>
      <c r="AO113" s="107">
        <f>'Decline and Model'!AH115</f>
        <v>0.85</v>
      </c>
      <c r="AP113" s="107">
        <f>'Decline and Model'!AI115</f>
        <v>4.4000000000000004</v>
      </c>
      <c r="AQ113" s="108">
        <f>'Decline and Model'!AJ115</f>
        <v>4.4000000000000004</v>
      </c>
      <c r="AR113" s="4">
        <f t="shared" si="19"/>
        <v>211.33761600000003</v>
      </c>
      <c r="AS113" s="4">
        <f t="shared" si="20"/>
        <v>440.2867</v>
      </c>
      <c r="AT113" s="4">
        <f t="shared" si="21"/>
        <v>623.94915200000003</v>
      </c>
      <c r="AU113" s="4">
        <f t="shared" si="22"/>
        <v>601.305836</v>
      </c>
    </row>
    <row r="114" spans="21:47">
      <c r="U114" s="118">
        <f t="shared" si="23"/>
        <v>0.29552236928000003</v>
      </c>
      <c r="V114" s="118">
        <f t="shared" si="24"/>
        <v>0.28669147604</v>
      </c>
      <c r="W114" s="118">
        <f t="shared" si="25"/>
        <v>0.29652309179999997</v>
      </c>
      <c r="X114" s="118">
        <f t="shared" si="26"/>
        <v>0.28710168660800006</v>
      </c>
      <c r="Y114" s="118">
        <f t="shared" si="27"/>
        <v>0.1521533340410367</v>
      </c>
      <c r="Z114">
        <f t="shared" si="28"/>
        <v>0.05</v>
      </c>
      <c r="AB114">
        <f t="shared" si="29"/>
        <v>3</v>
      </c>
      <c r="AC114">
        <f t="shared" si="30"/>
        <v>3</v>
      </c>
      <c r="AD114">
        <f t="shared" si="31"/>
        <v>3</v>
      </c>
      <c r="AE114">
        <f t="shared" si="16"/>
        <v>3</v>
      </c>
      <c r="AF114">
        <f t="shared" si="17"/>
        <v>3</v>
      </c>
      <c r="AG114">
        <f t="shared" si="18"/>
        <v>1</v>
      </c>
      <c r="AI114" s="97">
        <f>'Decline and Model'!E116</f>
        <v>46082</v>
      </c>
      <c r="AJ114" s="106">
        <f>'Decline and Model'!AC116</f>
        <v>95.6</v>
      </c>
      <c r="AK114" s="107">
        <f>'Decline and Model'!AD116</f>
        <v>16.600000000000001</v>
      </c>
      <c r="AL114" s="107">
        <f>'Decline and Model'!AE116</f>
        <v>33.6</v>
      </c>
      <c r="AM114" s="107">
        <f>'Decline and Model'!AF116</f>
        <v>99.2</v>
      </c>
      <c r="AN114" s="107">
        <f>'Decline and Model'!AG116</f>
        <v>70</v>
      </c>
      <c r="AO114" s="107">
        <f>'Decline and Model'!AH116</f>
        <v>0.85</v>
      </c>
      <c r="AP114" s="107">
        <f>'Decline and Model'!AI116</f>
        <v>4.4000000000000004</v>
      </c>
      <c r="AQ114" s="108">
        <f>'Decline and Model'!AJ116</f>
        <v>4.4000000000000004</v>
      </c>
      <c r="AR114" s="4">
        <f t="shared" si="19"/>
        <v>211.33761600000003</v>
      </c>
      <c r="AS114" s="4">
        <f t="shared" si="20"/>
        <v>440.2867</v>
      </c>
      <c r="AT114" s="4">
        <f t="shared" si="21"/>
        <v>623.94915200000003</v>
      </c>
      <c r="AU114" s="4">
        <f t="shared" si="22"/>
        <v>601.305836</v>
      </c>
    </row>
    <row r="115" spans="21:47">
      <c r="U115" s="118">
        <f t="shared" si="23"/>
        <v>0.29552236928000003</v>
      </c>
      <c r="V115" s="118">
        <f t="shared" si="24"/>
        <v>0.28669147604</v>
      </c>
      <c r="W115" s="118">
        <f t="shared" si="25"/>
        <v>0.29652309179999997</v>
      </c>
      <c r="X115" s="118">
        <f t="shared" si="26"/>
        <v>0.28710168660800006</v>
      </c>
      <c r="Y115" s="118">
        <f t="shared" si="27"/>
        <v>0.1521533340410367</v>
      </c>
      <c r="Z115">
        <f t="shared" si="28"/>
        <v>0.05</v>
      </c>
      <c r="AB115">
        <f t="shared" si="29"/>
        <v>3</v>
      </c>
      <c r="AC115">
        <f t="shared" si="30"/>
        <v>3</v>
      </c>
      <c r="AD115">
        <f t="shared" si="31"/>
        <v>3</v>
      </c>
      <c r="AE115">
        <f t="shared" si="16"/>
        <v>3</v>
      </c>
      <c r="AF115">
        <f t="shared" si="17"/>
        <v>3</v>
      </c>
      <c r="AG115">
        <f t="shared" si="18"/>
        <v>1</v>
      </c>
      <c r="AI115" s="97">
        <f>'Decline and Model'!E117</f>
        <v>46113</v>
      </c>
      <c r="AJ115" s="106">
        <f>'Decline and Model'!AC117</f>
        <v>95.6</v>
      </c>
      <c r="AK115" s="107">
        <f>'Decline and Model'!AD117</f>
        <v>16.600000000000001</v>
      </c>
      <c r="AL115" s="107">
        <f>'Decline and Model'!AE117</f>
        <v>33.6</v>
      </c>
      <c r="AM115" s="107">
        <f>'Decline and Model'!AF117</f>
        <v>99.2</v>
      </c>
      <c r="AN115" s="107">
        <f>'Decline and Model'!AG117</f>
        <v>70</v>
      </c>
      <c r="AO115" s="107">
        <f>'Decline and Model'!AH117</f>
        <v>0.85</v>
      </c>
      <c r="AP115" s="107">
        <f>'Decline and Model'!AI117</f>
        <v>4.4000000000000004</v>
      </c>
      <c r="AQ115" s="108">
        <f>'Decline and Model'!AJ117</f>
        <v>4.4000000000000004</v>
      </c>
      <c r="AR115" s="4">
        <f t="shared" si="19"/>
        <v>211.33761600000003</v>
      </c>
      <c r="AS115" s="4">
        <f t="shared" si="20"/>
        <v>440.2867</v>
      </c>
      <c r="AT115" s="4">
        <f t="shared" si="21"/>
        <v>623.94915200000003</v>
      </c>
      <c r="AU115" s="4">
        <f t="shared" si="22"/>
        <v>601.305836</v>
      </c>
    </row>
    <row r="116" spans="21:47">
      <c r="U116" s="118">
        <f t="shared" si="23"/>
        <v>0.29552236928000003</v>
      </c>
      <c r="V116" s="118">
        <f t="shared" si="24"/>
        <v>0.28669147604</v>
      </c>
      <c r="W116" s="118">
        <f t="shared" si="25"/>
        <v>0.29652309179999997</v>
      </c>
      <c r="X116" s="118">
        <f t="shared" si="26"/>
        <v>0.28710168660800006</v>
      </c>
      <c r="Y116" s="118">
        <f t="shared" si="27"/>
        <v>0.1521533340410367</v>
      </c>
      <c r="Z116">
        <f t="shared" si="28"/>
        <v>0.05</v>
      </c>
      <c r="AB116">
        <f t="shared" si="29"/>
        <v>3</v>
      </c>
      <c r="AC116">
        <f t="shared" si="30"/>
        <v>3</v>
      </c>
      <c r="AD116">
        <f t="shared" si="31"/>
        <v>3</v>
      </c>
      <c r="AE116">
        <f t="shared" si="16"/>
        <v>3</v>
      </c>
      <c r="AF116">
        <f t="shared" si="17"/>
        <v>3</v>
      </c>
      <c r="AG116">
        <f t="shared" si="18"/>
        <v>1</v>
      </c>
      <c r="AI116" s="97">
        <f>'Decline and Model'!E118</f>
        <v>46143</v>
      </c>
      <c r="AJ116" s="106">
        <f>'Decline and Model'!AC118</f>
        <v>95.6</v>
      </c>
      <c r="AK116" s="107">
        <f>'Decline and Model'!AD118</f>
        <v>16.600000000000001</v>
      </c>
      <c r="AL116" s="107">
        <f>'Decline and Model'!AE118</f>
        <v>33.6</v>
      </c>
      <c r="AM116" s="107">
        <f>'Decline and Model'!AF118</f>
        <v>99.2</v>
      </c>
      <c r="AN116" s="107">
        <f>'Decline and Model'!AG118</f>
        <v>70</v>
      </c>
      <c r="AO116" s="107">
        <f>'Decline and Model'!AH118</f>
        <v>0.85</v>
      </c>
      <c r="AP116" s="107">
        <f>'Decline and Model'!AI118</f>
        <v>4.4000000000000004</v>
      </c>
      <c r="AQ116" s="108">
        <f>'Decline and Model'!AJ118</f>
        <v>4.4000000000000004</v>
      </c>
      <c r="AR116" s="4">
        <f t="shared" si="19"/>
        <v>211.33761600000003</v>
      </c>
      <c r="AS116" s="4">
        <f t="shared" si="20"/>
        <v>440.2867</v>
      </c>
      <c r="AT116" s="4">
        <f t="shared" si="21"/>
        <v>623.94915200000003</v>
      </c>
      <c r="AU116" s="4">
        <f t="shared" si="22"/>
        <v>601.305836</v>
      </c>
    </row>
    <row r="117" spans="21:47">
      <c r="U117" s="118">
        <f t="shared" si="23"/>
        <v>0.29552236928000003</v>
      </c>
      <c r="V117" s="118">
        <f t="shared" si="24"/>
        <v>0.28669147604</v>
      </c>
      <c r="W117" s="118">
        <f t="shared" si="25"/>
        <v>0.29652309179999997</v>
      </c>
      <c r="X117" s="118">
        <f t="shared" si="26"/>
        <v>0.28710168660800006</v>
      </c>
      <c r="Y117" s="118">
        <f t="shared" si="27"/>
        <v>0.1521533340410367</v>
      </c>
      <c r="Z117">
        <f t="shared" si="28"/>
        <v>0.05</v>
      </c>
      <c r="AB117">
        <f t="shared" si="29"/>
        <v>3</v>
      </c>
      <c r="AC117">
        <f t="shared" si="30"/>
        <v>3</v>
      </c>
      <c r="AD117">
        <f t="shared" si="31"/>
        <v>3</v>
      </c>
      <c r="AE117">
        <f t="shared" si="16"/>
        <v>3</v>
      </c>
      <c r="AF117">
        <f t="shared" si="17"/>
        <v>3</v>
      </c>
      <c r="AG117">
        <f t="shared" si="18"/>
        <v>1</v>
      </c>
      <c r="AI117" s="97">
        <f>'Decline and Model'!E119</f>
        <v>46174</v>
      </c>
      <c r="AJ117" s="106">
        <f>'Decline and Model'!AC119</f>
        <v>95.6</v>
      </c>
      <c r="AK117" s="107">
        <f>'Decline and Model'!AD119</f>
        <v>16.600000000000001</v>
      </c>
      <c r="AL117" s="107">
        <f>'Decline and Model'!AE119</f>
        <v>33.6</v>
      </c>
      <c r="AM117" s="107">
        <f>'Decline and Model'!AF119</f>
        <v>99.2</v>
      </c>
      <c r="AN117" s="107">
        <f>'Decline and Model'!AG119</f>
        <v>70</v>
      </c>
      <c r="AO117" s="107">
        <f>'Decline and Model'!AH119</f>
        <v>0.85</v>
      </c>
      <c r="AP117" s="107">
        <f>'Decline and Model'!AI119</f>
        <v>4.4000000000000004</v>
      </c>
      <c r="AQ117" s="108">
        <f>'Decline and Model'!AJ119</f>
        <v>4.4000000000000004</v>
      </c>
      <c r="AR117" s="4">
        <f t="shared" si="19"/>
        <v>211.33761600000003</v>
      </c>
      <c r="AS117" s="4">
        <f t="shared" si="20"/>
        <v>440.2867</v>
      </c>
      <c r="AT117" s="4">
        <f t="shared" si="21"/>
        <v>623.94915200000003</v>
      </c>
      <c r="AU117" s="4">
        <f t="shared" si="22"/>
        <v>601.305836</v>
      </c>
    </row>
    <row r="118" spans="21:47">
      <c r="U118" s="118">
        <f t="shared" si="23"/>
        <v>0.29552236928000003</v>
      </c>
      <c r="V118" s="118">
        <f t="shared" si="24"/>
        <v>0.28669147604</v>
      </c>
      <c r="W118" s="118">
        <f t="shared" si="25"/>
        <v>0.29652309179999997</v>
      </c>
      <c r="X118" s="118">
        <f t="shared" si="26"/>
        <v>0.28710168660800006</v>
      </c>
      <c r="Y118" s="118">
        <f t="shared" si="27"/>
        <v>0.1521533340410367</v>
      </c>
      <c r="Z118">
        <f t="shared" si="28"/>
        <v>0.05</v>
      </c>
      <c r="AB118">
        <f t="shared" si="29"/>
        <v>3</v>
      </c>
      <c r="AC118">
        <f t="shared" si="30"/>
        <v>3</v>
      </c>
      <c r="AD118">
        <f t="shared" si="31"/>
        <v>3</v>
      </c>
      <c r="AE118">
        <f t="shared" si="16"/>
        <v>3</v>
      </c>
      <c r="AF118">
        <f t="shared" si="17"/>
        <v>3</v>
      </c>
      <c r="AG118">
        <f t="shared" si="18"/>
        <v>1</v>
      </c>
      <c r="AI118" s="97">
        <f>'Decline and Model'!E120</f>
        <v>46204</v>
      </c>
      <c r="AJ118" s="106">
        <f>'Decline and Model'!AC120</f>
        <v>95.6</v>
      </c>
      <c r="AK118" s="107">
        <f>'Decline and Model'!AD120</f>
        <v>16.600000000000001</v>
      </c>
      <c r="AL118" s="107">
        <f>'Decline and Model'!AE120</f>
        <v>33.6</v>
      </c>
      <c r="AM118" s="107">
        <f>'Decline and Model'!AF120</f>
        <v>99.2</v>
      </c>
      <c r="AN118" s="107">
        <f>'Decline and Model'!AG120</f>
        <v>70</v>
      </c>
      <c r="AO118" s="107">
        <f>'Decline and Model'!AH120</f>
        <v>0.85</v>
      </c>
      <c r="AP118" s="107">
        <f>'Decline and Model'!AI120</f>
        <v>4.4000000000000004</v>
      </c>
      <c r="AQ118" s="108">
        <f>'Decline and Model'!AJ120</f>
        <v>4.4000000000000004</v>
      </c>
      <c r="AR118" s="4">
        <f t="shared" si="19"/>
        <v>211.33761600000003</v>
      </c>
      <c r="AS118" s="4">
        <f t="shared" si="20"/>
        <v>440.2867</v>
      </c>
      <c r="AT118" s="4">
        <f t="shared" si="21"/>
        <v>623.94915200000003</v>
      </c>
      <c r="AU118" s="4">
        <f t="shared" si="22"/>
        <v>601.305836</v>
      </c>
    </row>
    <row r="119" spans="21:47">
      <c r="U119" s="118">
        <f t="shared" si="23"/>
        <v>0.29552236928000003</v>
      </c>
      <c r="V119" s="118">
        <f t="shared" si="24"/>
        <v>0.28669147604</v>
      </c>
      <c r="W119" s="118">
        <f t="shared" si="25"/>
        <v>0.29652309179999997</v>
      </c>
      <c r="X119" s="118">
        <f t="shared" si="26"/>
        <v>0.28710168660800006</v>
      </c>
      <c r="Y119" s="118">
        <f t="shared" si="27"/>
        <v>0.1521533340410367</v>
      </c>
      <c r="Z119">
        <f t="shared" si="28"/>
        <v>0.05</v>
      </c>
      <c r="AB119">
        <f t="shared" si="29"/>
        <v>3</v>
      </c>
      <c r="AC119">
        <f t="shared" si="30"/>
        <v>3</v>
      </c>
      <c r="AD119">
        <f t="shared" si="31"/>
        <v>3</v>
      </c>
      <c r="AE119">
        <f t="shared" si="16"/>
        <v>3</v>
      </c>
      <c r="AF119">
        <f t="shared" si="17"/>
        <v>3</v>
      </c>
      <c r="AG119">
        <f t="shared" si="18"/>
        <v>1</v>
      </c>
      <c r="AI119" s="97">
        <f>'Decline and Model'!E121</f>
        <v>46235</v>
      </c>
      <c r="AJ119" s="106">
        <f>'Decline and Model'!AC121</f>
        <v>95.6</v>
      </c>
      <c r="AK119" s="107">
        <f>'Decline and Model'!AD121</f>
        <v>16.600000000000001</v>
      </c>
      <c r="AL119" s="107">
        <f>'Decline and Model'!AE121</f>
        <v>33.6</v>
      </c>
      <c r="AM119" s="107">
        <f>'Decline and Model'!AF121</f>
        <v>99.2</v>
      </c>
      <c r="AN119" s="107">
        <f>'Decline and Model'!AG121</f>
        <v>70</v>
      </c>
      <c r="AO119" s="107">
        <f>'Decline and Model'!AH121</f>
        <v>0.85</v>
      </c>
      <c r="AP119" s="107">
        <f>'Decline and Model'!AI121</f>
        <v>4.4000000000000004</v>
      </c>
      <c r="AQ119" s="108">
        <f>'Decline and Model'!AJ121</f>
        <v>4.4000000000000004</v>
      </c>
      <c r="AR119" s="4">
        <f t="shared" si="19"/>
        <v>211.33761600000003</v>
      </c>
      <c r="AS119" s="4">
        <f t="shared" si="20"/>
        <v>440.2867</v>
      </c>
      <c r="AT119" s="4">
        <f t="shared" si="21"/>
        <v>623.94915200000003</v>
      </c>
      <c r="AU119" s="4">
        <f t="shared" si="22"/>
        <v>601.305836</v>
      </c>
    </row>
    <row r="120" spans="21:47">
      <c r="U120" s="118">
        <f t="shared" si="23"/>
        <v>0.29552236928000003</v>
      </c>
      <c r="V120" s="118">
        <f t="shared" si="24"/>
        <v>0.28669147604</v>
      </c>
      <c r="W120" s="118">
        <f t="shared" si="25"/>
        <v>0.29652309179999997</v>
      </c>
      <c r="X120" s="118">
        <f t="shared" si="26"/>
        <v>0.28710168660800006</v>
      </c>
      <c r="Y120" s="118">
        <f t="shared" si="27"/>
        <v>0.1521533340410367</v>
      </c>
      <c r="Z120">
        <f t="shared" si="28"/>
        <v>0.05</v>
      </c>
      <c r="AB120">
        <f t="shared" si="29"/>
        <v>3</v>
      </c>
      <c r="AC120">
        <f t="shared" si="30"/>
        <v>3</v>
      </c>
      <c r="AD120">
        <f t="shared" si="31"/>
        <v>3</v>
      </c>
      <c r="AE120">
        <f t="shared" si="16"/>
        <v>3</v>
      </c>
      <c r="AF120">
        <f t="shared" si="17"/>
        <v>3</v>
      </c>
      <c r="AG120">
        <f t="shared" si="18"/>
        <v>1</v>
      </c>
      <c r="AI120" s="97">
        <f>'Decline and Model'!E122</f>
        <v>46266</v>
      </c>
      <c r="AJ120" s="106">
        <f>'Decline and Model'!AC122</f>
        <v>95.6</v>
      </c>
      <c r="AK120" s="107">
        <f>'Decline and Model'!AD122</f>
        <v>16.600000000000001</v>
      </c>
      <c r="AL120" s="107">
        <f>'Decline and Model'!AE122</f>
        <v>33.6</v>
      </c>
      <c r="AM120" s="107">
        <f>'Decline and Model'!AF122</f>
        <v>99.2</v>
      </c>
      <c r="AN120" s="107">
        <f>'Decline and Model'!AG122</f>
        <v>70</v>
      </c>
      <c r="AO120" s="107">
        <f>'Decline and Model'!AH122</f>
        <v>0.85</v>
      </c>
      <c r="AP120" s="107">
        <f>'Decline and Model'!AI122</f>
        <v>4.4000000000000004</v>
      </c>
      <c r="AQ120" s="108">
        <f>'Decline and Model'!AJ122</f>
        <v>4.4000000000000004</v>
      </c>
      <c r="AR120" s="4">
        <f t="shared" si="19"/>
        <v>211.33761600000003</v>
      </c>
      <c r="AS120" s="4">
        <f t="shared" si="20"/>
        <v>440.2867</v>
      </c>
      <c r="AT120" s="4">
        <f t="shared" si="21"/>
        <v>623.94915200000003</v>
      </c>
      <c r="AU120" s="4">
        <f t="shared" si="22"/>
        <v>601.305836</v>
      </c>
    </row>
    <row r="121" spans="21:47">
      <c r="U121" s="118">
        <f t="shared" si="23"/>
        <v>0.29552236928000003</v>
      </c>
      <c r="V121" s="118">
        <f t="shared" si="24"/>
        <v>0.28669147604</v>
      </c>
      <c r="W121" s="118">
        <f t="shared" si="25"/>
        <v>0.29652309179999997</v>
      </c>
      <c r="X121" s="118">
        <f t="shared" si="26"/>
        <v>0.28710168660800006</v>
      </c>
      <c r="Y121" s="118">
        <f t="shared" si="27"/>
        <v>0.1521533340410367</v>
      </c>
      <c r="Z121">
        <f t="shared" si="28"/>
        <v>0.05</v>
      </c>
      <c r="AB121">
        <f t="shared" si="29"/>
        <v>3</v>
      </c>
      <c r="AC121">
        <f t="shared" si="30"/>
        <v>3</v>
      </c>
      <c r="AD121">
        <f t="shared" si="31"/>
        <v>3</v>
      </c>
      <c r="AE121">
        <f t="shared" si="16"/>
        <v>3</v>
      </c>
      <c r="AF121">
        <f t="shared" si="17"/>
        <v>3</v>
      </c>
      <c r="AG121">
        <f t="shared" si="18"/>
        <v>1</v>
      </c>
      <c r="AI121" s="97">
        <f>'Decline and Model'!E123</f>
        <v>46296</v>
      </c>
      <c r="AJ121" s="106">
        <f>'Decline and Model'!AC123</f>
        <v>95.6</v>
      </c>
      <c r="AK121" s="107">
        <f>'Decline and Model'!AD123</f>
        <v>16.600000000000001</v>
      </c>
      <c r="AL121" s="107">
        <f>'Decline and Model'!AE123</f>
        <v>33.6</v>
      </c>
      <c r="AM121" s="107">
        <f>'Decline and Model'!AF123</f>
        <v>99.2</v>
      </c>
      <c r="AN121" s="107">
        <f>'Decline and Model'!AG123</f>
        <v>70</v>
      </c>
      <c r="AO121" s="107">
        <f>'Decline and Model'!AH123</f>
        <v>0.85</v>
      </c>
      <c r="AP121" s="107">
        <f>'Decline and Model'!AI123</f>
        <v>4.4000000000000004</v>
      </c>
      <c r="AQ121" s="108">
        <f>'Decline and Model'!AJ123</f>
        <v>4.4000000000000004</v>
      </c>
      <c r="AR121" s="4">
        <f t="shared" si="19"/>
        <v>211.33761600000003</v>
      </c>
      <c r="AS121" s="4">
        <f t="shared" si="20"/>
        <v>440.2867</v>
      </c>
      <c r="AT121" s="4">
        <f t="shared" si="21"/>
        <v>623.94915200000003</v>
      </c>
      <c r="AU121" s="4">
        <f t="shared" si="22"/>
        <v>601.305836</v>
      </c>
    </row>
    <row r="122" spans="21:47">
      <c r="U122" s="118">
        <f t="shared" si="23"/>
        <v>0.29552236928000003</v>
      </c>
      <c r="V122" s="118">
        <f t="shared" si="24"/>
        <v>0.28669147604</v>
      </c>
      <c r="W122" s="118">
        <f t="shared" si="25"/>
        <v>0.29652309179999997</v>
      </c>
      <c r="X122" s="118">
        <f t="shared" si="26"/>
        <v>0.28710168660800006</v>
      </c>
      <c r="Y122" s="118">
        <f t="shared" si="27"/>
        <v>0.1521533340410367</v>
      </c>
      <c r="Z122">
        <f t="shared" si="28"/>
        <v>0.05</v>
      </c>
      <c r="AB122">
        <f t="shared" si="29"/>
        <v>3</v>
      </c>
      <c r="AC122">
        <f t="shared" si="30"/>
        <v>3</v>
      </c>
      <c r="AD122">
        <f t="shared" si="31"/>
        <v>3</v>
      </c>
      <c r="AE122">
        <f t="shared" si="16"/>
        <v>3</v>
      </c>
      <c r="AF122">
        <f t="shared" si="17"/>
        <v>3</v>
      </c>
      <c r="AG122">
        <f t="shared" si="18"/>
        <v>1</v>
      </c>
      <c r="AI122" s="97">
        <f>'Decline and Model'!E124</f>
        <v>46327</v>
      </c>
      <c r="AJ122" s="106">
        <f>'Decline and Model'!AC124</f>
        <v>95.6</v>
      </c>
      <c r="AK122" s="107">
        <f>'Decline and Model'!AD124</f>
        <v>16.600000000000001</v>
      </c>
      <c r="AL122" s="107">
        <f>'Decline and Model'!AE124</f>
        <v>33.6</v>
      </c>
      <c r="AM122" s="107">
        <f>'Decline and Model'!AF124</f>
        <v>99.2</v>
      </c>
      <c r="AN122" s="107">
        <f>'Decline and Model'!AG124</f>
        <v>70</v>
      </c>
      <c r="AO122" s="107">
        <f>'Decline and Model'!AH124</f>
        <v>0.85</v>
      </c>
      <c r="AP122" s="107">
        <f>'Decline and Model'!AI124</f>
        <v>4.4000000000000004</v>
      </c>
      <c r="AQ122" s="108">
        <f>'Decline and Model'!AJ124</f>
        <v>4.4000000000000004</v>
      </c>
      <c r="AR122" s="4">
        <f t="shared" si="19"/>
        <v>211.33761600000003</v>
      </c>
      <c r="AS122" s="4">
        <f t="shared" si="20"/>
        <v>440.2867</v>
      </c>
      <c r="AT122" s="4">
        <f t="shared" si="21"/>
        <v>623.94915200000003</v>
      </c>
      <c r="AU122" s="4">
        <f t="shared" si="22"/>
        <v>601.305836</v>
      </c>
    </row>
    <row r="123" spans="21:47">
      <c r="U123" s="118">
        <f t="shared" si="23"/>
        <v>0.29552236928000003</v>
      </c>
      <c r="V123" s="118">
        <f t="shared" si="24"/>
        <v>0.28669147604</v>
      </c>
      <c r="W123" s="118">
        <f t="shared" si="25"/>
        <v>0.29652309179999997</v>
      </c>
      <c r="X123" s="118">
        <f t="shared" si="26"/>
        <v>0.28710168660800006</v>
      </c>
      <c r="Y123" s="118">
        <f t="shared" si="27"/>
        <v>0.1521533340410367</v>
      </c>
      <c r="Z123">
        <f t="shared" si="28"/>
        <v>0.05</v>
      </c>
      <c r="AB123">
        <f t="shared" si="29"/>
        <v>3</v>
      </c>
      <c r="AC123">
        <f t="shared" si="30"/>
        <v>3</v>
      </c>
      <c r="AD123">
        <f t="shared" si="31"/>
        <v>3</v>
      </c>
      <c r="AE123">
        <f t="shared" si="16"/>
        <v>3</v>
      </c>
      <c r="AF123">
        <f t="shared" si="17"/>
        <v>3</v>
      </c>
      <c r="AG123">
        <f t="shared" si="18"/>
        <v>1</v>
      </c>
      <c r="AI123" s="97">
        <f>'Decline and Model'!E125</f>
        <v>46357</v>
      </c>
      <c r="AJ123" s="106">
        <f>'Decline and Model'!AC125</f>
        <v>95.6</v>
      </c>
      <c r="AK123" s="107">
        <f>'Decline and Model'!AD125</f>
        <v>16.600000000000001</v>
      </c>
      <c r="AL123" s="107">
        <f>'Decline and Model'!AE125</f>
        <v>33.6</v>
      </c>
      <c r="AM123" s="107">
        <f>'Decline and Model'!AF125</f>
        <v>99.2</v>
      </c>
      <c r="AN123" s="107">
        <f>'Decline and Model'!AG125</f>
        <v>70</v>
      </c>
      <c r="AO123" s="107">
        <f>'Decline and Model'!AH125</f>
        <v>0.85</v>
      </c>
      <c r="AP123" s="107">
        <f>'Decline and Model'!AI125</f>
        <v>4.4000000000000004</v>
      </c>
      <c r="AQ123" s="108">
        <f>'Decline and Model'!AJ125</f>
        <v>4.4000000000000004</v>
      </c>
      <c r="AR123" s="4">
        <f t="shared" si="19"/>
        <v>211.33761600000003</v>
      </c>
      <c r="AS123" s="4">
        <f t="shared" si="20"/>
        <v>440.2867</v>
      </c>
      <c r="AT123" s="4">
        <f t="shared" si="21"/>
        <v>623.94915200000003</v>
      </c>
      <c r="AU123" s="4">
        <f t="shared" si="22"/>
        <v>601.305836</v>
      </c>
    </row>
    <row r="124" spans="21:47">
      <c r="U124" s="118">
        <f t="shared" si="23"/>
        <v>0.30018311849000001</v>
      </c>
      <c r="V124" s="118">
        <f t="shared" si="24"/>
        <v>0.29110692266000004</v>
      </c>
      <c r="W124" s="118">
        <f t="shared" si="25"/>
        <v>0.30140146843600002</v>
      </c>
      <c r="X124" s="118">
        <f t="shared" si="26"/>
        <v>0.29130202172600006</v>
      </c>
      <c r="Y124" s="118">
        <f t="shared" si="27"/>
        <v>0.15640333404103668</v>
      </c>
      <c r="Z124">
        <f t="shared" si="28"/>
        <v>0.05</v>
      </c>
      <c r="AB124">
        <f t="shared" si="29"/>
        <v>3</v>
      </c>
      <c r="AC124">
        <f t="shared" si="30"/>
        <v>3</v>
      </c>
      <c r="AD124">
        <f t="shared" si="31"/>
        <v>3</v>
      </c>
      <c r="AE124">
        <f t="shared" si="16"/>
        <v>3</v>
      </c>
      <c r="AF124">
        <f t="shared" si="17"/>
        <v>3</v>
      </c>
      <c r="AG124">
        <f t="shared" si="18"/>
        <v>1</v>
      </c>
      <c r="AI124" s="97">
        <f>'Decline and Model'!E126</f>
        <v>46388</v>
      </c>
      <c r="AJ124" s="106">
        <f>'Decline and Model'!AC126</f>
        <v>97.4</v>
      </c>
      <c r="AK124" s="107">
        <f>'Decline and Model'!AD126</f>
        <v>17</v>
      </c>
      <c r="AL124" s="107">
        <f>'Decline and Model'!AE126</f>
        <v>34.200000000000003</v>
      </c>
      <c r="AM124" s="107">
        <f>'Decline and Model'!AF126</f>
        <v>101.1</v>
      </c>
      <c r="AN124" s="107">
        <f>'Decline and Model'!AG126</f>
        <v>71.400000000000006</v>
      </c>
      <c r="AO124" s="107">
        <f>'Decline and Model'!AH126</f>
        <v>0.85</v>
      </c>
      <c r="AP124" s="107">
        <f>'Decline and Model'!AI126</f>
        <v>4.5</v>
      </c>
      <c r="AQ124" s="108">
        <f>'Decline and Model'!AJ126</f>
        <v>4.5</v>
      </c>
      <c r="AR124" s="4">
        <f t="shared" si="19"/>
        <v>215.11150200000003</v>
      </c>
      <c r="AS124" s="4">
        <f t="shared" si="20"/>
        <v>449.09243400000003</v>
      </c>
      <c r="AT124" s="4">
        <f t="shared" si="21"/>
        <v>635.89979099999994</v>
      </c>
      <c r="AU124" s="4">
        <f t="shared" si="22"/>
        <v>612.62749400000007</v>
      </c>
    </row>
    <row r="125" spans="21:47">
      <c r="U125" s="118">
        <f t="shared" si="23"/>
        <v>0.30018311849000001</v>
      </c>
      <c r="V125" s="118">
        <f t="shared" si="24"/>
        <v>0.29110692266000004</v>
      </c>
      <c r="W125" s="118">
        <f t="shared" si="25"/>
        <v>0.30140146843600002</v>
      </c>
      <c r="X125" s="118">
        <f t="shared" si="26"/>
        <v>0.29130202172600006</v>
      </c>
      <c r="Y125" s="118">
        <f t="shared" si="27"/>
        <v>0.15640333404103668</v>
      </c>
      <c r="Z125">
        <f t="shared" si="28"/>
        <v>0.05</v>
      </c>
      <c r="AB125">
        <f t="shared" si="29"/>
        <v>3</v>
      </c>
      <c r="AC125">
        <f t="shared" si="30"/>
        <v>3</v>
      </c>
      <c r="AD125">
        <f t="shared" si="31"/>
        <v>3</v>
      </c>
      <c r="AE125">
        <f t="shared" si="16"/>
        <v>3</v>
      </c>
      <c r="AF125">
        <f t="shared" si="17"/>
        <v>3</v>
      </c>
      <c r="AG125">
        <f t="shared" si="18"/>
        <v>1</v>
      </c>
      <c r="AI125" s="97">
        <f>'Decline and Model'!E127</f>
        <v>46419</v>
      </c>
      <c r="AJ125" s="106">
        <f>'Decline and Model'!AC127</f>
        <v>97.4</v>
      </c>
      <c r="AK125" s="107">
        <f>'Decline and Model'!AD127</f>
        <v>17</v>
      </c>
      <c r="AL125" s="107">
        <f>'Decline and Model'!AE127</f>
        <v>34.200000000000003</v>
      </c>
      <c r="AM125" s="107">
        <f>'Decline and Model'!AF127</f>
        <v>101.1</v>
      </c>
      <c r="AN125" s="107">
        <f>'Decline and Model'!AG127</f>
        <v>71.400000000000006</v>
      </c>
      <c r="AO125" s="107">
        <f>'Decline and Model'!AH127</f>
        <v>0.85</v>
      </c>
      <c r="AP125" s="107">
        <f>'Decline and Model'!AI127</f>
        <v>4.5</v>
      </c>
      <c r="AQ125" s="108">
        <f>'Decline and Model'!AJ127</f>
        <v>4.5</v>
      </c>
      <c r="AR125" s="4">
        <f t="shared" si="19"/>
        <v>215.11150200000003</v>
      </c>
      <c r="AS125" s="4">
        <f t="shared" si="20"/>
        <v>449.09243400000003</v>
      </c>
      <c r="AT125" s="4">
        <f t="shared" si="21"/>
        <v>635.89979099999994</v>
      </c>
      <c r="AU125" s="4">
        <f t="shared" si="22"/>
        <v>612.62749400000007</v>
      </c>
    </row>
    <row r="126" spans="21:47">
      <c r="U126" s="118">
        <f t="shared" si="23"/>
        <v>0.30018311849000001</v>
      </c>
      <c r="V126" s="118">
        <f t="shared" si="24"/>
        <v>0.29110692266000004</v>
      </c>
      <c r="W126" s="118">
        <f t="shared" si="25"/>
        <v>0.30140146843600002</v>
      </c>
      <c r="X126" s="118">
        <f t="shared" si="26"/>
        <v>0.29130202172600006</v>
      </c>
      <c r="Y126" s="118">
        <f t="shared" si="27"/>
        <v>0.15640333404103668</v>
      </c>
      <c r="Z126">
        <f t="shared" si="28"/>
        <v>0.05</v>
      </c>
      <c r="AB126">
        <f t="shared" si="29"/>
        <v>3</v>
      </c>
      <c r="AC126">
        <f t="shared" si="30"/>
        <v>3</v>
      </c>
      <c r="AD126">
        <f t="shared" si="31"/>
        <v>3</v>
      </c>
      <c r="AE126">
        <f t="shared" si="16"/>
        <v>3</v>
      </c>
      <c r="AF126">
        <f t="shared" si="17"/>
        <v>3</v>
      </c>
      <c r="AG126">
        <f t="shared" si="18"/>
        <v>1</v>
      </c>
      <c r="AI126" s="97">
        <f>'Decline and Model'!E128</f>
        <v>46447</v>
      </c>
      <c r="AJ126" s="106">
        <f>'Decline and Model'!AC128</f>
        <v>97.4</v>
      </c>
      <c r="AK126" s="107">
        <f>'Decline and Model'!AD128</f>
        <v>17</v>
      </c>
      <c r="AL126" s="107">
        <f>'Decline and Model'!AE128</f>
        <v>34.200000000000003</v>
      </c>
      <c r="AM126" s="107">
        <f>'Decline and Model'!AF128</f>
        <v>101.1</v>
      </c>
      <c r="AN126" s="107">
        <f>'Decline and Model'!AG128</f>
        <v>71.400000000000006</v>
      </c>
      <c r="AO126" s="107">
        <f>'Decline and Model'!AH128</f>
        <v>0.85</v>
      </c>
      <c r="AP126" s="107">
        <f>'Decline and Model'!AI128</f>
        <v>4.5</v>
      </c>
      <c r="AQ126" s="108">
        <f>'Decline and Model'!AJ128</f>
        <v>4.5</v>
      </c>
      <c r="AR126" s="4">
        <f t="shared" si="19"/>
        <v>215.11150200000003</v>
      </c>
      <c r="AS126" s="4">
        <f t="shared" si="20"/>
        <v>449.09243400000003</v>
      </c>
      <c r="AT126" s="4">
        <f t="shared" si="21"/>
        <v>635.89979099999994</v>
      </c>
      <c r="AU126" s="4">
        <f t="shared" si="22"/>
        <v>612.62749400000007</v>
      </c>
    </row>
    <row r="127" spans="21:47">
      <c r="U127" s="118">
        <f t="shared" si="23"/>
        <v>0.30018311849000001</v>
      </c>
      <c r="V127" s="118">
        <f t="shared" si="24"/>
        <v>0.29110692266000004</v>
      </c>
      <c r="W127" s="118">
        <f t="shared" si="25"/>
        <v>0.30140146843600002</v>
      </c>
      <c r="X127" s="118">
        <f t="shared" si="26"/>
        <v>0.29130202172600006</v>
      </c>
      <c r="Y127" s="118">
        <f t="shared" si="27"/>
        <v>0.15640333404103668</v>
      </c>
      <c r="Z127">
        <f t="shared" si="28"/>
        <v>0.05</v>
      </c>
      <c r="AB127">
        <f t="shared" si="29"/>
        <v>3</v>
      </c>
      <c r="AC127">
        <f t="shared" si="30"/>
        <v>3</v>
      </c>
      <c r="AD127">
        <f t="shared" si="31"/>
        <v>3</v>
      </c>
      <c r="AE127">
        <f t="shared" si="16"/>
        <v>3</v>
      </c>
      <c r="AF127">
        <f t="shared" si="17"/>
        <v>3</v>
      </c>
      <c r="AG127">
        <f t="shared" si="18"/>
        <v>1</v>
      </c>
      <c r="AI127" s="97">
        <f>'Decline and Model'!E129</f>
        <v>46478</v>
      </c>
      <c r="AJ127" s="106">
        <f>'Decline and Model'!AC129</f>
        <v>97.4</v>
      </c>
      <c r="AK127" s="107">
        <f>'Decline and Model'!AD129</f>
        <v>17</v>
      </c>
      <c r="AL127" s="107">
        <f>'Decline and Model'!AE129</f>
        <v>34.200000000000003</v>
      </c>
      <c r="AM127" s="107">
        <f>'Decline and Model'!AF129</f>
        <v>101.1</v>
      </c>
      <c r="AN127" s="107">
        <f>'Decline and Model'!AG129</f>
        <v>71.400000000000006</v>
      </c>
      <c r="AO127" s="107">
        <f>'Decline and Model'!AH129</f>
        <v>0.85</v>
      </c>
      <c r="AP127" s="107">
        <f>'Decline and Model'!AI129</f>
        <v>4.5</v>
      </c>
      <c r="AQ127" s="108">
        <f>'Decline and Model'!AJ129</f>
        <v>4.5</v>
      </c>
      <c r="AR127" s="4">
        <f t="shared" si="19"/>
        <v>215.11150200000003</v>
      </c>
      <c r="AS127" s="4">
        <f t="shared" si="20"/>
        <v>449.09243400000003</v>
      </c>
      <c r="AT127" s="4">
        <f t="shared" si="21"/>
        <v>635.89979099999994</v>
      </c>
      <c r="AU127" s="4">
        <f t="shared" si="22"/>
        <v>612.62749400000007</v>
      </c>
    </row>
    <row r="128" spans="21:47">
      <c r="U128" s="118">
        <f t="shared" si="23"/>
        <v>0.30018311849000001</v>
      </c>
      <c r="V128" s="118">
        <f t="shared" si="24"/>
        <v>0.29110692266000004</v>
      </c>
      <c r="W128" s="118">
        <f t="shared" si="25"/>
        <v>0.30140146843600002</v>
      </c>
      <c r="X128" s="118">
        <f t="shared" si="26"/>
        <v>0.29130202172600006</v>
      </c>
      <c r="Y128" s="118">
        <f t="shared" si="27"/>
        <v>0.15640333404103668</v>
      </c>
      <c r="Z128">
        <f t="shared" si="28"/>
        <v>0.05</v>
      </c>
      <c r="AB128">
        <f t="shared" si="29"/>
        <v>3</v>
      </c>
      <c r="AC128">
        <f t="shared" si="30"/>
        <v>3</v>
      </c>
      <c r="AD128">
        <f t="shared" si="31"/>
        <v>3</v>
      </c>
      <c r="AE128">
        <f t="shared" si="16"/>
        <v>3</v>
      </c>
      <c r="AF128">
        <f t="shared" si="17"/>
        <v>3</v>
      </c>
      <c r="AG128">
        <f t="shared" si="18"/>
        <v>1</v>
      </c>
      <c r="AI128" s="97">
        <f>'Decline and Model'!E130</f>
        <v>46508</v>
      </c>
      <c r="AJ128" s="106">
        <f>'Decline and Model'!AC130</f>
        <v>97.4</v>
      </c>
      <c r="AK128" s="107">
        <f>'Decline and Model'!AD130</f>
        <v>17</v>
      </c>
      <c r="AL128" s="107">
        <f>'Decline and Model'!AE130</f>
        <v>34.200000000000003</v>
      </c>
      <c r="AM128" s="107">
        <f>'Decline and Model'!AF130</f>
        <v>101.1</v>
      </c>
      <c r="AN128" s="107">
        <f>'Decline and Model'!AG130</f>
        <v>71.400000000000006</v>
      </c>
      <c r="AO128" s="107">
        <f>'Decline and Model'!AH130</f>
        <v>0.85</v>
      </c>
      <c r="AP128" s="107">
        <f>'Decline and Model'!AI130</f>
        <v>4.5</v>
      </c>
      <c r="AQ128" s="108">
        <f>'Decline and Model'!AJ130</f>
        <v>4.5</v>
      </c>
      <c r="AR128" s="4">
        <f t="shared" si="19"/>
        <v>215.11150200000003</v>
      </c>
      <c r="AS128" s="4">
        <f t="shared" si="20"/>
        <v>449.09243400000003</v>
      </c>
      <c r="AT128" s="4">
        <f t="shared" si="21"/>
        <v>635.89979099999994</v>
      </c>
      <c r="AU128" s="4">
        <f t="shared" si="22"/>
        <v>612.62749400000007</v>
      </c>
    </row>
    <row r="129" spans="21:47">
      <c r="U129" s="118">
        <f t="shared" si="23"/>
        <v>0.30018311849000001</v>
      </c>
      <c r="V129" s="118">
        <f t="shared" si="24"/>
        <v>0.29110692266000004</v>
      </c>
      <c r="W129" s="118">
        <f t="shared" si="25"/>
        <v>0.30140146843600002</v>
      </c>
      <c r="X129" s="118">
        <f t="shared" si="26"/>
        <v>0.29130202172600006</v>
      </c>
      <c r="Y129" s="118">
        <f t="shared" si="27"/>
        <v>0.15640333404103668</v>
      </c>
      <c r="Z129">
        <f t="shared" si="28"/>
        <v>0.05</v>
      </c>
      <c r="AB129">
        <f t="shared" si="29"/>
        <v>3</v>
      </c>
      <c r="AC129">
        <f t="shared" si="30"/>
        <v>3</v>
      </c>
      <c r="AD129">
        <f t="shared" si="31"/>
        <v>3</v>
      </c>
      <c r="AE129">
        <f t="shared" si="16"/>
        <v>3</v>
      </c>
      <c r="AF129">
        <f t="shared" si="17"/>
        <v>3</v>
      </c>
      <c r="AG129">
        <f t="shared" si="18"/>
        <v>1</v>
      </c>
      <c r="AI129" s="97">
        <f>'Decline and Model'!E131</f>
        <v>46539</v>
      </c>
      <c r="AJ129" s="106">
        <f>'Decline and Model'!AC131</f>
        <v>97.4</v>
      </c>
      <c r="AK129" s="107">
        <f>'Decline and Model'!AD131</f>
        <v>17</v>
      </c>
      <c r="AL129" s="107">
        <f>'Decline and Model'!AE131</f>
        <v>34.200000000000003</v>
      </c>
      <c r="AM129" s="107">
        <f>'Decline and Model'!AF131</f>
        <v>101.1</v>
      </c>
      <c r="AN129" s="107">
        <f>'Decline and Model'!AG131</f>
        <v>71.400000000000006</v>
      </c>
      <c r="AO129" s="107">
        <f>'Decline and Model'!AH131</f>
        <v>0.85</v>
      </c>
      <c r="AP129" s="107">
        <f>'Decline and Model'!AI131</f>
        <v>4.5</v>
      </c>
      <c r="AQ129" s="108">
        <f>'Decline and Model'!AJ131</f>
        <v>4.5</v>
      </c>
      <c r="AR129" s="4">
        <f t="shared" si="19"/>
        <v>215.11150200000003</v>
      </c>
      <c r="AS129" s="4">
        <f t="shared" si="20"/>
        <v>449.09243400000003</v>
      </c>
      <c r="AT129" s="4">
        <f t="shared" si="21"/>
        <v>635.89979099999994</v>
      </c>
      <c r="AU129" s="4">
        <f t="shared" si="22"/>
        <v>612.62749400000007</v>
      </c>
    </row>
    <row r="130" spans="21:47">
      <c r="U130" s="118">
        <f t="shared" si="23"/>
        <v>0.30018311849000001</v>
      </c>
      <c r="V130" s="118">
        <f t="shared" si="24"/>
        <v>0.29110692266000004</v>
      </c>
      <c r="W130" s="118">
        <f t="shared" si="25"/>
        <v>0.30140146843600002</v>
      </c>
      <c r="X130" s="118">
        <f t="shared" si="26"/>
        <v>0.29130202172600006</v>
      </c>
      <c r="Y130" s="118">
        <f t="shared" si="27"/>
        <v>0.15640333404103668</v>
      </c>
      <c r="Z130">
        <f t="shared" si="28"/>
        <v>0.05</v>
      </c>
      <c r="AB130">
        <f t="shared" si="29"/>
        <v>3</v>
      </c>
      <c r="AC130">
        <f t="shared" si="30"/>
        <v>3</v>
      </c>
      <c r="AD130">
        <f t="shared" si="31"/>
        <v>3</v>
      </c>
      <c r="AE130">
        <f t="shared" si="16"/>
        <v>3</v>
      </c>
      <c r="AF130">
        <f t="shared" si="17"/>
        <v>3</v>
      </c>
      <c r="AG130">
        <f t="shared" si="18"/>
        <v>1</v>
      </c>
      <c r="AI130" s="97">
        <f>'Decline and Model'!E132</f>
        <v>46569</v>
      </c>
      <c r="AJ130" s="106">
        <f>'Decline and Model'!AC132</f>
        <v>97.4</v>
      </c>
      <c r="AK130" s="107">
        <f>'Decline and Model'!AD132</f>
        <v>17</v>
      </c>
      <c r="AL130" s="107">
        <f>'Decline and Model'!AE132</f>
        <v>34.200000000000003</v>
      </c>
      <c r="AM130" s="107">
        <f>'Decline and Model'!AF132</f>
        <v>101.1</v>
      </c>
      <c r="AN130" s="107">
        <f>'Decline and Model'!AG132</f>
        <v>71.400000000000006</v>
      </c>
      <c r="AO130" s="107">
        <f>'Decline and Model'!AH132</f>
        <v>0.85</v>
      </c>
      <c r="AP130" s="107">
        <f>'Decline and Model'!AI132</f>
        <v>4.5</v>
      </c>
      <c r="AQ130" s="108">
        <f>'Decline and Model'!AJ132</f>
        <v>4.5</v>
      </c>
      <c r="AR130" s="4">
        <f t="shared" si="19"/>
        <v>215.11150200000003</v>
      </c>
      <c r="AS130" s="4">
        <f t="shared" si="20"/>
        <v>449.09243400000003</v>
      </c>
      <c r="AT130" s="4">
        <f t="shared" si="21"/>
        <v>635.89979099999994</v>
      </c>
      <c r="AU130" s="4">
        <f t="shared" si="22"/>
        <v>612.62749400000007</v>
      </c>
    </row>
    <row r="131" spans="21:47">
      <c r="U131" s="118">
        <f t="shared" si="23"/>
        <v>0.30018311849000001</v>
      </c>
      <c r="V131" s="118">
        <f t="shared" si="24"/>
        <v>0.29110692266000004</v>
      </c>
      <c r="W131" s="118">
        <f t="shared" si="25"/>
        <v>0.30140146843600002</v>
      </c>
      <c r="X131" s="118">
        <f t="shared" si="26"/>
        <v>0.29130202172600006</v>
      </c>
      <c r="Y131" s="118">
        <f t="shared" si="27"/>
        <v>0.15640333404103668</v>
      </c>
      <c r="Z131">
        <f t="shared" si="28"/>
        <v>0.05</v>
      </c>
      <c r="AB131">
        <f t="shared" si="29"/>
        <v>3</v>
      </c>
      <c r="AC131">
        <f t="shared" si="30"/>
        <v>3</v>
      </c>
      <c r="AD131">
        <f t="shared" si="31"/>
        <v>3</v>
      </c>
      <c r="AE131">
        <f t="shared" si="16"/>
        <v>3</v>
      </c>
      <c r="AF131">
        <f t="shared" si="17"/>
        <v>3</v>
      </c>
      <c r="AG131">
        <f t="shared" si="18"/>
        <v>1</v>
      </c>
      <c r="AI131" s="97">
        <f>'Decline and Model'!E133</f>
        <v>46600</v>
      </c>
      <c r="AJ131" s="106">
        <f>'Decline and Model'!AC133</f>
        <v>97.4</v>
      </c>
      <c r="AK131" s="107">
        <f>'Decline and Model'!AD133</f>
        <v>17</v>
      </c>
      <c r="AL131" s="107">
        <f>'Decline and Model'!AE133</f>
        <v>34.200000000000003</v>
      </c>
      <c r="AM131" s="107">
        <f>'Decline and Model'!AF133</f>
        <v>101.1</v>
      </c>
      <c r="AN131" s="107">
        <f>'Decline and Model'!AG133</f>
        <v>71.400000000000006</v>
      </c>
      <c r="AO131" s="107">
        <f>'Decline and Model'!AH133</f>
        <v>0.85</v>
      </c>
      <c r="AP131" s="107">
        <f>'Decline and Model'!AI133</f>
        <v>4.5</v>
      </c>
      <c r="AQ131" s="108">
        <f>'Decline and Model'!AJ133</f>
        <v>4.5</v>
      </c>
      <c r="AR131" s="4">
        <f t="shared" si="19"/>
        <v>215.11150200000003</v>
      </c>
      <c r="AS131" s="4">
        <f t="shared" si="20"/>
        <v>449.09243400000003</v>
      </c>
      <c r="AT131" s="4">
        <f t="shared" si="21"/>
        <v>635.89979099999994</v>
      </c>
      <c r="AU131" s="4">
        <f t="shared" si="22"/>
        <v>612.62749400000007</v>
      </c>
    </row>
    <row r="132" spans="21:47">
      <c r="U132" s="118">
        <f t="shared" si="23"/>
        <v>0.30018311849000001</v>
      </c>
      <c r="V132" s="118">
        <f t="shared" si="24"/>
        <v>0.29110692266000004</v>
      </c>
      <c r="W132" s="118">
        <f t="shared" si="25"/>
        <v>0.30140146843600002</v>
      </c>
      <c r="X132" s="118">
        <f t="shared" si="26"/>
        <v>0.29130202172600006</v>
      </c>
      <c r="Y132" s="118">
        <f t="shared" si="27"/>
        <v>0.15640333404103668</v>
      </c>
      <c r="Z132">
        <f t="shared" si="28"/>
        <v>0.05</v>
      </c>
      <c r="AB132">
        <f t="shared" si="29"/>
        <v>3</v>
      </c>
      <c r="AC132">
        <f t="shared" si="30"/>
        <v>3</v>
      </c>
      <c r="AD132">
        <f t="shared" si="31"/>
        <v>3</v>
      </c>
      <c r="AE132">
        <f t="shared" si="16"/>
        <v>3</v>
      </c>
      <c r="AF132">
        <f t="shared" si="17"/>
        <v>3</v>
      </c>
      <c r="AG132">
        <f t="shared" si="18"/>
        <v>1</v>
      </c>
      <c r="AI132" s="97">
        <f>'Decline and Model'!E134</f>
        <v>46631</v>
      </c>
      <c r="AJ132" s="106">
        <f>'Decline and Model'!AC134</f>
        <v>97.4</v>
      </c>
      <c r="AK132" s="107">
        <f>'Decline and Model'!AD134</f>
        <v>17</v>
      </c>
      <c r="AL132" s="107">
        <f>'Decline and Model'!AE134</f>
        <v>34.200000000000003</v>
      </c>
      <c r="AM132" s="107">
        <f>'Decline and Model'!AF134</f>
        <v>101.1</v>
      </c>
      <c r="AN132" s="107">
        <f>'Decline and Model'!AG134</f>
        <v>71.400000000000006</v>
      </c>
      <c r="AO132" s="107">
        <f>'Decline and Model'!AH134</f>
        <v>0.85</v>
      </c>
      <c r="AP132" s="107">
        <f>'Decline and Model'!AI134</f>
        <v>4.5</v>
      </c>
      <c r="AQ132" s="108">
        <f>'Decline and Model'!AJ134</f>
        <v>4.5</v>
      </c>
      <c r="AR132" s="4">
        <f t="shared" si="19"/>
        <v>215.11150200000003</v>
      </c>
      <c r="AS132" s="4">
        <f t="shared" si="20"/>
        <v>449.09243400000003</v>
      </c>
      <c r="AT132" s="4">
        <f t="shared" si="21"/>
        <v>635.89979099999994</v>
      </c>
      <c r="AU132" s="4">
        <f t="shared" si="22"/>
        <v>612.62749400000007</v>
      </c>
    </row>
    <row r="133" spans="21:47">
      <c r="U133" s="118">
        <f t="shared" si="23"/>
        <v>0.30018311849000001</v>
      </c>
      <c r="V133" s="118">
        <f t="shared" si="24"/>
        <v>0.29110692266000004</v>
      </c>
      <c r="W133" s="118">
        <f t="shared" si="25"/>
        <v>0.30140146843600002</v>
      </c>
      <c r="X133" s="118">
        <f t="shared" si="26"/>
        <v>0.29130202172600006</v>
      </c>
      <c r="Y133" s="118">
        <f t="shared" si="27"/>
        <v>0.15640333404103668</v>
      </c>
      <c r="Z133">
        <f t="shared" si="28"/>
        <v>0.05</v>
      </c>
      <c r="AB133">
        <f t="shared" si="29"/>
        <v>3</v>
      </c>
      <c r="AC133">
        <f t="shared" si="30"/>
        <v>3</v>
      </c>
      <c r="AD133">
        <f t="shared" si="31"/>
        <v>3</v>
      </c>
      <c r="AE133">
        <f t="shared" si="16"/>
        <v>3</v>
      </c>
      <c r="AF133">
        <f t="shared" si="17"/>
        <v>3</v>
      </c>
      <c r="AG133">
        <f t="shared" si="18"/>
        <v>1</v>
      </c>
      <c r="AI133" s="97">
        <f>'Decline and Model'!E135</f>
        <v>46661</v>
      </c>
      <c r="AJ133" s="106">
        <f>'Decline and Model'!AC135</f>
        <v>97.4</v>
      </c>
      <c r="AK133" s="107">
        <f>'Decline and Model'!AD135</f>
        <v>17</v>
      </c>
      <c r="AL133" s="107">
        <f>'Decline and Model'!AE135</f>
        <v>34.200000000000003</v>
      </c>
      <c r="AM133" s="107">
        <f>'Decline and Model'!AF135</f>
        <v>101.1</v>
      </c>
      <c r="AN133" s="107">
        <f>'Decline and Model'!AG135</f>
        <v>71.400000000000006</v>
      </c>
      <c r="AO133" s="107">
        <f>'Decline and Model'!AH135</f>
        <v>0.85</v>
      </c>
      <c r="AP133" s="107">
        <f>'Decline and Model'!AI135</f>
        <v>4.5</v>
      </c>
      <c r="AQ133" s="108">
        <f>'Decline and Model'!AJ135</f>
        <v>4.5</v>
      </c>
      <c r="AR133" s="4">
        <f t="shared" si="19"/>
        <v>215.11150200000003</v>
      </c>
      <c r="AS133" s="4">
        <f t="shared" si="20"/>
        <v>449.09243400000003</v>
      </c>
      <c r="AT133" s="4">
        <f t="shared" si="21"/>
        <v>635.89979099999994</v>
      </c>
      <c r="AU133" s="4">
        <f t="shared" si="22"/>
        <v>612.62749400000007</v>
      </c>
    </row>
    <row r="134" spans="21:47">
      <c r="U134" s="118">
        <f t="shared" si="23"/>
        <v>0.30018311849000001</v>
      </c>
      <c r="V134" s="118">
        <f t="shared" si="24"/>
        <v>0.29110692266000004</v>
      </c>
      <c r="W134" s="118">
        <f t="shared" si="25"/>
        <v>0.30140146843600002</v>
      </c>
      <c r="X134" s="118">
        <f t="shared" si="26"/>
        <v>0.29130202172600006</v>
      </c>
      <c r="Y134" s="118">
        <f t="shared" si="27"/>
        <v>0.15640333404103668</v>
      </c>
      <c r="Z134">
        <f t="shared" si="28"/>
        <v>0.05</v>
      </c>
      <c r="AB134">
        <f t="shared" si="29"/>
        <v>3</v>
      </c>
      <c r="AC134">
        <f t="shared" si="30"/>
        <v>3</v>
      </c>
      <c r="AD134">
        <f t="shared" si="31"/>
        <v>3</v>
      </c>
      <c r="AE134">
        <f t="shared" si="16"/>
        <v>3</v>
      </c>
      <c r="AF134">
        <f t="shared" si="17"/>
        <v>3</v>
      </c>
      <c r="AG134">
        <f t="shared" si="18"/>
        <v>1</v>
      </c>
      <c r="AI134" s="97">
        <f>'Decline and Model'!E136</f>
        <v>46692</v>
      </c>
      <c r="AJ134" s="106">
        <f>'Decline and Model'!AC136</f>
        <v>97.4</v>
      </c>
      <c r="AK134" s="107">
        <f>'Decline and Model'!AD136</f>
        <v>17</v>
      </c>
      <c r="AL134" s="107">
        <f>'Decline and Model'!AE136</f>
        <v>34.200000000000003</v>
      </c>
      <c r="AM134" s="107">
        <f>'Decline and Model'!AF136</f>
        <v>101.1</v>
      </c>
      <c r="AN134" s="107">
        <f>'Decline and Model'!AG136</f>
        <v>71.400000000000006</v>
      </c>
      <c r="AO134" s="107">
        <f>'Decline and Model'!AH136</f>
        <v>0.85</v>
      </c>
      <c r="AP134" s="107">
        <f>'Decline and Model'!AI136</f>
        <v>4.5</v>
      </c>
      <c r="AQ134" s="108">
        <f>'Decline and Model'!AJ136</f>
        <v>4.5</v>
      </c>
      <c r="AR134" s="4">
        <f t="shared" si="19"/>
        <v>215.11150200000003</v>
      </c>
      <c r="AS134" s="4">
        <f t="shared" si="20"/>
        <v>449.09243400000003</v>
      </c>
      <c r="AT134" s="4">
        <f t="shared" si="21"/>
        <v>635.89979099999994</v>
      </c>
      <c r="AU134" s="4">
        <f t="shared" si="22"/>
        <v>612.62749400000007</v>
      </c>
    </row>
    <row r="135" spans="21:47">
      <c r="U135" s="118">
        <f t="shared" si="23"/>
        <v>0.30018311849000001</v>
      </c>
      <c r="V135" s="118">
        <f t="shared" si="24"/>
        <v>0.29110692266000004</v>
      </c>
      <c r="W135" s="118">
        <f t="shared" si="25"/>
        <v>0.30140146843600002</v>
      </c>
      <c r="X135" s="118">
        <f t="shared" si="26"/>
        <v>0.29130202172600006</v>
      </c>
      <c r="Y135" s="118">
        <f t="shared" si="27"/>
        <v>0.15640333404103668</v>
      </c>
      <c r="Z135">
        <f t="shared" si="28"/>
        <v>0.05</v>
      </c>
      <c r="AB135">
        <f t="shared" si="29"/>
        <v>3</v>
      </c>
      <c r="AC135">
        <f t="shared" si="30"/>
        <v>3</v>
      </c>
      <c r="AD135">
        <f t="shared" si="31"/>
        <v>3</v>
      </c>
      <c r="AE135">
        <f t="shared" ref="AE135:AE198" si="32">IF(AR135&lt;$I$26,1,IF(AR135&lt;$I$27,2,IF(AR135&lt;$I$28,3,4)))</f>
        <v>3</v>
      </c>
      <c r="AF135">
        <f t="shared" ref="AF135:AF198" si="33">IF(AQ135&lt;$E$26,1,IF(AQ135&lt;$E$27,2,IF(AQ135&lt;$E$28,3,4)))</f>
        <v>3</v>
      </c>
      <c r="AG135">
        <f t="shared" ref="AG135:AG198" si="34">IF(AK135&lt;$F$26,1,IF(AK135&lt;$F$27,2,IF(AK135&lt;$F$28,3,4)))</f>
        <v>1</v>
      </c>
      <c r="AI135" s="97">
        <f>'Decline and Model'!E137</f>
        <v>46722</v>
      </c>
      <c r="AJ135" s="106">
        <f>'Decline and Model'!AC137</f>
        <v>97.4</v>
      </c>
      <c r="AK135" s="107">
        <f>'Decline and Model'!AD137</f>
        <v>17</v>
      </c>
      <c r="AL135" s="107">
        <f>'Decline and Model'!AE137</f>
        <v>34.200000000000003</v>
      </c>
      <c r="AM135" s="107">
        <f>'Decline and Model'!AF137</f>
        <v>101.1</v>
      </c>
      <c r="AN135" s="107">
        <f>'Decline and Model'!AG137</f>
        <v>71.400000000000006</v>
      </c>
      <c r="AO135" s="107">
        <f>'Decline and Model'!AH137</f>
        <v>0.85</v>
      </c>
      <c r="AP135" s="107">
        <f>'Decline and Model'!AI137</f>
        <v>4.5</v>
      </c>
      <c r="AQ135" s="108">
        <f>'Decline and Model'!AJ137</f>
        <v>4.5</v>
      </c>
      <c r="AR135" s="4">
        <f t="shared" ref="AR135:AR198" si="35">AL135*$C$14</f>
        <v>215.11150200000003</v>
      </c>
      <c r="AS135" s="4">
        <f t="shared" ref="AS135:AS198" si="36">AN135*$C$14</f>
        <v>449.09243400000003</v>
      </c>
      <c r="AT135" s="4">
        <f t="shared" ref="AT135:AT198" si="37">AM135*$C$14</f>
        <v>635.89979099999994</v>
      </c>
      <c r="AU135" s="4">
        <f t="shared" ref="AU135:AU198" si="38">AJ135*$C$14</f>
        <v>612.62749400000007</v>
      </c>
    </row>
    <row r="136" spans="21:47">
      <c r="U136" s="118">
        <f t="shared" ref="U136:U199" si="39">MIN(((AT136-VLOOKUP(AB136,$B$25:$Q$28,U$4,FALSE))*VLOOKUP(AB136,$B$25:$Q$28,U$3,FALSE)+VLOOKUP(AB136,$B$25:$Q$28,U$2,FALSE)),$O$29)</f>
        <v>0.30508917029000004</v>
      </c>
      <c r="V136" s="118">
        <f t="shared" ref="V136:V199" si="40">MIN(((AU136-VLOOKUP(AC136,$B$25:$Q$28,V$4,FALSE))*VLOOKUP(AC136,$B$25:$Q$28,V$3,FALSE)+VLOOKUP(AC136,$B$25:$Q$28,V$2,FALSE)),$O$29)</f>
        <v>0.29601297446000002</v>
      </c>
      <c r="W136" s="118">
        <f t="shared" ref="W136:W199" si="41">MIN(((AS136-VLOOKUP(AD136,$B$25:$Q$28,W$4,FALSE))*VLOOKUP(AD136,$B$25:$Q$28,W$3,FALSE)+VLOOKUP(AD136,$B$25:$Q$28,W$2,FALSE)),$C$29)</f>
        <v>0.30627984507200001</v>
      </c>
      <c r="X136" s="118">
        <f t="shared" ref="X136:X199" si="42">MIN(((AR136-VLOOKUP(AE136,$B$25:$Q$28,X$4,FALSE))*VLOOKUP(AE136,$B$25:$Q$28,X$3,FALSE)+VLOOKUP(AE136,$B$25:$Q$28,X$2,FALSE)),$C$29)</f>
        <v>0.29620241269699998</v>
      </c>
      <c r="Y136" s="118">
        <f t="shared" ref="Y136:Y199" si="43">MIN(((AQ136-VLOOKUP(AF136,$B$25:$H$28,Y$4,FALSE))*VLOOKUP(AF136,$B$25:$H$28,Y$3,FALSE)+VLOOKUP(AF136,$B$25:$H$28,Y$2,FALSE)),$C$29)</f>
        <v>0.16065333404103666</v>
      </c>
      <c r="Z136">
        <f t="shared" ref="Z136:Z199" si="44">MIN(((AK136-VLOOKUP(AG136,$B$25:$H$28,Z$4,FALSE))*VLOOKUP(AG136,$B$25:$H$28,Z$3,FALSE)+VLOOKUP(AG136,$B$25:$H$28,Z$2,FALSE)),$C$29)</f>
        <v>0.05</v>
      </c>
      <c r="AB136">
        <f t="shared" ref="AB136:AB199" si="45">IF(AT136&lt;$O$26,1,IF(AT136&lt;$O$27,2,IF(AT136&lt;$O$28,3,4)))</f>
        <v>3</v>
      </c>
      <c r="AC136">
        <f t="shared" ref="AC136:AC199" si="46">IF(AU136&lt;$O$26,1,IF(AU136&lt;$O$27,2,IF(AU136&lt;$O$28,3,4)))</f>
        <v>3</v>
      </c>
      <c r="AD136">
        <f t="shared" ref="AD136:AD199" si="47">IF(AS136&lt;$L$26,1,IF(AS136&lt;$L$27,2,IF(AS136&lt;$L$28,3,4)))</f>
        <v>3</v>
      </c>
      <c r="AE136">
        <f t="shared" si="32"/>
        <v>3</v>
      </c>
      <c r="AF136">
        <f t="shared" si="33"/>
        <v>3</v>
      </c>
      <c r="AG136">
        <f t="shared" si="34"/>
        <v>1</v>
      </c>
      <c r="AI136" s="97">
        <f>'Decline and Model'!E138</f>
        <v>46753</v>
      </c>
      <c r="AJ136" s="106">
        <f>'Decline and Model'!AC138</f>
        <v>99.4</v>
      </c>
      <c r="AK136" s="107">
        <f>'Decline and Model'!AD138</f>
        <v>17.399999999999999</v>
      </c>
      <c r="AL136" s="107">
        <f>'Decline and Model'!AE138</f>
        <v>34.9</v>
      </c>
      <c r="AM136" s="107">
        <f>'Decline and Model'!AF138</f>
        <v>103.1</v>
      </c>
      <c r="AN136" s="107">
        <f>'Decline and Model'!AG138</f>
        <v>72.8</v>
      </c>
      <c r="AO136" s="107">
        <f>'Decline and Model'!AH138</f>
        <v>0.85</v>
      </c>
      <c r="AP136" s="107">
        <f>'Decline and Model'!AI138</f>
        <v>4.5999999999999996</v>
      </c>
      <c r="AQ136" s="108">
        <f>'Decline and Model'!AJ138</f>
        <v>4.5999999999999996</v>
      </c>
      <c r="AR136" s="4">
        <f t="shared" si="35"/>
        <v>219.51436899999999</v>
      </c>
      <c r="AS136" s="4">
        <f t="shared" si="36"/>
        <v>457.898168</v>
      </c>
      <c r="AT136" s="4">
        <f t="shared" si="37"/>
        <v>648.47941100000003</v>
      </c>
      <c r="AU136" s="4">
        <f t="shared" si="38"/>
        <v>625.20711400000005</v>
      </c>
    </row>
    <row r="137" spans="21:47">
      <c r="U137" s="118">
        <f t="shared" si="39"/>
        <v>0.30508917029000004</v>
      </c>
      <c r="V137" s="118">
        <f t="shared" si="40"/>
        <v>0.29601297446000002</v>
      </c>
      <c r="W137" s="118">
        <f t="shared" si="41"/>
        <v>0.30627984507200001</v>
      </c>
      <c r="X137" s="118">
        <f t="shared" si="42"/>
        <v>0.29620241269699998</v>
      </c>
      <c r="Y137" s="118">
        <f t="shared" si="43"/>
        <v>0.16065333404103666</v>
      </c>
      <c r="Z137">
        <f t="shared" si="44"/>
        <v>0.05</v>
      </c>
      <c r="AB137">
        <f t="shared" si="45"/>
        <v>3</v>
      </c>
      <c r="AC137">
        <f t="shared" si="46"/>
        <v>3</v>
      </c>
      <c r="AD137">
        <f t="shared" si="47"/>
        <v>3</v>
      </c>
      <c r="AE137">
        <f t="shared" si="32"/>
        <v>3</v>
      </c>
      <c r="AF137">
        <f t="shared" si="33"/>
        <v>3</v>
      </c>
      <c r="AG137">
        <f t="shared" si="34"/>
        <v>1</v>
      </c>
      <c r="AI137" s="97">
        <f>'Decline and Model'!E139</f>
        <v>46784</v>
      </c>
      <c r="AJ137" s="106">
        <f>'Decline and Model'!AC139</f>
        <v>99.4</v>
      </c>
      <c r="AK137" s="107">
        <f>'Decline and Model'!AD139</f>
        <v>17.399999999999999</v>
      </c>
      <c r="AL137" s="107">
        <f>'Decline and Model'!AE139</f>
        <v>34.9</v>
      </c>
      <c r="AM137" s="107">
        <f>'Decline and Model'!AF139</f>
        <v>103.1</v>
      </c>
      <c r="AN137" s="107">
        <f>'Decline and Model'!AG139</f>
        <v>72.8</v>
      </c>
      <c r="AO137" s="107">
        <f>'Decline and Model'!AH139</f>
        <v>0.85</v>
      </c>
      <c r="AP137" s="107">
        <f>'Decline and Model'!AI139</f>
        <v>4.5999999999999996</v>
      </c>
      <c r="AQ137" s="108">
        <f>'Decline and Model'!AJ139</f>
        <v>4.5999999999999996</v>
      </c>
      <c r="AR137" s="4">
        <f t="shared" si="35"/>
        <v>219.51436899999999</v>
      </c>
      <c r="AS137" s="4">
        <f t="shared" si="36"/>
        <v>457.898168</v>
      </c>
      <c r="AT137" s="4">
        <f t="shared" si="37"/>
        <v>648.47941100000003</v>
      </c>
      <c r="AU137" s="4">
        <f t="shared" si="38"/>
        <v>625.20711400000005</v>
      </c>
    </row>
    <row r="138" spans="21:47">
      <c r="U138" s="118">
        <f t="shared" si="39"/>
        <v>0.30508917029000004</v>
      </c>
      <c r="V138" s="118">
        <f t="shared" si="40"/>
        <v>0.29601297446000002</v>
      </c>
      <c r="W138" s="118">
        <f t="shared" si="41"/>
        <v>0.30627984507200001</v>
      </c>
      <c r="X138" s="118">
        <f t="shared" si="42"/>
        <v>0.29620241269699998</v>
      </c>
      <c r="Y138" s="118">
        <f t="shared" si="43"/>
        <v>0.16065333404103666</v>
      </c>
      <c r="Z138">
        <f t="shared" si="44"/>
        <v>0.05</v>
      </c>
      <c r="AB138">
        <f t="shared" si="45"/>
        <v>3</v>
      </c>
      <c r="AC138">
        <f t="shared" si="46"/>
        <v>3</v>
      </c>
      <c r="AD138">
        <f t="shared" si="47"/>
        <v>3</v>
      </c>
      <c r="AE138">
        <f t="shared" si="32"/>
        <v>3</v>
      </c>
      <c r="AF138">
        <f t="shared" si="33"/>
        <v>3</v>
      </c>
      <c r="AG138">
        <f t="shared" si="34"/>
        <v>1</v>
      </c>
      <c r="AI138" s="97">
        <f>'Decline and Model'!E140</f>
        <v>46813</v>
      </c>
      <c r="AJ138" s="106">
        <f>'Decline and Model'!AC140</f>
        <v>99.4</v>
      </c>
      <c r="AK138" s="107">
        <f>'Decline and Model'!AD140</f>
        <v>17.399999999999999</v>
      </c>
      <c r="AL138" s="107">
        <f>'Decline and Model'!AE140</f>
        <v>34.9</v>
      </c>
      <c r="AM138" s="107">
        <f>'Decline and Model'!AF140</f>
        <v>103.1</v>
      </c>
      <c r="AN138" s="107">
        <f>'Decline and Model'!AG140</f>
        <v>72.8</v>
      </c>
      <c r="AO138" s="107">
        <f>'Decline and Model'!AH140</f>
        <v>0.85</v>
      </c>
      <c r="AP138" s="107">
        <f>'Decline and Model'!AI140</f>
        <v>4.5999999999999996</v>
      </c>
      <c r="AQ138" s="108">
        <f>'Decline and Model'!AJ140</f>
        <v>4.5999999999999996</v>
      </c>
      <c r="AR138" s="4">
        <f t="shared" si="35"/>
        <v>219.51436899999999</v>
      </c>
      <c r="AS138" s="4">
        <f t="shared" si="36"/>
        <v>457.898168</v>
      </c>
      <c r="AT138" s="4">
        <f t="shared" si="37"/>
        <v>648.47941100000003</v>
      </c>
      <c r="AU138" s="4">
        <f t="shared" si="38"/>
        <v>625.20711400000005</v>
      </c>
    </row>
    <row r="139" spans="21:47">
      <c r="U139" s="118">
        <f t="shared" si="39"/>
        <v>0.30508917029000004</v>
      </c>
      <c r="V139" s="118">
        <f t="shared" si="40"/>
        <v>0.29601297446000002</v>
      </c>
      <c r="W139" s="118">
        <f t="shared" si="41"/>
        <v>0.30627984507200001</v>
      </c>
      <c r="X139" s="118">
        <f t="shared" si="42"/>
        <v>0.29620241269699998</v>
      </c>
      <c r="Y139" s="118">
        <f t="shared" si="43"/>
        <v>0.16065333404103666</v>
      </c>
      <c r="Z139">
        <f t="shared" si="44"/>
        <v>0.05</v>
      </c>
      <c r="AB139">
        <f t="shared" si="45"/>
        <v>3</v>
      </c>
      <c r="AC139">
        <f t="shared" si="46"/>
        <v>3</v>
      </c>
      <c r="AD139">
        <f t="shared" si="47"/>
        <v>3</v>
      </c>
      <c r="AE139">
        <f t="shared" si="32"/>
        <v>3</v>
      </c>
      <c r="AF139">
        <f t="shared" si="33"/>
        <v>3</v>
      </c>
      <c r="AG139">
        <f t="shared" si="34"/>
        <v>1</v>
      </c>
      <c r="AI139" s="97">
        <f>'Decline and Model'!E141</f>
        <v>46844</v>
      </c>
      <c r="AJ139" s="106">
        <f>'Decline and Model'!AC141</f>
        <v>99.4</v>
      </c>
      <c r="AK139" s="107">
        <f>'Decline and Model'!AD141</f>
        <v>17.399999999999999</v>
      </c>
      <c r="AL139" s="107">
        <f>'Decline and Model'!AE141</f>
        <v>34.9</v>
      </c>
      <c r="AM139" s="107">
        <f>'Decline and Model'!AF141</f>
        <v>103.1</v>
      </c>
      <c r="AN139" s="107">
        <f>'Decline and Model'!AG141</f>
        <v>72.8</v>
      </c>
      <c r="AO139" s="107">
        <f>'Decline and Model'!AH141</f>
        <v>0.85</v>
      </c>
      <c r="AP139" s="107">
        <f>'Decline and Model'!AI141</f>
        <v>4.5999999999999996</v>
      </c>
      <c r="AQ139" s="108">
        <f>'Decline and Model'!AJ141</f>
        <v>4.5999999999999996</v>
      </c>
      <c r="AR139" s="4">
        <f t="shared" si="35"/>
        <v>219.51436899999999</v>
      </c>
      <c r="AS139" s="4">
        <f t="shared" si="36"/>
        <v>457.898168</v>
      </c>
      <c r="AT139" s="4">
        <f t="shared" si="37"/>
        <v>648.47941100000003</v>
      </c>
      <c r="AU139" s="4">
        <f t="shared" si="38"/>
        <v>625.20711400000005</v>
      </c>
    </row>
    <row r="140" spans="21:47">
      <c r="U140" s="118">
        <f t="shared" si="39"/>
        <v>0.30508917029000004</v>
      </c>
      <c r="V140" s="118">
        <f t="shared" si="40"/>
        <v>0.29601297446000002</v>
      </c>
      <c r="W140" s="118">
        <f t="shared" si="41"/>
        <v>0.30627984507200001</v>
      </c>
      <c r="X140" s="118">
        <f t="shared" si="42"/>
        <v>0.29620241269699998</v>
      </c>
      <c r="Y140" s="118">
        <f t="shared" si="43"/>
        <v>0.16065333404103666</v>
      </c>
      <c r="Z140">
        <f t="shared" si="44"/>
        <v>0.05</v>
      </c>
      <c r="AB140">
        <f t="shared" si="45"/>
        <v>3</v>
      </c>
      <c r="AC140">
        <f t="shared" si="46"/>
        <v>3</v>
      </c>
      <c r="AD140">
        <f t="shared" si="47"/>
        <v>3</v>
      </c>
      <c r="AE140">
        <f t="shared" si="32"/>
        <v>3</v>
      </c>
      <c r="AF140">
        <f t="shared" si="33"/>
        <v>3</v>
      </c>
      <c r="AG140">
        <f t="shared" si="34"/>
        <v>1</v>
      </c>
      <c r="AI140" s="97">
        <f>'Decline and Model'!E142</f>
        <v>46874</v>
      </c>
      <c r="AJ140" s="106">
        <f>'Decline and Model'!AC142</f>
        <v>99.4</v>
      </c>
      <c r="AK140" s="107">
        <f>'Decline and Model'!AD142</f>
        <v>17.399999999999999</v>
      </c>
      <c r="AL140" s="107">
        <f>'Decline and Model'!AE142</f>
        <v>34.9</v>
      </c>
      <c r="AM140" s="107">
        <f>'Decline and Model'!AF142</f>
        <v>103.1</v>
      </c>
      <c r="AN140" s="107">
        <f>'Decline and Model'!AG142</f>
        <v>72.8</v>
      </c>
      <c r="AO140" s="107">
        <f>'Decline and Model'!AH142</f>
        <v>0.85</v>
      </c>
      <c r="AP140" s="107">
        <f>'Decline and Model'!AI142</f>
        <v>4.5999999999999996</v>
      </c>
      <c r="AQ140" s="108">
        <f>'Decline and Model'!AJ142</f>
        <v>4.5999999999999996</v>
      </c>
      <c r="AR140" s="4">
        <f t="shared" si="35"/>
        <v>219.51436899999999</v>
      </c>
      <c r="AS140" s="4">
        <f t="shared" si="36"/>
        <v>457.898168</v>
      </c>
      <c r="AT140" s="4">
        <f t="shared" si="37"/>
        <v>648.47941100000003</v>
      </c>
      <c r="AU140" s="4">
        <f t="shared" si="38"/>
        <v>625.20711400000005</v>
      </c>
    </row>
    <row r="141" spans="21:47">
      <c r="U141" s="118">
        <f t="shared" si="39"/>
        <v>0.30508917029000004</v>
      </c>
      <c r="V141" s="118">
        <f t="shared" si="40"/>
        <v>0.29601297446000002</v>
      </c>
      <c r="W141" s="118">
        <f t="shared" si="41"/>
        <v>0.30627984507200001</v>
      </c>
      <c r="X141" s="118">
        <f t="shared" si="42"/>
        <v>0.29620241269699998</v>
      </c>
      <c r="Y141" s="118">
        <f t="shared" si="43"/>
        <v>0.16065333404103666</v>
      </c>
      <c r="Z141">
        <f t="shared" si="44"/>
        <v>0.05</v>
      </c>
      <c r="AB141">
        <f t="shared" si="45"/>
        <v>3</v>
      </c>
      <c r="AC141">
        <f t="shared" si="46"/>
        <v>3</v>
      </c>
      <c r="AD141">
        <f t="shared" si="47"/>
        <v>3</v>
      </c>
      <c r="AE141">
        <f t="shared" si="32"/>
        <v>3</v>
      </c>
      <c r="AF141">
        <f t="shared" si="33"/>
        <v>3</v>
      </c>
      <c r="AG141">
        <f t="shared" si="34"/>
        <v>1</v>
      </c>
      <c r="AI141" s="97">
        <f>'Decline and Model'!E143</f>
        <v>46905</v>
      </c>
      <c r="AJ141" s="106">
        <f>'Decline and Model'!AC143</f>
        <v>99.4</v>
      </c>
      <c r="AK141" s="107">
        <f>'Decline and Model'!AD143</f>
        <v>17.399999999999999</v>
      </c>
      <c r="AL141" s="107">
        <f>'Decline and Model'!AE143</f>
        <v>34.9</v>
      </c>
      <c r="AM141" s="107">
        <f>'Decline and Model'!AF143</f>
        <v>103.1</v>
      </c>
      <c r="AN141" s="107">
        <f>'Decline and Model'!AG143</f>
        <v>72.8</v>
      </c>
      <c r="AO141" s="107">
        <f>'Decline and Model'!AH143</f>
        <v>0.85</v>
      </c>
      <c r="AP141" s="107">
        <f>'Decline and Model'!AI143</f>
        <v>4.5999999999999996</v>
      </c>
      <c r="AQ141" s="108">
        <f>'Decline and Model'!AJ143</f>
        <v>4.5999999999999996</v>
      </c>
      <c r="AR141" s="4">
        <f t="shared" si="35"/>
        <v>219.51436899999999</v>
      </c>
      <c r="AS141" s="4">
        <f t="shared" si="36"/>
        <v>457.898168</v>
      </c>
      <c r="AT141" s="4">
        <f t="shared" si="37"/>
        <v>648.47941100000003</v>
      </c>
      <c r="AU141" s="4">
        <f t="shared" si="38"/>
        <v>625.20711400000005</v>
      </c>
    </row>
    <row r="142" spans="21:47">
      <c r="U142" s="118">
        <f t="shared" si="39"/>
        <v>0.30508917029000004</v>
      </c>
      <c r="V142" s="118">
        <f t="shared" si="40"/>
        <v>0.29601297446000002</v>
      </c>
      <c r="W142" s="118">
        <f t="shared" si="41"/>
        <v>0.30627984507200001</v>
      </c>
      <c r="X142" s="118">
        <f t="shared" si="42"/>
        <v>0.29620241269699998</v>
      </c>
      <c r="Y142" s="118">
        <f t="shared" si="43"/>
        <v>0.16065333404103666</v>
      </c>
      <c r="Z142">
        <f t="shared" si="44"/>
        <v>0.05</v>
      </c>
      <c r="AB142">
        <f t="shared" si="45"/>
        <v>3</v>
      </c>
      <c r="AC142">
        <f t="shared" si="46"/>
        <v>3</v>
      </c>
      <c r="AD142">
        <f t="shared" si="47"/>
        <v>3</v>
      </c>
      <c r="AE142">
        <f t="shared" si="32"/>
        <v>3</v>
      </c>
      <c r="AF142">
        <f t="shared" si="33"/>
        <v>3</v>
      </c>
      <c r="AG142">
        <f t="shared" si="34"/>
        <v>1</v>
      </c>
      <c r="AI142" s="97">
        <f>'Decline and Model'!E144</f>
        <v>46935</v>
      </c>
      <c r="AJ142" s="106">
        <f>'Decline and Model'!AC144</f>
        <v>99.4</v>
      </c>
      <c r="AK142" s="107">
        <f>'Decline and Model'!AD144</f>
        <v>17.399999999999999</v>
      </c>
      <c r="AL142" s="107">
        <f>'Decline and Model'!AE144</f>
        <v>34.9</v>
      </c>
      <c r="AM142" s="107">
        <f>'Decline and Model'!AF144</f>
        <v>103.1</v>
      </c>
      <c r="AN142" s="107">
        <f>'Decline and Model'!AG144</f>
        <v>72.8</v>
      </c>
      <c r="AO142" s="107">
        <f>'Decline and Model'!AH144</f>
        <v>0.85</v>
      </c>
      <c r="AP142" s="107">
        <f>'Decline and Model'!AI144</f>
        <v>4.5999999999999996</v>
      </c>
      <c r="AQ142" s="108">
        <f>'Decline and Model'!AJ144</f>
        <v>4.5999999999999996</v>
      </c>
      <c r="AR142" s="4">
        <f t="shared" si="35"/>
        <v>219.51436899999999</v>
      </c>
      <c r="AS142" s="4">
        <f t="shared" si="36"/>
        <v>457.898168</v>
      </c>
      <c r="AT142" s="4">
        <f t="shared" si="37"/>
        <v>648.47941100000003</v>
      </c>
      <c r="AU142" s="4">
        <f t="shared" si="38"/>
        <v>625.20711400000005</v>
      </c>
    </row>
    <row r="143" spans="21:47">
      <c r="U143" s="118">
        <f t="shared" si="39"/>
        <v>0.30508917029000004</v>
      </c>
      <c r="V143" s="118">
        <f t="shared" si="40"/>
        <v>0.29601297446000002</v>
      </c>
      <c r="W143" s="118">
        <f t="shared" si="41"/>
        <v>0.30627984507200001</v>
      </c>
      <c r="X143" s="118">
        <f t="shared" si="42"/>
        <v>0.29620241269699998</v>
      </c>
      <c r="Y143" s="118">
        <f t="shared" si="43"/>
        <v>0.16065333404103666</v>
      </c>
      <c r="Z143">
        <f t="shared" si="44"/>
        <v>0.05</v>
      </c>
      <c r="AB143">
        <f t="shared" si="45"/>
        <v>3</v>
      </c>
      <c r="AC143">
        <f t="shared" si="46"/>
        <v>3</v>
      </c>
      <c r="AD143">
        <f t="shared" si="47"/>
        <v>3</v>
      </c>
      <c r="AE143">
        <f t="shared" si="32"/>
        <v>3</v>
      </c>
      <c r="AF143">
        <f t="shared" si="33"/>
        <v>3</v>
      </c>
      <c r="AG143">
        <f t="shared" si="34"/>
        <v>1</v>
      </c>
      <c r="AI143" s="97">
        <f>'Decline and Model'!E145</f>
        <v>46966</v>
      </c>
      <c r="AJ143" s="106">
        <f>'Decline and Model'!AC145</f>
        <v>99.4</v>
      </c>
      <c r="AK143" s="107">
        <f>'Decline and Model'!AD145</f>
        <v>17.399999999999999</v>
      </c>
      <c r="AL143" s="107">
        <f>'Decline and Model'!AE145</f>
        <v>34.9</v>
      </c>
      <c r="AM143" s="107">
        <f>'Decline and Model'!AF145</f>
        <v>103.1</v>
      </c>
      <c r="AN143" s="107">
        <f>'Decline and Model'!AG145</f>
        <v>72.8</v>
      </c>
      <c r="AO143" s="107">
        <f>'Decline and Model'!AH145</f>
        <v>0.85</v>
      </c>
      <c r="AP143" s="107">
        <f>'Decline and Model'!AI145</f>
        <v>4.5999999999999996</v>
      </c>
      <c r="AQ143" s="108">
        <f>'Decline and Model'!AJ145</f>
        <v>4.5999999999999996</v>
      </c>
      <c r="AR143" s="4">
        <f t="shared" si="35"/>
        <v>219.51436899999999</v>
      </c>
      <c r="AS143" s="4">
        <f t="shared" si="36"/>
        <v>457.898168</v>
      </c>
      <c r="AT143" s="4">
        <f t="shared" si="37"/>
        <v>648.47941100000003</v>
      </c>
      <c r="AU143" s="4">
        <f t="shared" si="38"/>
        <v>625.20711400000005</v>
      </c>
    </row>
    <row r="144" spans="21:47">
      <c r="U144" s="118">
        <f t="shared" si="39"/>
        <v>0.30508917029000004</v>
      </c>
      <c r="V144" s="118">
        <f t="shared" si="40"/>
        <v>0.29601297446000002</v>
      </c>
      <c r="W144" s="118">
        <f t="shared" si="41"/>
        <v>0.30627984507200001</v>
      </c>
      <c r="X144" s="118">
        <f t="shared" si="42"/>
        <v>0.29620241269699998</v>
      </c>
      <c r="Y144" s="118">
        <f t="shared" si="43"/>
        <v>0.16065333404103666</v>
      </c>
      <c r="Z144">
        <f t="shared" si="44"/>
        <v>0.05</v>
      </c>
      <c r="AB144">
        <f t="shared" si="45"/>
        <v>3</v>
      </c>
      <c r="AC144">
        <f t="shared" si="46"/>
        <v>3</v>
      </c>
      <c r="AD144">
        <f t="shared" si="47"/>
        <v>3</v>
      </c>
      <c r="AE144">
        <f t="shared" si="32"/>
        <v>3</v>
      </c>
      <c r="AF144">
        <f t="shared" si="33"/>
        <v>3</v>
      </c>
      <c r="AG144">
        <f t="shared" si="34"/>
        <v>1</v>
      </c>
      <c r="AI144" s="97">
        <f>'Decline and Model'!E146</f>
        <v>46997</v>
      </c>
      <c r="AJ144" s="106">
        <f>'Decline and Model'!AC146</f>
        <v>99.4</v>
      </c>
      <c r="AK144" s="107">
        <f>'Decline and Model'!AD146</f>
        <v>17.399999999999999</v>
      </c>
      <c r="AL144" s="107">
        <f>'Decline and Model'!AE146</f>
        <v>34.9</v>
      </c>
      <c r="AM144" s="107">
        <f>'Decline and Model'!AF146</f>
        <v>103.1</v>
      </c>
      <c r="AN144" s="107">
        <f>'Decline and Model'!AG146</f>
        <v>72.8</v>
      </c>
      <c r="AO144" s="107">
        <f>'Decline and Model'!AH146</f>
        <v>0.85</v>
      </c>
      <c r="AP144" s="107">
        <f>'Decline and Model'!AI146</f>
        <v>4.5999999999999996</v>
      </c>
      <c r="AQ144" s="108">
        <f>'Decline and Model'!AJ146</f>
        <v>4.5999999999999996</v>
      </c>
      <c r="AR144" s="4">
        <f t="shared" si="35"/>
        <v>219.51436899999999</v>
      </c>
      <c r="AS144" s="4">
        <f t="shared" si="36"/>
        <v>457.898168</v>
      </c>
      <c r="AT144" s="4">
        <f t="shared" si="37"/>
        <v>648.47941100000003</v>
      </c>
      <c r="AU144" s="4">
        <f t="shared" si="38"/>
        <v>625.20711400000005</v>
      </c>
    </row>
    <row r="145" spans="21:47">
      <c r="U145" s="118">
        <f t="shared" si="39"/>
        <v>0.30508917029000004</v>
      </c>
      <c r="V145" s="118">
        <f t="shared" si="40"/>
        <v>0.29601297446000002</v>
      </c>
      <c r="W145" s="118">
        <f t="shared" si="41"/>
        <v>0.30627984507200001</v>
      </c>
      <c r="X145" s="118">
        <f t="shared" si="42"/>
        <v>0.29620241269699998</v>
      </c>
      <c r="Y145" s="118">
        <f t="shared" si="43"/>
        <v>0.16065333404103666</v>
      </c>
      <c r="Z145">
        <f t="shared" si="44"/>
        <v>0.05</v>
      </c>
      <c r="AB145">
        <f t="shared" si="45"/>
        <v>3</v>
      </c>
      <c r="AC145">
        <f t="shared" si="46"/>
        <v>3</v>
      </c>
      <c r="AD145">
        <f t="shared" si="47"/>
        <v>3</v>
      </c>
      <c r="AE145">
        <f t="shared" si="32"/>
        <v>3</v>
      </c>
      <c r="AF145">
        <f t="shared" si="33"/>
        <v>3</v>
      </c>
      <c r="AG145">
        <f t="shared" si="34"/>
        <v>1</v>
      </c>
      <c r="AI145" s="97">
        <f>'Decline and Model'!E147</f>
        <v>47027</v>
      </c>
      <c r="AJ145" s="106">
        <f>'Decline and Model'!AC147</f>
        <v>99.4</v>
      </c>
      <c r="AK145" s="107">
        <f>'Decline and Model'!AD147</f>
        <v>17.399999999999999</v>
      </c>
      <c r="AL145" s="107">
        <f>'Decline and Model'!AE147</f>
        <v>34.9</v>
      </c>
      <c r="AM145" s="107">
        <f>'Decline and Model'!AF147</f>
        <v>103.1</v>
      </c>
      <c r="AN145" s="107">
        <f>'Decline and Model'!AG147</f>
        <v>72.8</v>
      </c>
      <c r="AO145" s="107">
        <f>'Decline and Model'!AH147</f>
        <v>0.85</v>
      </c>
      <c r="AP145" s="107">
        <f>'Decline and Model'!AI147</f>
        <v>4.5999999999999996</v>
      </c>
      <c r="AQ145" s="108">
        <f>'Decline and Model'!AJ147</f>
        <v>4.5999999999999996</v>
      </c>
      <c r="AR145" s="4">
        <f t="shared" si="35"/>
        <v>219.51436899999999</v>
      </c>
      <c r="AS145" s="4">
        <f t="shared" si="36"/>
        <v>457.898168</v>
      </c>
      <c r="AT145" s="4">
        <f t="shared" si="37"/>
        <v>648.47941100000003</v>
      </c>
      <c r="AU145" s="4">
        <f t="shared" si="38"/>
        <v>625.20711400000005</v>
      </c>
    </row>
    <row r="146" spans="21:47">
      <c r="U146" s="118">
        <f t="shared" si="39"/>
        <v>0.30508917029000004</v>
      </c>
      <c r="V146" s="118">
        <f t="shared" si="40"/>
        <v>0.29601297446000002</v>
      </c>
      <c r="W146" s="118">
        <f t="shared" si="41"/>
        <v>0.30627984507200001</v>
      </c>
      <c r="X146" s="118">
        <f t="shared" si="42"/>
        <v>0.29620241269699998</v>
      </c>
      <c r="Y146" s="118">
        <f t="shared" si="43"/>
        <v>0.16065333404103666</v>
      </c>
      <c r="Z146">
        <f t="shared" si="44"/>
        <v>0.05</v>
      </c>
      <c r="AB146">
        <f t="shared" si="45"/>
        <v>3</v>
      </c>
      <c r="AC146">
        <f t="shared" si="46"/>
        <v>3</v>
      </c>
      <c r="AD146">
        <f t="shared" si="47"/>
        <v>3</v>
      </c>
      <c r="AE146">
        <f t="shared" si="32"/>
        <v>3</v>
      </c>
      <c r="AF146">
        <f t="shared" si="33"/>
        <v>3</v>
      </c>
      <c r="AG146">
        <f t="shared" si="34"/>
        <v>1</v>
      </c>
      <c r="AI146" s="97">
        <f>'Decline and Model'!E148</f>
        <v>47058</v>
      </c>
      <c r="AJ146" s="106">
        <f>'Decline and Model'!AC148</f>
        <v>99.4</v>
      </c>
      <c r="AK146" s="107">
        <f>'Decline and Model'!AD148</f>
        <v>17.399999999999999</v>
      </c>
      <c r="AL146" s="107">
        <f>'Decline and Model'!AE148</f>
        <v>34.9</v>
      </c>
      <c r="AM146" s="107">
        <f>'Decline and Model'!AF148</f>
        <v>103.1</v>
      </c>
      <c r="AN146" s="107">
        <f>'Decline and Model'!AG148</f>
        <v>72.8</v>
      </c>
      <c r="AO146" s="107">
        <f>'Decline and Model'!AH148</f>
        <v>0.85</v>
      </c>
      <c r="AP146" s="107">
        <f>'Decline and Model'!AI148</f>
        <v>4.5999999999999996</v>
      </c>
      <c r="AQ146" s="108">
        <f>'Decline and Model'!AJ148</f>
        <v>4.5999999999999996</v>
      </c>
      <c r="AR146" s="4">
        <f t="shared" si="35"/>
        <v>219.51436899999999</v>
      </c>
      <c r="AS146" s="4">
        <f t="shared" si="36"/>
        <v>457.898168</v>
      </c>
      <c r="AT146" s="4">
        <f t="shared" si="37"/>
        <v>648.47941100000003</v>
      </c>
      <c r="AU146" s="4">
        <f t="shared" si="38"/>
        <v>625.20711400000005</v>
      </c>
    </row>
    <row r="147" spans="21:47">
      <c r="U147" s="118">
        <f t="shared" si="39"/>
        <v>0.30508917029000004</v>
      </c>
      <c r="V147" s="118">
        <f t="shared" si="40"/>
        <v>0.29601297446000002</v>
      </c>
      <c r="W147" s="118">
        <f t="shared" si="41"/>
        <v>0.30627984507200001</v>
      </c>
      <c r="X147" s="118">
        <f t="shared" si="42"/>
        <v>0.29620241269699998</v>
      </c>
      <c r="Y147" s="118">
        <f t="shared" si="43"/>
        <v>0.16065333404103666</v>
      </c>
      <c r="Z147">
        <f t="shared" si="44"/>
        <v>0.05</v>
      </c>
      <c r="AB147">
        <f t="shared" si="45"/>
        <v>3</v>
      </c>
      <c r="AC147">
        <f t="shared" si="46"/>
        <v>3</v>
      </c>
      <c r="AD147">
        <f t="shared" si="47"/>
        <v>3</v>
      </c>
      <c r="AE147">
        <f t="shared" si="32"/>
        <v>3</v>
      </c>
      <c r="AF147">
        <f t="shared" si="33"/>
        <v>3</v>
      </c>
      <c r="AG147">
        <f t="shared" si="34"/>
        <v>1</v>
      </c>
      <c r="AI147" s="97">
        <f>'Decline and Model'!E149</f>
        <v>47088</v>
      </c>
      <c r="AJ147" s="106">
        <f>'Decline and Model'!AC149</f>
        <v>99.4</v>
      </c>
      <c r="AK147" s="107">
        <f>'Decline and Model'!AD149</f>
        <v>17.399999999999999</v>
      </c>
      <c r="AL147" s="107">
        <f>'Decline and Model'!AE149</f>
        <v>34.9</v>
      </c>
      <c r="AM147" s="107">
        <f>'Decline and Model'!AF149</f>
        <v>103.1</v>
      </c>
      <c r="AN147" s="107">
        <f>'Decline and Model'!AG149</f>
        <v>72.8</v>
      </c>
      <c r="AO147" s="107">
        <f>'Decline and Model'!AH149</f>
        <v>0.85</v>
      </c>
      <c r="AP147" s="107">
        <f>'Decline and Model'!AI149</f>
        <v>4.5999999999999996</v>
      </c>
      <c r="AQ147" s="108">
        <f>'Decline and Model'!AJ149</f>
        <v>4.5999999999999996</v>
      </c>
      <c r="AR147" s="4">
        <f t="shared" si="35"/>
        <v>219.51436899999999</v>
      </c>
      <c r="AS147" s="4">
        <f t="shared" si="36"/>
        <v>457.898168</v>
      </c>
      <c r="AT147" s="4">
        <f t="shared" si="37"/>
        <v>648.47941100000003</v>
      </c>
      <c r="AU147" s="4">
        <f t="shared" si="38"/>
        <v>625.20711400000005</v>
      </c>
    </row>
    <row r="148" spans="21:47">
      <c r="U148" s="118">
        <f t="shared" si="39"/>
        <v>0.31024052468000002</v>
      </c>
      <c r="V148" s="118">
        <f t="shared" si="40"/>
        <v>0.30091902626</v>
      </c>
      <c r="W148" s="118">
        <f t="shared" si="41"/>
        <v>0.31150667718199998</v>
      </c>
      <c r="X148" s="118">
        <f t="shared" si="42"/>
        <v>0.30110280366800002</v>
      </c>
      <c r="Y148" s="118">
        <f t="shared" si="43"/>
        <v>0.1627783340410367</v>
      </c>
      <c r="Z148">
        <f t="shared" si="44"/>
        <v>0.05</v>
      </c>
      <c r="AB148">
        <f t="shared" si="45"/>
        <v>3</v>
      </c>
      <c r="AC148">
        <f t="shared" si="46"/>
        <v>3</v>
      </c>
      <c r="AD148">
        <f t="shared" si="47"/>
        <v>3</v>
      </c>
      <c r="AE148">
        <f t="shared" si="32"/>
        <v>3</v>
      </c>
      <c r="AF148">
        <f t="shared" si="33"/>
        <v>3</v>
      </c>
      <c r="AG148">
        <f t="shared" si="34"/>
        <v>1</v>
      </c>
      <c r="AI148" s="97">
        <f>'Decline and Model'!E150</f>
        <v>47119</v>
      </c>
      <c r="AJ148" s="106">
        <f>'Decline and Model'!AC150</f>
        <v>101.4</v>
      </c>
      <c r="AK148" s="107">
        <f>'Decline and Model'!AD150</f>
        <v>17.600000000000001</v>
      </c>
      <c r="AL148" s="107">
        <f>'Decline and Model'!AE150</f>
        <v>35.6</v>
      </c>
      <c r="AM148" s="107">
        <f>'Decline and Model'!AF150</f>
        <v>105.2</v>
      </c>
      <c r="AN148" s="107">
        <f>'Decline and Model'!AG150</f>
        <v>74.3</v>
      </c>
      <c r="AO148" s="107">
        <f>'Decline and Model'!AH150</f>
        <v>0.85</v>
      </c>
      <c r="AP148" s="107">
        <f>'Decline and Model'!AI150</f>
        <v>4.6500000000000004</v>
      </c>
      <c r="AQ148" s="108">
        <f>'Decline and Model'!AJ150</f>
        <v>4.6500000000000004</v>
      </c>
      <c r="AR148" s="4">
        <f t="shared" si="35"/>
        <v>223.917236</v>
      </c>
      <c r="AS148" s="4">
        <f t="shared" si="36"/>
        <v>467.33288299999998</v>
      </c>
      <c r="AT148" s="4">
        <f t="shared" si="37"/>
        <v>661.68801200000007</v>
      </c>
      <c r="AU148" s="4">
        <f t="shared" si="38"/>
        <v>637.78673400000002</v>
      </c>
    </row>
    <row r="149" spans="21:47">
      <c r="U149" s="118">
        <f t="shared" si="39"/>
        <v>0.31024052468000002</v>
      </c>
      <c r="V149" s="118">
        <f t="shared" si="40"/>
        <v>0.30091902626</v>
      </c>
      <c r="W149" s="118">
        <f t="shared" si="41"/>
        <v>0.31150667718199998</v>
      </c>
      <c r="X149" s="118">
        <f t="shared" si="42"/>
        <v>0.30110280366800002</v>
      </c>
      <c r="Y149" s="118">
        <f t="shared" si="43"/>
        <v>0.1627783340410367</v>
      </c>
      <c r="Z149">
        <f t="shared" si="44"/>
        <v>0.05</v>
      </c>
      <c r="AB149">
        <f t="shared" si="45"/>
        <v>3</v>
      </c>
      <c r="AC149">
        <f t="shared" si="46"/>
        <v>3</v>
      </c>
      <c r="AD149">
        <f t="shared" si="47"/>
        <v>3</v>
      </c>
      <c r="AE149">
        <f t="shared" si="32"/>
        <v>3</v>
      </c>
      <c r="AF149">
        <f t="shared" si="33"/>
        <v>3</v>
      </c>
      <c r="AG149">
        <f t="shared" si="34"/>
        <v>1</v>
      </c>
      <c r="AI149" s="97">
        <f>'Decline and Model'!E151</f>
        <v>47150</v>
      </c>
      <c r="AJ149" s="106">
        <f>'Decline and Model'!AC151</f>
        <v>101.4</v>
      </c>
      <c r="AK149" s="107">
        <f>'Decline and Model'!AD151</f>
        <v>17.600000000000001</v>
      </c>
      <c r="AL149" s="107">
        <f>'Decline and Model'!AE151</f>
        <v>35.6</v>
      </c>
      <c r="AM149" s="107">
        <f>'Decline and Model'!AF151</f>
        <v>105.2</v>
      </c>
      <c r="AN149" s="107">
        <f>'Decline and Model'!AG151</f>
        <v>74.3</v>
      </c>
      <c r="AO149" s="107">
        <f>'Decline and Model'!AH151</f>
        <v>0.85</v>
      </c>
      <c r="AP149" s="107">
        <f>'Decline and Model'!AI151</f>
        <v>4.6500000000000004</v>
      </c>
      <c r="AQ149" s="108">
        <f>'Decline and Model'!AJ151</f>
        <v>4.6500000000000004</v>
      </c>
      <c r="AR149" s="4">
        <f t="shared" si="35"/>
        <v>223.917236</v>
      </c>
      <c r="AS149" s="4">
        <f t="shared" si="36"/>
        <v>467.33288299999998</v>
      </c>
      <c r="AT149" s="4">
        <f t="shared" si="37"/>
        <v>661.68801200000007</v>
      </c>
      <c r="AU149" s="4">
        <f t="shared" si="38"/>
        <v>637.78673400000002</v>
      </c>
    </row>
    <row r="150" spans="21:47">
      <c r="U150" s="118">
        <f t="shared" si="39"/>
        <v>0.31024052468000002</v>
      </c>
      <c r="V150" s="118">
        <f t="shared" si="40"/>
        <v>0.30091902626</v>
      </c>
      <c r="W150" s="118">
        <f t="shared" si="41"/>
        <v>0.31150667718199998</v>
      </c>
      <c r="X150" s="118">
        <f t="shared" si="42"/>
        <v>0.30110280366800002</v>
      </c>
      <c r="Y150" s="118">
        <f t="shared" si="43"/>
        <v>0.1627783340410367</v>
      </c>
      <c r="Z150">
        <f t="shared" si="44"/>
        <v>0.05</v>
      </c>
      <c r="AB150">
        <f t="shared" si="45"/>
        <v>3</v>
      </c>
      <c r="AC150">
        <f t="shared" si="46"/>
        <v>3</v>
      </c>
      <c r="AD150">
        <f t="shared" si="47"/>
        <v>3</v>
      </c>
      <c r="AE150">
        <f t="shared" si="32"/>
        <v>3</v>
      </c>
      <c r="AF150">
        <f t="shared" si="33"/>
        <v>3</v>
      </c>
      <c r="AG150">
        <f t="shared" si="34"/>
        <v>1</v>
      </c>
      <c r="AI150" s="97">
        <f>'Decline and Model'!E152</f>
        <v>47178</v>
      </c>
      <c r="AJ150" s="106">
        <f>'Decline and Model'!AC152</f>
        <v>101.4</v>
      </c>
      <c r="AK150" s="107">
        <f>'Decline and Model'!AD152</f>
        <v>17.600000000000001</v>
      </c>
      <c r="AL150" s="107">
        <f>'Decline and Model'!AE152</f>
        <v>35.6</v>
      </c>
      <c r="AM150" s="107">
        <f>'Decline and Model'!AF152</f>
        <v>105.2</v>
      </c>
      <c r="AN150" s="107">
        <f>'Decline and Model'!AG152</f>
        <v>74.3</v>
      </c>
      <c r="AO150" s="107">
        <f>'Decline and Model'!AH152</f>
        <v>0.85</v>
      </c>
      <c r="AP150" s="107">
        <f>'Decline and Model'!AI152</f>
        <v>4.6500000000000004</v>
      </c>
      <c r="AQ150" s="108">
        <f>'Decline and Model'!AJ152</f>
        <v>4.6500000000000004</v>
      </c>
      <c r="AR150" s="4">
        <f t="shared" si="35"/>
        <v>223.917236</v>
      </c>
      <c r="AS150" s="4">
        <f t="shared" si="36"/>
        <v>467.33288299999998</v>
      </c>
      <c r="AT150" s="4">
        <f t="shared" si="37"/>
        <v>661.68801200000007</v>
      </c>
      <c r="AU150" s="4">
        <f t="shared" si="38"/>
        <v>637.78673400000002</v>
      </c>
    </row>
    <row r="151" spans="21:47">
      <c r="U151" s="118">
        <f t="shared" si="39"/>
        <v>0.31024052468000002</v>
      </c>
      <c r="V151" s="118">
        <f t="shared" si="40"/>
        <v>0.30091902626</v>
      </c>
      <c r="W151" s="118">
        <f t="shared" si="41"/>
        <v>0.31150667718199998</v>
      </c>
      <c r="X151" s="118">
        <f t="shared" si="42"/>
        <v>0.30110280366800002</v>
      </c>
      <c r="Y151" s="118">
        <f t="shared" si="43"/>
        <v>0.1627783340410367</v>
      </c>
      <c r="Z151">
        <f t="shared" si="44"/>
        <v>0.05</v>
      </c>
      <c r="AB151">
        <f t="shared" si="45"/>
        <v>3</v>
      </c>
      <c r="AC151">
        <f t="shared" si="46"/>
        <v>3</v>
      </c>
      <c r="AD151">
        <f t="shared" si="47"/>
        <v>3</v>
      </c>
      <c r="AE151">
        <f t="shared" si="32"/>
        <v>3</v>
      </c>
      <c r="AF151">
        <f t="shared" si="33"/>
        <v>3</v>
      </c>
      <c r="AG151">
        <f t="shared" si="34"/>
        <v>1</v>
      </c>
      <c r="AI151" s="97">
        <f>'Decline and Model'!E153</f>
        <v>47209</v>
      </c>
      <c r="AJ151" s="106">
        <f>'Decline and Model'!AC153</f>
        <v>101.4</v>
      </c>
      <c r="AK151" s="107">
        <f>'Decline and Model'!AD153</f>
        <v>17.600000000000001</v>
      </c>
      <c r="AL151" s="107">
        <f>'Decline and Model'!AE153</f>
        <v>35.6</v>
      </c>
      <c r="AM151" s="107">
        <f>'Decline and Model'!AF153</f>
        <v>105.2</v>
      </c>
      <c r="AN151" s="107">
        <f>'Decline and Model'!AG153</f>
        <v>74.3</v>
      </c>
      <c r="AO151" s="107">
        <f>'Decline and Model'!AH153</f>
        <v>0.85</v>
      </c>
      <c r="AP151" s="107">
        <f>'Decline and Model'!AI153</f>
        <v>4.6500000000000004</v>
      </c>
      <c r="AQ151" s="108">
        <f>'Decline and Model'!AJ153</f>
        <v>4.6500000000000004</v>
      </c>
      <c r="AR151" s="4">
        <f t="shared" si="35"/>
        <v>223.917236</v>
      </c>
      <c r="AS151" s="4">
        <f t="shared" si="36"/>
        <v>467.33288299999998</v>
      </c>
      <c r="AT151" s="4">
        <f t="shared" si="37"/>
        <v>661.68801200000007</v>
      </c>
      <c r="AU151" s="4">
        <f t="shared" si="38"/>
        <v>637.78673400000002</v>
      </c>
    </row>
    <row r="152" spans="21:47">
      <c r="U152" s="118">
        <f t="shared" si="39"/>
        <v>0.31024052468000002</v>
      </c>
      <c r="V152" s="118">
        <f t="shared" si="40"/>
        <v>0.30091902626</v>
      </c>
      <c r="W152" s="118">
        <f t="shared" si="41"/>
        <v>0.31150667718199998</v>
      </c>
      <c r="X152" s="118">
        <f t="shared" si="42"/>
        <v>0.30110280366800002</v>
      </c>
      <c r="Y152" s="118">
        <f t="shared" si="43"/>
        <v>0.1627783340410367</v>
      </c>
      <c r="Z152">
        <f t="shared" si="44"/>
        <v>0.05</v>
      </c>
      <c r="AB152">
        <f t="shared" si="45"/>
        <v>3</v>
      </c>
      <c r="AC152">
        <f t="shared" si="46"/>
        <v>3</v>
      </c>
      <c r="AD152">
        <f t="shared" si="47"/>
        <v>3</v>
      </c>
      <c r="AE152">
        <f t="shared" si="32"/>
        <v>3</v>
      </c>
      <c r="AF152">
        <f t="shared" si="33"/>
        <v>3</v>
      </c>
      <c r="AG152">
        <f t="shared" si="34"/>
        <v>1</v>
      </c>
      <c r="AI152" s="97">
        <f>'Decline and Model'!E154</f>
        <v>47239</v>
      </c>
      <c r="AJ152" s="106">
        <f>'Decline and Model'!AC154</f>
        <v>101.4</v>
      </c>
      <c r="AK152" s="107">
        <f>'Decline and Model'!AD154</f>
        <v>17.600000000000001</v>
      </c>
      <c r="AL152" s="107">
        <f>'Decline and Model'!AE154</f>
        <v>35.6</v>
      </c>
      <c r="AM152" s="107">
        <f>'Decline and Model'!AF154</f>
        <v>105.2</v>
      </c>
      <c r="AN152" s="107">
        <f>'Decline and Model'!AG154</f>
        <v>74.3</v>
      </c>
      <c r="AO152" s="107">
        <f>'Decline and Model'!AH154</f>
        <v>0.85</v>
      </c>
      <c r="AP152" s="107">
        <f>'Decline and Model'!AI154</f>
        <v>4.6500000000000004</v>
      </c>
      <c r="AQ152" s="108">
        <f>'Decline and Model'!AJ154</f>
        <v>4.6500000000000004</v>
      </c>
      <c r="AR152" s="4">
        <f t="shared" si="35"/>
        <v>223.917236</v>
      </c>
      <c r="AS152" s="4">
        <f t="shared" si="36"/>
        <v>467.33288299999998</v>
      </c>
      <c r="AT152" s="4">
        <f t="shared" si="37"/>
        <v>661.68801200000007</v>
      </c>
      <c r="AU152" s="4">
        <f t="shared" si="38"/>
        <v>637.78673400000002</v>
      </c>
    </row>
    <row r="153" spans="21:47">
      <c r="U153" s="118">
        <f t="shared" si="39"/>
        <v>0.31024052468000002</v>
      </c>
      <c r="V153" s="118">
        <f t="shared" si="40"/>
        <v>0.30091902626</v>
      </c>
      <c r="W153" s="118">
        <f t="shared" si="41"/>
        <v>0.31150667718199998</v>
      </c>
      <c r="X153" s="118">
        <f t="shared" si="42"/>
        <v>0.30110280366800002</v>
      </c>
      <c r="Y153" s="118">
        <f t="shared" si="43"/>
        <v>0.1627783340410367</v>
      </c>
      <c r="Z153">
        <f t="shared" si="44"/>
        <v>0.05</v>
      </c>
      <c r="AB153">
        <f t="shared" si="45"/>
        <v>3</v>
      </c>
      <c r="AC153">
        <f t="shared" si="46"/>
        <v>3</v>
      </c>
      <c r="AD153">
        <f t="shared" si="47"/>
        <v>3</v>
      </c>
      <c r="AE153">
        <f t="shared" si="32"/>
        <v>3</v>
      </c>
      <c r="AF153">
        <f t="shared" si="33"/>
        <v>3</v>
      </c>
      <c r="AG153">
        <f t="shared" si="34"/>
        <v>1</v>
      </c>
      <c r="AI153" s="97">
        <f>'Decline and Model'!E155</f>
        <v>47270</v>
      </c>
      <c r="AJ153" s="106">
        <f>'Decline and Model'!AC155</f>
        <v>101.4</v>
      </c>
      <c r="AK153" s="107">
        <f>'Decline and Model'!AD155</f>
        <v>17.600000000000001</v>
      </c>
      <c r="AL153" s="107">
        <f>'Decline and Model'!AE155</f>
        <v>35.6</v>
      </c>
      <c r="AM153" s="107">
        <f>'Decline and Model'!AF155</f>
        <v>105.2</v>
      </c>
      <c r="AN153" s="107">
        <f>'Decline and Model'!AG155</f>
        <v>74.3</v>
      </c>
      <c r="AO153" s="107">
        <f>'Decline and Model'!AH155</f>
        <v>0.85</v>
      </c>
      <c r="AP153" s="107">
        <f>'Decline and Model'!AI155</f>
        <v>4.6500000000000004</v>
      </c>
      <c r="AQ153" s="108">
        <f>'Decline and Model'!AJ155</f>
        <v>4.6500000000000004</v>
      </c>
      <c r="AR153" s="4">
        <f t="shared" si="35"/>
        <v>223.917236</v>
      </c>
      <c r="AS153" s="4">
        <f t="shared" si="36"/>
        <v>467.33288299999998</v>
      </c>
      <c r="AT153" s="4">
        <f t="shared" si="37"/>
        <v>661.68801200000007</v>
      </c>
      <c r="AU153" s="4">
        <f t="shared" si="38"/>
        <v>637.78673400000002</v>
      </c>
    </row>
    <row r="154" spans="21:47">
      <c r="U154" s="118">
        <f t="shared" si="39"/>
        <v>0.31024052468000002</v>
      </c>
      <c r="V154" s="118">
        <f t="shared" si="40"/>
        <v>0.30091902626</v>
      </c>
      <c r="W154" s="118">
        <f t="shared" si="41"/>
        <v>0.31150667718199998</v>
      </c>
      <c r="X154" s="118">
        <f t="shared" si="42"/>
        <v>0.30110280366800002</v>
      </c>
      <c r="Y154" s="118">
        <f t="shared" si="43"/>
        <v>0.1627783340410367</v>
      </c>
      <c r="Z154">
        <f t="shared" si="44"/>
        <v>0.05</v>
      </c>
      <c r="AB154">
        <f t="shared" si="45"/>
        <v>3</v>
      </c>
      <c r="AC154">
        <f t="shared" si="46"/>
        <v>3</v>
      </c>
      <c r="AD154">
        <f t="shared" si="47"/>
        <v>3</v>
      </c>
      <c r="AE154">
        <f t="shared" si="32"/>
        <v>3</v>
      </c>
      <c r="AF154">
        <f t="shared" si="33"/>
        <v>3</v>
      </c>
      <c r="AG154">
        <f t="shared" si="34"/>
        <v>1</v>
      </c>
      <c r="AI154" s="97">
        <f>'Decline and Model'!E156</f>
        <v>47300</v>
      </c>
      <c r="AJ154" s="106">
        <f>'Decline and Model'!AC156</f>
        <v>101.4</v>
      </c>
      <c r="AK154" s="107">
        <f>'Decline and Model'!AD156</f>
        <v>17.600000000000001</v>
      </c>
      <c r="AL154" s="107">
        <f>'Decline and Model'!AE156</f>
        <v>35.6</v>
      </c>
      <c r="AM154" s="107">
        <f>'Decline and Model'!AF156</f>
        <v>105.2</v>
      </c>
      <c r="AN154" s="107">
        <f>'Decline and Model'!AG156</f>
        <v>74.3</v>
      </c>
      <c r="AO154" s="107">
        <f>'Decline and Model'!AH156</f>
        <v>0.85</v>
      </c>
      <c r="AP154" s="107">
        <f>'Decline and Model'!AI156</f>
        <v>4.6500000000000004</v>
      </c>
      <c r="AQ154" s="108">
        <f>'Decline and Model'!AJ156</f>
        <v>4.6500000000000004</v>
      </c>
      <c r="AR154" s="4">
        <f t="shared" si="35"/>
        <v>223.917236</v>
      </c>
      <c r="AS154" s="4">
        <f t="shared" si="36"/>
        <v>467.33288299999998</v>
      </c>
      <c r="AT154" s="4">
        <f t="shared" si="37"/>
        <v>661.68801200000007</v>
      </c>
      <c r="AU154" s="4">
        <f t="shared" si="38"/>
        <v>637.78673400000002</v>
      </c>
    </row>
    <row r="155" spans="21:47">
      <c r="U155" s="118">
        <f t="shared" si="39"/>
        <v>0.31024052468000002</v>
      </c>
      <c r="V155" s="118">
        <f t="shared" si="40"/>
        <v>0.30091902626</v>
      </c>
      <c r="W155" s="118">
        <f t="shared" si="41"/>
        <v>0.31150667718199998</v>
      </c>
      <c r="X155" s="118">
        <f t="shared" si="42"/>
        <v>0.30110280366800002</v>
      </c>
      <c r="Y155" s="118">
        <f t="shared" si="43"/>
        <v>0.1627783340410367</v>
      </c>
      <c r="Z155">
        <f t="shared" si="44"/>
        <v>0.05</v>
      </c>
      <c r="AB155">
        <f t="shared" si="45"/>
        <v>3</v>
      </c>
      <c r="AC155">
        <f t="shared" si="46"/>
        <v>3</v>
      </c>
      <c r="AD155">
        <f t="shared" si="47"/>
        <v>3</v>
      </c>
      <c r="AE155">
        <f t="shared" si="32"/>
        <v>3</v>
      </c>
      <c r="AF155">
        <f t="shared" si="33"/>
        <v>3</v>
      </c>
      <c r="AG155">
        <f t="shared" si="34"/>
        <v>1</v>
      </c>
      <c r="AI155" s="97">
        <f>'Decline and Model'!E157</f>
        <v>47331</v>
      </c>
      <c r="AJ155" s="106">
        <f>'Decline and Model'!AC157</f>
        <v>101.4</v>
      </c>
      <c r="AK155" s="107">
        <f>'Decline and Model'!AD157</f>
        <v>17.600000000000001</v>
      </c>
      <c r="AL155" s="107">
        <f>'Decline and Model'!AE157</f>
        <v>35.6</v>
      </c>
      <c r="AM155" s="107">
        <f>'Decline and Model'!AF157</f>
        <v>105.2</v>
      </c>
      <c r="AN155" s="107">
        <f>'Decline and Model'!AG157</f>
        <v>74.3</v>
      </c>
      <c r="AO155" s="107">
        <f>'Decline and Model'!AH157</f>
        <v>0.85</v>
      </c>
      <c r="AP155" s="107">
        <f>'Decline and Model'!AI157</f>
        <v>4.6500000000000004</v>
      </c>
      <c r="AQ155" s="108">
        <f>'Decline and Model'!AJ157</f>
        <v>4.6500000000000004</v>
      </c>
      <c r="AR155" s="4">
        <f t="shared" si="35"/>
        <v>223.917236</v>
      </c>
      <c r="AS155" s="4">
        <f t="shared" si="36"/>
        <v>467.33288299999998</v>
      </c>
      <c r="AT155" s="4">
        <f t="shared" si="37"/>
        <v>661.68801200000007</v>
      </c>
      <c r="AU155" s="4">
        <f t="shared" si="38"/>
        <v>637.78673400000002</v>
      </c>
    </row>
    <row r="156" spans="21:47">
      <c r="U156" s="118">
        <f t="shared" si="39"/>
        <v>0.31024052468000002</v>
      </c>
      <c r="V156" s="118">
        <f t="shared" si="40"/>
        <v>0.30091902626</v>
      </c>
      <c r="W156" s="118">
        <f t="shared" si="41"/>
        <v>0.31150667718199998</v>
      </c>
      <c r="X156" s="118">
        <f t="shared" si="42"/>
        <v>0.30110280366800002</v>
      </c>
      <c r="Y156" s="118">
        <f t="shared" si="43"/>
        <v>0.1627783340410367</v>
      </c>
      <c r="Z156">
        <f t="shared" si="44"/>
        <v>0.05</v>
      </c>
      <c r="AB156">
        <f t="shared" si="45"/>
        <v>3</v>
      </c>
      <c r="AC156">
        <f t="shared" si="46"/>
        <v>3</v>
      </c>
      <c r="AD156">
        <f t="shared" si="47"/>
        <v>3</v>
      </c>
      <c r="AE156">
        <f t="shared" si="32"/>
        <v>3</v>
      </c>
      <c r="AF156">
        <f t="shared" si="33"/>
        <v>3</v>
      </c>
      <c r="AG156">
        <f t="shared" si="34"/>
        <v>1</v>
      </c>
      <c r="AI156" s="97">
        <f>'Decline and Model'!E158</f>
        <v>47362</v>
      </c>
      <c r="AJ156" s="106">
        <f>'Decline and Model'!AC158</f>
        <v>101.4</v>
      </c>
      <c r="AK156" s="107">
        <f>'Decline and Model'!AD158</f>
        <v>17.600000000000001</v>
      </c>
      <c r="AL156" s="107">
        <f>'Decline and Model'!AE158</f>
        <v>35.6</v>
      </c>
      <c r="AM156" s="107">
        <f>'Decline and Model'!AF158</f>
        <v>105.2</v>
      </c>
      <c r="AN156" s="107">
        <f>'Decline and Model'!AG158</f>
        <v>74.3</v>
      </c>
      <c r="AO156" s="107">
        <f>'Decline and Model'!AH158</f>
        <v>0.85</v>
      </c>
      <c r="AP156" s="107">
        <f>'Decline and Model'!AI158</f>
        <v>4.6500000000000004</v>
      </c>
      <c r="AQ156" s="108">
        <f>'Decline and Model'!AJ158</f>
        <v>4.6500000000000004</v>
      </c>
      <c r="AR156" s="4">
        <f t="shared" si="35"/>
        <v>223.917236</v>
      </c>
      <c r="AS156" s="4">
        <f t="shared" si="36"/>
        <v>467.33288299999998</v>
      </c>
      <c r="AT156" s="4">
        <f t="shared" si="37"/>
        <v>661.68801200000007</v>
      </c>
      <c r="AU156" s="4">
        <f t="shared" si="38"/>
        <v>637.78673400000002</v>
      </c>
    </row>
    <row r="157" spans="21:47">
      <c r="U157" s="118">
        <f t="shared" si="39"/>
        <v>0.31024052468000002</v>
      </c>
      <c r="V157" s="118">
        <f t="shared" si="40"/>
        <v>0.30091902626</v>
      </c>
      <c r="W157" s="118">
        <f t="shared" si="41"/>
        <v>0.31150667718199998</v>
      </c>
      <c r="X157" s="118">
        <f t="shared" si="42"/>
        <v>0.30110280366800002</v>
      </c>
      <c r="Y157" s="118">
        <f t="shared" si="43"/>
        <v>0.1627783340410367</v>
      </c>
      <c r="Z157">
        <f t="shared" si="44"/>
        <v>0.05</v>
      </c>
      <c r="AB157">
        <f t="shared" si="45"/>
        <v>3</v>
      </c>
      <c r="AC157">
        <f t="shared" si="46"/>
        <v>3</v>
      </c>
      <c r="AD157">
        <f t="shared" si="47"/>
        <v>3</v>
      </c>
      <c r="AE157">
        <f t="shared" si="32"/>
        <v>3</v>
      </c>
      <c r="AF157">
        <f t="shared" si="33"/>
        <v>3</v>
      </c>
      <c r="AG157">
        <f t="shared" si="34"/>
        <v>1</v>
      </c>
      <c r="AI157" s="97">
        <f>'Decline and Model'!E159</f>
        <v>47392</v>
      </c>
      <c r="AJ157" s="106">
        <f>'Decline and Model'!AC159</f>
        <v>101.4</v>
      </c>
      <c r="AK157" s="107">
        <f>'Decline and Model'!AD159</f>
        <v>17.600000000000001</v>
      </c>
      <c r="AL157" s="107">
        <f>'Decline and Model'!AE159</f>
        <v>35.6</v>
      </c>
      <c r="AM157" s="107">
        <f>'Decline and Model'!AF159</f>
        <v>105.2</v>
      </c>
      <c r="AN157" s="107">
        <f>'Decline and Model'!AG159</f>
        <v>74.3</v>
      </c>
      <c r="AO157" s="107">
        <f>'Decline and Model'!AH159</f>
        <v>0.85</v>
      </c>
      <c r="AP157" s="107">
        <f>'Decline and Model'!AI159</f>
        <v>4.6500000000000004</v>
      </c>
      <c r="AQ157" s="108">
        <f>'Decline and Model'!AJ159</f>
        <v>4.6500000000000004</v>
      </c>
      <c r="AR157" s="4">
        <f t="shared" si="35"/>
        <v>223.917236</v>
      </c>
      <c r="AS157" s="4">
        <f t="shared" si="36"/>
        <v>467.33288299999998</v>
      </c>
      <c r="AT157" s="4">
        <f t="shared" si="37"/>
        <v>661.68801200000007</v>
      </c>
      <c r="AU157" s="4">
        <f t="shared" si="38"/>
        <v>637.78673400000002</v>
      </c>
    </row>
    <row r="158" spans="21:47">
      <c r="U158" s="118">
        <f t="shared" si="39"/>
        <v>0.31024052468000002</v>
      </c>
      <c r="V158" s="118">
        <f t="shared" si="40"/>
        <v>0.30091902626</v>
      </c>
      <c r="W158" s="118">
        <f t="shared" si="41"/>
        <v>0.31150667718199998</v>
      </c>
      <c r="X158" s="118">
        <f t="shared" si="42"/>
        <v>0.30110280366800002</v>
      </c>
      <c r="Y158" s="118">
        <f t="shared" si="43"/>
        <v>0.1627783340410367</v>
      </c>
      <c r="Z158">
        <f t="shared" si="44"/>
        <v>0.05</v>
      </c>
      <c r="AB158">
        <f t="shared" si="45"/>
        <v>3</v>
      </c>
      <c r="AC158">
        <f t="shared" si="46"/>
        <v>3</v>
      </c>
      <c r="AD158">
        <f t="shared" si="47"/>
        <v>3</v>
      </c>
      <c r="AE158">
        <f t="shared" si="32"/>
        <v>3</v>
      </c>
      <c r="AF158">
        <f t="shared" si="33"/>
        <v>3</v>
      </c>
      <c r="AG158">
        <f t="shared" si="34"/>
        <v>1</v>
      </c>
      <c r="AI158" s="97">
        <f>'Decline and Model'!E160</f>
        <v>47423</v>
      </c>
      <c r="AJ158" s="106">
        <f>'Decline and Model'!AC160</f>
        <v>101.4</v>
      </c>
      <c r="AK158" s="107">
        <f>'Decline and Model'!AD160</f>
        <v>17.600000000000001</v>
      </c>
      <c r="AL158" s="107">
        <f>'Decline and Model'!AE160</f>
        <v>35.6</v>
      </c>
      <c r="AM158" s="107">
        <f>'Decline and Model'!AF160</f>
        <v>105.2</v>
      </c>
      <c r="AN158" s="107">
        <f>'Decline and Model'!AG160</f>
        <v>74.3</v>
      </c>
      <c r="AO158" s="107">
        <f>'Decline and Model'!AH160</f>
        <v>0.85</v>
      </c>
      <c r="AP158" s="107">
        <f>'Decline and Model'!AI160</f>
        <v>4.6500000000000004</v>
      </c>
      <c r="AQ158" s="108">
        <f>'Decline and Model'!AJ160</f>
        <v>4.6500000000000004</v>
      </c>
      <c r="AR158" s="4">
        <f t="shared" si="35"/>
        <v>223.917236</v>
      </c>
      <c r="AS158" s="4">
        <f t="shared" si="36"/>
        <v>467.33288299999998</v>
      </c>
      <c r="AT158" s="4">
        <f t="shared" si="37"/>
        <v>661.68801200000007</v>
      </c>
      <c r="AU158" s="4">
        <f t="shared" si="38"/>
        <v>637.78673400000002</v>
      </c>
    </row>
    <row r="159" spans="21:47">
      <c r="U159" s="118">
        <f t="shared" si="39"/>
        <v>0.31024052468000002</v>
      </c>
      <c r="V159" s="118">
        <f t="shared" si="40"/>
        <v>0.30091902626</v>
      </c>
      <c r="W159" s="118">
        <f t="shared" si="41"/>
        <v>0.31150667718199998</v>
      </c>
      <c r="X159" s="118">
        <f t="shared" si="42"/>
        <v>0.30110280366800002</v>
      </c>
      <c r="Y159" s="118">
        <f t="shared" si="43"/>
        <v>0.1627783340410367</v>
      </c>
      <c r="Z159">
        <f t="shared" si="44"/>
        <v>0.05</v>
      </c>
      <c r="AB159">
        <f t="shared" si="45"/>
        <v>3</v>
      </c>
      <c r="AC159">
        <f t="shared" si="46"/>
        <v>3</v>
      </c>
      <c r="AD159">
        <f t="shared" si="47"/>
        <v>3</v>
      </c>
      <c r="AE159">
        <f t="shared" si="32"/>
        <v>3</v>
      </c>
      <c r="AF159">
        <f t="shared" si="33"/>
        <v>3</v>
      </c>
      <c r="AG159">
        <f t="shared" si="34"/>
        <v>1</v>
      </c>
      <c r="AI159" s="97">
        <f>'Decline and Model'!E161</f>
        <v>47453</v>
      </c>
      <c r="AJ159" s="106">
        <f>'Decline and Model'!AC161</f>
        <v>101.4</v>
      </c>
      <c r="AK159" s="107">
        <f>'Decline and Model'!AD161</f>
        <v>17.600000000000001</v>
      </c>
      <c r="AL159" s="107">
        <f>'Decline and Model'!AE161</f>
        <v>35.6</v>
      </c>
      <c r="AM159" s="107">
        <f>'Decline and Model'!AF161</f>
        <v>105.2</v>
      </c>
      <c r="AN159" s="107">
        <f>'Decline and Model'!AG161</f>
        <v>74.3</v>
      </c>
      <c r="AO159" s="107">
        <f>'Decline and Model'!AH161</f>
        <v>0.85</v>
      </c>
      <c r="AP159" s="107">
        <f>'Decline and Model'!AI161</f>
        <v>4.6500000000000004</v>
      </c>
      <c r="AQ159" s="108">
        <f>'Decline and Model'!AJ161</f>
        <v>4.6500000000000004</v>
      </c>
      <c r="AR159" s="4">
        <f t="shared" si="35"/>
        <v>223.917236</v>
      </c>
      <c r="AS159" s="4">
        <f t="shared" si="36"/>
        <v>467.33288299999998</v>
      </c>
      <c r="AT159" s="4">
        <f t="shared" si="37"/>
        <v>661.68801200000007</v>
      </c>
      <c r="AU159" s="4">
        <f t="shared" si="38"/>
        <v>637.78673400000002</v>
      </c>
    </row>
    <row r="160" spans="21:47">
      <c r="U160" s="118">
        <f t="shared" si="39"/>
        <v>0.31563718166000004</v>
      </c>
      <c r="V160" s="118">
        <f t="shared" si="40"/>
        <v>0.30607038065000003</v>
      </c>
      <c r="W160" s="118">
        <f t="shared" si="41"/>
        <v>0.31673350929199995</v>
      </c>
      <c r="X160" s="118">
        <f t="shared" si="42"/>
        <v>0.306003194639</v>
      </c>
      <c r="Y160" s="118">
        <f t="shared" si="43"/>
        <v>0.16702833404103667</v>
      </c>
      <c r="Z160">
        <f t="shared" si="44"/>
        <v>0.05</v>
      </c>
      <c r="AB160">
        <f t="shared" si="45"/>
        <v>3</v>
      </c>
      <c r="AC160">
        <f t="shared" si="46"/>
        <v>3</v>
      </c>
      <c r="AD160">
        <f t="shared" si="47"/>
        <v>3</v>
      </c>
      <c r="AE160">
        <f t="shared" si="32"/>
        <v>3</v>
      </c>
      <c r="AF160">
        <f t="shared" si="33"/>
        <v>3</v>
      </c>
      <c r="AG160">
        <f t="shared" si="34"/>
        <v>1</v>
      </c>
      <c r="AI160" s="97">
        <f>'Decline and Model'!E162</f>
        <v>47484</v>
      </c>
      <c r="AJ160" s="106">
        <f>'Decline and Model'!AC162</f>
        <v>103.5</v>
      </c>
      <c r="AK160" s="107">
        <f>'Decline and Model'!AD162</f>
        <v>18</v>
      </c>
      <c r="AL160" s="107">
        <f>'Decline and Model'!AE162</f>
        <v>36.299999999999997</v>
      </c>
      <c r="AM160" s="107">
        <f>'Decline and Model'!AF162</f>
        <v>107.4</v>
      </c>
      <c r="AN160" s="107">
        <f>'Decline and Model'!AG162</f>
        <v>75.8</v>
      </c>
      <c r="AO160" s="107">
        <f>'Decline and Model'!AH162</f>
        <v>0.85</v>
      </c>
      <c r="AP160" s="107">
        <f>'Decline and Model'!AI162</f>
        <v>4.75</v>
      </c>
      <c r="AQ160" s="108">
        <f>'Decline and Model'!AJ162</f>
        <v>4.75</v>
      </c>
      <c r="AR160" s="4">
        <f t="shared" si="35"/>
        <v>228.32010299999999</v>
      </c>
      <c r="AS160" s="4">
        <f t="shared" si="36"/>
        <v>476.76759799999996</v>
      </c>
      <c r="AT160" s="4">
        <f t="shared" si="37"/>
        <v>675.52559400000007</v>
      </c>
      <c r="AU160" s="4">
        <f t="shared" si="38"/>
        <v>650.99533500000007</v>
      </c>
    </row>
    <row r="161" spans="21:47">
      <c r="U161" s="118">
        <f t="shared" si="39"/>
        <v>0.31563718166000004</v>
      </c>
      <c r="V161" s="118">
        <f t="shared" si="40"/>
        <v>0.30607038065000003</v>
      </c>
      <c r="W161" s="118">
        <f t="shared" si="41"/>
        <v>0.31673350929199995</v>
      </c>
      <c r="X161" s="118">
        <f t="shared" si="42"/>
        <v>0.306003194639</v>
      </c>
      <c r="Y161" s="118">
        <f t="shared" si="43"/>
        <v>0.16702833404103667</v>
      </c>
      <c r="Z161">
        <f t="shared" si="44"/>
        <v>0.05</v>
      </c>
      <c r="AB161">
        <f t="shared" si="45"/>
        <v>3</v>
      </c>
      <c r="AC161">
        <f t="shared" si="46"/>
        <v>3</v>
      </c>
      <c r="AD161">
        <f t="shared" si="47"/>
        <v>3</v>
      </c>
      <c r="AE161">
        <f t="shared" si="32"/>
        <v>3</v>
      </c>
      <c r="AF161">
        <f t="shared" si="33"/>
        <v>3</v>
      </c>
      <c r="AG161">
        <f t="shared" si="34"/>
        <v>1</v>
      </c>
      <c r="AI161" s="97">
        <f>'Decline and Model'!E163</f>
        <v>47515</v>
      </c>
      <c r="AJ161" s="106">
        <f>'Decline and Model'!AC163</f>
        <v>103.5</v>
      </c>
      <c r="AK161" s="107">
        <f>'Decline and Model'!AD163</f>
        <v>18</v>
      </c>
      <c r="AL161" s="107">
        <f>'Decline and Model'!AE163</f>
        <v>36.299999999999997</v>
      </c>
      <c r="AM161" s="107">
        <f>'Decline and Model'!AF163</f>
        <v>107.4</v>
      </c>
      <c r="AN161" s="107">
        <f>'Decline and Model'!AG163</f>
        <v>75.8</v>
      </c>
      <c r="AO161" s="107">
        <f>'Decline and Model'!AH163</f>
        <v>0.85</v>
      </c>
      <c r="AP161" s="107">
        <f>'Decline and Model'!AI163</f>
        <v>4.75</v>
      </c>
      <c r="AQ161" s="108">
        <f>'Decline and Model'!AJ163</f>
        <v>4.75</v>
      </c>
      <c r="AR161" s="4">
        <f t="shared" si="35"/>
        <v>228.32010299999999</v>
      </c>
      <c r="AS161" s="4">
        <f t="shared" si="36"/>
        <v>476.76759799999996</v>
      </c>
      <c r="AT161" s="4">
        <f t="shared" si="37"/>
        <v>675.52559400000007</v>
      </c>
      <c r="AU161" s="4">
        <f t="shared" si="38"/>
        <v>650.99533500000007</v>
      </c>
    </row>
    <row r="162" spans="21:47">
      <c r="U162" s="118">
        <f t="shared" si="39"/>
        <v>0.31563718166000004</v>
      </c>
      <c r="V162" s="118">
        <f t="shared" si="40"/>
        <v>0.30607038065000003</v>
      </c>
      <c r="W162" s="118">
        <f t="shared" si="41"/>
        <v>0.31673350929199995</v>
      </c>
      <c r="X162" s="118">
        <f t="shared" si="42"/>
        <v>0.306003194639</v>
      </c>
      <c r="Y162" s="118">
        <f t="shared" si="43"/>
        <v>0.16702833404103667</v>
      </c>
      <c r="Z162">
        <f t="shared" si="44"/>
        <v>0.05</v>
      </c>
      <c r="AB162">
        <f t="shared" si="45"/>
        <v>3</v>
      </c>
      <c r="AC162">
        <f t="shared" si="46"/>
        <v>3</v>
      </c>
      <c r="AD162">
        <f t="shared" si="47"/>
        <v>3</v>
      </c>
      <c r="AE162">
        <f t="shared" si="32"/>
        <v>3</v>
      </c>
      <c r="AF162">
        <f t="shared" si="33"/>
        <v>3</v>
      </c>
      <c r="AG162">
        <f t="shared" si="34"/>
        <v>1</v>
      </c>
      <c r="AI162" s="97">
        <f>'Decline and Model'!E164</f>
        <v>47543</v>
      </c>
      <c r="AJ162" s="106">
        <f>'Decline and Model'!AC164</f>
        <v>103.5</v>
      </c>
      <c r="AK162" s="107">
        <f>'Decline and Model'!AD164</f>
        <v>18</v>
      </c>
      <c r="AL162" s="107">
        <f>'Decline and Model'!AE164</f>
        <v>36.299999999999997</v>
      </c>
      <c r="AM162" s="107">
        <f>'Decline and Model'!AF164</f>
        <v>107.4</v>
      </c>
      <c r="AN162" s="107">
        <f>'Decline and Model'!AG164</f>
        <v>75.8</v>
      </c>
      <c r="AO162" s="107">
        <f>'Decline and Model'!AH164</f>
        <v>0.85</v>
      </c>
      <c r="AP162" s="107">
        <f>'Decline and Model'!AI164</f>
        <v>4.75</v>
      </c>
      <c r="AQ162" s="108">
        <f>'Decline and Model'!AJ164</f>
        <v>4.75</v>
      </c>
      <c r="AR162" s="4">
        <f t="shared" si="35"/>
        <v>228.32010299999999</v>
      </c>
      <c r="AS162" s="4">
        <f t="shared" si="36"/>
        <v>476.76759799999996</v>
      </c>
      <c r="AT162" s="4">
        <f t="shared" si="37"/>
        <v>675.52559400000007</v>
      </c>
      <c r="AU162" s="4">
        <f t="shared" si="38"/>
        <v>650.99533500000007</v>
      </c>
    </row>
    <row r="163" spans="21:47">
      <c r="U163" s="118">
        <f t="shared" si="39"/>
        <v>0.31563718166000004</v>
      </c>
      <c r="V163" s="118">
        <f t="shared" si="40"/>
        <v>0.30607038065000003</v>
      </c>
      <c r="W163" s="118">
        <f t="shared" si="41"/>
        <v>0.31673350929199995</v>
      </c>
      <c r="X163" s="118">
        <f t="shared" si="42"/>
        <v>0.306003194639</v>
      </c>
      <c r="Y163" s="118">
        <f t="shared" si="43"/>
        <v>0.16702833404103667</v>
      </c>
      <c r="Z163">
        <f t="shared" si="44"/>
        <v>0.05</v>
      </c>
      <c r="AB163">
        <f t="shared" si="45"/>
        <v>3</v>
      </c>
      <c r="AC163">
        <f t="shared" si="46"/>
        <v>3</v>
      </c>
      <c r="AD163">
        <f t="shared" si="47"/>
        <v>3</v>
      </c>
      <c r="AE163">
        <f t="shared" si="32"/>
        <v>3</v>
      </c>
      <c r="AF163">
        <f t="shared" si="33"/>
        <v>3</v>
      </c>
      <c r="AG163">
        <f t="shared" si="34"/>
        <v>1</v>
      </c>
      <c r="AI163" s="97">
        <f>'Decline and Model'!E165</f>
        <v>47574</v>
      </c>
      <c r="AJ163" s="106">
        <f>'Decline and Model'!AC165</f>
        <v>103.5</v>
      </c>
      <c r="AK163" s="107">
        <f>'Decline and Model'!AD165</f>
        <v>18</v>
      </c>
      <c r="AL163" s="107">
        <f>'Decline and Model'!AE165</f>
        <v>36.299999999999997</v>
      </c>
      <c r="AM163" s="107">
        <f>'Decline and Model'!AF165</f>
        <v>107.4</v>
      </c>
      <c r="AN163" s="107">
        <f>'Decline and Model'!AG165</f>
        <v>75.8</v>
      </c>
      <c r="AO163" s="107">
        <f>'Decline and Model'!AH165</f>
        <v>0.85</v>
      </c>
      <c r="AP163" s="107">
        <f>'Decline and Model'!AI165</f>
        <v>4.75</v>
      </c>
      <c r="AQ163" s="108">
        <f>'Decline and Model'!AJ165</f>
        <v>4.75</v>
      </c>
      <c r="AR163" s="4">
        <f t="shared" si="35"/>
        <v>228.32010299999999</v>
      </c>
      <c r="AS163" s="4">
        <f t="shared" si="36"/>
        <v>476.76759799999996</v>
      </c>
      <c r="AT163" s="4">
        <f t="shared" si="37"/>
        <v>675.52559400000007</v>
      </c>
      <c r="AU163" s="4">
        <f t="shared" si="38"/>
        <v>650.99533500000007</v>
      </c>
    </row>
    <row r="164" spans="21:47">
      <c r="U164" s="118">
        <f t="shared" si="39"/>
        <v>0.31563718166000004</v>
      </c>
      <c r="V164" s="118">
        <f t="shared" si="40"/>
        <v>0.30607038065000003</v>
      </c>
      <c r="W164" s="118">
        <f t="shared" si="41"/>
        <v>0.31673350929199995</v>
      </c>
      <c r="X164" s="118">
        <f t="shared" si="42"/>
        <v>0.306003194639</v>
      </c>
      <c r="Y164" s="118">
        <f t="shared" si="43"/>
        <v>0.16702833404103667</v>
      </c>
      <c r="Z164">
        <f t="shared" si="44"/>
        <v>0.05</v>
      </c>
      <c r="AB164">
        <f t="shared" si="45"/>
        <v>3</v>
      </c>
      <c r="AC164">
        <f t="shared" si="46"/>
        <v>3</v>
      </c>
      <c r="AD164">
        <f t="shared" si="47"/>
        <v>3</v>
      </c>
      <c r="AE164">
        <f t="shared" si="32"/>
        <v>3</v>
      </c>
      <c r="AF164">
        <f t="shared" si="33"/>
        <v>3</v>
      </c>
      <c r="AG164">
        <f t="shared" si="34"/>
        <v>1</v>
      </c>
      <c r="AI164" s="97">
        <f>'Decline and Model'!E166</f>
        <v>47604</v>
      </c>
      <c r="AJ164" s="106">
        <f>'Decline and Model'!AC166</f>
        <v>103.5</v>
      </c>
      <c r="AK164" s="107">
        <f>'Decline and Model'!AD166</f>
        <v>18</v>
      </c>
      <c r="AL164" s="107">
        <f>'Decline and Model'!AE166</f>
        <v>36.299999999999997</v>
      </c>
      <c r="AM164" s="107">
        <f>'Decline and Model'!AF166</f>
        <v>107.4</v>
      </c>
      <c r="AN164" s="107">
        <f>'Decline and Model'!AG166</f>
        <v>75.8</v>
      </c>
      <c r="AO164" s="107">
        <f>'Decline and Model'!AH166</f>
        <v>0.85</v>
      </c>
      <c r="AP164" s="107">
        <f>'Decline and Model'!AI166</f>
        <v>4.75</v>
      </c>
      <c r="AQ164" s="108">
        <f>'Decline and Model'!AJ166</f>
        <v>4.75</v>
      </c>
      <c r="AR164" s="4">
        <f t="shared" si="35"/>
        <v>228.32010299999999</v>
      </c>
      <c r="AS164" s="4">
        <f t="shared" si="36"/>
        <v>476.76759799999996</v>
      </c>
      <c r="AT164" s="4">
        <f t="shared" si="37"/>
        <v>675.52559400000007</v>
      </c>
      <c r="AU164" s="4">
        <f t="shared" si="38"/>
        <v>650.99533500000007</v>
      </c>
    </row>
    <row r="165" spans="21:47">
      <c r="U165" s="118">
        <f t="shared" si="39"/>
        <v>0.31563718166000004</v>
      </c>
      <c r="V165" s="118">
        <f t="shared" si="40"/>
        <v>0.30607038065000003</v>
      </c>
      <c r="W165" s="118">
        <f t="shared" si="41"/>
        <v>0.31673350929199995</v>
      </c>
      <c r="X165" s="118">
        <f t="shared" si="42"/>
        <v>0.306003194639</v>
      </c>
      <c r="Y165" s="118">
        <f t="shared" si="43"/>
        <v>0.16702833404103667</v>
      </c>
      <c r="Z165">
        <f t="shared" si="44"/>
        <v>0.05</v>
      </c>
      <c r="AB165">
        <f t="shared" si="45"/>
        <v>3</v>
      </c>
      <c r="AC165">
        <f t="shared" si="46"/>
        <v>3</v>
      </c>
      <c r="AD165">
        <f t="shared" si="47"/>
        <v>3</v>
      </c>
      <c r="AE165">
        <f t="shared" si="32"/>
        <v>3</v>
      </c>
      <c r="AF165">
        <f t="shared" si="33"/>
        <v>3</v>
      </c>
      <c r="AG165">
        <f t="shared" si="34"/>
        <v>1</v>
      </c>
      <c r="AI165" s="97">
        <f>'Decline and Model'!E167</f>
        <v>47635</v>
      </c>
      <c r="AJ165" s="106">
        <f>'Decline and Model'!AC167</f>
        <v>103.5</v>
      </c>
      <c r="AK165" s="107">
        <f>'Decline and Model'!AD167</f>
        <v>18</v>
      </c>
      <c r="AL165" s="107">
        <f>'Decline and Model'!AE167</f>
        <v>36.299999999999997</v>
      </c>
      <c r="AM165" s="107">
        <f>'Decline and Model'!AF167</f>
        <v>107.4</v>
      </c>
      <c r="AN165" s="107">
        <f>'Decline and Model'!AG167</f>
        <v>75.8</v>
      </c>
      <c r="AO165" s="107">
        <f>'Decline and Model'!AH167</f>
        <v>0.85</v>
      </c>
      <c r="AP165" s="107">
        <f>'Decline and Model'!AI167</f>
        <v>4.75</v>
      </c>
      <c r="AQ165" s="108">
        <f>'Decline and Model'!AJ167</f>
        <v>4.75</v>
      </c>
      <c r="AR165" s="4">
        <f t="shared" si="35"/>
        <v>228.32010299999999</v>
      </c>
      <c r="AS165" s="4">
        <f t="shared" si="36"/>
        <v>476.76759799999996</v>
      </c>
      <c r="AT165" s="4">
        <f t="shared" si="37"/>
        <v>675.52559400000007</v>
      </c>
      <c r="AU165" s="4">
        <f t="shared" si="38"/>
        <v>650.99533500000007</v>
      </c>
    </row>
    <row r="166" spans="21:47">
      <c r="U166" s="118">
        <f t="shared" si="39"/>
        <v>0.31563718166000004</v>
      </c>
      <c r="V166" s="118">
        <f t="shared" si="40"/>
        <v>0.30607038065000003</v>
      </c>
      <c r="W166" s="118">
        <f t="shared" si="41"/>
        <v>0.31673350929199995</v>
      </c>
      <c r="X166" s="118">
        <f t="shared" si="42"/>
        <v>0.306003194639</v>
      </c>
      <c r="Y166" s="118">
        <f t="shared" si="43"/>
        <v>0.16702833404103667</v>
      </c>
      <c r="Z166">
        <f t="shared" si="44"/>
        <v>0.05</v>
      </c>
      <c r="AB166">
        <f t="shared" si="45"/>
        <v>3</v>
      </c>
      <c r="AC166">
        <f t="shared" si="46"/>
        <v>3</v>
      </c>
      <c r="AD166">
        <f t="shared" si="47"/>
        <v>3</v>
      </c>
      <c r="AE166">
        <f t="shared" si="32"/>
        <v>3</v>
      </c>
      <c r="AF166">
        <f t="shared" si="33"/>
        <v>3</v>
      </c>
      <c r="AG166">
        <f t="shared" si="34"/>
        <v>1</v>
      </c>
      <c r="AI166" s="97">
        <f>'Decline and Model'!E168</f>
        <v>47665</v>
      </c>
      <c r="AJ166" s="106">
        <f>'Decline and Model'!AC168</f>
        <v>103.5</v>
      </c>
      <c r="AK166" s="107">
        <f>'Decline and Model'!AD168</f>
        <v>18</v>
      </c>
      <c r="AL166" s="107">
        <f>'Decline and Model'!AE168</f>
        <v>36.299999999999997</v>
      </c>
      <c r="AM166" s="107">
        <f>'Decline and Model'!AF168</f>
        <v>107.4</v>
      </c>
      <c r="AN166" s="107">
        <f>'Decline and Model'!AG168</f>
        <v>75.8</v>
      </c>
      <c r="AO166" s="107">
        <f>'Decline and Model'!AH168</f>
        <v>0.85</v>
      </c>
      <c r="AP166" s="107">
        <f>'Decline and Model'!AI168</f>
        <v>4.75</v>
      </c>
      <c r="AQ166" s="108">
        <f>'Decline and Model'!AJ168</f>
        <v>4.75</v>
      </c>
      <c r="AR166" s="4">
        <f t="shared" si="35"/>
        <v>228.32010299999999</v>
      </c>
      <c r="AS166" s="4">
        <f t="shared" si="36"/>
        <v>476.76759799999996</v>
      </c>
      <c r="AT166" s="4">
        <f t="shared" si="37"/>
        <v>675.52559400000007</v>
      </c>
      <c r="AU166" s="4">
        <f t="shared" si="38"/>
        <v>650.99533500000007</v>
      </c>
    </row>
    <row r="167" spans="21:47">
      <c r="U167" s="118">
        <f t="shared" si="39"/>
        <v>0.31563718166000004</v>
      </c>
      <c r="V167" s="118">
        <f t="shared" si="40"/>
        <v>0.30607038065000003</v>
      </c>
      <c r="W167" s="118">
        <f t="shared" si="41"/>
        <v>0.31673350929199995</v>
      </c>
      <c r="X167" s="118">
        <f t="shared" si="42"/>
        <v>0.306003194639</v>
      </c>
      <c r="Y167" s="118">
        <f t="shared" si="43"/>
        <v>0.16702833404103667</v>
      </c>
      <c r="Z167">
        <f t="shared" si="44"/>
        <v>0.05</v>
      </c>
      <c r="AB167">
        <f t="shared" si="45"/>
        <v>3</v>
      </c>
      <c r="AC167">
        <f t="shared" si="46"/>
        <v>3</v>
      </c>
      <c r="AD167">
        <f t="shared" si="47"/>
        <v>3</v>
      </c>
      <c r="AE167">
        <f t="shared" si="32"/>
        <v>3</v>
      </c>
      <c r="AF167">
        <f t="shared" si="33"/>
        <v>3</v>
      </c>
      <c r="AG167">
        <f t="shared" si="34"/>
        <v>1</v>
      </c>
      <c r="AI167" s="97">
        <f>'Decline and Model'!E169</f>
        <v>47696</v>
      </c>
      <c r="AJ167" s="106">
        <f>'Decline and Model'!AC169</f>
        <v>103.5</v>
      </c>
      <c r="AK167" s="107">
        <f>'Decline and Model'!AD169</f>
        <v>18</v>
      </c>
      <c r="AL167" s="107">
        <f>'Decline and Model'!AE169</f>
        <v>36.299999999999997</v>
      </c>
      <c r="AM167" s="107">
        <f>'Decline and Model'!AF169</f>
        <v>107.4</v>
      </c>
      <c r="AN167" s="107">
        <f>'Decline and Model'!AG169</f>
        <v>75.8</v>
      </c>
      <c r="AO167" s="107">
        <f>'Decline and Model'!AH169</f>
        <v>0.85</v>
      </c>
      <c r="AP167" s="107">
        <f>'Decline and Model'!AI169</f>
        <v>4.75</v>
      </c>
      <c r="AQ167" s="108">
        <f>'Decline and Model'!AJ169</f>
        <v>4.75</v>
      </c>
      <c r="AR167" s="4">
        <f t="shared" si="35"/>
        <v>228.32010299999999</v>
      </c>
      <c r="AS167" s="4">
        <f t="shared" si="36"/>
        <v>476.76759799999996</v>
      </c>
      <c r="AT167" s="4">
        <f t="shared" si="37"/>
        <v>675.52559400000007</v>
      </c>
      <c r="AU167" s="4">
        <f t="shared" si="38"/>
        <v>650.99533500000007</v>
      </c>
    </row>
    <row r="168" spans="21:47">
      <c r="U168" s="118">
        <f t="shared" si="39"/>
        <v>0.31563718166000004</v>
      </c>
      <c r="V168" s="118">
        <f t="shared" si="40"/>
        <v>0.30607038065000003</v>
      </c>
      <c r="W168" s="118">
        <f t="shared" si="41"/>
        <v>0.31673350929199995</v>
      </c>
      <c r="X168" s="118">
        <f t="shared" si="42"/>
        <v>0.306003194639</v>
      </c>
      <c r="Y168" s="118">
        <f t="shared" si="43"/>
        <v>0.16702833404103667</v>
      </c>
      <c r="Z168">
        <f t="shared" si="44"/>
        <v>0.05</v>
      </c>
      <c r="AB168">
        <f t="shared" si="45"/>
        <v>3</v>
      </c>
      <c r="AC168">
        <f t="shared" si="46"/>
        <v>3</v>
      </c>
      <c r="AD168">
        <f t="shared" si="47"/>
        <v>3</v>
      </c>
      <c r="AE168">
        <f t="shared" si="32"/>
        <v>3</v>
      </c>
      <c r="AF168">
        <f t="shared" si="33"/>
        <v>3</v>
      </c>
      <c r="AG168">
        <f t="shared" si="34"/>
        <v>1</v>
      </c>
      <c r="AI168" s="97">
        <f>'Decline and Model'!E170</f>
        <v>47727</v>
      </c>
      <c r="AJ168" s="106">
        <f>'Decline and Model'!AC170</f>
        <v>103.5</v>
      </c>
      <c r="AK168" s="107">
        <f>'Decline and Model'!AD170</f>
        <v>18</v>
      </c>
      <c r="AL168" s="107">
        <f>'Decline and Model'!AE170</f>
        <v>36.299999999999997</v>
      </c>
      <c r="AM168" s="107">
        <f>'Decline and Model'!AF170</f>
        <v>107.4</v>
      </c>
      <c r="AN168" s="107">
        <f>'Decline and Model'!AG170</f>
        <v>75.8</v>
      </c>
      <c r="AO168" s="107">
        <f>'Decline and Model'!AH170</f>
        <v>0.85</v>
      </c>
      <c r="AP168" s="107">
        <f>'Decline and Model'!AI170</f>
        <v>4.75</v>
      </c>
      <c r="AQ168" s="108">
        <f>'Decline and Model'!AJ170</f>
        <v>4.75</v>
      </c>
      <c r="AR168" s="4">
        <f t="shared" si="35"/>
        <v>228.32010299999999</v>
      </c>
      <c r="AS168" s="4">
        <f t="shared" si="36"/>
        <v>476.76759799999996</v>
      </c>
      <c r="AT168" s="4">
        <f t="shared" si="37"/>
        <v>675.52559400000007</v>
      </c>
      <c r="AU168" s="4">
        <f t="shared" si="38"/>
        <v>650.99533500000007</v>
      </c>
    </row>
    <row r="169" spans="21:47">
      <c r="U169" s="118">
        <f t="shared" si="39"/>
        <v>0.31563718166000004</v>
      </c>
      <c r="V169" s="118">
        <f t="shared" si="40"/>
        <v>0.30607038065000003</v>
      </c>
      <c r="W169" s="118">
        <f t="shared" si="41"/>
        <v>0.31673350929199995</v>
      </c>
      <c r="X169" s="118">
        <f t="shared" si="42"/>
        <v>0.306003194639</v>
      </c>
      <c r="Y169" s="118">
        <f t="shared" si="43"/>
        <v>0.16702833404103667</v>
      </c>
      <c r="Z169">
        <f t="shared" si="44"/>
        <v>0.05</v>
      </c>
      <c r="AB169">
        <f t="shared" si="45"/>
        <v>3</v>
      </c>
      <c r="AC169">
        <f t="shared" si="46"/>
        <v>3</v>
      </c>
      <c r="AD169">
        <f t="shared" si="47"/>
        <v>3</v>
      </c>
      <c r="AE169">
        <f t="shared" si="32"/>
        <v>3</v>
      </c>
      <c r="AF169">
        <f t="shared" si="33"/>
        <v>3</v>
      </c>
      <c r="AG169">
        <f t="shared" si="34"/>
        <v>1</v>
      </c>
      <c r="AI169" s="97">
        <f>'Decline and Model'!E171</f>
        <v>47757</v>
      </c>
      <c r="AJ169" s="106">
        <f>'Decline and Model'!AC171</f>
        <v>103.5</v>
      </c>
      <c r="AK169" s="107">
        <f>'Decline and Model'!AD171</f>
        <v>18</v>
      </c>
      <c r="AL169" s="107">
        <f>'Decline and Model'!AE171</f>
        <v>36.299999999999997</v>
      </c>
      <c r="AM169" s="107">
        <f>'Decline and Model'!AF171</f>
        <v>107.4</v>
      </c>
      <c r="AN169" s="107">
        <f>'Decline and Model'!AG171</f>
        <v>75.8</v>
      </c>
      <c r="AO169" s="107">
        <f>'Decline and Model'!AH171</f>
        <v>0.85</v>
      </c>
      <c r="AP169" s="107">
        <f>'Decline and Model'!AI171</f>
        <v>4.75</v>
      </c>
      <c r="AQ169" s="108">
        <f>'Decline and Model'!AJ171</f>
        <v>4.75</v>
      </c>
      <c r="AR169" s="4">
        <f t="shared" si="35"/>
        <v>228.32010299999999</v>
      </c>
      <c r="AS169" s="4">
        <f t="shared" si="36"/>
        <v>476.76759799999996</v>
      </c>
      <c r="AT169" s="4">
        <f t="shared" si="37"/>
        <v>675.52559400000007</v>
      </c>
      <c r="AU169" s="4">
        <f t="shared" si="38"/>
        <v>650.99533500000007</v>
      </c>
    </row>
    <row r="170" spans="21:47">
      <c r="U170" s="118">
        <f t="shared" si="39"/>
        <v>0.31563718166000004</v>
      </c>
      <c r="V170" s="118">
        <f t="shared" si="40"/>
        <v>0.30607038065000003</v>
      </c>
      <c r="W170" s="118">
        <f t="shared" si="41"/>
        <v>0.31673350929199995</v>
      </c>
      <c r="X170" s="118">
        <f t="shared" si="42"/>
        <v>0.306003194639</v>
      </c>
      <c r="Y170" s="118">
        <f t="shared" si="43"/>
        <v>0.16702833404103667</v>
      </c>
      <c r="Z170">
        <f t="shared" si="44"/>
        <v>0.05</v>
      </c>
      <c r="AB170">
        <f t="shared" si="45"/>
        <v>3</v>
      </c>
      <c r="AC170">
        <f t="shared" si="46"/>
        <v>3</v>
      </c>
      <c r="AD170">
        <f t="shared" si="47"/>
        <v>3</v>
      </c>
      <c r="AE170">
        <f t="shared" si="32"/>
        <v>3</v>
      </c>
      <c r="AF170">
        <f t="shared" si="33"/>
        <v>3</v>
      </c>
      <c r="AG170">
        <f t="shared" si="34"/>
        <v>1</v>
      </c>
      <c r="AI170" s="97">
        <f>'Decline and Model'!E172</f>
        <v>47788</v>
      </c>
      <c r="AJ170" s="106">
        <f>'Decline and Model'!AC172</f>
        <v>103.5</v>
      </c>
      <c r="AK170" s="107">
        <f>'Decline and Model'!AD172</f>
        <v>18</v>
      </c>
      <c r="AL170" s="107">
        <f>'Decline and Model'!AE172</f>
        <v>36.299999999999997</v>
      </c>
      <c r="AM170" s="107">
        <f>'Decline and Model'!AF172</f>
        <v>107.4</v>
      </c>
      <c r="AN170" s="107">
        <f>'Decline and Model'!AG172</f>
        <v>75.8</v>
      </c>
      <c r="AO170" s="107">
        <f>'Decline and Model'!AH172</f>
        <v>0.85</v>
      </c>
      <c r="AP170" s="107">
        <f>'Decline and Model'!AI172</f>
        <v>4.75</v>
      </c>
      <c r="AQ170" s="108">
        <f>'Decline and Model'!AJ172</f>
        <v>4.75</v>
      </c>
      <c r="AR170" s="4">
        <f t="shared" si="35"/>
        <v>228.32010299999999</v>
      </c>
      <c r="AS170" s="4">
        <f t="shared" si="36"/>
        <v>476.76759799999996</v>
      </c>
      <c r="AT170" s="4">
        <f t="shared" si="37"/>
        <v>675.52559400000007</v>
      </c>
      <c r="AU170" s="4">
        <f t="shared" si="38"/>
        <v>650.99533500000007</v>
      </c>
    </row>
    <row r="171" spans="21:47">
      <c r="U171" s="118">
        <f t="shared" si="39"/>
        <v>0.31563718166000004</v>
      </c>
      <c r="V171" s="118">
        <f t="shared" si="40"/>
        <v>0.30607038065000003</v>
      </c>
      <c r="W171" s="118">
        <f t="shared" si="41"/>
        <v>0.31673350929199995</v>
      </c>
      <c r="X171" s="118">
        <f t="shared" si="42"/>
        <v>0.306003194639</v>
      </c>
      <c r="Y171" s="118">
        <f t="shared" si="43"/>
        <v>0.16702833404103667</v>
      </c>
      <c r="Z171">
        <f t="shared" si="44"/>
        <v>0.05</v>
      </c>
      <c r="AB171">
        <f t="shared" si="45"/>
        <v>3</v>
      </c>
      <c r="AC171">
        <f t="shared" si="46"/>
        <v>3</v>
      </c>
      <c r="AD171">
        <f t="shared" si="47"/>
        <v>3</v>
      </c>
      <c r="AE171">
        <f t="shared" si="32"/>
        <v>3</v>
      </c>
      <c r="AF171">
        <f t="shared" si="33"/>
        <v>3</v>
      </c>
      <c r="AG171">
        <f t="shared" si="34"/>
        <v>1</v>
      </c>
      <c r="AI171" s="97">
        <f>'Decline and Model'!E173</f>
        <v>47818</v>
      </c>
      <c r="AJ171" s="106">
        <f>'Decline and Model'!AC173</f>
        <v>103.5</v>
      </c>
      <c r="AK171" s="107">
        <f>'Decline and Model'!AD173</f>
        <v>18</v>
      </c>
      <c r="AL171" s="107">
        <f>'Decline and Model'!AE173</f>
        <v>36.299999999999997</v>
      </c>
      <c r="AM171" s="107">
        <f>'Decline and Model'!AF173</f>
        <v>107.4</v>
      </c>
      <c r="AN171" s="107">
        <f>'Decline and Model'!AG173</f>
        <v>75.8</v>
      </c>
      <c r="AO171" s="107">
        <f>'Decline and Model'!AH173</f>
        <v>0.85</v>
      </c>
      <c r="AP171" s="107">
        <f>'Decline and Model'!AI173</f>
        <v>4.75</v>
      </c>
      <c r="AQ171" s="108">
        <f>'Decline and Model'!AJ173</f>
        <v>4.75</v>
      </c>
      <c r="AR171" s="4">
        <f t="shared" si="35"/>
        <v>228.32010299999999</v>
      </c>
      <c r="AS171" s="4">
        <f t="shared" si="36"/>
        <v>476.76759799999996</v>
      </c>
      <c r="AT171" s="4">
        <f t="shared" si="37"/>
        <v>675.52559400000007</v>
      </c>
      <c r="AU171" s="4">
        <f t="shared" si="38"/>
        <v>650.99533500000007</v>
      </c>
    </row>
    <row r="172" spans="21:47">
      <c r="U172" s="118">
        <f t="shared" si="39"/>
        <v>0.32078853605000002</v>
      </c>
      <c r="V172" s="118">
        <f t="shared" si="40"/>
        <v>0.31097643245000001</v>
      </c>
      <c r="W172" s="118">
        <f t="shared" si="41"/>
        <v>0.32196034140200003</v>
      </c>
      <c r="X172" s="118">
        <f t="shared" si="42"/>
        <v>0.31160364146300001</v>
      </c>
      <c r="Y172" s="118">
        <f t="shared" si="43"/>
        <v>0.17127833404103668</v>
      </c>
      <c r="Z172">
        <f t="shared" si="44"/>
        <v>0.05</v>
      </c>
      <c r="AB172">
        <f t="shared" si="45"/>
        <v>3</v>
      </c>
      <c r="AC172">
        <f t="shared" si="46"/>
        <v>3</v>
      </c>
      <c r="AD172">
        <f t="shared" si="47"/>
        <v>3</v>
      </c>
      <c r="AE172">
        <f t="shared" si="32"/>
        <v>3</v>
      </c>
      <c r="AF172">
        <f t="shared" si="33"/>
        <v>3</v>
      </c>
      <c r="AG172">
        <f t="shared" si="34"/>
        <v>1</v>
      </c>
      <c r="AI172" s="97">
        <f>'Decline and Model'!E174</f>
        <v>47849</v>
      </c>
      <c r="AJ172" s="106">
        <f>'Decline and Model'!AC174</f>
        <v>105.5</v>
      </c>
      <c r="AK172" s="107">
        <f>'Decline and Model'!AD174</f>
        <v>18.399999999999999</v>
      </c>
      <c r="AL172" s="107">
        <f>'Decline and Model'!AE174</f>
        <v>37.1</v>
      </c>
      <c r="AM172" s="107">
        <f>'Decline and Model'!AF174</f>
        <v>109.5</v>
      </c>
      <c r="AN172" s="107">
        <f>'Decline and Model'!AG174</f>
        <v>77.3</v>
      </c>
      <c r="AO172" s="107">
        <f>'Decline and Model'!AH174</f>
        <v>0.85</v>
      </c>
      <c r="AP172" s="107">
        <f>'Decline and Model'!AI174</f>
        <v>4.8499999999999996</v>
      </c>
      <c r="AQ172" s="108">
        <f>'Decline and Model'!AJ174</f>
        <v>4.8499999999999996</v>
      </c>
      <c r="AR172" s="4">
        <f t="shared" si="35"/>
        <v>233.35195100000001</v>
      </c>
      <c r="AS172" s="4">
        <f t="shared" si="36"/>
        <v>486.202313</v>
      </c>
      <c r="AT172" s="4">
        <f t="shared" si="37"/>
        <v>688.734195</v>
      </c>
      <c r="AU172" s="4">
        <f t="shared" si="38"/>
        <v>663.57495500000005</v>
      </c>
    </row>
    <row r="173" spans="21:47">
      <c r="U173" s="118">
        <f t="shared" si="39"/>
        <v>0.32078853605000002</v>
      </c>
      <c r="V173" s="118">
        <f t="shared" si="40"/>
        <v>0.31097643245000001</v>
      </c>
      <c r="W173" s="118">
        <f t="shared" si="41"/>
        <v>0.32196034140200003</v>
      </c>
      <c r="X173" s="118">
        <f t="shared" si="42"/>
        <v>0.31160364146300001</v>
      </c>
      <c r="Y173" s="118">
        <f t="shared" si="43"/>
        <v>0.17127833404103668</v>
      </c>
      <c r="Z173">
        <f t="shared" si="44"/>
        <v>0.05</v>
      </c>
      <c r="AB173">
        <f t="shared" si="45"/>
        <v>3</v>
      </c>
      <c r="AC173">
        <f t="shared" si="46"/>
        <v>3</v>
      </c>
      <c r="AD173">
        <f t="shared" si="47"/>
        <v>3</v>
      </c>
      <c r="AE173">
        <f t="shared" si="32"/>
        <v>3</v>
      </c>
      <c r="AF173">
        <f t="shared" si="33"/>
        <v>3</v>
      </c>
      <c r="AG173">
        <f t="shared" si="34"/>
        <v>1</v>
      </c>
      <c r="AI173" s="97">
        <f>'Decline and Model'!E175</f>
        <v>47880</v>
      </c>
      <c r="AJ173" s="106">
        <f>'Decline and Model'!AC175</f>
        <v>105.5</v>
      </c>
      <c r="AK173" s="107">
        <f>'Decline and Model'!AD175</f>
        <v>18.399999999999999</v>
      </c>
      <c r="AL173" s="107">
        <f>'Decline and Model'!AE175</f>
        <v>37.1</v>
      </c>
      <c r="AM173" s="107">
        <f>'Decline and Model'!AF175</f>
        <v>109.5</v>
      </c>
      <c r="AN173" s="107">
        <f>'Decline and Model'!AG175</f>
        <v>77.3</v>
      </c>
      <c r="AO173" s="107">
        <f>'Decline and Model'!AH175</f>
        <v>0.85</v>
      </c>
      <c r="AP173" s="107">
        <f>'Decline and Model'!AI175</f>
        <v>4.8499999999999996</v>
      </c>
      <c r="AQ173" s="108">
        <f>'Decline and Model'!AJ175</f>
        <v>4.8499999999999996</v>
      </c>
      <c r="AR173" s="4">
        <f t="shared" si="35"/>
        <v>233.35195100000001</v>
      </c>
      <c r="AS173" s="4">
        <f t="shared" si="36"/>
        <v>486.202313</v>
      </c>
      <c r="AT173" s="4">
        <f t="shared" si="37"/>
        <v>688.734195</v>
      </c>
      <c r="AU173" s="4">
        <f t="shared" si="38"/>
        <v>663.57495500000005</v>
      </c>
    </row>
    <row r="174" spans="21:47">
      <c r="U174" s="118">
        <f t="shared" si="39"/>
        <v>0.32078853605000002</v>
      </c>
      <c r="V174" s="118">
        <f t="shared" si="40"/>
        <v>0.31097643245000001</v>
      </c>
      <c r="W174" s="118">
        <f t="shared" si="41"/>
        <v>0.32196034140200003</v>
      </c>
      <c r="X174" s="118">
        <f t="shared" si="42"/>
        <v>0.31160364146300001</v>
      </c>
      <c r="Y174" s="118">
        <f t="shared" si="43"/>
        <v>0.17127833404103668</v>
      </c>
      <c r="Z174">
        <f t="shared" si="44"/>
        <v>0.05</v>
      </c>
      <c r="AB174">
        <f t="shared" si="45"/>
        <v>3</v>
      </c>
      <c r="AC174">
        <f t="shared" si="46"/>
        <v>3</v>
      </c>
      <c r="AD174">
        <f t="shared" si="47"/>
        <v>3</v>
      </c>
      <c r="AE174">
        <f t="shared" si="32"/>
        <v>3</v>
      </c>
      <c r="AF174">
        <f t="shared" si="33"/>
        <v>3</v>
      </c>
      <c r="AG174">
        <f t="shared" si="34"/>
        <v>1</v>
      </c>
      <c r="AI174" s="97">
        <f>'Decline and Model'!E176</f>
        <v>47908</v>
      </c>
      <c r="AJ174" s="106">
        <f>'Decline and Model'!AC176</f>
        <v>105.5</v>
      </c>
      <c r="AK174" s="107">
        <f>'Decline and Model'!AD176</f>
        <v>18.399999999999999</v>
      </c>
      <c r="AL174" s="107">
        <f>'Decline and Model'!AE176</f>
        <v>37.1</v>
      </c>
      <c r="AM174" s="107">
        <f>'Decline and Model'!AF176</f>
        <v>109.5</v>
      </c>
      <c r="AN174" s="107">
        <f>'Decline and Model'!AG176</f>
        <v>77.3</v>
      </c>
      <c r="AO174" s="107">
        <f>'Decline and Model'!AH176</f>
        <v>0.85</v>
      </c>
      <c r="AP174" s="107">
        <f>'Decline and Model'!AI176</f>
        <v>4.8499999999999996</v>
      </c>
      <c r="AQ174" s="108">
        <f>'Decline and Model'!AJ176</f>
        <v>4.8499999999999996</v>
      </c>
      <c r="AR174" s="4">
        <f t="shared" si="35"/>
        <v>233.35195100000001</v>
      </c>
      <c r="AS174" s="4">
        <f t="shared" si="36"/>
        <v>486.202313</v>
      </c>
      <c r="AT174" s="4">
        <f t="shared" si="37"/>
        <v>688.734195</v>
      </c>
      <c r="AU174" s="4">
        <f t="shared" si="38"/>
        <v>663.57495500000005</v>
      </c>
    </row>
    <row r="175" spans="21:47">
      <c r="U175" s="118">
        <f t="shared" si="39"/>
        <v>0.32078853605000002</v>
      </c>
      <c r="V175" s="118">
        <f t="shared" si="40"/>
        <v>0.31097643245000001</v>
      </c>
      <c r="W175" s="118">
        <f t="shared" si="41"/>
        <v>0.32196034140200003</v>
      </c>
      <c r="X175" s="118">
        <f t="shared" si="42"/>
        <v>0.31160364146300001</v>
      </c>
      <c r="Y175" s="118">
        <f t="shared" si="43"/>
        <v>0.17127833404103668</v>
      </c>
      <c r="Z175">
        <f t="shared" si="44"/>
        <v>0.05</v>
      </c>
      <c r="AB175">
        <f t="shared" si="45"/>
        <v>3</v>
      </c>
      <c r="AC175">
        <f t="shared" si="46"/>
        <v>3</v>
      </c>
      <c r="AD175">
        <f t="shared" si="47"/>
        <v>3</v>
      </c>
      <c r="AE175">
        <f t="shared" si="32"/>
        <v>3</v>
      </c>
      <c r="AF175">
        <f t="shared" si="33"/>
        <v>3</v>
      </c>
      <c r="AG175">
        <f t="shared" si="34"/>
        <v>1</v>
      </c>
      <c r="AI175" s="97">
        <f>'Decline and Model'!E177</f>
        <v>47939</v>
      </c>
      <c r="AJ175" s="106">
        <f>'Decline and Model'!AC177</f>
        <v>105.5</v>
      </c>
      <c r="AK175" s="107">
        <f>'Decline and Model'!AD177</f>
        <v>18.399999999999999</v>
      </c>
      <c r="AL175" s="107">
        <f>'Decline and Model'!AE177</f>
        <v>37.1</v>
      </c>
      <c r="AM175" s="107">
        <f>'Decline and Model'!AF177</f>
        <v>109.5</v>
      </c>
      <c r="AN175" s="107">
        <f>'Decline and Model'!AG177</f>
        <v>77.3</v>
      </c>
      <c r="AO175" s="107">
        <f>'Decline and Model'!AH177</f>
        <v>0.85</v>
      </c>
      <c r="AP175" s="107">
        <f>'Decline and Model'!AI177</f>
        <v>4.8499999999999996</v>
      </c>
      <c r="AQ175" s="108">
        <f>'Decline and Model'!AJ177</f>
        <v>4.8499999999999996</v>
      </c>
      <c r="AR175" s="4">
        <f t="shared" si="35"/>
        <v>233.35195100000001</v>
      </c>
      <c r="AS175" s="4">
        <f t="shared" si="36"/>
        <v>486.202313</v>
      </c>
      <c r="AT175" s="4">
        <f t="shared" si="37"/>
        <v>688.734195</v>
      </c>
      <c r="AU175" s="4">
        <f t="shared" si="38"/>
        <v>663.57495500000005</v>
      </c>
    </row>
    <row r="176" spans="21:47">
      <c r="U176" s="118">
        <f t="shared" si="39"/>
        <v>0.32078853605000002</v>
      </c>
      <c r="V176" s="118">
        <f t="shared" si="40"/>
        <v>0.31097643245000001</v>
      </c>
      <c r="W176" s="118">
        <f t="shared" si="41"/>
        <v>0.32196034140200003</v>
      </c>
      <c r="X176" s="118">
        <f t="shared" si="42"/>
        <v>0.31160364146300001</v>
      </c>
      <c r="Y176" s="118">
        <f t="shared" si="43"/>
        <v>0.17127833404103668</v>
      </c>
      <c r="Z176">
        <f t="shared" si="44"/>
        <v>0.05</v>
      </c>
      <c r="AB176">
        <f t="shared" si="45"/>
        <v>3</v>
      </c>
      <c r="AC176">
        <f t="shared" si="46"/>
        <v>3</v>
      </c>
      <c r="AD176">
        <f t="shared" si="47"/>
        <v>3</v>
      </c>
      <c r="AE176">
        <f t="shared" si="32"/>
        <v>3</v>
      </c>
      <c r="AF176">
        <f t="shared" si="33"/>
        <v>3</v>
      </c>
      <c r="AG176">
        <f t="shared" si="34"/>
        <v>1</v>
      </c>
      <c r="AI176" s="97">
        <f>'Decline and Model'!E178</f>
        <v>47969</v>
      </c>
      <c r="AJ176" s="106">
        <f>'Decline and Model'!AC178</f>
        <v>105.5</v>
      </c>
      <c r="AK176" s="107">
        <f>'Decline and Model'!AD178</f>
        <v>18.399999999999999</v>
      </c>
      <c r="AL176" s="107">
        <f>'Decline and Model'!AE178</f>
        <v>37.1</v>
      </c>
      <c r="AM176" s="107">
        <f>'Decline and Model'!AF178</f>
        <v>109.5</v>
      </c>
      <c r="AN176" s="107">
        <f>'Decline and Model'!AG178</f>
        <v>77.3</v>
      </c>
      <c r="AO176" s="107">
        <f>'Decline and Model'!AH178</f>
        <v>0.85</v>
      </c>
      <c r="AP176" s="107">
        <f>'Decline and Model'!AI178</f>
        <v>4.8499999999999996</v>
      </c>
      <c r="AQ176" s="108">
        <f>'Decline and Model'!AJ178</f>
        <v>4.8499999999999996</v>
      </c>
      <c r="AR176" s="4">
        <f t="shared" si="35"/>
        <v>233.35195100000001</v>
      </c>
      <c r="AS176" s="4">
        <f t="shared" si="36"/>
        <v>486.202313</v>
      </c>
      <c r="AT176" s="4">
        <f t="shared" si="37"/>
        <v>688.734195</v>
      </c>
      <c r="AU176" s="4">
        <f t="shared" si="38"/>
        <v>663.57495500000005</v>
      </c>
    </row>
    <row r="177" spans="21:47">
      <c r="U177" s="118">
        <f t="shared" si="39"/>
        <v>0.32078853605000002</v>
      </c>
      <c r="V177" s="118">
        <f t="shared" si="40"/>
        <v>0.31097643245000001</v>
      </c>
      <c r="W177" s="118">
        <f t="shared" si="41"/>
        <v>0.32196034140200003</v>
      </c>
      <c r="X177" s="118">
        <f t="shared" si="42"/>
        <v>0.31160364146300001</v>
      </c>
      <c r="Y177" s="118">
        <f t="shared" si="43"/>
        <v>0.17127833404103668</v>
      </c>
      <c r="Z177">
        <f t="shared" si="44"/>
        <v>0.05</v>
      </c>
      <c r="AB177">
        <f t="shared" si="45"/>
        <v>3</v>
      </c>
      <c r="AC177">
        <f t="shared" si="46"/>
        <v>3</v>
      </c>
      <c r="AD177">
        <f t="shared" si="47"/>
        <v>3</v>
      </c>
      <c r="AE177">
        <f t="shared" si="32"/>
        <v>3</v>
      </c>
      <c r="AF177">
        <f t="shared" si="33"/>
        <v>3</v>
      </c>
      <c r="AG177">
        <f t="shared" si="34"/>
        <v>1</v>
      </c>
      <c r="AI177" s="97">
        <f>'Decline and Model'!E179</f>
        <v>48000</v>
      </c>
      <c r="AJ177" s="106">
        <f>'Decline and Model'!AC179</f>
        <v>105.5</v>
      </c>
      <c r="AK177" s="107">
        <f>'Decline and Model'!AD179</f>
        <v>18.399999999999999</v>
      </c>
      <c r="AL177" s="107">
        <f>'Decline and Model'!AE179</f>
        <v>37.1</v>
      </c>
      <c r="AM177" s="107">
        <f>'Decline and Model'!AF179</f>
        <v>109.5</v>
      </c>
      <c r="AN177" s="107">
        <f>'Decline and Model'!AG179</f>
        <v>77.3</v>
      </c>
      <c r="AO177" s="107">
        <f>'Decline and Model'!AH179</f>
        <v>0.85</v>
      </c>
      <c r="AP177" s="107">
        <f>'Decline and Model'!AI179</f>
        <v>4.8499999999999996</v>
      </c>
      <c r="AQ177" s="108">
        <f>'Decline and Model'!AJ179</f>
        <v>4.8499999999999996</v>
      </c>
      <c r="AR177" s="4">
        <f t="shared" si="35"/>
        <v>233.35195100000001</v>
      </c>
      <c r="AS177" s="4">
        <f t="shared" si="36"/>
        <v>486.202313</v>
      </c>
      <c r="AT177" s="4">
        <f t="shared" si="37"/>
        <v>688.734195</v>
      </c>
      <c r="AU177" s="4">
        <f t="shared" si="38"/>
        <v>663.57495500000005</v>
      </c>
    </row>
    <row r="178" spans="21:47">
      <c r="U178" s="118">
        <f t="shared" si="39"/>
        <v>0.32078853605000002</v>
      </c>
      <c r="V178" s="118">
        <f t="shared" si="40"/>
        <v>0.31097643245000001</v>
      </c>
      <c r="W178" s="118">
        <f t="shared" si="41"/>
        <v>0.32196034140200003</v>
      </c>
      <c r="X178" s="118">
        <f t="shared" si="42"/>
        <v>0.31160364146300001</v>
      </c>
      <c r="Y178" s="118">
        <f t="shared" si="43"/>
        <v>0.17127833404103668</v>
      </c>
      <c r="Z178">
        <f t="shared" si="44"/>
        <v>0.05</v>
      </c>
      <c r="AB178">
        <f t="shared" si="45"/>
        <v>3</v>
      </c>
      <c r="AC178">
        <f t="shared" si="46"/>
        <v>3</v>
      </c>
      <c r="AD178">
        <f t="shared" si="47"/>
        <v>3</v>
      </c>
      <c r="AE178">
        <f t="shared" si="32"/>
        <v>3</v>
      </c>
      <c r="AF178">
        <f t="shared" si="33"/>
        <v>3</v>
      </c>
      <c r="AG178">
        <f t="shared" si="34"/>
        <v>1</v>
      </c>
      <c r="AI178" s="97">
        <f>'Decline and Model'!E180</f>
        <v>48030</v>
      </c>
      <c r="AJ178" s="106">
        <f>'Decline and Model'!AC180</f>
        <v>105.5</v>
      </c>
      <c r="AK178" s="107">
        <f>'Decline and Model'!AD180</f>
        <v>18.399999999999999</v>
      </c>
      <c r="AL178" s="107">
        <f>'Decline and Model'!AE180</f>
        <v>37.1</v>
      </c>
      <c r="AM178" s="107">
        <f>'Decline and Model'!AF180</f>
        <v>109.5</v>
      </c>
      <c r="AN178" s="107">
        <f>'Decline and Model'!AG180</f>
        <v>77.3</v>
      </c>
      <c r="AO178" s="107">
        <f>'Decline and Model'!AH180</f>
        <v>0.85</v>
      </c>
      <c r="AP178" s="107">
        <f>'Decline and Model'!AI180</f>
        <v>4.8499999999999996</v>
      </c>
      <c r="AQ178" s="108">
        <f>'Decline and Model'!AJ180</f>
        <v>4.8499999999999996</v>
      </c>
      <c r="AR178" s="4">
        <f t="shared" si="35"/>
        <v>233.35195100000001</v>
      </c>
      <c r="AS178" s="4">
        <f t="shared" si="36"/>
        <v>486.202313</v>
      </c>
      <c r="AT178" s="4">
        <f t="shared" si="37"/>
        <v>688.734195</v>
      </c>
      <c r="AU178" s="4">
        <f t="shared" si="38"/>
        <v>663.57495500000005</v>
      </c>
    </row>
    <row r="179" spans="21:47">
      <c r="U179" s="118">
        <f t="shared" si="39"/>
        <v>0.32078853605000002</v>
      </c>
      <c r="V179" s="118">
        <f t="shared" si="40"/>
        <v>0.31097643245000001</v>
      </c>
      <c r="W179" s="118">
        <f t="shared" si="41"/>
        <v>0.32196034140200003</v>
      </c>
      <c r="X179" s="118">
        <f t="shared" si="42"/>
        <v>0.31160364146300001</v>
      </c>
      <c r="Y179" s="118">
        <f t="shared" si="43"/>
        <v>0.17127833404103668</v>
      </c>
      <c r="Z179">
        <f t="shared" si="44"/>
        <v>0.05</v>
      </c>
      <c r="AB179">
        <f t="shared" si="45"/>
        <v>3</v>
      </c>
      <c r="AC179">
        <f t="shared" si="46"/>
        <v>3</v>
      </c>
      <c r="AD179">
        <f t="shared" si="47"/>
        <v>3</v>
      </c>
      <c r="AE179">
        <f t="shared" si="32"/>
        <v>3</v>
      </c>
      <c r="AF179">
        <f t="shared" si="33"/>
        <v>3</v>
      </c>
      <c r="AG179">
        <f t="shared" si="34"/>
        <v>1</v>
      </c>
      <c r="AI179" s="97">
        <f>'Decline and Model'!E181</f>
        <v>48061</v>
      </c>
      <c r="AJ179" s="106">
        <f>'Decline and Model'!AC181</f>
        <v>105.5</v>
      </c>
      <c r="AK179" s="107">
        <f>'Decline and Model'!AD181</f>
        <v>18.399999999999999</v>
      </c>
      <c r="AL179" s="107">
        <f>'Decline and Model'!AE181</f>
        <v>37.1</v>
      </c>
      <c r="AM179" s="107">
        <f>'Decline and Model'!AF181</f>
        <v>109.5</v>
      </c>
      <c r="AN179" s="107">
        <f>'Decline and Model'!AG181</f>
        <v>77.3</v>
      </c>
      <c r="AO179" s="107">
        <f>'Decline and Model'!AH181</f>
        <v>0.85</v>
      </c>
      <c r="AP179" s="107">
        <f>'Decline and Model'!AI181</f>
        <v>4.8499999999999996</v>
      </c>
      <c r="AQ179" s="108">
        <f>'Decline and Model'!AJ181</f>
        <v>4.8499999999999996</v>
      </c>
      <c r="AR179" s="4">
        <f t="shared" si="35"/>
        <v>233.35195100000001</v>
      </c>
      <c r="AS179" s="4">
        <f t="shared" si="36"/>
        <v>486.202313</v>
      </c>
      <c r="AT179" s="4">
        <f t="shared" si="37"/>
        <v>688.734195</v>
      </c>
      <c r="AU179" s="4">
        <f t="shared" si="38"/>
        <v>663.57495500000005</v>
      </c>
    </row>
    <row r="180" spans="21:47">
      <c r="U180" s="118">
        <f t="shared" si="39"/>
        <v>0.32078853605000002</v>
      </c>
      <c r="V180" s="118">
        <f t="shared" si="40"/>
        <v>0.31097643245000001</v>
      </c>
      <c r="W180" s="118">
        <f t="shared" si="41"/>
        <v>0.32196034140200003</v>
      </c>
      <c r="X180" s="118">
        <f t="shared" si="42"/>
        <v>0.31160364146300001</v>
      </c>
      <c r="Y180" s="118">
        <f t="shared" si="43"/>
        <v>0.17127833404103668</v>
      </c>
      <c r="Z180">
        <f t="shared" si="44"/>
        <v>0.05</v>
      </c>
      <c r="AB180">
        <f t="shared" si="45"/>
        <v>3</v>
      </c>
      <c r="AC180">
        <f t="shared" si="46"/>
        <v>3</v>
      </c>
      <c r="AD180">
        <f t="shared" si="47"/>
        <v>3</v>
      </c>
      <c r="AE180">
        <f t="shared" si="32"/>
        <v>3</v>
      </c>
      <c r="AF180">
        <f t="shared" si="33"/>
        <v>3</v>
      </c>
      <c r="AG180">
        <f t="shared" si="34"/>
        <v>1</v>
      </c>
      <c r="AI180" s="97">
        <f>'Decline and Model'!E182</f>
        <v>48092</v>
      </c>
      <c r="AJ180" s="106">
        <f>'Decline and Model'!AC182</f>
        <v>105.5</v>
      </c>
      <c r="AK180" s="107">
        <f>'Decline and Model'!AD182</f>
        <v>18.399999999999999</v>
      </c>
      <c r="AL180" s="107">
        <f>'Decline and Model'!AE182</f>
        <v>37.1</v>
      </c>
      <c r="AM180" s="107">
        <f>'Decline and Model'!AF182</f>
        <v>109.5</v>
      </c>
      <c r="AN180" s="107">
        <f>'Decline and Model'!AG182</f>
        <v>77.3</v>
      </c>
      <c r="AO180" s="107">
        <f>'Decline and Model'!AH182</f>
        <v>0.85</v>
      </c>
      <c r="AP180" s="107">
        <f>'Decline and Model'!AI182</f>
        <v>4.8499999999999996</v>
      </c>
      <c r="AQ180" s="108">
        <f>'Decline and Model'!AJ182</f>
        <v>4.8499999999999996</v>
      </c>
      <c r="AR180" s="4">
        <f t="shared" si="35"/>
        <v>233.35195100000001</v>
      </c>
      <c r="AS180" s="4">
        <f t="shared" si="36"/>
        <v>486.202313</v>
      </c>
      <c r="AT180" s="4">
        <f t="shared" si="37"/>
        <v>688.734195</v>
      </c>
      <c r="AU180" s="4">
        <f t="shared" si="38"/>
        <v>663.57495500000005</v>
      </c>
    </row>
    <row r="181" spans="21:47">
      <c r="U181" s="118">
        <f t="shared" si="39"/>
        <v>0.32078853605000002</v>
      </c>
      <c r="V181" s="118">
        <f t="shared" si="40"/>
        <v>0.31097643245000001</v>
      </c>
      <c r="W181" s="118">
        <f t="shared" si="41"/>
        <v>0.32196034140200003</v>
      </c>
      <c r="X181" s="118">
        <f t="shared" si="42"/>
        <v>0.31160364146300001</v>
      </c>
      <c r="Y181" s="118">
        <f t="shared" si="43"/>
        <v>0.17127833404103668</v>
      </c>
      <c r="Z181">
        <f t="shared" si="44"/>
        <v>0.05</v>
      </c>
      <c r="AB181">
        <f t="shared" si="45"/>
        <v>3</v>
      </c>
      <c r="AC181">
        <f t="shared" si="46"/>
        <v>3</v>
      </c>
      <c r="AD181">
        <f t="shared" si="47"/>
        <v>3</v>
      </c>
      <c r="AE181">
        <f t="shared" si="32"/>
        <v>3</v>
      </c>
      <c r="AF181">
        <f t="shared" si="33"/>
        <v>3</v>
      </c>
      <c r="AG181">
        <f t="shared" si="34"/>
        <v>1</v>
      </c>
      <c r="AI181" s="97">
        <f>'Decline and Model'!E183</f>
        <v>48122</v>
      </c>
      <c r="AJ181" s="106">
        <f>'Decline and Model'!AC183</f>
        <v>105.5</v>
      </c>
      <c r="AK181" s="107">
        <f>'Decline and Model'!AD183</f>
        <v>18.399999999999999</v>
      </c>
      <c r="AL181" s="107">
        <f>'Decline and Model'!AE183</f>
        <v>37.1</v>
      </c>
      <c r="AM181" s="107">
        <f>'Decline and Model'!AF183</f>
        <v>109.5</v>
      </c>
      <c r="AN181" s="107">
        <f>'Decline and Model'!AG183</f>
        <v>77.3</v>
      </c>
      <c r="AO181" s="107">
        <f>'Decline and Model'!AH183</f>
        <v>0.85</v>
      </c>
      <c r="AP181" s="107">
        <f>'Decline and Model'!AI183</f>
        <v>4.8499999999999996</v>
      </c>
      <c r="AQ181" s="108">
        <f>'Decline and Model'!AJ183</f>
        <v>4.8499999999999996</v>
      </c>
      <c r="AR181" s="4">
        <f t="shared" si="35"/>
        <v>233.35195100000001</v>
      </c>
      <c r="AS181" s="4">
        <f t="shared" si="36"/>
        <v>486.202313</v>
      </c>
      <c r="AT181" s="4">
        <f t="shared" si="37"/>
        <v>688.734195</v>
      </c>
      <c r="AU181" s="4">
        <f t="shared" si="38"/>
        <v>663.57495500000005</v>
      </c>
    </row>
    <row r="182" spans="21:47">
      <c r="U182" s="118">
        <f t="shared" si="39"/>
        <v>0.32078853605000002</v>
      </c>
      <c r="V182" s="118">
        <f t="shared" si="40"/>
        <v>0.31097643245000001</v>
      </c>
      <c r="W182" s="118">
        <f t="shared" si="41"/>
        <v>0.32196034140200003</v>
      </c>
      <c r="X182" s="118">
        <f t="shared" si="42"/>
        <v>0.31160364146300001</v>
      </c>
      <c r="Y182" s="118">
        <f t="shared" si="43"/>
        <v>0.17127833404103668</v>
      </c>
      <c r="Z182">
        <f t="shared" si="44"/>
        <v>0.05</v>
      </c>
      <c r="AB182">
        <f t="shared" si="45"/>
        <v>3</v>
      </c>
      <c r="AC182">
        <f t="shared" si="46"/>
        <v>3</v>
      </c>
      <c r="AD182">
        <f t="shared" si="47"/>
        <v>3</v>
      </c>
      <c r="AE182">
        <f t="shared" si="32"/>
        <v>3</v>
      </c>
      <c r="AF182">
        <f t="shared" si="33"/>
        <v>3</v>
      </c>
      <c r="AG182">
        <f t="shared" si="34"/>
        <v>1</v>
      </c>
      <c r="AI182" s="97">
        <f>'Decline and Model'!E184</f>
        <v>48153</v>
      </c>
      <c r="AJ182" s="106">
        <f>'Decline and Model'!AC184</f>
        <v>105.5</v>
      </c>
      <c r="AK182" s="107">
        <f>'Decline and Model'!AD184</f>
        <v>18.399999999999999</v>
      </c>
      <c r="AL182" s="107">
        <f>'Decline and Model'!AE184</f>
        <v>37.1</v>
      </c>
      <c r="AM182" s="107">
        <f>'Decline and Model'!AF184</f>
        <v>109.5</v>
      </c>
      <c r="AN182" s="107">
        <f>'Decline and Model'!AG184</f>
        <v>77.3</v>
      </c>
      <c r="AO182" s="107">
        <f>'Decline and Model'!AH184</f>
        <v>0.85</v>
      </c>
      <c r="AP182" s="107">
        <f>'Decline and Model'!AI184</f>
        <v>4.8499999999999996</v>
      </c>
      <c r="AQ182" s="108">
        <f>'Decline and Model'!AJ184</f>
        <v>4.8499999999999996</v>
      </c>
      <c r="AR182" s="4">
        <f t="shared" si="35"/>
        <v>233.35195100000001</v>
      </c>
      <c r="AS182" s="4">
        <f t="shared" si="36"/>
        <v>486.202313</v>
      </c>
      <c r="AT182" s="4">
        <f t="shared" si="37"/>
        <v>688.734195</v>
      </c>
      <c r="AU182" s="4">
        <f t="shared" si="38"/>
        <v>663.57495500000005</v>
      </c>
    </row>
    <row r="183" spans="21:47">
      <c r="U183" s="118">
        <f t="shared" si="39"/>
        <v>0.32078853605000002</v>
      </c>
      <c r="V183" s="118">
        <f t="shared" si="40"/>
        <v>0.31097643245000001</v>
      </c>
      <c r="W183" s="118">
        <f t="shared" si="41"/>
        <v>0.32196034140200003</v>
      </c>
      <c r="X183" s="118">
        <f t="shared" si="42"/>
        <v>0.31160364146300001</v>
      </c>
      <c r="Y183" s="118">
        <f t="shared" si="43"/>
        <v>0.17127833404103668</v>
      </c>
      <c r="Z183">
        <f t="shared" si="44"/>
        <v>0.05</v>
      </c>
      <c r="AB183">
        <f t="shared" si="45"/>
        <v>3</v>
      </c>
      <c r="AC183">
        <f t="shared" si="46"/>
        <v>3</v>
      </c>
      <c r="AD183">
        <f t="shared" si="47"/>
        <v>3</v>
      </c>
      <c r="AE183">
        <f t="shared" si="32"/>
        <v>3</v>
      </c>
      <c r="AF183">
        <f t="shared" si="33"/>
        <v>3</v>
      </c>
      <c r="AG183">
        <f t="shared" si="34"/>
        <v>1</v>
      </c>
      <c r="AI183" s="97">
        <f>'Decline and Model'!E185</f>
        <v>48183</v>
      </c>
      <c r="AJ183" s="106">
        <f>'Decline and Model'!AC185</f>
        <v>105.5</v>
      </c>
      <c r="AK183" s="107">
        <f>'Decline and Model'!AD185</f>
        <v>18.399999999999999</v>
      </c>
      <c r="AL183" s="107">
        <f>'Decline and Model'!AE185</f>
        <v>37.1</v>
      </c>
      <c r="AM183" s="107">
        <f>'Decline and Model'!AF185</f>
        <v>109.5</v>
      </c>
      <c r="AN183" s="107">
        <f>'Decline and Model'!AG185</f>
        <v>77.3</v>
      </c>
      <c r="AO183" s="107">
        <f>'Decline and Model'!AH185</f>
        <v>0.85</v>
      </c>
      <c r="AP183" s="107">
        <f>'Decline and Model'!AI185</f>
        <v>4.8499999999999996</v>
      </c>
      <c r="AQ183" s="108">
        <f>'Decline and Model'!AJ185</f>
        <v>4.8499999999999996</v>
      </c>
      <c r="AR183" s="4">
        <f t="shared" si="35"/>
        <v>233.35195100000001</v>
      </c>
      <c r="AS183" s="4">
        <f t="shared" si="36"/>
        <v>486.202313</v>
      </c>
      <c r="AT183" s="4">
        <f t="shared" si="37"/>
        <v>688.734195</v>
      </c>
      <c r="AU183" s="4">
        <f t="shared" si="38"/>
        <v>663.57495500000005</v>
      </c>
    </row>
    <row r="184" spans="21:47">
      <c r="U184" s="118">
        <f t="shared" si="39"/>
        <v>0.32616066277099998</v>
      </c>
      <c r="V184" s="118">
        <f t="shared" si="40"/>
        <v>0.31615231709899999</v>
      </c>
      <c r="W184" s="118">
        <f t="shared" si="41"/>
        <v>0.32734746303004003</v>
      </c>
      <c r="X184" s="118">
        <f t="shared" si="42"/>
        <v>0.31679805589225996</v>
      </c>
      <c r="Y184" s="118">
        <f t="shared" si="43"/>
        <v>0.17540083404103668</v>
      </c>
      <c r="Z184">
        <f t="shared" si="44"/>
        <v>0.05</v>
      </c>
      <c r="AB184">
        <f t="shared" si="45"/>
        <v>3</v>
      </c>
      <c r="AC184">
        <f t="shared" si="46"/>
        <v>3</v>
      </c>
      <c r="AD184">
        <f t="shared" si="47"/>
        <v>3</v>
      </c>
      <c r="AE184">
        <f t="shared" si="32"/>
        <v>3</v>
      </c>
      <c r="AF184">
        <f t="shared" si="33"/>
        <v>3</v>
      </c>
      <c r="AG184">
        <f t="shared" si="34"/>
        <v>1</v>
      </c>
      <c r="AI184" s="97">
        <f>'Decline and Model'!E186</f>
        <v>48214</v>
      </c>
      <c r="AJ184" s="106">
        <f>'Decline and Model'!AC186</f>
        <v>107.61</v>
      </c>
      <c r="AK184" s="107">
        <f>'Decline and Model'!AD186</f>
        <v>18.767999999999997</v>
      </c>
      <c r="AL184" s="107">
        <f>'Decline and Model'!AE186</f>
        <v>37.841999999999999</v>
      </c>
      <c r="AM184" s="107">
        <f>'Decline and Model'!AF186</f>
        <v>111.69</v>
      </c>
      <c r="AN184" s="107">
        <f>'Decline and Model'!AG186</f>
        <v>78.846000000000004</v>
      </c>
      <c r="AO184" s="107">
        <f>'Decline and Model'!AH186</f>
        <v>0.85</v>
      </c>
      <c r="AP184" s="107">
        <f>'Decline and Model'!AI186</f>
        <v>4.9470000000000001</v>
      </c>
      <c r="AQ184" s="108">
        <f>'Decline and Model'!AJ186</f>
        <v>4.9470000000000001</v>
      </c>
      <c r="AR184" s="4">
        <f t="shared" si="35"/>
        <v>238.01899001999999</v>
      </c>
      <c r="AS184" s="4">
        <f t="shared" si="36"/>
        <v>495.92635926000003</v>
      </c>
      <c r="AT184" s="4">
        <f t="shared" si="37"/>
        <v>702.50887890000001</v>
      </c>
      <c r="AU184" s="4">
        <f t="shared" si="38"/>
        <v>676.84645409999996</v>
      </c>
    </row>
    <row r="185" spans="21:47">
      <c r="U185" s="118">
        <f t="shared" si="39"/>
        <v>0.32616066277099998</v>
      </c>
      <c r="V185" s="118">
        <f t="shared" si="40"/>
        <v>0.31615231709899999</v>
      </c>
      <c r="W185" s="118">
        <f t="shared" si="41"/>
        <v>0.32734746303004003</v>
      </c>
      <c r="X185" s="118">
        <f t="shared" si="42"/>
        <v>0.31679805589225996</v>
      </c>
      <c r="Y185" s="118">
        <f t="shared" si="43"/>
        <v>0.17540083404103668</v>
      </c>
      <c r="Z185">
        <f t="shared" si="44"/>
        <v>0.05</v>
      </c>
      <c r="AB185">
        <f t="shared" si="45"/>
        <v>3</v>
      </c>
      <c r="AC185">
        <f t="shared" si="46"/>
        <v>3</v>
      </c>
      <c r="AD185">
        <f t="shared" si="47"/>
        <v>3</v>
      </c>
      <c r="AE185">
        <f t="shared" si="32"/>
        <v>3</v>
      </c>
      <c r="AF185">
        <f t="shared" si="33"/>
        <v>3</v>
      </c>
      <c r="AG185">
        <f t="shared" si="34"/>
        <v>1</v>
      </c>
      <c r="AI185" s="97">
        <f>'Decline and Model'!E187</f>
        <v>48245</v>
      </c>
      <c r="AJ185" s="106">
        <f>'Decline and Model'!AC187</f>
        <v>107.61</v>
      </c>
      <c r="AK185" s="107">
        <f>'Decline and Model'!AD187</f>
        <v>18.767999999999997</v>
      </c>
      <c r="AL185" s="107">
        <f>'Decline and Model'!AE187</f>
        <v>37.841999999999999</v>
      </c>
      <c r="AM185" s="107">
        <f>'Decline and Model'!AF187</f>
        <v>111.69</v>
      </c>
      <c r="AN185" s="107">
        <f>'Decline and Model'!AG187</f>
        <v>78.846000000000004</v>
      </c>
      <c r="AO185" s="107">
        <f>'Decline and Model'!AH187</f>
        <v>0.85</v>
      </c>
      <c r="AP185" s="107">
        <f>'Decline and Model'!AI187</f>
        <v>4.9470000000000001</v>
      </c>
      <c r="AQ185" s="108">
        <f>'Decline and Model'!AJ187</f>
        <v>4.9470000000000001</v>
      </c>
      <c r="AR185" s="4">
        <f t="shared" si="35"/>
        <v>238.01899001999999</v>
      </c>
      <c r="AS185" s="4">
        <f t="shared" si="36"/>
        <v>495.92635926000003</v>
      </c>
      <c r="AT185" s="4">
        <f t="shared" si="37"/>
        <v>702.50887890000001</v>
      </c>
      <c r="AU185" s="4">
        <f t="shared" si="38"/>
        <v>676.84645409999996</v>
      </c>
    </row>
    <row r="186" spans="21:47">
      <c r="U186" s="118">
        <f t="shared" si="39"/>
        <v>0.32616066277099998</v>
      </c>
      <c r="V186" s="118">
        <f t="shared" si="40"/>
        <v>0.31615231709899999</v>
      </c>
      <c r="W186" s="118">
        <f t="shared" si="41"/>
        <v>0.32734746303004003</v>
      </c>
      <c r="X186" s="118">
        <f t="shared" si="42"/>
        <v>0.31679805589225996</v>
      </c>
      <c r="Y186" s="118">
        <f t="shared" si="43"/>
        <v>0.17540083404103668</v>
      </c>
      <c r="Z186">
        <f t="shared" si="44"/>
        <v>0.05</v>
      </c>
      <c r="AB186">
        <f t="shared" si="45"/>
        <v>3</v>
      </c>
      <c r="AC186">
        <f t="shared" si="46"/>
        <v>3</v>
      </c>
      <c r="AD186">
        <f t="shared" si="47"/>
        <v>3</v>
      </c>
      <c r="AE186">
        <f t="shared" si="32"/>
        <v>3</v>
      </c>
      <c r="AF186">
        <f t="shared" si="33"/>
        <v>3</v>
      </c>
      <c r="AG186">
        <f t="shared" si="34"/>
        <v>1</v>
      </c>
      <c r="AI186" s="97">
        <f>'Decline and Model'!E188</f>
        <v>48274</v>
      </c>
      <c r="AJ186" s="106">
        <f>'Decline and Model'!AC188</f>
        <v>107.61</v>
      </c>
      <c r="AK186" s="107">
        <f>'Decline and Model'!AD188</f>
        <v>18.767999999999997</v>
      </c>
      <c r="AL186" s="107">
        <f>'Decline and Model'!AE188</f>
        <v>37.841999999999999</v>
      </c>
      <c r="AM186" s="107">
        <f>'Decline and Model'!AF188</f>
        <v>111.69</v>
      </c>
      <c r="AN186" s="107">
        <f>'Decline and Model'!AG188</f>
        <v>78.846000000000004</v>
      </c>
      <c r="AO186" s="107">
        <f>'Decline and Model'!AH188</f>
        <v>0.85</v>
      </c>
      <c r="AP186" s="107">
        <f>'Decline and Model'!AI188</f>
        <v>4.9470000000000001</v>
      </c>
      <c r="AQ186" s="108">
        <f>'Decline and Model'!AJ188</f>
        <v>4.9470000000000001</v>
      </c>
      <c r="AR186" s="4">
        <f t="shared" si="35"/>
        <v>238.01899001999999</v>
      </c>
      <c r="AS186" s="4">
        <f t="shared" si="36"/>
        <v>495.92635926000003</v>
      </c>
      <c r="AT186" s="4">
        <f t="shared" si="37"/>
        <v>702.50887890000001</v>
      </c>
      <c r="AU186" s="4">
        <f t="shared" si="38"/>
        <v>676.84645409999996</v>
      </c>
    </row>
    <row r="187" spans="21:47">
      <c r="U187" s="118">
        <f t="shared" si="39"/>
        <v>0.32616066277099998</v>
      </c>
      <c r="V187" s="118">
        <f t="shared" si="40"/>
        <v>0.31615231709899999</v>
      </c>
      <c r="W187" s="118">
        <f t="shared" si="41"/>
        <v>0.32734746303004003</v>
      </c>
      <c r="X187" s="118">
        <f t="shared" si="42"/>
        <v>0.31679805589225996</v>
      </c>
      <c r="Y187" s="118">
        <f t="shared" si="43"/>
        <v>0.17540083404103668</v>
      </c>
      <c r="Z187">
        <f t="shared" si="44"/>
        <v>0.05</v>
      </c>
      <c r="AB187">
        <f t="shared" si="45"/>
        <v>3</v>
      </c>
      <c r="AC187">
        <f t="shared" si="46"/>
        <v>3</v>
      </c>
      <c r="AD187">
        <f t="shared" si="47"/>
        <v>3</v>
      </c>
      <c r="AE187">
        <f t="shared" si="32"/>
        <v>3</v>
      </c>
      <c r="AF187">
        <f t="shared" si="33"/>
        <v>3</v>
      </c>
      <c r="AG187">
        <f t="shared" si="34"/>
        <v>1</v>
      </c>
      <c r="AI187" s="97">
        <f>'Decline and Model'!E189</f>
        <v>48305</v>
      </c>
      <c r="AJ187" s="106">
        <f>'Decline and Model'!AC189</f>
        <v>107.61</v>
      </c>
      <c r="AK187" s="107">
        <f>'Decline and Model'!AD189</f>
        <v>18.767999999999997</v>
      </c>
      <c r="AL187" s="107">
        <f>'Decline and Model'!AE189</f>
        <v>37.841999999999999</v>
      </c>
      <c r="AM187" s="107">
        <f>'Decline and Model'!AF189</f>
        <v>111.69</v>
      </c>
      <c r="AN187" s="107">
        <f>'Decline and Model'!AG189</f>
        <v>78.846000000000004</v>
      </c>
      <c r="AO187" s="107">
        <f>'Decline and Model'!AH189</f>
        <v>0.85</v>
      </c>
      <c r="AP187" s="107">
        <f>'Decline and Model'!AI189</f>
        <v>4.9470000000000001</v>
      </c>
      <c r="AQ187" s="108">
        <f>'Decline and Model'!AJ189</f>
        <v>4.9470000000000001</v>
      </c>
      <c r="AR187" s="4">
        <f t="shared" si="35"/>
        <v>238.01899001999999</v>
      </c>
      <c r="AS187" s="4">
        <f t="shared" si="36"/>
        <v>495.92635926000003</v>
      </c>
      <c r="AT187" s="4">
        <f t="shared" si="37"/>
        <v>702.50887890000001</v>
      </c>
      <c r="AU187" s="4">
        <f t="shared" si="38"/>
        <v>676.84645409999996</v>
      </c>
    </row>
    <row r="188" spans="21:47">
      <c r="U188" s="118">
        <f t="shared" si="39"/>
        <v>0.32616066277099998</v>
      </c>
      <c r="V188" s="118">
        <f t="shared" si="40"/>
        <v>0.31615231709899999</v>
      </c>
      <c r="W188" s="118">
        <f t="shared" si="41"/>
        <v>0.32734746303004003</v>
      </c>
      <c r="X188" s="118">
        <f t="shared" si="42"/>
        <v>0.31679805589225996</v>
      </c>
      <c r="Y188" s="118">
        <f t="shared" si="43"/>
        <v>0.17540083404103668</v>
      </c>
      <c r="Z188">
        <f t="shared" si="44"/>
        <v>0.05</v>
      </c>
      <c r="AB188">
        <f t="shared" si="45"/>
        <v>3</v>
      </c>
      <c r="AC188">
        <f t="shared" si="46"/>
        <v>3</v>
      </c>
      <c r="AD188">
        <f t="shared" si="47"/>
        <v>3</v>
      </c>
      <c r="AE188">
        <f t="shared" si="32"/>
        <v>3</v>
      </c>
      <c r="AF188">
        <f t="shared" si="33"/>
        <v>3</v>
      </c>
      <c r="AG188">
        <f t="shared" si="34"/>
        <v>1</v>
      </c>
      <c r="AI188" s="97">
        <f>'Decline and Model'!E190</f>
        <v>48335</v>
      </c>
      <c r="AJ188" s="106">
        <f>'Decline and Model'!AC190</f>
        <v>107.61</v>
      </c>
      <c r="AK188" s="107">
        <f>'Decline and Model'!AD190</f>
        <v>18.767999999999997</v>
      </c>
      <c r="AL188" s="107">
        <f>'Decline and Model'!AE190</f>
        <v>37.841999999999999</v>
      </c>
      <c r="AM188" s="107">
        <f>'Decline and Model'!AF190</f>
        <v>111.69</v>
      </c>
      <c r="AN188" s="107">
        <f>'Decline and Model'!AG190</f>
        <v>78.846000000000004</v>
      </c>
      <c r="AO188" s="107">
        <f>'Decline and Model'!AH190</f>
        <v>0.85</v>
      </c>
      <c r="AP188" s="107">
        <f>'Decline and Model'!AI190</f>
        <v>4.9470000000000001</v>
      </c>
      <c r="AQ188" s="108">
        <f>'Decline and Model'!AJ190</f>
        <v>4.9470000000000001</v>
      </c>
      <c r="AR188" s="4">
        <f t="shared" si="35"/>
        <v>238.01899001999999</v>
      </c>
      <c r="AS188" s="4">
        <f t="shared" si="36"/>
        <v>495.92635926000003</v>
      </c>
      <c r="AT188" s="4">
        <f t="shared" si="37"/>
        <v>702.50887890000001</v>
      </c>
      <c r="AU188" s="4">
        <f t="shared" si="38"/>
        <v>676.84645409999996</v>
      </c>
    </row>
    <row r="189" spans="21:47">
      <c r="U189" s="118">
        <f t="shared" si="39"/>
        <v>0.32616066277099998</v>
      </c>
      <c r="V189" s="118">
        <f t="shared" si="40"/>
        <v>0.31615231709899999</v>
      </c>
      <c r="W189" s="118">
        <f t="shared" si="41"/>
        <v>0.32734746303004003</v>
      </c>
      <c r="X189" s="118">
        <f t="shared" si="42"/>
        <v>0.31679805589225996</v>
      </c>
      <c r="Y189" s="118">
        <f t="shared" si="43"/>
        <v>0.17540083404103668</v>
      </c>
      <c r="Z189">
        <f t="shared" si="44"/>
        <v>0.05</v>
      </c>
      <c r="AB189">
        <f t="shared" si="45"/>
        <v>3</v>
      </c>
      <c r="AC189">
        <f t="shared" si="46"/>
        <v>3</v>
      </c>
      <c r="AD189">
        <f t="shared" si="47"/>
        <v>3</v>
      </c>
      <c r="AE189">
        <f t="shared" si="32"/>
        <v>3</v>
      </c>
      <c r="AF189">
        <f t="shared" si="33"/>
        <v>3</v>
      </c>
      <c r="AG189">
        <f t="shared" si="34"/>
        <v>1</v>
      </c>
      <c r="AI189" s="97">
        <f>'Decline and Model'!E191</f>
        <v>48366</v>
      </c>
      <c r="AJ189" s="106">
        <f>'Decline and Model'!AC191</f>
        <v>107.61</v>
      </c>
      <c r="AK189" s="107">
        <f>'Decline and Model'!AD191</f>
        <v>18.767999999999997</v>
      </c>
      <c r="AL189" s="107">
        <f>'Decline and Model'!AE191</f>
        <v>37.841999999999999</v>
      </c>
      <c r="AM189" s="107">
        <f>'Decline and Model'!AF191</f>
        <v>111.69</v>
      </c>
      <c r="AN189" s="107">
        <f>'Decline and Model'!AG191</f>
        <v>78.846000000000004</v>
      </c>
      <c r="AO189" s="107">
        <f>'Decline and Model'!AH191</f>
        <v>0.85</v>
      </c>
      <c r="AP189" s="107">
        <f>'Decline and Model'!AI191</f>
        <v>4.9470000000000001</v>
      </c>
      <c r="AQ189" s="108">
        <f>'Decline and Model'!AJ191</f>
        <v>4.9470000000000001</v>
      </c>
      <c r="AR189" s="4">
        <f t="shared" si="35"/>
        <v>238.01899001999999</v>
      </c>
      <c r="AS189" s="4">
        <f t="shared" si="36"/>
        <v>495.92635926000003</v>
      </c>
      <c r="AT189" s="4">
        <f t="shared" si="37"/>
        <v>702.50887890000001</v>
      </c>
      <c r="AU189" s="4">
        <f t="shared" si="38"/>
        <v>676.84645409999996</v>
      </c>
    </row>
    <row r="190" spans="21:47">
      <c r="U190" s="118">
        <f t="shared" si="39"/>
        <v>0.32616066277099998</v>
      </c>
      <c r="V190" s="118">
        <f t="shared" si="40"/>
        <v>0.31615231709899999</v>
      </c>
      <c r="W190" s="118">
        <f t="shared" si="41"/>
        <v>0.32734746303004003</v>
      </c>
      <c r="X190" s="118">
        <f t="shared" si="42"/>
        <v>0.31679805589225996</v>
      </c>
      <c r="Y190" s="118">
        <f t="shared" si="43"/>
        <v>0.17540083404103668</v>
      </c>
      <c r="Z190">
        <f t="shared" si="44"/>
        <v>0.05</v>
      </c>
      <c r="AB190">
        <f t="shared" si="45"/>
        <v>3</v>
      </c>
      <c r="AC190">
        <f t="shared" si="46"/>
        <v>3</v>
      </c>
      <c r="AD190">
        <f t="shared" si="47"/>
        <v>3</v>
      </c>
      <c r="AE190">
        <f t="shared" si="32"/>
        <v>3</v>
      </c>
      <c r="AF190">
        <f t="shared" si="33"/>
        <v>3</v>
      </c>
      <c r="AG190">
        <f t="shared" si="34"/>
        <v>1</v>
      </c>
      <c r="AI190" s="97">
        <f>'Decline and Model'!E192</f>
        <v>48396</v>
      </c>
      <c r="AJ190" s="106">
        <f>'Decline and Model'!AC192</f>
        <v>107.61</v>
      </c>
      <c r="AK190" s="107">
        <f>'Decline and Model'!AD192</f>
        <v>18.767999999999997</v>
      </c>
      <c r="AL190" s="107">
        <f>'Decline and Model'!AE192</f>
        <v>37.841999999999999</v>
      </c>
      <c r="AM190" s="107">
        <f>'Decline and Model'!AF192</f>
        <v>111.69</v>
      </c>
      <c r="AN190" s="107">
        <f>'Decline and Model'!AG192</f>
        <v>78.846000000000004</v>
      </c>
      <c r="AO190" s="107">
        <f>'Decline and Model'!AH192</f>
        <v>0.85</v>
      </c>
      <c r="AP190" s="107">
        <f>'Decline and Model'!AI192</f>
        <v>4.9470000000000001</v>
      </c>
      <c r="AQ190" s="108">
        <f>'Decline and Model'!AJ192</f>
        <v>4.9470000000000001</v>
      </c>
      <c r="AR190" s="4">
        <f t="shared" si="35"/>
        <v>238.01899001999999</v>
      </c>
      <c r="AS190" s="4">
        <f t="shared" si="36"/>
        <v>495.92635926000003</v>
      </c>
      <c r="AT190" s="4">
        <f t="shared" si="37"/>
        <v>702.50887890000001</v>
      </c>
      <c r="AU190" s="4">
        <f t="shared" si="38"/>
        <v>676.84645409999996</v>
      </c>
    </row>
    <row r="191" spans="21:47">
      <c r="U191" s="118">
        <f t="shared" si="39"/>
        <v>0.32616066277099998</v>
      </c>
      <c r="V191" s="118">
        <f t="shared" si="40"/>
        <v>0.31615231709899999</v>
      </c>
      <c r="W191" s="118">
        <f t="shared" si="41"/>
        <v>0.32734746303004003</v>
      </c>
      <c r="X191" s="118">
        <f t="shared" si="42"/>
        <v>0.31679805589225996</v>
      </c>
      <c r="Y191" s="118">
        <f t="shared" si="43"/>
        <v>0.17540083404103668</v>
      </c>
      <c r="Z191">
        <f t="shared" si="44"/>
        <v>0.05</v>
      </c>
      <c r="AB191">
        <f t="shared" si="45"/>
        <v>3</v>
      </c>
      <c r="AC191">
        <f t="shared" si="46"/>
        <v>3</v>
      </c>
      <c r="AD191">
        <f t="shared" si="47"/>
        <v>3</v>
      </c>
      <c r="AE191">
        <f t="shared" si="32"/>
        <v>3</v>
      </c>
      <c r="AF191">
        <f t="shared" si="33"/>
        <v>3</v>
      </c>
      <c r="AG191">
        <f t="shared" si="34"/>
        <v>1</v>
      </c>
      <c r="AI191" s="97">
        <f>'Decline and Model'!E193</f>
        <v>48427</v>
      </c>
      <c r="AJ191" s="106">
        <f>'Decline and Model'!AC193</f>
        <v>107.61</v>
      </c>
      <c r="AK191" s="107">
        <f>'Decline and Model'!AD193</f>
        <v>18.767999999999997</v>
      </c>
      <c r="AL191" s="107">
        <f>'Decline and Model'!AE193</f>
        <v>37.841999999999999</v>
      </c>
      <c r="AM191" s="107">
        <f>'Decline and Model'!AF193</f>
        <v>111.69</v>
      </c>
      <c r="AN191" s="107">
        <f>'Decline and Model'!AG193</f>
        <v>78.846000000000004</v>
      </c>
      <c r="AO191" s="107">
        <f>'Decline and Model'!AH193</f>
        <v>0.85</v>
      </c>
      <c r="AP191" s="107">
        <f>'Decline and Model'!AI193</f>
        <v>4.9470000000000001</v>
      </c>
      <c r="AQ191" s="108">
        <f>'Decline and Model'!AJ193</f>
        <v>4.9470000000000001</v>
      </c>
      <c r="AR191" s="4">
        <f t="shared" si="35"/>
        <v>238.01899001999999</v>
      </c>
      <c r="AS191" s="4">
        <f t="shared" si="36"/>
        <v>495.92635926000003</v>
      </c>
      <c r="AT191" s="4">
        <f t="shared" si="37"/>
        <v>702.50887890000001</v>
      </c>
      <c r="AU191" s="4">
        <f t="shared" si="38"/>
        <v>676.84645409999996</v>
      </c>
    </row>
    <row r="192" spans="21:47">
      <c r="U192" s="118">
        <f t="shared" si="39"/>
        <v>0.32616066277099998</v>
      </c>
      <c r="V192" s="118">
        <f t="shared" si="40"/>
        <v>0.31615231709899999</v>
      </c>
      <c r="W192" s="118">
        <f t="shared" si="41"/>
        <v>0.32734746303004003</v>
      </c>
      <c r="X192" s="118">
        <f t="shared" si="42"/>
        <v>0.31679805589225996</v>
      </c>
      <c r="Y192" s="118">
        <f t="shared" si="43"/>
        <v>0.17540083404103668</v>
      </c>
      <c r="Z192">
        <f t="shared" si="44"/>
        <v>0.05</v>
      </c>
      <c r="AB192">
        <f t="shared" si="45"/>
        <v>3</v>
      </c>
      <c r="AC192">
        <f t="shared" si="46"/>
        <v>3</v>
      </c>
      <c r="AD192">
        <f t="shared" si="47"/>
        <v>3</v>
      </c>
      <c r="AE192">
        <f t="shared" si="32"/>
        <v>3</v>
      </c>
      <c r="AF192">
        <f t="shared" si="33"/>
        <v>3</v>
      </c>
      <c r="AG192">
        <f t="shared" si="34"/>
        <v>1</v>
      </c>
      <c r="AI192" s="97">
        <f>'Decline and Model'!E194</f>
        <v>48458</v>
      </c>
      <c r="AJ192" s="106">
        <f>'Decline and Model'!AC194</f>
        <v>107.61</v>
      </c>
      <c r="AK192" s="107">
        <f>'Decline and Model'!AD194</f>
        <v>18.767999999999997</v>
      </c>
      <c r="AL192" s="107">
        <f>'Decline and Model'!AE194</f>
        <v>37.841999999999999</v>
      </c>
      <c r="AM192" s="107">
        <f>'Decline and Model'!AF194</f>
        <v>111.69</v>
      </c>
      <c r="AN192" s="107">
        <f>'Decline and Model'!AG194</f>
        <v>78.846000000000004</v>
      </c>
      <c r="AO192" s="107">
        <f>'Decline and Model'!AH194</f>
        <v>0.85</v>
      </c>
      <c r="AP192" s="107">
        <f>'Decline and Model'!AI194</f>
        <v>4.9470000000000001</v>
      </c>
      <c r="AQ192" s="108">
        <f>'Decline and Model'!AJ194</f>
        <v>4.9470000000000001</v>
      </c>
      <c r="AR192" s="4">
        <f t="shared" si="35"/>
        <v>238.01899001999999</v>
      </c>
      <c r="AS192" s="4">
        <f t="shared" si="36"/>
        <v>495.92635926000003</v>
      </c>
      <c r="AT192" s="4">
        <f t="shared" si="37"/>
        <v>702.50887890000001</v>
      </c>
      <c r="AU192" s="4">
        <f t="shared" si="38"/>
        <v>676.84645409999996</v>
      </c>
    </row>
    <row r="193" spans="21:47">
      <c r="U193" s="118">
        <f t="shared" si="39"/>
        <v>0.32616066277099998</v>
      </c>
      <c r="V193" s="118">
        <f t="shared" si="40"/>
        <v>0.31615231709899999</v>
      </c>
      <c r="W193" s="118">
        <f t="shared" si="41"/>
        <v>0.32734746303004003</v>
      </c>
      <c r="X193" s="118">
        <f t="shared" si="42"/>
        <v>0.31679805589225996</v>
      </c>
      <c r="Y193" s="118">
        <f t="shared" si="43"/>
        <v>0.17540083404103668</v>
      </c>
      <c r="Z193">
        <f t="shared" si="44"/>
        <v>0.05</v>
      </c>
      <c r="AB193">
        <f t="shared" si="45"/>
        <v>3</v>
      </c>
      <c r="AC193">
        <f t="shared" si="46"/>
        <v>3</v>
      </c>
      <c r="AD193">
        <f t="shared" si="47"/>
        <v>3</v>
      </c>
      <c r="AE193">
        <f t="shared" si="32"/>
        <v>3</v>
      </c>
      <c r="AF193">
        <f t="shared" si="33"/>
        <v>3</v>
      </c>
      <c r="AG193">
        <f t="shared" si="34"/>
        <v>1</v>
      </c>
      <c r="AI193" s="97">
        <f>'Decline and Model'!E195</f>
        <v>48488</v>
      </c>
      <c r="AJ193" s="106">
        <f>'Decline and Model'!AC195</f>
        <v>107.61</v>
      </c>
      <c r="AK193" s="107">
        <f>'Decline and Model'!AD195</f>
        <v>18.767999999999997</v>
      </c>
      <c r="AL193" s="107">
        <f>'Decline and Model'!AE195</f>
        <v>37.841999999999999</v>
      </c>
      <c r="AM193" s="107">
        <f>'Decline and Model'!AF195</f>
        <v>111.69</v>
      </c>
      <c r="AN193" s="107">
        <f>'Decline and Model'!AG195</f>
        <v>78.846000000000004</v>
      </c>
      <c r="AO193" s="107">
        <f>'Decline and Model'!AH195</f>
        <v>0.85</v>
      </c>
      <c r="AP193" s="107">
        <f>'Decline and Model'!AI195</f>
        <v>4.9470000000000001</v>
      </c>
      <c r="AQ193" s="108">
        <f>'Decline and Model'!AJ195</f>
        <v>4.9470000000000001</v>
      </c>
      <c r="AR193" s="4">
        <f t="shared" si="35"/>
        <v>238.01899001999999</v>
      </c>
      <c r="AS193" s="4">
        <f t="shared" si="36"/>
        <v>495.92635926000003</v>
      </c>
      <c r="AT193" s="4">
        <f t="shared" si="37"/>
        <v>702.50887890000001</v>
      </c>
      <c r="AU193" s="4">
        <f t="shared" si="38"/>
        <v>676.84645409999996</v>
      </c>
    </row>
    <row r="194" spans="21:47">
      <c r="U194" s="118">
        <f t="shared" si="39"/>
        <v>0.32616066277099998</v>
      </c>
      <c r="V194" s="118">
        <f t="shared" si="40"/>
        <v>0.31615231709899999</v>
      </c>
      <c r="W194" s="118">
        <f t="shared" si="41"/>
        <v>0.32734746303004003</v>
      </c>
      <c r="X194" s="118">
        <f t="shared" si="42"/>
        <v>0.31679805589225996</v>
      </c>
      <c r="Y194" s="118">
        <f t="shared" si="43"/>
        <v>0.17540083404103668</v>
      </c>
      <c r="Z194">
        <f t="shared" si="44"/>
        <v>0.05</v>
      </c>
      <c r="AB194">
        <f t="shared" si="45"/>
        <v>3</v>
      </c>
      <c r="AC194">
        <f t="shared" si="46"/>
        <v>3</v>
      </c>
      <c r="AD194">
        <f t="shared" si="47"/>
        <v>3</v>
      </c>
      <c r="AE194">
        <f t="shared" si="32"/>
        <v>3</v>
      </c>
      <c r="AF194">
        <f t="shared" si="33"/>
        <v>3</v>
      </c>
      <c r="AG194">
        <f t="shared" si="34"/>
        <v>1</v>
      </c>
      <c r="AI194" s="97">
        <f>'Decline and Model'!E196</f>
        <v>48519</v>
      </c>
      <c r="AJ194" s="106">
        <f>'Decline and Model'!AC196</f>
        <v>107.61</v>
      </c>
      <c r="AK194" s="107">
        <f>'Decline and Model'!AD196</f>
        <v>18.767999999999997</v>
      </c>
      <c r="AL194" s="107">
        <f>'Decline and Model'!AE196</f>
        <v>37.841999999999999</v>
      </c>
      <c r="AM194" s="107">
        <f>'Decline and Model'!AF196</f>
        <v>111.69</v>
      </c>
      <c r="AN194" s="107">
        <f>'Decline and Model'!AG196</f>
        <v>78.846000000000004</v>
      </c>
      <c r="AO194" s="107">
        <f>'Decline and Model'!AH196</f>
        <v>0.85</v>
      </c>
      <c r="AP194" s="107">
        <f>'Decline and Model'!AI196</f>
        <v>4.9470000000000001</v>
      </c>
      <c r="AQ194" s="108">
        <f>'Decline and Model'!AJ196</f>
        <v>4.9470000000000001</v>
      </c>
      <c r="AR194" s="4">
        <f t="shared" si="35"/>
        <v>238.01899001999999</v>
      </c>
      <c r="AS194" s="4">
        <f t="shared" si="36"/>
        <v>495.92635926000003</v>
      </c>
      <c r="AT194" s="4">
        <f t="shared" si="37"/>
        <v>702.50887890000001</v>
      </c>
      <c r="AU194" s="4">
        <f t="shared" si="38"/>
        <v>676.84645409999996</v>
      </c>
    </row>
    <row r="195" spans="21:47">
      <c r="U195" s="118">
        <f t="shared" si="39"/>
        <v>0.32616066277099998</v>
      </c>
      <c r="V195" s="118">
        <f t="shared" si="40"/>
        <v>0.31615231709899999</v>
      </c>
      <c r="W195" s="118">
        <f t="shared" si="41"/>
        <v>0.32734746303004003</v>
      </c>
      <c r="X195" s="118">
        <f t="shared" si="42"/>
        <v>0.31679805589225996</v>
      </c>
      <c r="Y195" s="118">
        <f t="shared" si="43"/>
        <v>0.17540083404103668</v>
      </c>
      <c r="Z195">
        <f t="shared" si="44"/>
        <v>0.05</v>
      </c>
      <c r="AB195">
        <f t="shared" si="45"/>
        <v>3</v>
      </c>
      <c r="AC195">
        <f t="shared" si="46"/>
        <v>3</v>
      </c>
      <c r="AD195">
        <f t="shared" si="47"/>
        <v>3</v>
      </c>
      <c r="AE195">
        <f t="shared" si="32"/>
        <v>3</v>
      </c>
      <c r="AF195">
        <f t="shared" si="33"/>
        <v>3</v>
      </c>
      <c r="AG195">
        <f t="shared" si="34"/>
        <v>1</v>
      </c>
      <c r="AI195" s="97">
        <f>'Decline and Model'!E197</f>
        <v>48549</v>
      </c>
      <c r="AJ195" s="106">
        <f>'Decline and Model'!AC197</f>
        <v>107.61</v>
      </c>
      <c r="AK195" s="107">
        <f>'Decline and Model'!AD197</f>
        <v>18.767999999999997</v>
      </c>
      <c r="AL195" s="107">
        <f>'Decline and Model'!AE197</f>
        <v>37.841999999999999</v>
      </c>
      <c r="AM195" s="107">
        <f>'Decline and Model'!AF197</f>
        <v>111.69</v>
      </c>
      <c r="AN195" s="107">
        <f>'Decline and Model'!AG197</f>
        <v>78.846000000000004</v>
      </c>
      <c r="AO195" s="107">
        <f>'Decline and Model'!AH197</f>
        <v>0.85</v>
      </c>
      <c r="AP195" s="107">
        <f>'Decline and Model'!AI197</f>
        <v>4.9470000000000001</v>
      </c>
      <c r="AQ195" s="108">
        <f>'Decline and Model'!AJ197</f>
        <v>4.9470000000000001</v>
      </c>
      <c r="AR195" s="4">
        <f t="shared" si="35"/>
        <v>238.01899001999999</v>
      </c>
      <c r="AS195" s="4">
        <f t="shared" si="36"/>
        <v>495.92635926000003</v>
      </c>
      <c r="AT195" s="4">
        <f t="shared" si="37"/>
        <v>702.50887890000001</v>
      </c>
      <c r="AU195" s="4">
        <f t="shared" si="38"/>
        <v>676.84645409999996</v>
      </c>
    </row>
    <row r="196" spans="21:47">
      <c r="U196" s="118">
        <f t="shared" si="39"/>
        <v>0.33164023202642001</v>
      </c>
      <c r="V196" s="118">
        <f t="shared" si="40"/>
        <v>0.32143171944098003</v>
      </c>
      <c r="W196" s="118">
        <f t="shared" si="41"/>
        <v>0.33284232709064082</v>
      </c>
      <c r="X196" s="118">
        <f t="shared" si="42"/>
        <v>0.32209635861010522</v>
      </c>
      <c r="Y196" s="118">
        <f t="shared" si="43"/>
        <v>0.17960578404103669</v>
      </c>
      <c r="Z196">
        <f t="shared" si="44"/>
        <v>0.05</v>
      </c>
      <c r="AB196">
        <f t="shared" si="45"/>
        <v>3</v>
      </c>
      <c r="AC196">
        <f t="shared" si="46"/>
        <v>3</v>
      </c>
      <c r="AD196">
        <f t="shared" si="47"/>
        <v>3</v>
      </c>
      <c r="AE196">
        <f t="shared" si="32"/>
        <v>3</v>
      </c>
      <c r="AF196">
        <f t="shared" si="33"/>
        <v>3</v>
      </c>
      <c r="AG196">
        <f t="shared" si="34"/>
        <v>1</v>
      </c>
      <c r="AI196" s="97">
        <f>'Decline and Model'!E198</f>
        <v>48580</v>
      </c>
      <c r="AJ196" s="106">
        <f>'Decline and Model'!AC198</f>
        <v>109.76220000000001</v>
      </c>
      <c r="AK196" s="107">
        <f>'Decline and Model'!AD198</f>
        <v>19.143359999999998</v>
      </c>
      <c r="AL196" s="107">
        <f>'Decline and Model'!AE198</f>
        <v>38.598840000000003</v>
      </c>
      <c r="AM196" s="107">
        <f>'Decline and Model'!AF198</f>
        <v>113.9238</v>
      </c>
      <c r="AN196" s="107">
        <f>'Decline and Model'!AG198</f>
        <v>80.422920000000005</v>
      </c>
      <c r="AO196" s="107">
        <f>'Decline and Model'!AH198</f>
        <v>0.85</v>
      </c>
      <c r="AP196" s="107">
        <f>'Decline and Model'!AI198</f>
        <v>5.0459399999999999</v>
      </c>
      <c r="AQ196" s="108">
        <f>'Decline and Model'!AJ198</f>
        <v>5.0459399999999999</v>
      </c>
      <c r="AR196" s="4">
        <f t="shared" si="35"/>
        <v>242.77936982040003</v>
      </c>
      <c r="AS196" s="4">
        <f t="shared" si="36"/>
        <v>505.84488644520002</v>
      </c>
      <c r="AT196" s="4">
        <f t="shared" si="37"/>
        <v>716.559056478</v>
      </c>
      <c r="AU196" s="4">
        <f t="shared" si="38"/>
        <v>690.3833831820001</v>
      </c>
    </row>
    <row r="197" spans="21:47">
      <c r="U197" s="118">
        <f t="shared" si="39"/>
        <v>0.33164023202642001</v>
      </c>
      <c r="V197" s="118">
        <f t="shared" si="40"/>
        <v>0.32143171944098003</v>
      </c>
      <c r="W197" s="118">
        <f t="shared" si="41"/>
        <v>0.33284232709064082</v>
      </c>
      <c r="X197" s="118">
        <f t="shared" si="42"/>
        <v>0.32209635861010522</v>
      </c>
      <c r="Y197" s="118">
        <f t="shared" si="43"/>
        <v>0.17960578404103669</v>
      </c>
      <c r="Z197">
        <f t="shared" si="44"/>
        <v>0.05</v>
      </c>
      <c r="AB197">
        <f t="shared" si="45"/>
        <v>3</v>
      </c>
      <c r="AC197">
        <f t="shared" si="46"/>
        <v>3</v>
      </c>
      <c r="AD197">
        <f t="shared" si="47"/>
        <v>3</v>
      </c>
      <c r="AE197">
        <f t="shared" si="32"/>
        <v>3</v>
      </c>
      <c r="AF197">
        <f t="shared" si="33"/>
        <v>3</v>
      </c>
      <c r="AG197">
        <f t="shared" si="34"/>
        <v>1</v>
      </c>
      <c r="AI197" s="97">
        <f>'Decline and Model'!E199</f>
        <v>48611</v>
      </c>
      <c r="AJ197" s="106">
        <f>'Decline and Model'!AC199</f>
        <v>109.76220000000001</v>
      </c>
      <c r="AK197" s="107">
        <f>'Decline and Model'!AD199</f>
        <v>19.143359999999998</v>
      </c>
      <c r="AL197" s="107">
        <f>'Decline and Model'!AE199</f>
        <v>38.598840000000003</v>
      </c>
      <c r="AM197" s="107">
        <f>'Decline and Model'!AF199</f>
        <v>113.9238</v>
      </c>
      <c r="AN197" s="107">
        <f>'Decline and Model'!AG199</f>
        <v>80.422920000000005</v>
      </c>
      <c r="AO197" s="107">
        <f>'Decline and Model'!AH199</f>
        <v>0.85</v>
      </c>
      <c r="AP197" s="107">
        <f>'Decline and Model'!AI199</f>
        <v>5.0459399999999999</v>
      </c>
      <c r="AQ197" s="108">
        <f>'Decline and Model'!AJ199</f>
        <v>5.0459399999999999</v>
      </c>
      <c r="AR197" s="4">
        <f t="shared" si="35"/>
        <v>242.77936982040003</v>
      </c>
      <c r="AS197" s="4">
        <f t="shared" si="36"/>
        <v>505.84488644520002</v>
      </c>
      <c r="AT197" s="4">
        <f t="shared" si="37"/>
        <v>716.559056478</v>
      </c>
      <c r="AU197" s="4">
        <f t="shared" si="38"/>
        <v>690.3833831820001</v>
      </c>
    </row>
    <row r="198" spans="21:47">
      <c r="U198" s="118">
        <f t="shared" si="39"/>
        <v>0.33164023202642001</v>
      </c>
      <c r="V198" s="118">
        <f t="shared" si="40"/>
        <v>0.32143171944098003</v>
      </c>
      <c r="W198" s="118">
        <f t="shared" si="41"/>
        <v>0.33284232709064082</v>
      </c>
      <c r="X198" s="118">
        <f t="shared" si="42"/>
        <v>0.32209635861010522</v>
      </c>
      <c r="Y198" s="118">
        <f t="shared" si="43"/>
        <v>0.17960578404103669</v>
      </c>
      <c r="Z198">
        <f t="shared" si="44"/>
        <v>0.05</v>
      </c>
      <c r="AB198">
        <f t="shared" si="45"/>
        <v>3</v>
      </c>
      <c r="AC198">
        <f t="shared" si="46"/>
        <v>3</v>
      </c>
      <c r="AD198">
        <f t="shared" si="47"/>
        <v>3</v>
      </c>
      <c r="AE198">
        <f t="shared" si="32"/>
        <v>3</v>
      </c>
      <c r="AF198">
        <f t="shared" si="33"/>
        <v>3</v>
      </c>
      <c r="AG198">
        <f t="shared" si="34"/>
        <v>1</v>
      </c>
      <c r="AI198" s="97">
        <f>'Decline and Model'!E200</f>
        <v>48639</v>
      </c>
      <c r="AJ198" s="106">
        <f>'Decline and Model'!AC200</f>
        <v>109.76220000000001</v>
      </c>
      <c r="AK198" s="107">
        <f>'Decline and Model'!AD200</f>
        <v>19.143359999999998</v>
      </c>
      <c r="AL198" s="107">
        <f>'Decline and Model'!AE200</f>
        <v>38.598840000000003</v>
      </c>
      <c r="AM198" s="107">
        <f>'Decline and Model'!AF200</f>
        <v>113.9238</v>
      </c>
      <c r="AN198" s="107">
        <f>'Decline and Model'!AG200</f>
        <v>80.422920000000005</v>
      </c>
      <c r="AO198" s="107">
        <f>'Decline and Model'!AH200</f>
        <v>0.85</v>
      </c>
      <c r="AP198" s="107">
        <f>'Decline and Model'!AI200</f>
        <v>5.0459399999999999</v>
      </c>
      <c r="AQ198" s="108">
        <f>'Decline and Model'!AJ200</f>
        <v>5.0459399999999999</v>
      </c>
      <c r="AR198" s="4">
        <f t="shared" si="35"/>
        <v>242.77936982040003</v>
      </c>
      <c r="AS198" s="4">
        <f t="shared" si="36"/>
        <v>505.84488644520002</v>
      </c>
      <c r="AT198" s="4">
        <f t="shared" si="37"/>
        <v>716.559056478</v>
      </c>
      <c r="AU198" s="4">
        <f t="shared" si="38"/>
        <v>690.3833831820001</v>
      </c>
    </row>
    <row r="199" spans="21:47">
      <c r="U199" s="118">
        <f t="shared" si="39"/>
        <v>0.33164023202642001</v>
      </c>
      <c r="V199" s="118">
        <f t="shared" si="40"/>
        <v>0.32143171944098003</v>
      </c>
      <c r="W199" s="118">
        <f t="shared" si="41"/>
        <v>0.33284232709064082</v>
      </c>
      <c r="X199" s="118">
        <f t="shared" si="42"/>
        <v>0.32209635861010522</v>
      </c>
      <c r="Y199" s="118">
        <f t="shared" si="43"/>
        <v>0.17960578404103669</v>
      </c>
      <c r="Z199">
        <f t="shared" si="44"/>
        <v>0.05</v>
      </c>
      <c r="AB199">
        <f t="shared" si="45"/>
        <v>3</v>
      </c>
      <c r="AC199">
        <f t="shared" si="46"/>
        <v>3</v>
      </c>
      <c r="AD199">
        <f t="shared" si="47"/>
        <v>3</v>
      </c>
      <c r="AE199">
        <f t="shared" ref="AE199:AE246" si="48">IF(AR199&lt;$I$26,1,IF(AR199&lt;$I$27,2,IF(AR199&lt;$I$28,3,4)))</f>
        <v>3</v>
      </c>
      <c r="AF199">
        <f t="shared" ref="AF199:AF246" si="49">IF(AQ199&lt;$E$26,1,IF(AQ199&lt;$E$27,2,IF(AQ199&lt;$E$28,3,4)))</f>
        <v>3</v>
      </c>
      <c r="AG199">
        <f t="shared" ref="AG199:AG246" si="50">IF(AK199&lt;$F$26,1,IF(AK199&lt;$F$27,2,IF(AK199&lt;$F$28,3,4)))</f>
        <v>1</v>
      </c>
      <c r="AI199" s="97">
        <f>'Decline and Model'!E201</f>
        <v>48670</v>
      </c>
      <c r="AJ199" s="106">
        <f>'Decline and Model'!AC201</f>
        <v>109.76220000000001</v>
      </c>
      <c r="AK199" s="107">
        <f>'Decline and Model'!AD201</f>
        <v>19.143359999999998</v>
      </c>
      <c r="AL199" s="107">
        <f>'Decline and Model'!AE201</f>
        <v>38.598840000000003</v>
      </c>
      <c r="AM199" s="107">
        <f>'Decline and Model'!AF201</f>
        <v>113.9238</v>
      </c>
      <c r="AN199" s="107">
        <f>'Decline and Model'!AG201</f>
        <v>80.422920000000005</v>
      </c>
      <c r="AO199" s="107">
        <f>'Decline and Model'!AH201</f>
        <v>0.85</v>
      </c>
      <c r="AP199" s="107">
        <f>'Decline and Model'!AI201</f>
        <v>5.0459399999999999</v>
      </c>
      <c r="AQ199" s="108">
        <f>'Decline and Model'!AJ201</f>
        <v>5.0459399999999999</v>
      </c>
      <c r="AR199" s="4">
        <f t="shared" ref="AR199:AR246" si="51">AL199*$C$14</f>
        <v>242.77936982040003</v>
      </c>
      <c r="AS199" s="4">
        <f t="shared" ref="AS199:AS246" si="52">AN199*$C$14</f>
        <v>505.84488644520002</v>
      </c>
      <c r="AT199" s="4">
        <f t="shared" ref="AT199:AT246" si="53">AM199*$C$14</f>
        <v>716.559056478</v>
      </c>
      <c r="AU199" s="4">
        <f t="shared" ref="AU199:AU246" si="54">AJ199*$C$14</f>
        <v>690.3833831820001</v>
      </c>
    </row>
    <row r="200" spans="21:47">
      <c r="U200" s="118">
        <f t="shared" ref="U200:U246" si="55">MIN(((AT200-VLOOKUP(AB200,$B$25:$Q$28,U$4,FALSE))*VLOOKUP(AB200,$B$25:$Q$28,U$3,FALSE)+VLOOKUP(AB200,$B$25:$Q$28,U$2,FALSE)),$O$29)</f>
        <v>0.33164023202642001</v>
      </c>
      <c r="V200" s="118">
        <f t="shared" ref="V200:V246" si="56">MIN(((AU200-VLOOKUP(AC200,$B$25:$Q$28,V$4,FALSE))*VLOOKUP(AC200,$B$25:$Q$28,V$3,FALSE)+VLOOKUP(AC200,$B$25:$Q$28,V$2,FALSE)),$O$29)</f>
        <v>0.32143171944098003</v>
      </c>
      <c r="W200" s="118">
        <f t="shared" ref="W200:W246" si="57">MIN(((AS200-VLOOKUP(AD200,$B$25:$Q$28,W$4,FALSE))*VLOOKUP(AD200,$B$25:$Q$28,W$3,FALSE)+VLOOKUP(AD200,$B$25:$Q$28,W$2,FALSE)),$C$29)</f>
        <v>0.33284232709064082</v>
      </c>
      <c r="X200" s="118">
        <f t="shared" ref="X200:X246" si="58">MIN(((AR200-VLOOKUP(AE200,$B$25:$Q$28,X$4,FALSE))*VLOOKUP(AE200,$B$25:$Q$28,X$3,FALSE)+VLOOKUP(AE200,$B$25:$Q$28,X$2,FALSE)),$C$29)</f>
        <v>0.32209635861010522</v>
      </c>
      <c r="Y200" s="118">
        <f t="shared" ref="Y200:Y246" si="59">MIN(((AQ200-VLOOKUP(AF200,$B$25:$H$28,Y$4,FALSE))*VLOOKUP(AF200,$B$25:$H$28,Y$3,FALSE)+VLOOKUP(AF200,$B$25:$H$28,Y$2,FALSE)),$C$29)</f>
        <v>0.17960578404103669</v>
      </c>
      <c r="Z200">
        <f t="shared" ref="Z200:Z246" si="60">MIN(((AK200-VLOOKUP(AG200,$B$25:$H$28,Z$4,FALSE))*VLOOKUP(AG200,$B$25:$H$28,Z$3,FALSE)+VLOOKUP(AG200,$B$25:$H$28,Z$2,FALSE)),$C$29)</f>
        <v>0.05</v>
      </c>
      <c r="AB200">
        <f t="shared" ref="AB200:AB246" si="61">IF(AT200&lt;$O$26,1,IF(AT200&lt;$O$27,2,IF(AT200&lt;$O$28,3,4)))</f>
        <v>3</v>
      </c>
      <c r="AC200">
        <f t="shared" ref="AC200:AC246" si="62">IF(AU200&lt;$O$26,1,IF(AU200&lt;$O$27,2,IF(AU200&lt;$O$28,3,4)))</f>
        <v>3</v>
      </c>
      <c r="AD200">
        <f t="shared" ref="AD200:AD246" si="63">IF(AS200&lt;$L$26,1,IF(AS200&lt;$L$27,2,IF(AS200&lt;$L$28,3,4)))</f>
        <v>3</v>
      </c>
      <c r="AE200">
        <f t="shared" si="48"/>
        <v>3</v>
      </c>
      <c r="AF200">
        <f t="shared" si="49"/>
        <v>3</v>
      </c>
      <c r="AG200">
        <f t="shared" si="50"/>
        <v>1</v>
      </c>
      <c r="AI200" s="97">
        <f>'Decline and Model'!E202</f>
        <v>48700</v>
      </c>
      <c r="AJ200" s="106">
        <f>'Decline and Model'!AC202</f>
        <v>109.76220000000001</v>
      </c>
      <c r="AK200" s="107">
        <f>'Decline and Model'!AD202</f>
        <v>19.143359999999998</v>
      </c>
      <c r="AL200" s="107">
        <f>'Decline and Model'!AE202</f>
        <v>38.598840000000003</v>
      </c>
      <c r="AM200" s="107">
        <f>'Decline and Model'!AF202</f>
        <v>113.9238</v>
      </c>
      <c r="AN200" s="107">
        <f>'Decline and Model'!AG202</f>
        <v>80.422920000000005</v>
      </c>
      <c r="AO200" s="107">
        <f>'Decline and Model'!AH202</f>
        <v>0.85</v>
      </c>
      <c r="AP200" s="107">
        <f>'Decline and Model'!AI202</f>
        <v>5.0459399999999999</v>
      </c>
      <c r="AQ200" s="108">
        <f>'Decline and Model'!AJ202</f>
        <v>5.0459399999999999</v>
      </c>
      <c r="AR200" s="4">
        <f t="shared" si="51"/>
        <v>242.77936982040003</v>
      </c>
      <c r="AS200" s="4">
        <f t="shared" si="52"/>
        <v>505.84488644520002</v>
      </c>
      <c r="AT200" s="4">
        <f t="shared" si="53"/>
        <v>716.559056478</v>
      </c>
      <c r="AU200" s="4">
        <f t="shared" si="54"/>
        <v>690.3833831820001</v>
      </c>
    </row>
    <row r="201" spans="21:47">
      <c r="U201" s="118">
        <f t="shared" si="55"/>
        <v>0.33164023202642001</v>
      </c>
      <c r="V201" s="118">
        <f t="shared" si="56"/>
        <v>0.32143171944098003</v>
      </c>
      <c r="W201" s="118">
        <f t="shared" si="57"/>
        <v>0.33284232709064082</v>
      </c>
      <c r="X201" s="118">
        <f t="shared" si="58"/>
        <v>0.32209635861010522</v>
      </c>
      <c r="Y201" s="118">
        <f t="shared" si="59"/>
        <v>0.17960578404103669</v>
      </c>
      <c r="Z201">
        <f t="shared" si="60"/>
        <v>0.05</v>
      </c>
      <c r="AB201">
        <f t="shared" si="61"/>
        <v>3</v>
      </c>
      <c r="AC201">
        <f t="shared" si="62"/>
        <v>3</v>
      </c>
      <c r="AD201">
        <f t="shared" si="63"/>
        <v>3</v>
      </c>
      <c r="AE201">
        <f t="shared" si="48"/>
        <v>3</v>
      </c>
      <c r="AF201">
        <f t="shared" si="49"/>
        <v>3</v>
      </c>
      <c r="AG201">
        <f t="shared" si="50"/>
        <v>1</v>
      </c>
      <c r="AI201" s="97">
        <f>'Decline and Model'!E203</f>
        <v>48731</v>
      </c>
      <c r="AJ201" s="106">
        <f>'Decline and Model'!AC203</f>
        <v>109.76220000000001</v>
      </c>
      <c r="AK201" s="107">
        <f>'Decline and Model'!AD203</f>
        <v>19.143359999999998</v>
      </c>
      <c r="AL201" s="107">
        <f>'Decline and Model'!AE203</f>
        <v>38.598840000000003</v>
      </c>
      <c r="AM201" s="107">
        <f>'Decline and Model'!AF203</f>
        <v>113.9238</v>
      </c>
      <c r="AN201" s="107">
        <f>'Decline and Model'!AG203</f>
        <v>80.422920000000005</v>
      </c>
      <c r="AO201" s="107">
        <f>'Decline and Model'!AH203</f>
        <v>0.85</v>
      </c>
      <c r="AP201" s="107">
        <f>'Decline and Model'!AI203</f>
        <v>5.0459399999999999</v>
      </c>
      <c r="AQ201" s="108">
        <f>'Decline and Model'!AJ203</f>
        <v>5.0459399999999999</v>
      </c>
      <c r="AR201" s="4">
        <f t="shared" si="51"/>
        <v>242.77936982040003</v>
      </c>
      <c r="AS201" s="4">
        <f t="shared" si="52"/>
        <v>505.84488644520002</v>
      </c>
      <c r="AT201" s="4">
        <f t="shared" si="53"/>
        <v>716.559056478</v>
      </c>
      <c r="AU201" s="4">
        <f t="shared" si="54"/>
        <v>690.3833831820001</v>
      </c>
    </row>
    <row r="202" spans="21:47">
      <c r="U202" s="118">
        <f t="shared" si="55"/>
        <v>0.33164023202642001</v>
      </c>
      <c r="V202" s="118">
        <f t="shared" si="56"/>
        <v>0.32143171944098003</v>
      </c>
      <c r="W202" s="118">
        <f t="shared" si="57"/>
        <v>0.33284232709064082</v>
      </c>
      <c r="X202" s="118">
        <f t="shared" si="58"/>
        <v>0.32209635861010522</v>
      </c>
      <c r="Y202" s="118">
        <f t="shared" si="59"/>
        <v>0.17960578404103669</v>
      </c>
      <c r="Z202">
        <f t="shared" si="60"/>
        <v>0.05</v>
      </c>
      <c r="AB202">
        <f t="shared" si="61"/>
        <v>3</v>
      </c>
      <c r="AC202">
        <f t="shared" si="62"/>
        <v>3</v>
      </c>
      <c r="AD202">
        <f t="shared" si="63"/>
        <v>3</v>
      </c>
      <c r="AE202">
        <f t="shared" si="48"/>
        <v>3</v>
      </c>
      <c r="AF202">
        <f t="shared" si="49"/>
        <v>3</v>
      </c>
      <c r="AG202">
        <f t="shared" si="50"/>
        <v>1</v>
      </c>
      <c r="AI202" s="97">
        <f>'Decline and Model'!E204</f>
        <v>48761</v>
      </c>
      <c r="AJ202" s="106">
        <f>'Decline and Model'!AC204</f>
        <v>109.76220000000001</v>
      </c>
      <c r="AK202" s="107">
        <f>'Decline and Model'!AD204</f>
        <v>19.143359999999998</v>
      </c>
      <c r="AL202" s="107">
        <f>'Decline and Model'!AE204</f>
        <v>38.598840000000003</v>
      </c>
      <c r="AM202" s="107">
        <f>'Decline and Model'!AF204</f>
        <v>113.9238</v>
      </c>
      <c r="AN202" s="107">
        <f>'Decline and Model'!AG204</f>
        <v>80.422920000000005</v>
      </c>
      <c r="AO202" s="107">
        <f>'Decline and Model'!AH204</f>
        <v>0.85</v>
      </c>
      <c r="AP202" s="107">
        <f>'Decline and Model'!AI204</f>
        <v>5.0459399999999999</v>
      </c>
      <c r="AQ202" s="108">
        <f>'Decline and Model'!AJ204</f>
        <v>5.0459399999999999</v>
      </c>
      <c r="AR202" s="4">
        <f t="shared" si="51"/>
        <v>242.77936982040003</v>
      </c>
      <c r="AS202" s="4">
        <f t="shared" si="52"/>
        <v>505.84488644520002</v>
      </c>
      <c r="AT202" s="4">
        <f t="shared" si="53"/>
        <v>716.559056478</v>
      </c>
      <c r="AU202" s="4">
        <f t="shared" si="54"/>
        <v>690.3833831820001</v>
      </c>
    </row>
    <row r="203" spans="21:47">
      <c r="U203" s="118">
        <f t="shared" si="55"/>
        <v>0.33164023202642001</v>
      </c>
      <c r="V203" s="118">
        <f t="shared" si="56"/>
        <v>0.32143171944098003</v>
      </c>
      <c r="W203" s="118">
        <f t="shared" si="57"/>
        <v>0.33284232709064082</v>
      </c>
      <c r="X203" s="118">
        <f t="shared" si="58"/>
        <v>0.32209635861010522</v>
      </c>
      <c r="Y203" s="118">
        <f t="shared" si="59"/>
        <v>0.17960578404103669</v>
      </c>
      <c r="Z203">
        <f t="shared" si="60"/>
        <v>0.05</v>
      </c>
      <c r="AB203">
        <f t="shared" si="61"/>
        <v>3</v>
      </c>
      <c r="AC203">
        <f t="shared" si="62"/>
        <v>3</v>
      </c>
      <c r="AD203">
        <f t="shared" si="63"/>
        <v>3</v>
      </c>
      <c r="AE203">
        <f t="shared" si="48"/>
        <v>3</v>
      </c>
      <c r="AF203">
        <f t="shared" si="49"/>
        <v>3</v>
      </c>
      <c r="AG203">
        <f t="shared" si="50"/>
        <v>1</v>
      </c>
      <c r="AI203" s="97">
        <f>'Decline and Model'!E205</f>
        <v>48792</v>
      </c>
      <c r="AJ203" s="106">
        <f>'Decline and Model'!AC205</f>
        <v>109.76220000000001</v>
      </c>
      <c r="AK203" s="107">
        <f>'Decline and Model'!AD205</f>
        <v>19.143359999999998</v>
      </c>
      <c r="AL203" s="107">
        <f>'Decline and Model'!AE205</f>
        <v>38.598840000000003</v>
      </c>
      <c r="AM203" s="107">
        <f>'Decline and Model'!AF205</f>
        <v>113.9238</v>
      </c>
      <c r="AN203" s="107">
        <f>'Decline and Model'!AG205</f>
        <v>80.422920000000005</v>
      </c>
      <c r="AO203" s="107">
        <f>'Decline and Model'!AH205</f>
        <v>0.85</v>
      </c>
      <c r="AP203" s="107">
        <f>'Decline and Model'!AI205</f>
        <v>5.0459399999999999</v>
      </c>
      <c r="AQ203" s="108">
        <f>'Decline and Model'!AJ205</f>
        <v>5.0459399999999999</v>
      </c>
      <c r="AR203" s="4">
        <f t="shared" si="51"/>
        <v>242.77936982040003</v>
      </c>
      <c r="AS203" s="4">
        <f t="shared" si="52"/>
        <v>505.84488644520002</v>
      </c>
      <c r="AT203" s="4">
        <f t="shared" si="53"/>
        <v>716.559056478</v>
      </c>
      <c r="AU203" s="4">
        <f t="shared" si="54"/>
        <v>690.3833831820001</v>
      </c>
    </row>
    <row r="204" spans="21:47">
      <c r="U204" s="118">
        <f t="shared" si="55"/>
        <v>0.33164023202642001</v>
      </c>
      <c r="V204" s="118">
        <f t="shared" si="56"/>
        <v>0.32143171944098003</v>
      </c>
      <c r="W204" s="118">
        <f t="shared" si="57"/>
        <v>0.33284232709064082</v>
      </c>
      <c r="X204" s="118">
        <f t="shared" si="58"/>
        <v>0.32209635861010522</v>
      </c>
      <c r="Y204" s="118">
        <f t="shared" si="59"/>
        <v>0.17960578404103669</v>
      </c>
      <c r="Z204">
        <f t="shared" si="60"/>
        <v>0.05</v>
      </c>
      <c r="AB204">
        <f t="shared" si="61"/>
        <v>3</v>
      </c>
      <c r="AC204">
        <f t="shared" si="62"/>
        <v>3</v>
      </c>
      <c r="AD204">
        <f t="shared" si="63"/>
        <v>3</v>
      </c>
      <c r="AE204">
        <f t="shared" si="48"/>
        <v>3</v>
      </c>
      <c r="AF204">
        <f t="shared" si="49"/>
        <v>3</v>
      </c>
      <c r="AG204">
        <f t="shared" si="50"/>
        <v>1</v>
      </c>
      <c r="AI204" s="97">
        <f>'Decline and Model'!E206</f>
        <v>48823</v>
      </c>
      <c r="AJ204" s="106">
        <f>'Decline and Model'!AC206</f>
        <v>109.76220000000001</v>
      </c>
      <c r="AK204" s="107">
        <f>'Decline and Model'!AD206</f>
        <v>19.143359999999998</v>
      </c>
      <c r="AL204" s="107">
        <f>'Decline and Model'!AE206</f>
        <v>38.598840000000003</v>
      </c>
      <c r="AM204" s="107">
        <f>'Decline and Model'!AF206</f>
        <v>113.9238</v>
      </c>
      <c r="AN204" s="107">
        <f>'Decline and Model'!AG206</f>
        <v>80.422920000000005</v>
      </c>
      <c r="AO204" s="107">
        <f>'Decline and Model'!AH206</f>
        <v>0.85</v>
      </c>
      <c r="AP204" s="107">
        <f>'Decline and Model'!AI206</f>
        <v>5.0459399999999999</v>
      </c>
      <c r="AQ204" s="108">
        <f>'Decline and Model'!AJ206</f>
        <v>5.0459399999999999</v>
      </c>
      <c r="AR204" s="4">
        <f t="shared" si="51"/>
        <v>242.77936982040003</v>
      </c>
      <c r="AS204" s="4">
        <f t="shared" si="52"/>
        <v>505.84488644520002</v>
      </c>
      <c r="AT204" s="4">
        <f t="shared" si="53"/>
        <v>716.559056478</v>
      </c>
      <c r="AU204" s="4">
        <f t="shared" si="54"/>
        <v>690.3833831820001</v>
      </c>
    </row>
    <row r="205" spans="21:47">
      <c r="U205" s="118">
        <f t="shared" si="55"/>
        <v>0.33164023202642001</v>
      </c>
      <c r="V205" s="118">
        <f t="shared" si="56"/>
        <v>0.32143171944098003</v>
      </c>
      <c r="W205" s="118">
        <f t="shared" si="57"/>
        <v>0.33284232709064082</v>
      </c>
      <c r="X205" s="118">
        <f t="shared" si="58"/>
        <v>0.32209635861010522</v>
      </c>
      <c r="Y205" s="118">
        <f t="shared" si="59"/>
        <v>0.17960578404103669</v>
      </c>
      <c r="Z205">
        <f t="shared" si="60"/>
        <v>0.05</v>
      </c>
      <c r="AB205">
        <f t="shared" si="61"/>
        <v>3</v>
      </c>
      <c r="AC205">
        <f t="shared" si="62"/>
        <v>3</v>
      </c>
      <c r="AD205">
        <f t="shared" si="63"/>
        <v>3</v>
      </c>
      <c r="AE205">
        <f t="shared" si="48"/>
        <v>3</v>
      </c>
      <c r="AF205">
        <f t="shared" si="49"/>
        <v>3</v>
      </c>
      <c r="AG205">
        <f t="shared" si="50"/>
        <v>1</v>
      </c>
      <c r="AI205" s="97">
        <f>'Decline and Model'!E207</f>
        <v>48853</v>
      </c>
      <c r="AJ205" s="106">
        <f>'Decline and Model'!AC207</f>
        <v>109.76220000000001</v>
      </c>
      <c r="AK205" s="107">
        <f>'Decline and Model'!AD207</f>
        <v>19.143359999999998</v>
      </c>
      <c r="AL205" s="107">
        <f>'Decline and Model'!AE207</f>
        <v>38.598840000000003</v>
      </c>
      <c r="AM205" s="107">
        <f>'Decline and Model'!AF207</f>
        <v>113.9238</v>
      </c>
      <c r="AN205" s="107">
        <f>'Decline and Model'!AG207</f>
        <v>80.422920000000005</v>
      </c>
      <c r="AO205" s="107">
        <f>'Decline and Model'!AH207</f>
        <v>0.85</v>
      </c>
      <c r="AP205" s="107">
        <f>'Decline and Model'!AI207</f>
        <v>5.0459399999999999</v>
      </c>
      <c r="AQ205" s="108">
        <f>'Decline and Model'!AJ207</f>
        <v>5.0459399999999999</v>
      </c>
      <c r="AR205" s="4">
        <f t="shared" si="51"/>
        <v>242.77936982040003</v>
      </c>
      <c r="AS205" s="4">
        <f t="shared" si="52"/>
        <v>505.84488644520002</v>
      </c>
      <c r="AT205" s="4">
        <f t="shared" si="53"/>
        <v>716.559056478</v>
      </c>
      <c r="AU205" s="4">
        <f t="shared" si="54"/>
        <v>690.3833831820001</v>
      </c>
    </row>
    <row r="206" spans="21:47">
      <c r="U206" s="118">
        <f t="shared" si="55"/>
        <v>0.33164023202642001</v>
      </c>
      <c r="V206" s="118">
        <f t="shared" si="56"/>
        <v>0.32143171944098003</v>
      </c>
      <c r="W206" s="118">
        <f t="shared" si="57"/>
        <v>0.33284232709064082</v>
      </c>
      <c r="X206" s="118">
        <f t="shared" si="58"/>
        <v>0.32209635861010522</v>
      </c>
      <c r="Y206" s="118">
        <f t="shared" si="59"/>
        <v>0.17960578404103669</v>
      </c>
      <c r="Z206">
        <f t="shared" si="60"/>
        <v>0.05</v>
      </c>
      <c r="AB206">
        <f t="shared" si="61"/>
        <v>3</v>
      </c>
      <c r="AC206">
        <f t="shared" si="62"/>
        <v>3</v>
      </c>
      <c r="AD206">
        <f t="shared" si="63"/>
        <v>3</v>
      </c>
      <c r="AE206">
        <f t="shared" si="48"/>
        <v>3</v>
      </c>
      <c r="AF206">
        <f t="shared" si="49"/>
        <v>3</v>
      </c>
      <c r="AG206">
        <f t="shared" si="50"/>
        <v>1</v>
      </c>
      <c r="AI206" s="97">
        <f>'Decline and Model'!E208</f>
        <v>48884</v>
      </c>
      <c r="AJ206" s="106">
        <f>'Decline and Model'!AC208</f>
        <v>109.76220000000001</v>
      </c>
      <c r="AK206" s="107">
        <f>'Decline and Model'!AD208</f>
        <v>19.143359999999998</v>
      </c>
      <c r="AL206" s="107">
        <f>'Decline and Model'!AE208</f>
        <v>38.598840000000003</v>
      </c>
      <c r="AM206" s="107">
        <f>'Decline and Model'!AF208</f>
        <v>113.9238</v>
      </c>
      <c r="AN206" s="107">
        <f>'Decline and Model'!AG208</f>
        <v>80.422920000000005</v>
      </c>
      <c r="AO206" s="107">
        <f>'Decline and Model'!AH208</f>
        <v>0.85</v>
      </c>
      <c r="AP206" s="107">
        <f>'Decline and Model'!AI208</f>
        <v>5.0459399999999999</v>
      </c>
      <c r="AQ206" s="108">
        <f>'Decline and Model'!AJ208</f>
        <v>5.0459399999999999</v>
      </c>
      <c r="AR206" s="4">
        <f t="shared" si="51"/>
        <v>242.77936982040003</v>
      </c>
      <c r="AS206" s="4">
        <f t="shared" si="52"/>
        <v>505.84488644520002</v>
      </c>
      <c r="AT206" s="4">
        <f t="shared" si="53"/>
        <v>716.559056478</v>
      </c>
      <c r="AU206" s="4">
        <f t="shared" si="54"/>
        <v>690.3833831820001</v>
      </c>
    </row>
    <row r="207" spans="21:47">
      <c r="U207" s="118">
        <f t="shared" si="55"/>
        <v>0.33164023202642001</v>
      </c>
      <c r="V207" s="118">
        <f t="shared" si="56"/>
        <v>0.32143171944098003</v>
      </c>
      <c r="W207" s="118">
        <f t="shared" si="57"/>
        <v>0.33284232709064082</v>
      </c>
      <c r="X207" s="118">
        <f t="shared" si="58"/>
        <v>0.32209635861010522</v>
      </c>
      <c r="Y207" s="118">
        <f t="shared" si="59"/>
        <v>0.17960578404103669</v>
      </c>
      <c r="Z207">
        <f t="shared" si="60"/>
        <v>0.05</v>
      </c>
      <c r="AB207">
        <f t="shared" si="61"/>
        <v>3</v>
      </c>
      <c r="AC207">
        <f t="shared" si="62"/>
        <v>3</v>
      </c>
      <c r="AD207">
        <f t="shared" si="63"/>
        <v>3</v>
      </c>
      <c r="AE207">
        <f t="shared" si="48"/>
        <v>3</v>
      </c>
      <c r="AF207">
        <f t="shared" si="49"/>
        <v>3</v>
      </c>
      <c r="AG207">
        <f t="shared" si="50"/>
        <v>1</v>
      </c>
      <c r="AI207" s="97">
        <f>'Decline and Model'!E209</f>
        <v>48914</v>
      </c>
      <c r="AJ207" s="106">
        <f>'Decline and Model'!AC209</f>
        <v>109.76220000000001</v>
      </c>
      <c r="AK207" s="107">
        <f>'Decline and Model'!AD209</f>
        <v>19.143359999999998</v>
      </c>
      <c r="AL207" s="107">
        <f>'Decline and Model'!AE209</f>
        <v>38.598840000000003</v>
      </c>
      <c r="AM207" s="107">
        <f>'Decline and Model'!AF209</f>
        <v>113.9238</v>
      </c>
      <c r="AN207" s="107">
        <f>'Decline and Model'!AG209</f>
        <v>80.422920000000005</v>
      </c>
      <c r="AO207" s="107">
        <f>'Decline and Model'!AH209</f>
        <v>0.85</v>
      </c>
      <c r="AP207" s="107">
        <f>'Decline and Model'!AI209</f>
        <v>5.0459399999999999</v>
      </c>
      <c r="AQ207" s="108">
        <f>'Decline and Model'!AJ209</f>
        <v>5.0459399999999999</v>
      </c>
      <c r="AR207" s="4">
        <f t="shared" si="51"/>
        <v>242.77936982040003</v>
      </c>
      <c r="AS207" s="4">
        <f t="shared" si="52"/>
        <v>505.84488644520002</v>
      </c>
      <c r="AT207" s="4">
        <f t="shared" si="53"/>
        <v>716.559056478</v>
      </c>
      <c r="AU207" s="4">
        <f t="shared" si="54"/>
        <v>690.3833831820001</v>
      </c>
    </row>
    <row r="208" spans="21:47">
      <c r="U208" s="118">
        <f t="shared" si="55"/>
        <v>0.33585004752151199</v>
      </c>
      <c r="V208" s="118">
        <f t="shared" si="56"/>
        <v>0.32681670982979966</v>
      </c>
      <c r="W208" s="118">
        <f t="shared" si="57"/>
        <v>0.33529588844649455</v>
      </c>
      <c r="X208" s="118">
        <f t="shared" si="58"/>
        <v>0.32750062738230734</v>
      </c>
      <c r="Y208" s="118">
        <f t="shared" si="59"/>
        <v>0.18389483304103671</v>
      </c>
      <c r="Z208">
        <f t="shared" si="60"/>
        <v>0.05</v>
      </c>
      <c r="AB208">
        <f t="shared" si="61"/>
        <v>4</v>
      </c>
      <c r="AC208">
        <f t="shared" si="62"/>
        <v>3</v>
      </c>
      <c r="AD208">
        <f t="shared" si="63"/>
        <v>4</v>
      </c>
      <c r="AE208">
        <f t="shared" si="48"/>
        <v>3</v>
      </c>
      <c r="AF208">
        <f t="shared" si="49"/>
        <v>3</v>
      </c>
      <c r="AG208">
        <f t="shared" si="50"/>
        <v>1</v>
      </c>
      <c r="AI208" s="97">
        <f>'Decline and Model'!E210</f>
        <v>48945</v>
      </c>
      <c r="AJ208" s="106">
        <f>'Decline and Model'!AC210</f>
        <v>111.95744400000001</v>
      </c>
      <c r="AK208" s="107">
        <f>'Decline and Model'!AD210</f>
        <v>19.526227199999997</v>
      </c>
      <c r="AL208" s="107">
        <f>'Decline and Model'!AE210</f>
        <v>39.3708168</v>
      </c>
      <c r="AM208" s="107">
        <f>'Decline and Model'!AF210</f>
        <v>116.202276</v>
      </c>
      <c r="AN208" s="107">
        <f>'Decline and Model'!AG210</f>
        <v>82.031378400000008</v>
      </c>
      <c r="AO208" s="107">
        <f>'Decline and Model'!AH210</f>
        <v>0.85</v>
      </c>
      <c r="AP208" s="107">
        <f>'Decline and Model'!AI210</f>
        <v>5.1468588000000004</v>
      </c>
      <c r="AQ208" s="108">
        <f>'Decline and Model'!AJ210</f>
        <v>5.1468588000000004</v>
      </c>
      <c r="AR208" s="4">
        <f t="shared" si="51"/>
        <v>247.634957216808</v>
      </c>
      <c r="AS208" s="4">
        <f t="shared" si="52"/>
        <v>515.96178417410408</v>
      </c>
      <c r="AT208" s="4">
        <f t="shared" si="53"/>
        <v>730.89023760756004</v>
      </c>
      <c r="AU208" s="4">
        <f t="shared" si="54"/>
        <v>704.19105084564012</v>
      </c>
    </row>
    <row r="209" spans="21:47">
      <c r="U209" s="118">
        <f t="shared" si="55"/>
        <v>0.33585004752151199</v>
      </c>
      <c r="V209" s="118">
        <f t="shared" si="56"/>
        <v>0.32681670982979966</v>
      </c>
      <c r="W209" s="118">
        <f t="shared" si="57"/>
        <v>0.33529588844649455</v>
      </c>
      <c r="X209" s="118">
        <f t="shared" si="58"/>
        <v>0.32750062738230734</v>
      </c>
      <c r="Y209" s="118">
        <f t="shared" si="59"/>
        <v>0.18389483304103671</v>
      </c>
      <c r="Z209">
        <f t="shared" si="60"/>
        <v>0.05</v>
      </c>
      <c r="AB209">
        <f t="shared" si="61"/>
        <v>4</v>
      </c>
      <c r="AC209">
        <f t="shared" si="62"/>
        <v>3</v>
      </c>
      <c r="AD209">
        <f t="shared" si="63"/>
        <v>4</v>
      </c>
      <c r="AE209">
        <f t="shared" si="48"/>
        <v>3</v>
      </c>
      <c r="AF209">
        <f t="shared" si="49"/>
        <v>3</v>
      </c>
      <c r="AG209">
        <f t="shared" si="50"/>
        <v>1</v>
      </c>
      <c r="AI209" s="97">
        <f>'Decline and Model'!E211</f>
        <v>48976</v>
      </c>
      <c r="AJ209" s="106">
        <f>'Decline and Model'!AC211</f>
        <v>111.95744400000001</v>
      </c>
      <c r="AK209" s="107">
        <f>'Decline and Model'!AD211</f>
        <v>19.526227199999997</v>
      </c>
      <c r="AL209" s="107">
        <f>'Decline and Model'!AE211</f>
        <v>39.3708168</v>
      </c>
      <c r="AM209" s="107">
        <f>'Decline and Model'!AF211</f>
        <v>116.202276</v>
      </c>
      <c r="AN209" s="107">
        <f>'Decline and Model'!AG211</f>
        <v>82.031378400000008</v>
      </c>
      <c r="AO209" s="107">
        <f>'Decline and Model'!AH211</f>
        <v>0.85</v>
      </c>
      <c r="AP209" s="107">
        <f>'Decline and Model'!AI211</f>
        <v>5.1468588000000004</v>
      </c>
      <c r="AQ209" s="108">
        <f>'Decline and Model'!AJ211</f>
        <v>5.1468588000000004</v>
      </c>
      <c r="AR209" s="4">
        <f t="shared" si="51"/>
        <v>247.634957216808</v>
      </c>
      <c r="AS209" s="4">
        <f t="shared" si="52"/>
        <v>515.96178417410408</v>
      </c>
      <c r="AT209" s="4">
        <f t="shared" si="53"/>
        <v>730.89023760756004</v>
      </c>
      <c r="AU209" s="4">
        <f t="shared" si="54"/>
        <v>704.19105084564012</v>
      </c>
    </row>
    <row r="210" spans="21:47">
      <c r="U210" s="118">
        <f t="shared" si="55"/>
        <v>0.33585004752151199</v>
      </c>
      <c r="V210" s="118">
        <f t="shared" si="56"/>
        <v>0.32681670982979966</v>
      </c>
      <c r="W210" s="118">
        <f t="shared" si="57"/>
        <v>0.33529588844649455</v>
      </c>
      <c r="X210" s="118">
        <f t="shared" si="58"/>
        <v>0.32750062738230734</v>
      </c>
      <c r="Y210" s="118">
        <f t="shared" si="59"/>
        <v>0.18389483304103671</v>
      </c>
      <c r="Z210">
        <f t="shared" si="60"/>
        <v>0.05</v>
      </c>
      <c r="AB210">
        <f t="shared" si="61"/>
        <v>4</v>
      </c>
      <c r="AC210">
        <f t="shared" si="62"/>
        <v>3</v>
      </c>
      <c r="AD210">
        <f t="shared" si="63"/>
        <v>4</v>
      </c>
      <c r="AE210">
        <f t="shared" si="48"/>
        <v>3</v>
      </c>
      <c r="AF210">
        <f t="shared" si="49"/>
        <v>3</v>
      </c>
      <c r="AG210">
        <f t="shared" si="50"/>
        <v>1</v>
      </c>
      <c r="AI210" s="97">
        <f>'Decline and Model'!E212</f>
        <v>49004</v>
      </c>
      <c r="AJ210" s="106">
        <f>'Decline and Model'!AC212</f>
        <v>111.95744400000001</v>
      </c>
      <c r="AK210" s="107">
        <f>'Decline and Model'!AD212</f>
        <v>19.526227199999997</v>
      </c>
      <c r="AL210" s="107">
        <f>'Decline and Model'!AE212</f>
        <v>39.3708168</v>
      </c>
      <c r="AM210" s="107">
        <f>'Decline and Model'!AF212</f>
        <v>116.202276</v>
      </c>
      <c r="AN210" s="107">
        <f>'Decline and Model'!AG212</f>
        <v>82.031378400000008</v>
      </c>
      <c r="AO210" s="107">
        <f>'Decline and Model'!AH212</f>
        <v>0.85</v>
      </c>
      <c r="AP210" s="107">
        <f>'Decline and Model'!AI212</f>
        <v>5.1468588000000004</v>
      </c>
      <c r="AQ210" s="108">
        <f>'Decline and Model'!AJ212</f>
        <v>5.1468588000000004</v>
      </c>
      <c r="AR210" s="4">
        <f t="shared" si="51"/>
        <v>247.634957216808</v>
      </c>
      <c r="AS210" s="4">
        <f t="shared" si="52"/>
        <v>515.96178417410408</v>
      </c>
      <c r="AT210" s="4">
        <f t="shared" si="53"/>
        <v>730.89023760756004</v>
      </c>
      <c r="AU210" s="4">
        <f t="shared" si="54"/>
        <v>704.19105084564012</v>
      </c>
    </row>
    <row r="211" spans="21:47">
      <c r="U211" s="118">
        <f t="shared" si="55"/>
        <v>0.33585004752151199</v>
      </c>
      <c r="V211" s="118">
        <f t="shared" si="56"/>
        <v>0.32681670982979966</v>
      </c>
      <c r="W211" s="118">
        <f t="shared" si="57"/>
        <v>0.33529588844649455</v>
      </c>
      <c r="X211" s="118">
        <f t="shared" si="58"/>
        <v>0.32750062738230734</v>
      </c>
      <c r="Y211" s="118">
        <f t="shared" si="59"/>
        <v>0.18389483304103671</v>
      </c>
      <c r="Z211">
        <f t="shared" si="60"/>
        <v>0.05</v>
      </c>
      <c r="AB211">
        <f t="shared" si="61"/>
        <v>4</v>
      </c>
      <c r="AC211">
        <f t="shared" si="62"/>
        <v>3</v>
      </c>
      <c r="AD211">
        <f t="shared" si="63"/>
        <v>4</v>
      </c>
      <c r="AE211">
        <f t="shared" si="48"/>
        <v>3</v>
      </c>
      <c r="AF211">
        <f t="shared" si="49"/>
        <v>3</v>
      </c>
      <c r="AG211">
        <f t="shared" si="50"/>
        <v>1</v>
      </c>
      <c r="AI211" s="97">
        <f>'Decline and Model'!E213</f>
        <v>49035</v>
      </c>
      <c r="AJ211" s="106">
        <f>'Decline and Model'!AC213</f>
        <v>111.95744400000001</v>
      </c>
      <c r="AK211" s="107">
        <f>'Decline and Model'!AD213</f>
        <v>19.526227199999997</v>
      </c>
      <c r="AL211" s="107">
        <f>'Decline and Model'!AE213</f>
        <v>39.3708168</v>
      </c>
      <c r="AM211" s="107">
        <f>'Decline and Model'!AF213</f>
        <v>116.202276</v>
      </c>
      <c r="AN211" s="107">
        <f>'Decline and Model'!AG213</f>
        <v>82.031378400000008</v>
      </c>
      <c r="AO211" s="107">
        <f>'Decline and Model'!AH213</f>
        <v>0.85</v>
      </c>
      <c r="AP211" s="107">
        <f>'Decline and Model'!AI213</f>
        <v>5.1468588000000004</v>
      </c>
      <c r="AQ211" s="108">
        <f>'Decline and Model'!AJ213</f>
        <v>5.1468588000000004</v>
      </c>
      <c r="AR211" s="4">
        <f t="shared" si="51"/>
        <v>247.634957216808</v>
      </c>
      <c r="AS211" s="4">
        <f t="shared" si="52"/>
        <v>515.96178417410408</v>
      </c>
      <c r="AT211" s="4">
        <f t="shared" si="53"/>
        <v>730.89023760756004</v>
      </c>
      <c r="AU211" s="4">
        <f t="shared" si="54"/>
        <v>704.19105084564012</v>
      </c>
    </row>
    <row r="212" spans="21:47">
      <c r="U212" s="118">
        <f t="shared" si="55"/>
        <v>0.33585004752151199</v>
      </c>
      <c r="V212" s="118">
        <f t="shared" si="56"/>
        <v>0.32681670982979966</v>
      </c>
      <c r="W212" s="118">
        <f t="shared" si="57"/>
        <v>0.33529588844649455</v>
      </c>
      <c r="X212" s="118">
        <f t="shared" si="58"/>
        <v>0.32750062738230734</v>
      </c>
      <c r="Y212" s="118">
        <f t="shared" si="59"/>
        <v>0.18389483304103671</v>
      </c>
      <c r="Z212">
        <f t="shared" si="60"/>
        <v>0.05</v>
      </c>
      <c r="AB212">
        <f t="shared" si="61"/>
        <v>4</v>
      </c>
      <c r="AC212">
        <f t="shared" si="62"/>
        <v>3</v>
      </c>
      <c r="AD212">
        <f t="shared" si="63"/>
        <v>4</v>
      </c>
      <c r="AE212">
        <f t="shared" si="48"/>
        <v>3</v>
      </c>
      <c r="AF212">
        <f t="shared" si="49"/>
        <v>3</v>
      </c>
      <c r="AG212">
        <f t="shared" si="50"/>
        <v>1</v>
      </c>
      <c r="AI212" s="97">
        <f>'Decline and Model'!E214</f>
        <v>49065</v>
      </c>
      <c r="AJ212" s="106">
        <f>'Decline and Model'!AC214</f>
        <v>111.95744400000001</v>
      </c>
      <c r="AK212" s="107">
        <f>'Decline and Model'!AD214</f>
        <v>19.526227199999997</v>
      </c>
      <c r="AL212" s="107">
        <f>'Decline and Model'!AE214</f>
        <v>39.3708168</v>
      </c>
      <c r="AM212" s="107">
        <f>'Decline and Model'!AF214</f>
        <v>116.202276</v>
      </c>
      <c r="AN212" s="107">
        <f>'Decline and Model'!AG214</f>
        <v>82.031378400000008</v>
      </c>
      <c r="AO212" s="107">
        <f>'Decline and Model'!AH214</f>
        <v>0.85</v>
      </c>
      <c r="AP212" s="107">
        <f>'Decline and Model'!AI214</f>
        <v>5.1468588000000004</v>
      </c>
      <c r="AQ212" s="108">
        <f>'Decline and Model'!AJ214</f>
        <v>5.1468588000000004</v>
      </c>
      <c r="AR212" s="4">
        <f t="shared" si="51"/>
        <v>247.634957216808</v>
      </c>
      <c r="AS212" s="4">
        <f t="shared" si="52"/>
        <v>515.96178417410408</v>
      </c>
      <c r="AT212" s="4">
        <f t="shared" si="53"/>
        <v>730.89023760756004</v>
      </c>
      <c r="AU212" s="4">
        <f t="shared" si="54"/>
        <v>704.19105084564012</v>
      </c>
    </row>
    <row r="213" spans="21:47">
      <c r="U213" s="118">
        <f t="shared" si="55"/>
        <v>0.33585004752151199</v>
      </c>
      <c r="V213" s="118">
        <f t="shared" si="56"/>
        <v>0.32681670982979966</v>
      </c>
      <c r="W213" s="118">
        <f t="shared" si="57"/>
        <v>0.33529588844649455</v>
      </c>
      <c r="X213" s="118">
        <f t="shared" si="58"/>
        <v>0.32750062738230734</v>
      </c>
      <c r="Y213" s="118">
        <f t="shared" si="59"/>
        <v>0.18389483304103671</v>
      </c>
      <c r="Z213">
        <f t="shared" si="60"/>
        <v>0.05</v>
      </c>
      <c r="AB213">
        <f t="shared" si="61"/>
        <v>4</v>
      </c>
      <c r="AC213">
        <f t="shared" si="62"/>
        <v>3</v>
      </c>
      <c r="AD213">
        <f t="shared" si="63"/>
        <v>4</v>
      </c>
      <c r="AE213">
        <f t="shared" si="48"/>
        <v>3</v>
      </c>
      <c r="AF213">
        <f t="shared" si="49"/>
        <v>3</v>
      </c>
      <c r="AG213">
        <f t="shared" si="50"/>
        <v>1</v>
      </c>
      <c r="AI213" s="97">
        <f>'Decline and Model'!E215</f>
        <v>49096</v>
      </c>
      <c r="AJ213" s="106">
        <f>'Decline and Model'!AC215</f>
        <v>111.95744400000001</v>
      </c>
      <c r="AK213" s="107">
        <f>'Decline and Model'!AD215</f>
        <v>19.526227199999997</v>
      </c>
      <c r="AL213" s="107">
        <f>'Decline and Model'!AE215</f>
        <v>39.3708168</v>
      </c>
      <c r="AM213" s="107">
        <f>'Decline and Model'!AF215</f>
        <v>116.202276</v>
      </c>
      <c r="AN213" s="107">
        <f>'Decline and Model'!AG215</f>
        <v>82.031378400000008</v>
      </c>
      <c r="AO213" s="107">
        <f>'Decline and Model'!AH215</f>
        <v>0.85</v>
      </c>
      <c r="AP213" s="107">
        <f>'Decline and Model'!AI215</f>
        <v>5.1468588000000004</v>
      </c>
      <c r="AQ213" s="108">
        <f>'Decline and Model'!AJ215</f>
        <v>5.1468588000000004</v>
      </c>
      <c r="AR213" s="4">
        <f t="shared" si="51"/>
        <v>247.634957216808</v>
      </c>
      <c r="AS213" s="4">
        <f t="shared" si="52"/>
        <v>515.96178417410408</v>
      </c>
      <c r="AT213" s="4">
        <f t="shared" si="53"/>
        <v>730.89023760756004</v>
      </c>
      <c r="AU213" s="4">
        <f t="shared" si="54"/>
        <v>704.19105084564012</v>
      </c>
    </row>
    <row r="214" spans="21:47">
      <c r="U214" s="118">
        <f t="shared" si="55"/>
        <v>0.33585004752151199</v>
      </c>
      <c r="V214" s="118">
        <f t="shared" si="56"/>
        <v>0.32681670982979966</v>
      </c>
      <c r="W214" s="118">
        <f t="shared" si="57"/>
        <v>0.33529588844649455</v>
      </c>
      <c r="X214" s="118">
        <f t="shared" si="58"/>
        <v>0.32750062738230734</v>
      </c>
      <c r="Y214" s="118">
        <f t="shared" si="59"/>
        <v>0.18389483304103671</v>
      </c>
      <c r="Z214">
        <f t="shared" si="60"/>
        <v>0.05</v>
      </c>
      <c r="AB214">
        <f t="shared" si="61"/>
        <v>4</v>
      </c>
      <c r="AC214">
        <f t="shared" si="62"/>
        <v>3</v>
      </c>
      <c r="AD214">
        <f t="shared" si="63"/>
        <v>4</v>
      </c>
      <c r="AE214">
        <f t="shared" si="48"/>
        <v>3</v>
      </c>
      <c r="AF214">
        <f t="shared" si="49"/>
        <v>3</v>
      </c>
      <c r="AG214">
        <f t="shared" si="50"/>
        <v>1</v>
      </c>
      <c r="AI214" s="97">
        <f>'Decline and Model'!E216</f>
        <v>49126</v>
      </c>
      <c r="AJ214" s="106">
        <f>'Decline and Model'!AC216</f>
        <v>111.95744400000001</v>
      </c>
      <c r="AK214" s="107">
        <f>'Decline and Model'!AD216</f>
        <v>19.526227199999997</v>
      </c>
      <c r="AL214" s="107">
        <f>'Decline and Model'!AE216</f>
        <v>39.3708168</v>
      </c>
      <c r="AM214" s="107">
        <f>'Decline and Model'!AF216</f>
        <v>116.202276</v>
      </c>
      <c r="AN214" s="107">
        <f>'Decline and Model'!AG216</f>
        <v>82.031378400000008</v>
      </c>
      <c r="AO214" s="107">
        <f>'Decline and Model'!AH216</f>
        <v>0.85</v>
      </c>
      <c r="AP214" s="107">
        <f>'Decline and Model'!AI216</f>
        <v>5.1468588000000004</v>
      </c>
      <c r="AQ214" s="108">
        <f>'Decline and Model'!AJ216</f>
        <v>5.1468588000000004</v>
      </c>
      <c r="AR214" s="4">
        <f t="shared" si="51"/>
        <v>247.634957216808</v>
      </c>
      <c r="AS214" s="4">
        <f t="shared" si="52"/>
        <v>515.96178417410408</v>
      </c>
      <c r="AT214" s="4">
        <f t="shared" si="53"/>
        <v>730.89023760756004</v>
      </c>
      <c r="AU214" s="4">
        <f t="shared" si="54"/>
        <v>704.19105084564012</v>
      </c>
    </row>
    <row r="215" spans="21:47">
      <c r="U215" s="118">
        <f t="shared" si="55"/>
        <v>0.33585004752151199</v>
      </c>
      <c r="V215" s="118">
        <f t="shared" si="56"/>
        <v>0.32681670982979966</v>
      </c>
      <c r="W215" s="118">
        <f t="shared" si="57"/>
        <v>0.33529588844649455</v>
      </c>
      <c r="X215" s="118">
        <f t="shared" si="58"/>
        <v>0.32750062738230734</v>
      </c>
      <c r="Y215" s="118">
        <f t="shared" si="59"/>
        <v>0.18389483304103671</v>
      </c>
      <c r="Z215">
        <f t="shared" si="60"/>
        <v>0.05</v>
      </c>
      <c r="AB215">
        <f t="shared" si="61"/>
        <v>4</v>
      </c>
      <c r="AC215">
        <f t="shared" si="62"/>
        <v>3</v>
      </c>
      <c r="AD215">
        <f t="shared" si="63"/>
        <v>4</v>
      </c>
      <c r="AE215">
        <f t="shared" si="48"/>
        <v>3</v>
      </c>
      <c r="AF215">
        <f t="shared" si="49"/>
        <v>3</v>
      </c>
      <c r="AG215">
        <f t="shared" si="50"/>
        <v>1</v>
      </c>
      <c r="AI215" s="97">
        <f>'Decline and Model'!E217</f>
        <v>49157</v>
      </c>
      <c r="AJ215" s="106">
        <f>'Decline and Model'!AC217</f>
        <v>111.95744400000001</v>
      </c>
      <c r="AK215" s="107">
        <f>'Decline and Model'!AD217</f>
        <v>19.526227199999997</v>
      </c>
      <c r="AL215" s="107">
        <f>'Decline and Model'!AE217</f>
        <v>39.3708168</v>
      </c>
      <c r="AM215" s="107">
        <f>'Decline and Model'!AF217</f>
        <v>116.202276</v>
      </c>
      <c r="AN215" s="107">
        <f>'Decline and Model'!AG217</f>
        <v>82.031378400000008</v>
      </c>
      <c r="AO215" s="107">
        <f>'Decline and Model'!AH217</f>
        <v>0.85</v>
      </c>
      <c r="AP215" s="107">
        <f>'Decline and Model'!AI217</f>
        <v>5.1468588000000004</v>
      </c>
      <c r="AQ215" s="108">
        <f>'Decline and Model'!AJ217</f>
        <v>5.1468588000000004</v>
      </c>
      <c r="AR215" s="4">
        <f t="shared" si="51"/>
        <v>247.634957216808</v>
      </c>
      <c r="AS215" s="4">
        <f t="shared" si="52"/>
        <v>515.96178417410408</v>
      </c>
      <c r="AT215" s="4">
        <f t="shared" si="53"/>
        <v>730.89023760756004</v>
      </c>
      <c r="AU215" s="4">
        <f t="shared" si="54"/>
        <v>704.19105084564012</v>
      </c>
    </row>
    <row r="216" spans="21:47">
      <c r="U216" s="118">
        <f t="shared" si="55"/>
        <v>0.33585004752151199</v>
      </c>
      <c r="V216" s="118">
        <f t="shared" si="56"/>
        <v>0.32681670982979966</v>
      </c>
      <c r="W216" s="118">
        <f t="shared" si="57"/>
        <v>0.33529588844649455</v>
      </c>
      <c r="X216" s="118">
        <f t="shared" si="58"/>
        <v>0.32750062738230734</v>
      </c>
      <c r="Y216" s="118">
        <f t="shared" si="59"/>
        <v>0.18389483304103671</v>
      </c>
      <c r="Z216">
        <f t="shared" si="60"/>
        <v>0.05</v>
      </c>
      <c r="AB216">
        <f t="shared" si="61"/>
        <v>4</v>
      </c>
      <c r="AC216">
        <f t="shared" si="62"/>
        <v>3</v>
      </c>
      <c r="AD216">
        <f t="shared" si="63"/>
        <v>4</v>
      </c>
      <c r="AE216">
        <f t="shared" si="48"/>
        <v>3</v>
      </c>
      <c r="AF216">
        <f t="shared" si="49"/>
        <v>3</v>
      </c>
      <c r="AG216">
        <f t="shared" si="50"/>
        <v>1</v>
      </c>
      <c r="AI216" s="97">
        <f>'Decline and Model'!E218</f>
        <v>49188</v>
      </c>
      <c r="AJ216" s="106">
        <f>'Decline and Model'!AC218</f>
        <v>111.95744400000001</v>
      </c>
      <c r="AK216" s="107">
        <f>'Decline and Model'!AD218</f>
        <v>19.526227199999997</v>
      </c>
      <c r="AL216" s="107">
        <f>'Decline and Model'!AE218</f>
        <v>39.3708168</v>
      </c>
      <c r="AM216" s="107">
        <f>'Decline and Model'!AF218</f>
        <v>116.202276</v>
      </c>
      <c r="AN216" s="107">
        <f>'Decline and Model'!AG218</f>
        <v>82.031378400000008</v>
      </c>
      <c r="AO216" s="107">
        <f>'Decline and Model'!AH218</f>
        <v>0.85</v>
      </c>
      <c r="AP216" s="107">
        <f>'Decline and Model'!AI218</f>
        <v>5.1468588000000004</v>
      </c>
      <c r="AQ216" s="108">
        <f>'Decline and Model'!AJ218</f>
        <v>5.1468588000000004</v>
      </c>
      <c r="AR216" s="4">
        <f t="shared" si="51"/>
        <v>247.634957216808</v>
      </c>
      <c r="AS216" s="4">
        <f t="shared" si="52"/>
        <v>515.96178417410408</v>
      </c>
      <c r="AT216" s="4">
        <f t="shared" si="53"/>
        <v>730.89023760756004</v>
      </c>
      <c r="AU216" s="4">
        <f t="shared" si="54"/>
        <v>704.19105084564012</v>
      </c>
    </row>
    <row r="217" spans="21:47">
      <c r="U217" s="118">
        <f t="shared" si="55"/>
        <v>0.33585004752151199</v>
      </c>
      <c r="V217" s="118">
        <f t="shared" si="56"/>
        <v>0.32681670982979966</v>
      </c>
      <c r="W217" s="118">
        <f t="shared" si="57"/>
        <v>0.33529588844649455</v>
      </c>
      <c r="X217" s="118">
        <f t="shared" si="58"/>
        <v>0.32750062738230734</v>
      </c>
      <c r="Y217" s="118">
        <f t="shared" si="59"/>
        <v>0.18389483304103671</v>
      </c>
      <c r="Z217">
        <f t="shared" si="60"/>
        <v>0.05</v>
      </c>
      <c r="AB217">
        <f t="shared" si="61"/>
        <v>4</v>
      </c>
      <c r="AC217">
        <f t="shared" si="62"/>
        <v>3</v>
      </c>
      <c r="AD217">
        <f t="shared" si="63"/>
        <v>4</v>
      </c>
      <c r="AE217">
        <f t="shared" si="48"/>
        <v>3</v>
      </c>
      <c r="AF217">
        <f t="shared" si="49"/>
        <v>3</v>
      </c>
      <c r="AG217">
        <f t="shared" si="50"/>
        <v>1</v>
      </c>
      <c r="AI217" s="97">
        <f>'Decline and Model'!E219</f>
        <v>49218</v>
      </c>
      <c r="AJ217" s="106">
        <f>'Decline and Model'!AC219</f>
        <v>111.95744400000001</v>
      </c>
      <c r="AK217" s="107">
        <f>'Decline and Model'!AD219</f>
        <v>19.526227199999997</v>
      </c>
      <c r="AL217" s="107">
        <f>'Decline and Model'!AE219</f>
        <v>39.3708168</v>
      </c>
      <c r="AM217" s="107">
        <f>'Decline and Model'!AF219</f>
        <v>116.202276</v>
      </c>
      <c r="AN217" s="107">
        <f>'Decline and Model'!AG219</f>
        <v>82.031378400000008</v>
      </c>
      <c r="AO217" s="107">
        <f>'Decline and Model'!AH219</f>
        <v>0.85</v>
      </c>
      <c r="AP217" s="107">
        <f>'Decline and Model'!AI219</f>
        <v>5.1468588000000004</v>
      </c>
      <c r="AQ217" s="108">
        <f>'Decline and Model'!AJ219</f>
        <v>5.1468588000000004</v>
      </c>
      <c r="AR217" s="4">
        <f t="shared" si="51"/>
        <v>247.634957216808</v>
      </c>
      <c r="AS217" s="4">
        <f t="shared" si="52"/>
        <v>515.96178417410408</v>
      </c>
      <c r="AT217" s="4">
        <f t="shared" si="53"/>
        <v>730.89023760756004</v>
      </c>
      <c r="AU217" s="4">
        <f t="shared" si="54"/>
        <v>704.19105084564012</v>
      </c>
    </row>
    <row r="218" spans="21:47">
      <c r="U218" s="118">
        <f t="shared" si="55"/>
        <v>0.33585004752151199</v>
      </c>
      <c r="V218" s="118">
        <f t="shared" si="56"/>
        <v>0.32681670982979966</v>
      </c>
      <c r="W218" s="118">
        <f t="shared" si="57"/>
        <v>0.33529588844649455</v>
      </c>
      <c r="X218" s="118">
        <f t="shared" si="58"/>
        <v>0.32750062738230734</v>
      </c>
      <c r="Y218" s="118">
        <f t="shared" si="59"/>
        <v>0.18389483304103671</v>
      </c>
      <c r="Z218">
        <f t="shared" si="60"/>
        <v>0.05</v>
      </c>
      <c r="AB218">
        <f t="shared" si="61"/>
        <v>4</v>
      </c>
      <c r="AC218">
        <f t="shared" si="62"/>
        <v>3</v>
      </c>
      <c r="AD218">
        <f t="shared" si="63"/>
        <v>4</v>
      </c>
      <c r="AE218">
        <f t="shared" si="48"/>
        <v>3</v>
      </c>
      <c r="AF218">
        <f t="shared" si="49"/>
        <v>3</v>
      </c>
      <c r="AG218">
        <f t="shared" si="50"/>
        <v>1</v>
      </c>
      <c r="AI218" s="97">
        <f>'Decline and Model'!E220</f>
        <v>49249</v>
      </c>
      <c r="AJ218" s="106">
        <f>'Decline and Model'!AC220</f>
        <v>111.95744400000001</v>
      </c>
      <c r="AK218" s="107">
        <f>'Decline and Model'!AD220</f>
        <v>19.526227199999997</v>
      </c>
      <c r="AL218" s="107">
        <f>'Decline and Model'!AE220</f>
        <v>39.3708168</v>
      </c>
      <c r="AM218" s="107">
        <f>'Decline and Model'!AF220</f>
        <v>116.202276</v>
      </c>
      <c r="AN218" s="107">
        <f>'Decline and Model'!AG220</f>
        <v>82.031378400000008</v>
      </c>
      <c r="AO218" s="107">
        <f>'Decline and Model'!AH220</f>
        <v>0.85</v>
      </c>
      <c r="AP218" s="107">
        <f>'Decline and Model'!AI220</f>
        <v>5.1468588000000004</v>
      </c>
      <c r="AQ218" s="108">
        <f>'Decline and Model'!AJ220</f>
        <v>5.1468588000000004</v>
      </c>
      <c r="AR218" s="4">
        <f t="shared" si="51"/>
        <v>247.634957216808</v>
      </c>
      <c r="AS218" s="4">
        <f t="shared" si="52"/>
        <v>515.96178417410408</v>
      </c>
      <c r="AT218" s="4">
        <f t="shared" si="53"/>
        <v>730.89023760756004</v>
      </c>
      <c r="AU218" s="4">
        <f t="shared" si="54"/>
        <v>704.19105084564012</v>
      </c>
    </row>
    <row r="219" spans="21:47">
      <c r="U219" s="118">
        <f t="shared" si="55"/>
        <v>0.33585004752151199</v>
      </c>
      <c r="V219" s="118">
        <f t="shared" si="56"/>
        <v>0.32681670982979966</v>
      </c>
      <c r="W219" s="118">
        <f t="shared" si="57"/>
        <v>0.33529588844649455</v>
      </c>
      <c r="X219" s="118">
        <f t="shared" si="58"/>
        <v>0.32750062738230734</v>
      </c>
      <c r="Y219" s="118">
        <f t="shared" si="59"/>
        <v>0.18389483304103671</v>
      </c>
      <c r="Z219">
        <f t="shared" si="60"/>
        <v>0.05</v>
      </c>
      <c r="AB219">
        <f t="shared" si="61"/>
        <v>4</v>
      </c>
      <c r="AC219">
        <f t="shared" si="62"/>
        <v>3</v>
      </c>
      <c r="AD219">
        <f t="shared" si="63"/>
        <v>4</v>
      </c>
      <c r="AE219">
        <f t="shared" si="48"/>
        <v>3</v>
      </c>
      <c r="AF219">
        <f t="shared" si="49"/>
        <v>3</v>
      </c>
      <c r="AG219">
        <f t="shared" si="50"/>
        <v>1</v>
      </c>
      <c r="AI219" s="97">
        <f>'Decline and Model'!E221</f>
        <v>49279</v>
      </c>
      <c r="AJ219" s="106">
        <f>'Decline and Model'!AC221</f>
        <v>111.95744400000001</v>
      </c>
      <c r="AK219" s="107">
        <f>'Decline and Model'!AD221</f>
        <v>19.526227199999997</v>
      </c>
      <c r="AL219" s="107">
        <f>'Decline and Model'!AE221</f>
        <v>39.3708168</v>
      </c>
      <c r="AM219" s="107">
        <f>'Decline and Model'!AF221</f>
        <v>116.202276</v>
      </c>
      <c r="AN219" s="107">
        <f>'Decline and Model'!AG221</f>
        <v>82.031378400000008</v>
      </c>
      <c r="AO219" s="107">
        <f>'Decline and Model'!AH221</f>
        <v>0.85</v>
      </c>
      <c r="AP219" s="107">
        <f>'Decline and Model'!AI221</f>
        <v>5.1468588000000004</v>
      </c>
      <c r="AQ219" s="108">
        <f>'Decline and Model'!AJ221</f>
        <v>5.1468588000000004</v>
      </c>
      <c r="AR219" s="4">
        <f t="shared" si="51"/>
        <v>247.634957216808</v>
      </c>
      <c r="AS219" s="4">
        <f t="shared" si="52"/>
        <v>515.96178417410408</v>
      </c>
      <c r="AT219" s="4">
        <f t="shared" si="53"/>
        <v>730.89023760756004</v>
      </c>
      <c r="AU219" s="4">
        <f t="shared" si="54"/>
        <v>704.19105084564012</v>
      </c>
    </row>
    <row r="220" spans="21:47">
      <c r="U220" s="118">
        <f t="shared" si="55"/>
        <v>0.33877360847194221</v>
      </c>
      <c r="V220" s="118">
        <f t="shared" si="56"/>
        <v>0.33230940002639564</v>
      </c>
      <c r="W220" s="118">
        <f t="shared" si="57"/>
        <v>0.33852580921542441</v>
      </c>
      <c r="X220" s="118">
        <f t="shared" si="58"/>
        <v>0.33301298152995346</v>
      </c>
      <c r="Y220" s="118">
        <f t="shared" si="59"/>
        <v>0.1882696630210367</v>
      </c>
      <c r="Z220">
        <f t="shared" si="60"/>
        <v>0.05</v>
      </c>
      <c r="AB220">
        <f t="shared" si="61"/>
        <v>4</v>
      </c>
      <c r="AC220">
        <f t="shared" si="62"/>
        <v>3</v>
      </c>
      <c r="AD220">
        <f t="shared" si="63"/>
        <v>4</v>
      </c>
      <c r="AE220">
        <f t="shared" si="48"/>
        <v>3</v>
      </c>
      <c r="AF220">
        <f t="shared" si="49"/>
        <v>3</v>
      </c>
      <c r="AG220">
        <f t="shared" si="50"/>
        <v>1</v>
      </c>
      <c r="AI220" s="97">
        <f>'Decline and Model'!E222</f>
        <v>49310</v>
      </c>
      <c r="AJ220" s="106">
        <f>'Decline and Model'!AC222</f>
        <v>114.19659288000001</v>
      </c>
      <c r="AK220" s="107">
        <f>'Decline and Model'!AD222</f>
        <v>19.916751743999999</v>
      </c>
      <c r="AL220" s="107">
        <f>'Decline and Model'!AE222</f>
        <v>40.158233136</v>
      </c>
      <c r="AM220" s="107">
        <f>'Decline and Model'!AF222</f>
        <v>118.52632152</v>
      </c>
      <c r="AN220" s="107">
        <f>'Decline and Model'!AG222</f>
        <v>83.672005968000008</v>
      </c>
      <c r="AO220" s="107">
        <f>'Decline and Model'!AH222</f>
        <v>0.85</v>
      </c>
      <c r="AP220" s="107">
        <f>'Decline and Model'!AI222</f>
        <v>5.2497959760000006</v>
      </c>
      <c r="AQ220" s="108">
        <f>'Decline and Model'!AJ222</f>
        <v>5.2497959760000006</v>
      </c>
      <c r="AR220" s="4">
        <f t="shared" si="51"/>
        <v>252.58765636114416</v>
      </c>
      <c r="AS220" s="4">
        <f t="shared" si="52"/>
        <v>526.2810198575861</v>
      </c>
      <c r="AT220" s="4">
        <f t="shared" si="53"/>
        <v>745.50804235971123</v>
      </c>
      <c r="AU220" s="4">
        <f t="shared" si="54"/>
        <v>718.27487186255291</v>
      </c>
    </row>
    <row r="221" spans="21:47">
      <c r="U221" s="118">
        <f t="shared" si="55"/>
        <v>0.33877360847194221</v>
      </c>
      <c r="V221" s="118">
        <f t="shared" si="56"/>
        <v>0.33230940002639564</v>
      </c>
      <c r="W221" s="118">
        <f t="shared" si="57"/>
        <v>0.33852580921542441</v>
      </c>
      <c r="X221" s="118">
        <f t="shared" si="58"/>
        <v>0.33301298152995346</v>
      </c>
      <c r="Y221" s="118">
        <f t="shared" si="59"/>
        <v>0.1882696630210367</v>
      </c>
      <c r="Z221">
        <f t="shared" si="60"/>
        <v>0.05</v>
      </c>
      <c r="AB221">
        <f t="shared" si="61"/>
        <v>4</v>
      </c>
      <c r="AC221">
        <f t="shared" si="62"/>
        <v>3</v>
      </c>
      <c r="AD221">
        <f t="shared" si="63"/>
        <v>4</v>
      </c>
      <c r="AE221">
        <f t="shared" si="48"/>
        <v>3</v>
      </c>
      <c r="AF221">
        <f t="shared" si="49"/>
        <v>3</v>
      </c>
      <c r="AG221">
        <f t="shared" si="50"/>
        <v>1</v>
      </c>
      <c r="AI221" s="97">
        <f>'Decline and Model'!E223</f>
        <v>49341</v>
      </c>
      <c r="AJ221" s="106">
        <f>'Decline and Model'!AC223</f>
        <v>114.19659288000001</v>
      </c>
      <c r="AK221" s="107">
        <f>'Decline and Model'!AD223</f>
        <v>19.916751743999999</v>
      </c>
      <c r="AL221" s="107">
        <f>'Decline and Model'!AE223</f>
        <v>40.158233136</v>
      </c>
      <c r="AM221" s="107">
        <f>'Decline and Model'!AF223</f>
        <v>118.52632152</v>
      </c>
      <c r="AN221" s="107">
        <f>'Decline and Model'!AG223</f>
        <v>83.672005968000008</v>
      </c>
      <c r="AO221" s="107">
        <f>'Decline and Model'!AH223</f>
        <v>0.85</v>
      </c>
      <c r="AP221" s="107">
        <f>'Decline and Model'!AI223</f>
        <v>5.2497959760000006</v>
      </c>
      <c r="AQ221" s="108">
        <f>'Decline and Model'!AJ223</f>
        <v>5.2497959760000006</v>
      </c>
      <c r="AR221" s="4">
        <f t="shared" si="51"/>
        <v>252.58765636114416</v>
      </c>
      <c r="AS221" s="4">
        <f t="shared" si="52"/>
        <v>526.2810198575861</v>
      </c>
      <c r="AT221" s="4">
        <f t="shared" si="53"/>
        <v>745.50804235971123</v>
      </c>
      <c r="AU221" s="4">
        <f t="shared" si="54"/>
        <v>718.27487186255291</v>
      </c>
    </row>
    <row r="222" spans="21:47">
      <c r="U222" s="118">
        <f t="shared" si="55"/>
        <v>0.33877360847194221</v>
      </c>
      <c r="V222" s="118">
        <f t="shared" si="56"/>
        <v>0.33230940002639564</v>
      </c>
      <c r="W222" s="118">
        <f t="shared" si="57"/>
        <v>0.33852580921542441</v>
      </c>
      <c r="X222" s="118">
        <f t="shared" si="58"/>
        <v>0.33301298152995346</v>
      </c>
      <c r="Y222" s="118">
        <f t="shared" si="59"/>
        <v>0.1882696630210367</v>
      </c>
      <c r="Z222">
        <f t="shared" si="60"/>
        <v>0.05</v>
      </c>
      <c r="AB222">
        <f t="shared" si="61"/>
        <v>4</v>
      </c>
      <c r="AC222">
        <f t="shared" si="62"/>
        <v>3</v>
      </c>
      <c r="AD222">
        <f t="shared" si="63"/>
        <v>4</v>
      </c>
      <c r="AE222">
        <f t="shared" si="48"/>
        <v>3</v>
      </c>
      <c r="AF222">
        <f t="shared" si="49"/>
        <v>3</v>
      </c>
      <c r="AG222">
        <f t="shared" si="50"/>
        <v>1</v>
      </c>
      <c r="AI222" s="97">
        <f>'Decline and Model'!E224</f>
        <v>49369</v>
      </c>
      <c r="AJ222" s="106">
        <f>'Decline and Model'!AC224</f>
        <v>114.19659288000001</v>
      </c>
      <c r="AK222" s="107">
        <f>'Decline and Model'!AD224</f>
        <v>19.916751743999999</v>
      </c>
      <c r="AL222" s="107">
        <f>'Decline and Model'!AE224</f>
        <v>40.158233136</v>
      </c>
      <c r="AM222" s="107">
        <f>'Decline and Model'!AF224</f>
        <v>118.52632152</v>
      </c>
      <c r="AN222" s="107">
        <f>'Decline and Model'!AG224</f>
        <v>83.672005968000008</v>
      </c>
      <c r="AO222" s="107">
        <f>'Decline and Model'!AH224</f>
        <v>0.85</v>
      </c>
      <c r="AP222" s="107">
        <f>'Decline and Model'!AI224</f>
        <v>5.2497959760000006</v>
      </c>
      <c r="AQ222" s="108">
        <f>'Decline and Model'!AJ224</f>
        <v>5.2497959760000006</v>
      </c>
      <c r="AR222" s="4">
        <f t="shared" si="51"/>
        <v>252.58765636114416</v>
      </c>
      <c r="AS222" s="4">
        <f t="shared" si="52"/>
        <v>526.2810198575861</v>
      </c>
      <c r="AT222" s="4">
        <f t="shared" si="53"/>
        <v>745.50804235971123</v>
      </c>
      <c r="AU222" s="4">
        <f t="shared" si="54"/>
        <v>718.27487186255291</v>
      </c>
    </row>
    <row r="223" spans="21:47">
      <c r="U223" s="118">
        <f t="shared" si="55"/>
        <v>0.33877360847194221</v>
      </c>
      <c r="V223" s="118">
        <f t="shared" si="56"/>
        <v>0.33230940002639564</v>
      </c>
      <c r="W223" s="118">
        <f t="shared" si="57"/>
        <v>0.33852580921542441</v>
      </c>
      <c r="X223" s="118">
        <f t="shared" si="58"/>
        <v>0.33301298152995346</v>
      </c>
      <c r="Y223" s="118">
        <f t="shared" si="59"/>
        <v>0.1882696630210367</v>
      </c>
      <c r="Z223">
        <f t="shared" si="60"/>
        <v>0.05</v>
      </c>
      <c r="AB223">
        <f t="shared" si="61"/>
        <v>4</v>
      </c>
      <c r="AC223">
        <f t="shared" si="62"/>
        <v>3</v>
      </c>
      <c r="AD223">
        <f t="shared" si="63"/>
        <v>4</v>
      </c>
      <c r="AE223">
        <f t="shared" si="48"/>
        <v>3</v>
      </c>
      <c r="AF223">
        <f t="shared" si="49"/>
        <v>3</v>
      </c>
      <c r="AG223">
        <f t="shared" si="50"/>
        <v>1</v>
      </c>
      <c r="AI223" s="97">
        <f>'Decline and Model'!E225</f>
        <v>49400</v>
      </c>
      <c r="AJ223" s="106">
        <f>'Decline and Model'!AC225</f>
        <v>114.19659288000001</v>
      </c>
      <c r="AK223" s="107">
        <f>'Decline and Model'!AD225</f>
        <v>19.916751743999999</v>
      </c>
      <c r="AL223" s="107">
        <f>'Decline and Model'!AE225</f>
        <v>40.158233136</v>
      </c>
      <c r="AM223" s="107">
        <f>'Decline and Model'!AF225</f>
        <v>118.52632152</v>
      </c>
      <c r="AN223" s="107">
        <f>'Decline and Model'!AG225</f>
        <v>83.672005968000008</v>
      </c>
      <c r="AO223" s="107">
        <f>'Decline and Model'!AH225</f>
        <v>0.85</v>
      </c>
      <c r="AP223" s="107">
        <f>'Decline and Model'!AI225</f>
        <v>5.2497959760000006</v>
      </c>
      <c r="AQ223" s="108">
        <f>'Decline and Model'!AJ225</f>
        <v>5.2497959760000006</v>
      </c>
      <c r="AR223" s="4">
        <f t="shared" si="51"/>
        <v>252.58765636114416</v>
      </c>
      <c r="AS223" s="4">
        <f t="shared" si="52"/>
        <v>526.2810198575861</v>
      </c>
      <c r="AT223" s="4">
        <f t="shared" si="53"/>
        <v>745.50804235971123</v>
      </c>
      <c r="AU223" s="4">
        <f t="shared" si="54"/>
        <v>718.27487186255291</v>
      </c>
    </row>
    <row r="224" spans="21:47">
      <c r="U224" s="118">
        <f t="shared" si="55"/>
        <v>0.33877360847194221</v>
      </c>
      <c r="V224" s="118">
        <f t="shared" si="56"/>
        <v>0.33230940002639564</v>
      </c>
      <c r="W224" s="118">
        <f t="shared" si="57"/>
        <v>0.33852580921542441</v>
      </c>
      <c r="X224" s="118">
        <f t="shared" si="58"/>
        <v>0.33301298152995346</v>
      </c>
      <c r="Y224" s="118">
        <f t="shared" si="59"/>
        <v>0.1882696630210367</v>
      </c>
      <c r="Z224">
        <f t="shared" si="60"/>
        <v>0.05</v>
      </c>
      <c r="AB224">
        <f t="shared" si="61"/>
        <v>4</v>
      </c>
      <c r="AC224">
        <f t="shared" si="62"/>
        <v>3</v>
      </c>
      <c r="AD224">
        <f t="shared" si="63"/>
        <v>4</v>
      </c>
      <c r="AE224">
        <f t="shared" si="48"/>
        <v>3</v>
      </c>
      <c r="AF224">
        <f t="shared" si="49"/>
        <v>3</v>
      </c>
      <c r="AG224">
        <f t="shared" si="50"/>
        <v>1</v>
      </c>
      <c r="AI224" s="97">
        <f>'Decline and Model'!E226</f>
        <v>49430</v>
      </c>
      <c r="AJ224" s="106">
        <f>'Decline and Model'!AC226</f>
        <v>114.19659288000001</v>
      </c>
      <c r="AK224" s="107">
        <f>'Decline and Model'!AD226</f>
        <v>19.916751743999999</v>
      </c>
      <c r="AL224" s="107">
        <f>'Decline and Model'!AE226</f>
        <v>40.158233136</v>
      </c>
      <c r="AM224" s="107">
        <f>'Decline and Model'!AF226</f>
        <v>118.52632152</v>
      </c>
      <c r="AN224" s="107">
        <f>'Decline and Model'!AG226</f>
        <v>83.672005968000008</v>
      </c>
      <c r="AO224" s="107">
        <f>'Decline and Model'!AH226</f>
        <v>0.85</v>
      </c>
      <c r="AP224" s="107">
        <f>'Decline and Model'!AI226</f>
        <v>5.2497959760000006</v>
      </c>
      <c r="AQ224" s="108">
        <f>'Decline and Model'!AJ226</f>
        <v>5.2497959760000006</v>
      </c>
      <c r="AR224" s="4">
        <f t="shared" si="51"/>
        <v>252.58765636114416</v>
      </c>
      <c r="AS224" s="4">
        <f t="shared" si="52"/>
        <v>526.2810198575861</v>
      </c>
      <c r="AT224" s="4">
        <f t="shared" si="53"/>
        <v>745.50804235971123</v>
      </c>
      <c r="AU224" s="4">
        <f t="shared" si="54"/>
        <v>718.27487186255291</v>
      </c>
    </row>
    <row r="225" spans="21:47">
      <c r="U225" s="118">
        <f t="shared" si="55"/>
        <v>0.33877360847194221</v>
      </c>
      <c r="V225" s="118">
        <f t="shared" si="56"/>
        <v>0.33230940002639564</v>
      </c>
      <c r="W225" s="118">
        <f t="shared" si="57"/>
        <v>0.33852580921542441</v>
      </c>
      <c r="X225" s="118">
        <f t="shared" si="58"/>
        <v>0.33301298152995346</v>
      </c>
      <c r="Y225" s="118">
        <f t="shared" si="59"/>
        <v>0.1882696630210367</v>
      </c>
      <c r="Z225">
        <f t="shared" si="60"/>
        <v>0.05</v>
      </c>
      <c r="AB225">
        <f t="shared" si="61"/>
        <v>4</v>
      </c>
      <c r="AC225">
        <f t="shared" si="62"/>
        <v>3</v>
      </c>
      <c r="AD225">
        <f t="shared" si="63"/>
        <v>4</v>
      </c>
      <c r="AE225">
        <f t="shared" si="48"/>
        <v>3</v>
      </c>
      <c r="AF225">
        <f t="shared" si="49"/>
        <v>3</v>
      </c>
      <c r="AG225">
        <f t="shared" si="50"/>
        <v>1</v>
      </c>
      <c r="AI225" s="97">
        <f>'Decline and Model'!E227</f>
        <v>49461</v>
      </c>
      <c r="AJ225" s="106">
        <f>'Decline and Model'!AC227</f>
        <v>114.19659288000001</v>
      </c>
      <c r="AK225" s="107">
        <f>'Decline and Model'!AD227</f>
        <v>19.916751743999999</v>
      </c>
      <c r="AL225" s="107">
        <f>'Decline and Model'!AE227</f>
        <v>40.158233136</v>
      </c>
      <c r="AM225" s="107">
        <f>'Decline and Model'!AF227</f>
        <v>118.52632152</v>
      </c>
      <c r="AN225" s="107">
        <f>'Decline and Model'!AG227</f>
        <v>83.672005968000008</v>
      </c>
      <c r="AO225" s="107">
        <f>'Decline and Model'!AH227</f>
        <v>0.85</v>
      </c>
      <c r="AP225" s="107">
        <f>'Decline and Model'!AI227</f>
        <v>5.2497959760000006</v>
      </c>
      <c r="AQ225" s="108">
        <f>'Decline and Model'!AJ227</f>
        <v>5.2497959760000006</v>
      </c>
      <c r="AR225" s="4">
        <f t="shared" si="51"/>
        <v>252.58765636114416</v>
      </c>
      <c r="AS225" s="4">
        <f t="shared" si="52"/>
        <v>526.2810198575861</v>
      </c>
      <c r="AT225" s="4">
        <f t="shared" si="53"/>
        <v>745.50804235971123</v>
      </c>
      <c r="AU225" s="4">
        <f t="shared" si="54"/>
        <v>718.27487186255291</v>
      </c>
    </row>
    <row r="226" spans="21:47">
      <c r="U226" s="118">
        <f t="shared" si="55"/>
        <v>0.33877360847194221</v>
      </c>
      <c r="V226" s="118">
        <f t="shared" si="56"/>
        <v>0.33230940002639564</v>
      </c>
      <c r="W226" s="118">
        <f t="shared" si="57"/>
        <v>0.33852580921542441</v>
      </c>
      <c r="X226" s="118">
        <f t="shared" si="58"/>
        <v>0.33301298152995346</v>
      </c>
      <c r="Y226" s="118">
        <f t="shared" si="59"/>
        <v>0.1882696630210367</v>
      </c>
      <c r="Z226">
        <f t="shared" si="60"/>
        <v>0.05</v>
      </c>
      <c r="AB226">
        <f t="shared" si="61"/>
        <v>4</v>
      </c>
      <c r="AC226">
        <f t="shared" si="62"/>
        <v>3</v>
      </c>
      <c r="AD226">
        <f t="shared" si="63"/>
        <v>4</v>
      </c>
      <c r="AE226">
        <f t="shared" si="48"/>
        <v>3</v>
      </c>
      <c r="AF226">
        <f t="shared" si="49"/>
        <v>3</v>
      </c>
      <c r="AG226">
        <f t="shared" si="50"/>
        <v>1</v>
      </c>
      <c r="AI226" s="97">
        <f>'Decline and Model'!E228</f>
        <v>49491</v>
      </c>
      <c r="AJ226" s="106">
        <f>'Decline and Model'!AC228</f>
        <v>114.19659288000001</v>
      </c>
      <c r="AK226" s="107">
        <f>'Decline and Model'!AD228</f>
        <v>19.916751743999999</v>
      </c>
      <c r="AL226" s="107">
        <f>'Decline and Model'!AE228</f>
        <v>40.158233136</v>
      </c>
      <c r="AM226" s="107">
        <f>'Decline and Model'!AF228</f>
        <v>118.52632152</v>
      </c>
      <c r="AN226" s="107">
        <f>'Decline and Model'!AG228</f>
        <v>83.672005968000008</v>
      </c>
      <c r="AO226" s="107">
        <f>'Decline and Model'!AH228</f>
        <v>0.85</v>
      </c>
      <c r="AP226" s="107">
        <f>'Decline and Model'!AI228</f>
        <v>5.2497959760000006</v>
      </c>
      <c r="AQ226" s="108">
        <f>'Decline and Model'!AJ228</f>
        <v>5.2497959760000006</v>
      </c>
      <c r="AR226" s="4">
        <f t="shared" si="51"/>
        <v>252.58765636114416</v>
      </c>
      <c r="AS226" s="4">
        <f t="shared" si="52"/>
        <v>526.2810198575861</v>
      </c>
      <c r="AT226" s="4">
        <f t="shared" si="53"/>
        <v>745.50804235971123</v>
      </c>
      <c r="AU226" s="4">
        <f t="shared" si="54"/>
        <v>718.27487186255291</v>
      </c>
    </row>
    <row r="227" spans="21:47">
      <c r="U227" s="118">
        <f t="shared" si="55"/>
        <v>0.33877360847194221</v>
      </c>
      <c r="V227" s="118">
        <f t="shared" si="56"/>
        <v>0.33230940002639564</v>
      </c>
      <c r="W227" s="118">
        <f t="shared" si="57"/>
        <v>0.33852580921542441</v>
      </c>
      <c r="X227" s="118">
        <f t="shared" si="58"/>
        <v>0.33301298152995346</v>
      </c>
      <c r="Y227" s="118">
        <f t="shared" si="59"/>
        <v>0.1882696630210367</v>
      </c>
      <c r="Z227">
        <f t="shared" si="60"/>
        <v>0.05</v>
      </c>
      <c r="AB227">
        <f t="shared" si="61"/>
        <v>4</v>
      </c>
      <c r="AC227">
        <f t="shared" si="62"/>
        <v>3</v>
      </c>
      <c r="AD227">
        <f t="shared" si="63"/>
        <v>4</v>
      </c>
      <c r="AE227">
        <f t="shared" si="48"/>
        <v>3</v>
      </c>
      <c r="AF227">
        <f t="shared" si="49"/>
        <v>3</v>
      </c>
      <c r="AG227">
        <f t="shared" si="50"/>
        <v>1</v>
      </c>
      <c r="AI227" s="97">
        <f>'Decline and Model'!E229</f>
        <v>49522</v>
      </c>
      <c r="AJ227" s="106">
        <f>'Decline and Model'!AC229</f>
        <v>114.19659288000001</v>
      </c>
      <c r="AK227" s="107">
        <f>'Decline and Model'!AD229</f>
        <v>19.916751743999999</v>
      </c>
      <c r="AL227" s="107">
        <f>'Decline and Model'!AE229</f>
        <v>40.158233136</v>
      </c>
      <c r="AM227" s="107">
        <f>'Decline and Model'!AF229</f>
        <v>118.52632152</v>
      </c>
      <c r="AN227" s="107">
        <f>'Decline and Model'!AG229</f>
        <v>83.672005968000008</v>
      </c>
      <c r="AO227" s="107">
        <f>'Decline and Model'!AH229</f>
        <v>0.85</v>
      </c>
      <c r="AP227" s="107">
        <f>'Decline and Model'!AI229</f>
        <v>5.2497959760000006</v>
      </c>
      <c r="AQ227" s="108">
        <f>'Decline and Model'!AJ229</f>
        <v>5.2497959760000006</v>
      </c>
      <c r="AR227" s="4">
        <f t="shared" si="51"/>
        <v>252.58765636114416</v>
      </c>
      <c r="AS227" s="4">
        <f t="shared" si="52"/>
        <v>526.2810198575861</v>
      </c>
      <c r="AT227" s="4">
        <f t="shared" si="53"/>
        <v>745.50804235971123</v>
      </c>
      <c r="AU227" s="4">
        <f t="shared" si="54"/>
        <v>718.27487186255291</v>
      </c>
    </row>
    <row r="228" spans="21:47">
      <c r="U228" s="118">
        <f t="shared" si="55"/>
        <v>0.33877360847194221</v>
      </c>
      <c r="V228" s="118">
        <f t="shared" si="56"/>
        <v>0.33230940002639564</v>
      </c>
      <c r="W228" s="118">
        <f t="shared" si="57"/>
        <v>0.33852580921542441</v>
      </c>
      <c r="X228" s="118">
        <f t="shared" si="58"/>
        <v>0.33301298152995346</v>
      </c>
      <c r="Y228" s="118">
        <f t="shared" si="59"/>
        <v>0.1882696630210367</v>
      </c>
      <c r="Z228">
        <f t="shared" si="60"/>
        <v>0.05</v>
      </c>
      <c r="AB228">
        <f t="shared" si="61"/>
        <v>4</v>
      </c>
      <c r="AC228">
        <f t="shared" si="62"/>
        <v>3</v>
      </c>
      <c r="AD228">
        <f t="shared" si="63"/>
        <v>4</v>
      </c>
      <c r="AE228">
        <f t="shared" si="48"/>
        <v>3</v>
      </c>
      <c r="AF228">
        <f t="shared" si="49"/>
        <v>3</v>
      </c>
      <c r="AG228">
        <f t="shared" si="50"/>
        <v>1</v>
      </c>
      <c r="AI228" s="97">
        <f>'Decline and Model'!E230</f>
        <v>49553</v>
      </c>
      <c r="AJ228" s="106">
        <f>'Decline and Model'!AC230</f>
        <v>114.19659288000001</v>
      </c>
      <c r="AK228" s="107">
        <f>'Decline and Model'!AD230</f>
        <v>19.916751743999999</v>
      </c>
      <c r="AL228" s="107">
        <f>'Decline and Model'!AE230</f>
        <v>40.158233136</v>
      </c>
      <c r="AM228" s="107">
        <f>'Decline and Model'!AF230</f>
        <v>118.52632152</v>
      </c>
      <c r="AN228" s="107">
        <f>'Decline and Model'!AG230</f>
        <v>83.672005968000008</v>
      </c>
      <c r="AO228" s="107">
        <f>'Decline and Model'!AH230</f>
        <v>0.85</v>
      </c>
      <c r="AP228" s="107">
        <f>'Decline and Model'!AI230</f>
        <v>5.2497959760000006</v>
      </c>
      <c r="AQ228" s="108">
        <f>'Decline and Model'!AJ230</f>
        <v>5.2497959760000006</v>
      </c>
      <c r="AR228" s="4">
        <f t="shared" si="51"/>
        <v>252.58765636114416</v>
      </c>
      <c r="AS228" s="4">
        <f t="shared" si="52"/>
        <v>526.2810198575861</v>
      </c>
      <c r="AT228" s="4">
        <f t="shared" si="53"/>
        <v>745.50804235971123</v>
      </c>
      <c r="AU228" s="4">
        <f t="shared" si="54"/>
        <v>718.27487186255291</v>
      </c>
    </row>
    <row r="229" spans="21:47">
      <c r="U229" s="118">
        <f t="shared" si="55"/>
        <v>0.33877360847194221</v>
      </c>
      <c r="V229" s="118">
        <f t="shared" si="56"/>
        <v>0.33230940002639564</v>
      </c>
      <c r="W229" s="118">
        <f t="shared" si="57"/>
        <v>0.33852580921542441</v>
      </c>
      <c r="X229" s="118">
        <f t="shared" si="58"/>
        <v>0.33301298152995346</v>
      </c>
      <c r="Y229" s="118">
        <f t="shared" si="59"/>
        <v>0.1882696630210367</v>
      </c>
      <c r="Z229">
        <f t="shared" si="60"/>
        <v>0.05</v>
      </c>
      <c r="AB229">
        <f t="shared" si="61"/>
        <v>4</v>
      </c>
      <c r="AC229">
        <f t="shared" si="62"/>
        <v>3</v>
      </c>
      <c r="AD229">
        <f t="shared" si="63"/>
        <v>4</v>
      </c>
      <c r="AE229">
        <f t="shared" si="48"/>
        <v>3</v>
      </c>
      <c r="AF229">
        <f t="shared" si="49"/>
        <v>3</v>
      </c>
      <c r="AG229">
        <f t="shared" si="50"/>
        <v>1</v>
      </c>
      <c r="AI229" s="97">
        <f>'Decline and Model'!E231</f>
        <v>49583</v>
      </c>
      <c r="AJ229" s="106">
        <f>'Decline and Model'!AC231</f>
        <v>114.19659288000001</v>
      </c>
      <c r="AK229" s="107">
        <f>'Decline and Model'!AD231</f>
        <v>19.916751743999999</v>
      </c>
      <c r="AL229" s="107">
        <f>'Decline and Model'!AE231</f>
        <v>40.158233136</v>
      </c>
      <c r="AM229" s="107">
        <f>'Decline and Model'!AF231</f>
        <v>118.52632152</v>
      </c>
      <c r="AN229" s="107">
        <f>'Decline and Model'!AG231</f>
        <v>83.672005968000008</v>
      </c>
      <c r="AO229" s="107">
        <f>'Decline and Model'!AH231</f>
        <v>0.85</v>
      </c>
      <c r="AP229" s="107">
        <f>'Decline and Model'!AI231</f>
        <v>5.2497959760000006</v>
      </c>
      <c r="AQ229" s="108">
        <f>'Decline and Model'!AJ231</f>
        <v>5.2497959760000006</v>
      </c>
      <c r="AR229" s="4">
        <f t="shared" si="51"/>
        <v>252.58765636114416</v>
      </c>
      <c r="AS229" s="4">
        <f t="shared" si="52"/>
        <v>526.2810198575861</v>
      </c>
      <c r="AT229" s="4">
        <f t="shared" si="53"/>
        <v>745.50804235971123</v>
      </c>
      <c r="AU229" s="4">
        <f t="shared" si="54"/>
        <v>718.27487186255291</v>
      </c>
    </row>
    <row r="230" spans="21:47">
      <c r="U230" s="118">
        <f t="shared" si="55"/>
        <v>0.33877360847194221</v>
      </c>
      <c r="V230" s="118">
        <f t="shared" si="56"/>
        <v>0.33230940002639564</v>
      </c>
      <c r="W230" s="118">
        <f t="shared" si="57"/>
        <v>0.33852580921542441</v>
      </c>
      <c r="X230" s="118">
        <f t="shared" si="58"/>
        <v>0.33301298152995346</v>
      </c>
      <c r="Y230" s="118">
        <f t="shared" si="59"/>
        <v>0.1882696630210367</v>
      </c>
      <c r="Z230">
        <f t="shared" si="60"/>
        <v>0.05</v>
      </c>
      <c r="AB230">
        <f t="shared" si="61"/>
        <v>4</v>
      </c>
      <c r="AC230">
        <f t="shared" si="62"/>
        <v>3</v>
      </c>
      <c r="AD230">
        <f t="shared" si="63"/>
        <v>4</v>
      </c>
      <c r="AE230">
        <f t="shared" si="48"/>
        <v>3</v>
      </c>
      <c r="AF230">
        <f t="shared" si="49"/>
        <v>3</v>
      </c>
      <c r="AG230">
        <f t="shared" si="50"/>
        <v>1</v>
      </c>
      <c r="AI230" s="97">
        <f>'Decline and Model'!E232</f>
        <v>49614</v>
      </c>
      <c r="AJ230" s="106">
        <f>'Decline and Model'!AC232</f>
        <v>114.19659288000001</v>
      </c>
      <c r="AK230" s="107">
        <f>'Decline and Model'!AD232</f>
        <v>19.916751743999999</v>
      </c>
      <c r="AL230" s="107">
        <f>'Decline and Model'!AE232</f>
        <v>40.158233136</v>
      </c>
      <c r="AM230" s="107">
        <f>'Decline and Model'!AF232</f>
        <v>118.52632152</v>
      </c>
      <c r="AN230" s="107">
        <f>'Decline and Model'!AG232</f>
        <v>83.672005968000008</v>
      </c>
      <c r="AO230" s="107">
        <f>'Decline and Model'!AH232</f>
        <v>0.85</v>
      </c>
      <c r="AP230" s="107">
        <f>'Decline and Model'!AI232</f>
        <v>5.2497959760000006</v>
      </c>
      <c r="AQ230" s="108">
        <f>'Decline and Model'!AJ232</f>
        <v>5.2497959760000006</v>
      </c>
      <c r="AR230" s="4">
        <f t="shared" si="51"/>
        <v>252.58765636114416</v>
      </c>
      <c r="AS230" s="4">
        <f t="shared" si="52"/>
        <v>526.2810198575861</v>
      </c>
      <c r="AT230" s="4">
        <f t="shared" si="53"/>
        <v>745.50804235971123</v>
      </c>
      <c r="AU230" s="4">
        <f t="shared" si="54"/>
        <v>718.27487186255291</v>
      </c>
    </row>
    <row r="231" spans="21:47">
      <c r="U231" s="118">
        <f t="shared" si="55"/>
        <v>0.33877360847194221</v>
      </c>
      <c r="V231" s="118">
        <f t="shared" si="56"/>
        <v>0.33230940002639564</v>
      </c>
      <c r="W231" s="118">
        <f t="shared" si="57"/>
        <v>0.33852580921542441</v>
      </c>
      <c r="X231" s="118">
        <f t="shared" si="58"/>
        <v>0.33301298152995346</v>
      </c>
      <c r="Y231" s="118">
        <f t="shared" si="59"/>
        <v>0.1882696630210367</v>
      </c>
      <c r="Z231">
        <f t="shared" si="60"/>
        <v>0.05</v>
      </c>
      <c r="AB231">
        <f t="shared" si="61"/>
        <v>4</v>
      </c>
      <c r="AC231">
        <f t="shared" si="62"/>
        <v>3</v>
      </c>
      <c r="AD231">
        <f t="shared" si="63"/>
        <v>4</v>
      </c>
      <c r="AE231">
        <f t="shared" si="48"/>
        <v>3</v>
      </c>
      <c r="AF231">
        <f t="shared" si="49"/>
        <v>3</v>
      </c>
      <c r="AG231">
        <f t="shared" si="50"/>
        <v>1</v>
      </c>
      <c r="AI231" s="97">
        <f>'Decline and Model'!E233</f>
        <v>49644</v>
      </c>
      <c r="AJ231" s="106">
        <f>'Decline and Model'!AC233</f>
        <v>114.19659288000001</v>
      </c>
      <c r="AK231" s="107">
        <f>'Decline and Model'!AD233</f>
        <v>19.916751743999999</v>
      </c>
      <c r="AL231" s="107">
        <f>'Decline and Model'!AE233</f>
        <v>40.158233136</v>
      </c>
      <c r="AM231" s="107">
        <f>'Decline and Model'!AF233</f>
        <v>118.52632152</v>
      </c>
      <c r="AN231" s="107">
        <f>'Decline and Model'!AG233</f>
        <v>83.672005968000008</v>
      </c>
      <c r="AO231" s="107">
        <f>'Decline and Model'!AH233</f>
        <v>0.85</v>
      </c>
      <c r="AP231" s="107">
        <f>'Decline and Model'!AI233</f>
        <v>5.2497959760000006</v>
      </c>
      <c r="AQ231" s="108">
        <f>'Decline and Model'!AJ233</f>
        <v>5.2497959760000006</v>
      </c>
      <c r="AR231" s="4">
        <f t="shared" si="51"/>
        <v>252.58765636114416</v>
      </c>
      <c r="AS231" s="4">
        <f t="shared" si="52"/>
        <v>526.2810198575861</v>
      </c>
      <c r="AT231" s="4">
        <f t="shared" si="53"/>
        <v>745.50804235971123</v>
      </c>
      <c r="AU231" s="4">
        <f t="shared" si="54"/>
        <v>718.27487186255291</v>
      </c>
    </row>
    <row r="232" spans="21:47">
      <c r="U232" s="118">
        <f t="shared" si="55"/>
        <v>0.34175564064138109</v>
      </c>
      <c r="V232" s="118">
        <f t="shared" si="56"/>
        <v>0.33620007385996076</v>
      </c>
      <c r="W232" s="118">
        <f t="shared" si="57"/>
        <v>0.34182032839973292</v>
      </c>
      <c r="X232" s="118">
        <f t="shared" si="58"/>
        <v>0.33604205159813655</v>
      </c>
      <c r="Y232" s="118">
        <f t="shared" si="59"/>
        <v>0.19273198960063673</v>
      </c>
      <c r="Z232">
        <f t="shared" si="60"/>
        <v>0.05</v>
      </c>
      <c r="AB232">
        <f t="shared" si="61"/>
        <v>4</v>
      </c>
      <c r="AC232">
        <f t="shared" si="62"/>
        <v>4</v>
      </c>
      <c r="AD232">
        <f t="shared" si="63"/>
        <v>4</v>
      </c>
      <c r="AE232">
        <f t="shared" si="48"/>
        <v>4</v>
      </c>
      <c r="AF232">
        <f t="shared" si="49"/>
        <v>3</v>
      </c>
      <c r="AG232">
        <f t="shared" si="50"/>
        <v>1</v>
      </c>
      <c r="AI232" s="97">
        <f>'Decline and Model'!E234</f>
        <v>49675</v>
      </c>
      <c r="AJ232" s="106">
        <f>'Decline and Model'!AC234</f>
        <v>116.48052473760001</v>
      </c>
      <c r="AK232" s="107">
        <f>'Decline and Model'!AD234</f>
        <v>20.315086778879998</v>
      </c>
      <c r="AL232" s="107">
        <f>'Decline and Model'!AE234</f>
        <v>40.96139779872</v>
      </c>
      <c r="AM232" s="107">
        <f>'Decline and Model'!AF234</f>
        <v>120.8968479504</v>
      </c>
      <c r="AN232" s="107">
        <f>'Decline and Model'!AG234</f>
        <v>85.345446087360003</v>
      </c>
      <c r="AO232" s="107">
        <f>'Decline and Model'!AH234</f>
        <v>0.85</v>
      </c>
      <c r="AP232" s="107">
        <f>'Decline and Model'!AI234</f>
        <v>5.3547918955200009</v>
      </c>
      <c r="AQ232" s="108">
        <f>'Decline and Model'!AJ234</f>
        <v>5.3547918955200009</v>
      </c>
      <c r="AR232" s="4">
        <f t="shared" si="51"/>
        <v>257.63940948836705</v>
      </c>
      <c r="AS232" s="4">
        <f t="shared" si="52"/>
        <v>536.80664025473789</v>
      </c>
      <c r="AT232" s="4">
        <f t="shared" si="53"/>
        <v>760.41820320690545</v>
      </c>
      <c r="AU232" s="4">
        <f t="shared" si="54"/>
        <v>732.64036929980387</v>
      </c>
    </row>
    <row r="233" spans="21:47">
      <c r="U233" s="118">
        <f t="shared" si="55"/>
        <v>0.34175564064138109</v>
      </c>
      <c r="V233" s="118">
        <f t="shared" si="56"/>
        <v>0.33620007385996076</v>
      </c>
      <c r="W233" s="118">
        <f t="shared" si="57"/>
        <v>0.34182032839973292</v>
      </c>
      <c r="X233" s="118">
        <f t="shared" si="58"/>
        <v>0.33604205159813655</v>
      </c>
      <c r="Y233" s="118">
        <f t="shared" si="59"/>
        <v>0.19273198960063673</v>
      </c>
      <c r="Z233">
        <f t="shared" si="60"/>
        <v>0.05</v>
      </c>
      <c r="AB233">
        <f t="shared" si="61"/>
        <v>4</v>
      </c>
      <c r="AC233">
        <f t="shared" si="62"/>
        <v>4</v>
      </c>
      <c r="AD233">
        <f t="shared" si="63"/>
        <v>4</v>
      </c>
      <c r="AE233">
        <f t="shared" si="48"/>
        <v>4</v>
      </c>
      <c r="AF233">
        <f t="shared" si="49"/>
        <v>3</v>
      </c>
      <c r="AG233">
        <f t="shared" si="50"/>
        <v>1</v>
      </c>
      <c r="AI233" s="97">
        <f>'Decline and Model'!E235</f>
        <v>49706</v>
      </c>
      <c r="AJ233" s="106">
        <f>'Decline and Model'!AC235</f>
        <v>116.48052473760001</v>
      </c>
      <c r="AK233" s="107">
        <f>'Decline and Model'!AD235</f>
        <v>20.315086778879998</v>
      </c>
      <c r="AL233" s="107">
        <f>'Decline and Model'!AE235</f>
        <v>40.96139779872</v>
      </c>
      <c r="AM233" s="107">
        <f>'Decline and Model'!AF235</f>
        <v>120.8968479504</v>
      </c>
      <c r="AN233" s="107">
        <f>'Decline and Model'!AG235</f>
        <v>85.345446087360003</v>
      </c>
      <c r="AO233" s="107">
        <f>'Decline and Model'!AH235</f>
        <v>0.85</v>
      </c>
      <c r="AP233" s="107">
        <f>'Decline and Model'!AI235</f>
        <v>5.3547918955200009</v>
      </c>
      <c r="AQ233" s="108">
        <f>'Decline and Model'!AJ235</f>
        <v>5.3547918955200009</v>
      </c>
      <c r="AR233" s="4">
        <f t="shared" si="51"/>
        <v>257.63940948836705</v>
      </c>
      <c r="AS233" s="4">
        <f t="shared" si="52"/>
        <v>536.80664025473789</v>
      </c>
      <c r="AT233" s="4">
        <f t="shared" si="53"/>
        <v>760.41820320690545</v>
      </c>
      <c r="AU233" s="4">
        <f t="shared" si="54"/>
        <v>732.64036929980387</v>
      </c>
    </row>
    <row r="234" spans="21:47">
      <c r="U234" s="118">
        <f t="shared" si="55"/>
        <v>0.34175564064138109</v>
      </c>
      <c r="V234" s="118">
        <f t="shared" si="56"/>
        <v>0.33620007385996076</v>
      </c>
      <c r="W234" s="118">
        <f t="shared" si="57"/>
        <v>0.34182032839973292</v>
      </c>
      <c r="X234" s="118">
        <f t="shared" si="58"/>
        <v>0.33604205159813655</v>
      </c>
      <c r="Y234" s="118">
        <f t="shared" si="59"/>
        <v>0.19273198960063673</v>
      </c>
      <c r="Z234">
        <f t="shared" si="60"/>
        <v>0.05</v>
      </c>
      <c r="AB234">
        <f t="shared" si="61"/>
        <v>4</v>
      </c>
      <c r="AC234">
        <f t="shared" si="62"/>
        <v>4</v>
      </c>
      <c r="AD234">
        <f t="shared" si="63"/>
        <v>4</v>
      </c>
      <c r="AE234">
        <f t="shared" si="48"/>
        <v>4</v>
      </c>
      <c r="AF234">
        <f t="shared" si="49"/>
        <v>3</v>
      </c>
      <c r="AG234">
        <f t="shared" si="50"/>
        <v>1</v>
      </c>
      <c r="AI234" s="97">
        <f>'Decline and Model'!E236</f>
        <v>49735</v>
      </c>
      <c r="AJ234" s="106">
        <f>'Decline and Model'!AC236</f>
        <v>116.48052473760001</v>
      </c>
      <c r="AK234" s="107">
        <f>'Decline and Model'!AD236</f>
        <v>20.315086778879998</v>
      </c>
      <c r="AL234" s="107">
        <f>'Decline and Model'!AE236</f>
        <v>40.96139779872</v>
      </c>
      <c r="AM234" s="107">
        <f>'Decline and Model'!AF236</f>
        <v>120.8968479504</v>
      </c>
      <c r="AN234" s="107">
        <f>'Decline and Model'!AG236</f>
        <v>85.345446087360003</v>
      </c>
      <c r="AO234" s="107">
        <f>'Decline and Model'!AH236</f>
        <v>0.85</v>
      </c>
      <c r="AP234" s="107">
        <f>'Decline and Model'!AI236</f>
        <v>5.3547918955200009</v>
      </c>
      <c r="AQ234" s="108">
        <f>'Decline and Model'!AJ236</f>
        <v>5.3547918955200009</v>
      </c>
      <c r="AR234" s="4">
        <f t="shared" si="51"/>
        <v>257.63940948836705</v>
      </c>
      <c r="AS234" s="4">
        <f t="shared" si="52"/>
        <v>536.80664025473789</v>
      </c>
      <c r="AT234" s="4">
        <f t="shared" si="53"/>
        <v>760.41820320690545</v>
      </c>
      <c r="AU234" s="4">
        <f t="shared" si="54"/>
        <v>732.64036929980387</v>
      </c>
    </row>
    <row r="235" spans="21:47">
      <c r="U235" s="118">
        <f t="shared" si="55"/>
        <v>0.34175564064138109</v>
      </c>
      <c r="V235" s="118">
        <f t="shared" si="56"/>
        <v>0.33620007385996076</v>
      </c>
      <c r="W235" s="118">
        <f t="shared" si="57"/>
        <v>0.34182032839973292</v>
      </c>
      <c r="X235" s="118">
        <f t="shared" si="58"/>
        <v>0.33604205159813655</v>
      </c>
      <c r="Y235" s="118">
        <f t="shared" si="59"/>
        <v>0.19273198960063673</v>
      </c>
      <c r="Z235">
        <f t="shared" si="60"/>
        <v>0.05</v>
      </c>
      <c r="AB235">
        <f t="shared" si="61"/>
        <v>4</v>
      </c>
      <c r="AC235">
        <f t="shared" si="62"/>
        <v>4</v>
      </c>
      <c r="AD235">
        <f t="shared" si="63"/>
        <v>4</v>
      </c>
      <c r="AE235">
        <f t="shared" si="48"/>
        <v>4</v>
      </c>
      <c r="AF235">
        <f t="shared" si="49"/>
        <v>3</v>
      </c>
      <c r="AG235">
        <f t="shared" si="50"/>
        <v>1</v>
      </c>
      <c r="AI235" s="97">
        <f>'Decline and Model'!E237</f>
        <v>49766</v>
      </c>
      <c r="AJ235" s="106">
        <f>'Decline and Model'!AC237</f>
        <v>116.48052473760001</v>
      </c>
      <c r="AK235" s="107">
        <f>'Decline and Model'!AD237</f>
        <v>20.315086778879998</v>
      </c>
      <c r="AL235" s="107">
        <f>'Decline and Model'!AE237</f>
        <v>40.96139779872</v>
      </c>
      <c r="AM235" s="107">
        <f>'Decline and Model'!AF237</f>
        <v>120.8968479504</v>
      </c>
      <c r="AN235" s="107">
        <f>'Decline and Model'!AG237</f>
        <v>85.345446087360003</v>
      </c>
      <c r="AO235" s="107">
        <f>'Decline and Model'!AH237</f>
        <v>0.85</v>
      </c>
      <c r="AP235" s="107">
        <f>'Decline and Model'!AI237</f>
        <v>5.3547918955200009</v>
      </c>
      <c r="AQ235" s="108">
        <f>'Decline and Model'!AJ237</f>
        <v>5.3547918955200009</v>
      </c>
      <c r="AR235" s="4">
        <f t="shared" si="51"/>
        <v>257.63940948836705</v>
      </c>
      <c r="AS235" s="4">
        <f t="shared" si="52"/>
        <v>536.80664025473789</v>
      </c>
      <c r="AT235" s="4">
        <f t="shared" si="53"/>
        <v>760.41820320690545</v>
      </c>
      <c r="AU235" s="4">
        <f t="shared" si="54"/>
        <v>732.64036929980387</v>
      </c>
    </row>
    <row r="236" spans="21:47">
      <c r="U236" s="118">
        <f t="shared" si="55"/>
        <v>0.34175564064138109</v>
      </c>
      <c r="V236" s="118">
        <f t="shared" si="56"/>
        <v>0.33620007385996076</v>
      </c>
      <c r="W236" s="118">
        <f t="shared" si="57"/>
        <v>0.34182032839973292</v>
      </c>
      <c r="X236" s="118">
        <f t="shared" si="58"/>
        <v>0.33604205159813655</v>
      </c>
      <c r="Y236" s="118">
        <f t="shared" si="59"/>
        <v>0.19273198960063673</v>
      </c>
      <c r="Z236">
        <f t="shared" si="60"/>
        <v>0.05</v>
      </c>
      <c r="AB236">
        <f t="shared" si="61"/>
        <v>4</v>
      </c>
      <c r="AC236">
        <f t="shared" si="62"/>
        <v>4</v>
      </c>
      <c r="AD236">
        <f t="shared" si="63"/>
        <v>4</v>
      </c>
      <c r="AE236">
        <f t="shared" si="48"/>
        <v>4</v>
      </c>
      <c r="AF236">
        <f t="shared" si="49"/>
        <v>3</v>
      </c>
      <c r="AG236">
        <f t="shared" si="50"/>
        <v>1</v>
      </c>
      <c r="AI236" s="97">
        <f>'Decline and Model'!E238</f>
        <v>49796</v>
      </c>
      <c r="AJ236" s="106">
        <f>'Decline and Model'!AC238</f>
        <v>116.48052473760001</v>
      </c>
      <c r="AK236" s="107">
        <f>'Decline and Model'!AD238</f>
        <v>20.315086778879998</v>
      </c>
      <c r="AL236" s="107">
        <f>'Decline and Model'!AE238</f>
        <v>40.96139779872</v>
      </c>
      <c r="AM236" s="107">
        <f>'Decline and Model'!AF238</f>
        <v>120.8968479504</v>
      </c>
      <c r="AN236" s="107">
        <f>'Decline and Model'!AG238</f>
        <v>85.345446087360003</v>
      </c>
      <c r="AO236" s="107">
        <f>'Decline and Model'!AH238</f>
        <v>0.85</v>
      </c>
      <c r="AP236" s="107">
        <f>'Decline and Model'!AI238</f>
        <v>5.3547918955200009</v>
      </c>
      <c r="AQ236" s="108">
        <f>'Decline and Model'!AJ238</f>
        <v>5.3547918955200009</v>
      </c>
      <c r="AR236" s="4">
        <f t="shared" si="51"/>
        <v>257.63940948836705</v>
      </c>
      <c r="AS236" s="4">
        <f t="shared" si="52"/>
        <v>536.80664025473789</v>
      </c>
      <c r="AT236" s="4">
        <f t="shared" si="53"/>
        <v>760.41820320690545</v>
      </c>
      <c r="AU236" s="4">
        <f t="shared" si="54"/>
        <v>732.64036929980387</v>
      </c>
    </row>
    <row r="237" spans="21:47">
      <c r="U237" s="118">
        <f t="shared" si="55"/>
        <v>0.34175564064138109</v>
      </c>
      <c r="V237" s="118">
        <f t="shared" si="56"/>
        <v>0.33620007385996076</v>
      </c>
      <c r="W237" s="118">
        <f t="shared" si="57"/>
        <v>0.34182032839973292</v>
      </c>
      <c r="X237" s="118">
        <f t="shared" si="58"/>
        <v>0.33604205159813655</v>
      </c>
      <c r="Y237" s="118">
        <f t="shared" si="59"/>
        <v>0.19273198960063673</v>
      </c>
      <c r="Z237">
        <f t="shared" si="60"/>
        <v>0.05</v>
      </c>
      <c r="AB237">
        <f t="shared" si="61"/>
        <v>4</v>
      </c>
      <c r="AC237">
        <f t="shared" si="62"/>
        <v>4</v>
      </c>
      <c r="AD237">
        <f t="shared" si="63"/>
        <v>4</v>
      </c>
      <c r="AE237">
        <f t="shared" si="48"/>
        <v>4</v>
      </c>
      <c r="AF237">
        <f t="shared" si="49"/>
        <v>3</v>
      </c>
      <c r="AG237">
        <f t="shared" si="50"/>
        <v>1</v>
      </c>
      <c r="AI237" s="97">
        <f>'Decline and Model'!E239</f>
        <v>49827</v>
      </c>
      <c r="AJ237" s="106">
        <f>'Decline and Model'!AC239</f>
        <v>116.48052473760001</v>
      </c>
      <c r="AK237" s="107">
        <f>'Decline and Model'!AD239</f>
        <v>20.315086778879998</v>
      </c>
      <c r="AL237" s="107">
        <f>'Decline and Model'!AE239</f>
        <v>40.96139779872</v>
      </c>
      <c r="AM237" s="107">
        <f>'Decline and Model'!AF239</f>
        <v>120.8968479504</v>
      </c>
      <c r="AN237" s="107">
        <f>'Decline and Model'!AG239</f>
        <v>85.345446087360003</v>
      </c>
      <c r="AO237" s="107">
        <f>'Decline and Model'!AH239</f>
        <v>0.85</v>
      </c>
      <c r="AP237" s="107">
        <f>'Decline and Model'!AI239</f>
        <v>5.3547918955200009</v>
      </c>
      <c r="AQ237" s="108">
        <f>'Decline and Model'!AJ239</f>
        <v>5.3547918955200009</v>
      </c>
      <c r="AR237" s="4">
        <f t="shared" si="51"/>
        <v>257.63940948836705</v>
      </c>
      <c r="AS237" s="4">
        <f t="shared" si="52"/>
        <v>536.80664025473789</v>
      </c>
      <c r="AT237" s="4">
        <f t="shared" si="53"/>
        <v>760.41820320690545</v>
      </c>
      <c r="AU237" s="4">
        <f t="shared" si="54"/>
        <v>732.64036929980387</v>
      </c>
    </row>
    <row r="238" spans="21:47">
      <c r="U238" s="118">
        <f t="shared" si="55"/>
        <v>0.34175564064138109</v>
      </c>
      <c r="V238" s="118">
        <f t="shared" si="56"/>
        <v>0.33620007385996076</v>
      </c>
      <c r="W238" s="118">
        <f t="shared" si="57"/>
        <v>0.34182032839973292</v>
      </c>
      <c r="X238" s="118">
        <f t="shared" si="58"/>
        <v>0.33604205159813655</v>
      </c>
      <c r="Y238" s="118">
        <f t="shared" si="59"/>
        <v>0.19273198960063673</v>
      </c>
      <c r="Z238">
        <f t="shared" si="60"/>
        <v>0.05</v>
      </c>
      <c r="AB238">
        <f t="shared" si="61"/>
        <v>4</v>
      </c>
      <c r="AC238">
        <f t="shared" si="62"/>
        <v>4</v>
      </c>
      <c r="AD238">
        <f t="shared" si="63"/>
        <v>4</v>
      </c>
      <c r="AE238">
        <f t="shared" si="48"/>
        <v>4</v>
      </c>
      <c r="AF238">
        <f t="shared" si="49"/>
        <v>3</v>
      </c>
      <c r="AG238">
        <f t="shared" si="50"/>
        <v>1</v>
      </c>
      <c r="AI238" s="97">
        <f>'Decline and Model'!E240</f>
        <v>49857</v>
      </c>
      <c r="AJ238" s="106">
        <f>'Decline and Model'!AC240</f>
        <v>116.48052473760001</v>
      </c>
      <c r="AK238" s="107">
        <f>'Decline and Model'!AD240</f>
        <v>20.315086778879998</v>
      </c>
      <c r="AL238" s="107">
        <f>'Decline and Model'!AE240</f>
        <v>40.96139779872</v>
      </c>
      <c r="AM238" s="107">
        <f>'Decline and Model'!AF240</f>
        <v>120.8968479504</v>
      </c>
      <c r="AN238" s="107">
        <f>'Decline and Model'!AG240</f>
        <v>85.345446087360003</v>
      </c>
      <c r="AO238" s="107">
        <f>'Decline and Model'!AH240</f>
        <v>0.85</v>
      </c>
      <c r="AP238" s="107">
        <f>'Decline and Model'!AI240</f>
        <v>5.3547918955200009</v>
      </c>
      <c r="AQ238" s="108">
        <f>'Decline and Model'!AJ240</f>
        <v>5.3547918955200009</v>
      </c>
      <c r="AR238" s="4">
        <f t="shared" si="51"/>
        <v>257.63940948836705</v>
      </c>
      <c r="AS238" s="4">
        <f t="shared" si="52"/>
        <v>536.80664025473789</v>
      </c>
      <c r="AT238" s="4">
        <f t="shared" si="53"/>
        <v>760.41820320690545</v>
      </c>
      <c r="AU238" s="4">
        <f t="shared" si="54"/>
        <v>732.64036929980387</v>
      </c>
    </row>
    <row r="239" spans="21:47">
      <c r="U239" s="118">
        <f t="shared" si="55"/>
        <v>0.34175564064138109</v>
      </c>
      <c r="V239" s="118">
        <f t="shared" si="56"/>
        <v>0.33620007385996076</v>
      </c>
      <c r="W239" s="118">
        <f t="shared" si="57"/>
        <v>0.34182032839973292</v>
      </c>
      <c r="X239" s="118">
        <f t="shared" si="58"/>
        <v>0.33604205159813655</v>
      </c>
      <c r="Y239" s="118">
        <f t="shared" si="59"/>
        <v>0.19273198960063673</v>
      </c>
      <c r="Z239">
        <f t="shared" si="60"/>
        <v>0.05</v>
      </c>
      <c r="AB239">
        <f t="shared" si="61"/>
        <v>4</v>
      </c>
      <c r="AC239">
        <f t="shared" si="62"/>
        <v>4</v>
      </c>
      <c r="AD239">
        <f t="shared" si="63"/>
        <v>4</v>
      </c>
      <c r="AE239">
        <f t="shared" si="48"/>
        <v>4</v>
      </c>
      <c r="AF239">
        <f t="shared" si="49"/>
        <v>3</v>
      </c>
      <c r="AG239">
        <f t="shared" si="50"/>
        <v>1</v>
      </c>
      <c r="AI239" s="97">
        <f>'Decline and Model'!E241</f>
        <v>49888</v>
      </c>
      <c r="AJ239" s="106">
        <f>'Decline and Model'!AC241</f>
        <v>116.48052473760001</v>
      </c>
      <c r="AK239" s="107">
        <f>'Decline and Model'!AD241</f>
        <v>20.315086778879998</v>
      </c>
      <c r="AL239" s="107">
        <f>'Decline and Model'!AE241</f>
        <v>40.96139779872</v>
      </c>
      <c r="AM239" s="107">
        <f>'Decline and Model'!AF241</f>
        <v>120.8968479504</v>
      </c>
      <c r="AN239" s="107">
        <f>'Decline and Model'!AG241</f>
        <v>85.345446087360003</v>
      </c>
      <c r="AO239" s="107">
        <f>'Decline and Model'!AH241</f>
        <v>0.85</v>
      </c>
      <c r="AP239" s="107">
        <f>'Decline and Model'!AI241</f>
        <v>5.3547918955200009</v>
      </c>
      <c r="AQ239" s="108">
        <f>'Decline and Model'!AJ241</f>
        <v>5.3547918955200009</v>
      </c>
      <c r="AR239" s="4">
        <f t="shared" si="51"/>
        <v>257.63940948836705</v>
      </c>
      <c r="AS239" s="4">
        <f t="shared" si="52"/>
        <v>536.80664025473789</v>
      </c>
      <c r="AT239" s="4">
        <f t="shared" si="53"/>
        <v>760.41820320690545</v>
      </c>
      <c r="AU239" s="4">
        <f t="shared" si="54"/>
        <v>732.64036929980387</v>
      </c>
    </row>
    <row r="240" spans="21:47">
      <c r="U240" s="118">
        <f t="shared" si="55"/>
        <v>0.34175564064138109</v>
      </c>
      <c r="V240" s="118">
        <f t="shared" si="56"/>
        <v>0.33620007385996076</v>
      </c>
      <c r="W240" s="118">
        <f t="shared" si="57"/>
        <v>0.34182032839973292</v>
      </c>
      <c r="X240" s="118">
        <f t="shared" si="58"/>
        <v>0.33604205159813655</v>
      </c>
      <c r="Y240" s="118">
        <f t="shared" si="59"/>
        <v>0.19273198960063673</v>
      </c>
      <c r="Z240">
        <f t="shared" si="60"/>
        <v>0.05</v>
      </c>
      <c r="AB240">
        <f t="shared" si="61"/>
        <v>4</v>
      </c>
      <c r="AC240">
        <f t="shared" si="62"/>
        <v>4</v>
      </c>
      <c r="AD240">
        <f t="shared" si="63"/>
        <v>4</v>
      </c>
      <c r="AE240">
        <f t="shared" si="48"/>
        <v>4</v>
      </c>
      <c r="AF240">
        <f t="shared" si="49"/>
        <v>3</v>
      </c>
      <c r="AG240">
        <f t="shared" si="50"/>
        <v>1</v>
      </c>
      <c r="AI240" s="97">
        <f>'Decline and Model'!E242</f>
        <v>49919</v>
      </c>
      <c r="AJ240" s="106">
        <f>'Decline and Model'!AC242</f>
        <v>116.48052473760001</v>
      </c>
      <c r="AK240" s="107">
        <f>'Decline and Model'!AD242</f>
        <v>20.315086778879998</v>
      </c>
      <c r="AL240" s="107">
        <f>'Decline and Model'!AE242</f>
        <v>40.96139779872</v>
      </c>
      <c r="AM240" s="107">
        <f>'Decline and Model'!AF242</f>
        <v>120.8968479504</v>
      </c>
      <c r="AN240" s="107">
        <f>'Decline and Model'!AG242</f>
        <v>85.345446087360003</v>
      </c>
      <c r="AO240" s="107">
        <f>'Decline and Model'!AH242</f>
        <v>0.85</v>
      </c>
      <c r="AP240" s="107">
        <f>'Decline and Model'!AI242</f>
        <v>5.3547918955200009</v>
      </c>
      <c r="AQ240" s="108">
        <f>'Decline and Model'!AJ242</f>
        <v>5.3547918955200009</v>
      </c>
      <c r="AR240" s="4">
        <f t="shared" si="51"/>
        <v>257.63940948836705</v>
      </c>
      <c r="AS240" s="4">
        <f t="shared" si="52"/>
        <v>536.80664025473789</v>
      </c>
      <c r="AT240" s="4">
        <f t="shared" si="53"/>
        <v>760.41820320690545</v>
      </c>
      <c r="AU240" s="4">
        <f t="shared" si="54"/>
        <v>732.64036929980387</v>
      </c>
    </row>
    <row r="241" spans="21:47">
      <c r="U241" s="118">
        <f t="shared" si="55"/>
        <v>0.34175564064138109</v>
      </c>
      <c r="V241" s="118">
        <f t="shared" si="56"/>
        <v>0.33620007385996076</v>
      </c>
      <c r="W241" s="118">
        <f t="shared" si="57"/>
        <v>0.34182032839973292</v>
      </c>
      <c r="X241" s="118">
        <f t="shared" si="58"/>
        <v>0.33604205159813655</v>
      </c>
      <c r="Y241" s="118">
        <f t="shared" si="59"/>
        <v>0.19273198960063673</v>
      </c>
      <c r="Z241">
        <f t="shared" si="60"/>
        <v>0.05</v>
      </c>
      <c r="AB241">
        <f t="shared" si="61"/>
        <v>4</v>
      </c>
      <c r="AC241">
        <f t="shared" si="62"/>
        <v>4</v>
      </c>
      <c r="AD241">
        <f t="shared" si="63"/>
        <v>4</v>
      </c>
      <c r="AE241">
        <f t="shared" si="48"/>
        <v>4</v>
      </c>
      <c r="AF241">
        <f t="shared" si="49"/>
        <v>3</v>
      </c>
      <c r="AG241">
        <f t="shared" si="50"/>
        <v>1</v>
      </c>
      <c r="AI241" s="97">
        <f>'Decline and Model'!E243</f>
        <v>49949</v>
      </c>
      <c r="AJ241" s="106">
        <f>'Decline and Model'!AC243</f>
        <v>116.48052473760001</v>
      </c>
      <c r="AK241" s="107">
        <f>'Decline and Model'!AD243</f>
        <v>20.315086778879998</v>
      </c>
      <c r="AL241" s="107">
        <f>'Decline and Model'!AE243</f>
        <v>40.96139779872</v>
      </c>
      <c r="AM241" s="107">
        <f>'Decline and Model'!AF243</f>
        <v>120.8968479504</v>
      </c>
      <c r="AN241" s="107">
        <f>'Decline and Model'!AG243</f>
        <v>85.345446087360003</v>
      </c>
      <c r="AO241" s="107">
        <f>'Decline and Model'!AH243</f>
        <v>0.85</v>
      </c>
      <c r="AP241" s="107">
        <f>'Decline and Model'!AI243</f>
        <v>5.3547918955200009</v>
      </c>
      <c r="AQ241" s="108">
        <f>'Decline and Model'!AJ243</f>
        <v>5.3547918955200009</v>
      </c>
      <c r="AR241" s="4">
        <f t="shared" si="51"/>
        <v>257.63940948836705</v>
      </c>
      <c r="AS241" s="4">
        <f t="shared" si="52"/>
        <v>536.80664025473789</v>
      </c>
      <c r="AT241" s="4">
        <f t="shared" si="53"/>
        <v>760.41820320690545</v>
      </c>
      <c r="AU241" s="4">
        <f t="shared" si="54"/>
        <v>732.64036929980387</v>
      </c>
    </row>
    <row r="242" spans="21:47">
      <c r="U242" s="118">
        <f t="shared" si="55"/>
        <v>0.34175564064138109</v>
      </c>
      <c r="V242" s="118">
        <f t="shared" si="56"/>
        <v>0.33620007385996076</v>
      </c>
      <c r="W242" s="118">
        <f t="shared" si="57"/>
        <v>0.34182032839973292</v>
      </c>
      <c r="X242" s="118">
        <f t="shared" si="58"/>
        <v>0.33604205159813655</v>
      </c>
      <c r="Y242" s="118">
        <f t="shared" si="59"/>
        <v>0.19273198960063673</v>
      </c>
      <c r="Z242">
        <f t="shared" si="60"/>
        <v>0.05</v>
      </c>
      <c r="AB242">
        <f t="shared" si="61"/>
        <v>4</v>
      </c>
      <c r="AC242">
        <f t="shared" si="62"/>
        <v>4</v>
      </c>
      <c r="AD242">
        <f t="shared" si="63"/>
        <v>4</v>
      </c>
      <c r="AE242">
        <f t="shared" si="48"/>
        <v>4</v>
      </c>
      <c r="AF242">
        <f t="shared" si="49"/>
        <v>3</v>
      </c>
      <c r="AG242">
        <f t="shared" si="50"/>
        <v>1</v>
      </c>
      <c r="AI242" s="97">
        <f>'Decline and Model'!E244</f>
        <v>49980</v>
      </c>
      <c r="AJ242" s="106">
        <f>'Decline and Model'!AC244</f>
        <v>116.48052473760001</v>
      </c>
      <c r="AK242" s="107">
        <f>'Decline and Model'!AD244</f>
        <v>20.315086778879998</v>
      </c>
      <c r="AL242" s="107">
        <f>'Decline and Model'!AE244</f>
        <v>40.96139779872</v>
      </c>
      <c r="AM242" s="107">
        <f>'Decline and Model'!AF244</f>
        <v>120.8968479504</v>
      </c>
      <c r="AN242" s="107">
        <f>'Decline and Model'!AG244</f>
        <v>85.345446087360003</v>
      </c>
      <c r="AO242" s="107">
        <f>'Decline and Model'!AH244</f>
        <v>0.85</v>
      </c>
      <c r="AP242" s="107">
        <f>'Decline and Model'!AI244</f>
        <v>5.3547918955200009</v>
      </c>
      <c r="AQ242" s="108">
        <f>'Decline and Model'!AJ244</f>
        <v>5.3547918955200009</v>
      </c>
      <c r="AR242" s="4">
        <f t="shared" si="51"/>
        <v>257.63940948836705</v>
      </c>
      <c r="AS242" s="4">
        <f t="shared" si="52"/>
        <v>536.80664025473789</v>
      </c>
      <c r="AT242" s="4">
        <f t="shared" si="53"/>
        <v>760.41820320690545</v>
      </c>
      <c r="AU242" s="4">
        <f t="shared" si="54"/>
        <v>732.64036929980387</v>
      </c>
    </row>
    <row r="243" spans="21:47">
      <c r="U243" s="118">
        <f t="shared" si="55"/>
        <v>0.34175564064138109</v>
      </c>
      <c r="V243" s="118">
        <f t="shared" si="56"/>
        <v>0.33620007385996076</v>
      </c>
      <c r="W243" s="118">
        <f t="shared" si="57"/>
        <v>0.34182032839973292</v>
      </c>
      <c r="X243" s="118">
        <f t="shared" si="58"/>
        <v>0.33604205159813655</v>
      </c>
      <c r="Y243" s="118">
        <f t="shared" si="59"/>
        <v>0.19273198960063673</v>
      </c>
      <c r="Z243">
        <f t="shared" si="60"/>
        <v>0.05</v>
      </c>
      <c r="AB243">
        <f t="shared" si="61"/>
        <v>4</v>
      </c>
      <c r="AC243">
        <f t="shared" si="62"/>
        <v>4</v>
      </c>
      <c r="AD243">
        <f t="shared" si="63"/>
        <v>4</v>
      </c>
      <c r="AE243">
        <f t="shared" si="48"/>
        <v>4</v>
      </c>
      <c r="AF243">
        <f t="shared" si="49"/>
        <v>3</v>
      </c>
      <c r="AG243">
        <f t="shared" si="50"/>
        <v>1</v>
      </c>
      <c r="AI243" s="97">
        <f>'Decline and Model'!E245</f>
        <v>50010</v>
      </c>
      <c r="AJ243" s="106">
        <f>'Decline and Model'!AC245</f>
        <v>116.48052473760001</v>
      </c>
      <c r="AK243" s="107">
        <f>'Decline and Model'!AD245</f>
        <v>20.315086778879998</v>
      </c>
      <c r="AL243" s="107">
        <f>'Decline and Model'!AE245</f>
        <v>40.96139779872</v>
      </c>
      <c r="AM243" s="107">
        <f>'Decline and Model'!AF245</f>
        <v>120.8968479504</v>
      </c>
      <c r="AN243" s="107">
        <f>'Decline and Model'!AG245</f>
        <v>85.345446087360003</v>
      </c>
      <c r="AO243" s="107">
        <f>'Decline and Model'!AH245</f>
        <v>0.85</v>
      </c>
      <c r="AP243" s="107">
        <f>'Decline and Model'!AI245</f>
        <v>5.3547918955200009</v>
      </c>
      <c r="AQ243" s="108">
        <f>'Decline and Model'!AJ245</f>
        <v>5.3547918955200009</v>
      </c>
      <c r="AR243" s="4">
        <f t="shared" si="51"/>
        <v>257.63940948836705</v>
      </c>
      <c r="AS243" s="4">
        <f t="shared" si="52"/>
        <v>536.80664025473789</v>
      </c>
      <c r="AT243" s="4">
        <f t="shared" si="53"/>
        <v>760.41820320690545</v>
      </c>
      <c r="AU243" s="4">
        <f t="shared" si="54"/>
        <v>732.64036929980387</v>
      </c>
    </row>
    <row r="244" spans="21:47">
      <c r="U244" s="118">
        <f t="shared" si="55"/>
        <v>0.34479731345420866</v>
      </c>
      <c r="V244" s="118">
        <f t="shared" si="56"/>
        <v>0.33913063533715998</v>
      </c>
      <c r="W244" s="118">
        <f t="shared" si="57"/>
        <v>0.34518073796772758</v>
      </c>
      <c r="X244" s="118">
        <f t="shared" si="58"/>
        <v>0.33908219663009925</v>
      </c>
      <c r="Y244" s="118">
        <f t="shared" si="59"/>
        <v>0.19728356271182873</v>
      </c>
      <c r="Z244">
        <f t="shared" si="60"/>
        <v>0.05</v>
      </c>
      <c r="AB244">
        <f t="shared" si="61"/>
        <v>4</v>
      </c>
      <c r="AC244">
        <f t="shared" si="62"/>
        <v>4</v>
      </c>
      <c r="AD244">
        <f t="shared" si="63"/>
        <v>4</v>
      </c>
      <c r="AE244">
        <f t="shared" si="48"/>
        <v>4</v>
      </c>
      <c r="AF244">
        <f t="shared" si="49"/>
        <v>3</v>
      </c>
      <c r="AG244">
        <f t="shared" si="50"/>
        <v>1</v>
      </c>
      <c r="AI244" s="97">
        <f>'Decline and Model'!E246</f>
        <v>50041</v>
      </c>
      <c r="AJ244" s="106">
        <f>'Decline and Model'!AC246</f>
        <v>118.81013523235201</v>
      </c>
      <c r="AK244" s="107">
        <f>'Decline and Model'!AD246</f>
        <v>20.721388514457598</v>
      </c>
      <c r="AL244" s="107">
        <f>'Decline and Model'!AE246</f>
        <v>41.780625754694398</v>
      </c>
      <c r="AM244" s="107">
        <f>'Decline and Model'!AF246</f>
        <v>123.314784909408</v>
      </c>
      <c r="AN244" s="107">
        <f>'Decline and Model'!AG246</f>
        <v>87.052355009107202</v>
      </c>
      <c r="AO244" s="107">
        <f>'Decline and Model'!AH246</f>
        <v>0.85</v>
      </c>
      <c r="AP244" s="107">
        <f>'Decline and Model'!AI246</f>
        <v>5.4618877334304008</v>
      </c>
      <c r="AQ244" s="108">
        <f>'Decline and Model'!AJ246</f>
        <v>5.4618877334304008</v>
      </c>
      <c r="AR244" s="4">
        <f t="shared" si="51"/>
        <v>262.79219767813436</v>
      </c>
      <c r="AS244" s="4">
        <f t="shared" si="52"/>
        <v>547.5427730598326</v>
      </c>
      <c r="AT244" s="4">
        <f t="shared" si="53"/>
        <v>775.62656727104354</v>
      </c>
      <c r="AU244" s="4">
        <f t="shared" si="54"/>
        <v>747.29317668580006</v>
      </c>
    </row>
    <row r="245" spans="21:47">
      <c r="U245" s="118">
        <f t="shared" si="55"/>
        <v>0.34479731345420866</v>
      </c>
      <c r="V245" s="118">
        <f t="shared" si="56"/>
        <v>0.33913063533715998</v>
      </c>
      <c r="W245" s="118">
        <f t="shared" si="57"/>
        <v>0.34518073796772758</v>
      </c>
      <c r="X245" s="118">
        <f t="shared" si="58"/>
        <v>0.33908219663009925</v>
      </c>
      <c r="Y245" s="118">
        <f t="shared" si="59"/>
        <v>0.19728356271182873</v>
      </c>
      <c r="Z245">
        <f t="shared" si="60"/>
        <v>0.05</v>
      </c>
      <c r="AB245">
        <f t="shared" si="61"/>
        <v>4</v>
      </c>
      <c r="AC245">
        <f t="shared" si="62"/>
        <v>4</v>
      </c>
      <c r="AD245">
        <f t="shared" si="63"/>
        <v>4</v>
      </c>
      <c r="AE245">
        <f t="shared" si="48"/>
        <v>4</v>
      </c>
      <c r="AF245">
        <f t="shared" si="49"/>
        <v>3</v>
      </c>
      <c r="AG245">
        <f t="shared" si="50"/>
        <v>1</v>
      </c>
      <c r="AI245" s="97">
        <f>'Decline and Model'!E247</f>
        <v>50072</v>
      </c>
      <c r="AJ245" s="106">
        <f>'Decline and Model'!AC247</f>
        <v>118.81013523235201</v>
      </c>
      <c r="AK245" s="107">
        <f>'Decline and Model'!AD247</f>
        <v>20.721388514457598</v>
      </c>
      <c r="AL245" s="107">
        <f>'Decline and Model'!AE247</f>
        <v>41.780625754694398</v>
      </c>
      <c r="AM245" s="107">
        <f>'Decline and Model'!AF247</f>
        <v>123.314784909408</v>
      </c>
      <c r="AN245" s="107">
        <f>'Decline and Model'!AG247</f>
        <v>87.052355009107202</v>
      </c>
      <c r="AO245" s="107">
        <f>'Decline and Model'!AH247</f>
        <v>0.85</v>
      </c>
      <c r="AP245" s="107">
        <f>'Decline and Model'!AI247</f>
        <v>5.4618877334304008</v>
      </c>
      <c r="AQ245" s="108">
        <f>'Decline and Model'!AJ247</f>
        <v>5.4618877334304008</v>
      </c>
      <c r="AR245" s="4">
        <f t="shared" si="51"/>
        <v>262.79219767813436</v>
      </c>
      <c r="AS245" s="4">
        <f t="shared" si="52"/>
        <v>547.5427730598326</v>
      </c>
      <c r="AT245" s="4">
        <f t="shared" si="53"/>
        <v>775.62656727104354</v>
      </c>
      <c r="AU245" s="4">
        <f t="shared" si="54"/>
        <v>747.29317668580006</v>
      </c>
    </row>
    <row r="246" spans="21:47">
      <c r="U246" s="118">
        <f t="shared" si="55"/>
        <v>0.34479731345420866</v>
      </c>
      <c r="V246" s="118">
        <f t="shared" si="56"/>
        <v>0.33913063533715998</v>
      </c>
      <c r="W246" s="118">
        <f t="shared" si="57"/>
        <v>0.34518073796772758</v>
      </c>
      <c r="X246" s="118">
        <f t="shared" si="58"/>
        <v>0.33908219663009925</v>
      </c>
      <c r="Y246" s="118">
        <f t="shared" si="59"/>
        <v>0.19728356271182873</v>
      </c>
      <c r="Z246">
        <f t="shared" si="60"/>
        <v>0.05</v>
      </c>
      <c r="AB246">
        <f t="shared" si="61"/>
        <v>4</v>
      </c>
      <c r="AC246">
        <f t="shared" si="62"/>
        <v>4</v>
      </c>
      <c r="AD246">
        <f t="shared" si="63"/>
        <v>4</v>
      </c>
      <c r="AE246">
        <f t="shared" si="48"/>
        <v>4</v>
      </c>
      <c r="AF246">
        <f t="shared" si="49"/>
        <v>3</v>
      </c>
      <c r="AG246">
        <f t="shared" si="50"/>
        <v>1</v>
      </c>
      <c r="AI246" s="97">
        <f>'Decline and Model'!E248</f>
        <v>50100</v>
      </c>
      <c r="AJ246" s="99">
        <f>'Decline and Model'!AC248</f>
        <v>118.81013523235201</v>
      </c>
      <c r="AK246" s="5">
        <f>'Decline and Model'!AD248</f>
        <v>20.721388514457598</v>
      </c>
      <c r="AL246" s="5">
        <f>'Decline and Model'!AE248</f>
        <v>41.780625754694398</v>
      </c>
      <c r="AM246" s="5">
        <f>'Decline and Model'!AF248</f>
        <v>123.314784909408</v>
      </c>
      <c r="AN246" s="5">
        <f>'Decline and Model'!AG248</f>
        <v>87.052355009107202</v>
      </c>
      <c r="AO246" s="5">
        <f>'Decline and Model'!AH248</f>
        <v>0.85</v>
      </c>
      <c r="AP246" s="5">
        <f>'Decline and Model'!AI248</f>
        <v>5.4618877334304008</v>
      </c>
      <c r="AQ246" s="100">
        <f>'Decline and Model'!AJ248</f>
        <v>5.4618877334304008</v>
      </c>
      <c r="AR246" s="4">
        <f t="shared" si="51"/>
        <v>262.79219767813436</v>
      </c>
      <c r="AS246" s="4">
        <f t="shared" si="52"/>
        <v>547.5427730598326</v>
      </c>
      <c r="AT246" s="4">
        <f t="shared" si="53"/>
        <v>775.62656727104354</v>
      </c>
      <c r="AU246" s="4">
        <f t="shared" si="54"/>
        <v>747.29317668580006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W49"/>
  <sheetViews>
    <sheetView tabSelected="1" zoomScale="85" zoomScaleNormal="85" workbookViewId="0">
      <selection activeCell="A13" sqref="A13"/>
    </sheetView>
  </sheetViews>
  <sheetFormatPr defaultRowHeight="15.9"/>
  <cols>
    <col min="3" max="3" width="36.85546875" customWidth="1"/>
    <col min="4" max="4" width="9.5" customWidth="1"/>
    <col min="5" max="5" width="16.140625" customWidth="1"/>
    <col min="8" max="8" width="11.7109375" customWidth="1"/>
    <col min="9" max="10" width="18.640625" customWidth="1"/>
    <col min="11" max="11" width="16.640625" customWidth="1"/>
    <col min="12" max="12" width="14.2109375" customWidth="1"/>
    <col min="13" max="13" width="11" customWidth="1"/>
    <col min="14" max="14" width="20.35546875" customWidth="1"/>
    <col min="15" max="15" width="14.140625" customWidth="1"/>
    <col min="16" max="16" width="13.640625" customWidth="1"/>
    <col min="17" max="17" width="16.85546875" customWidth="1"/>
    <col min="18" max="18" width="21.7109375" customWidth="1"/>
    <col min="19" max="19" width="17.2109375" customWidth="1"/>
    <col min="20" max="20" width="22.2109375" customWidth="1"/>
    <col min="21" max="21" width="21.640625" customWidth="1"/>
    <col min="22" max="22" width="18.640625" customWidth="1"/>
    <col min="23" max="23" width="21.140625" customWidth="1"/>
  </cols>
  <sheetData>
    <row r="2" spans="2:23">
      <c r="B2" t="s">
        <v>63</v>
      </c>
      <c r="L2">
        <f>'Decline and Model'!CH2</f>
        <v>0</v>
      </c>
      <c r="N2">
        <f>250/2</f>
        <v>125</v>
      </c>
    </row>
    <row r="3" spans="2:23">
      <c r="C3" t="s">
        <v>60</v>
      </c>
      <c r="D3" t="s">
        <v>65</v>
      </c>
      <c r="E3" s="98">
        <f>J5</f>
        <v>2343.4</v>
      </c>
      <c r="F3" t="s">
        <v>66</v>
      </c>
      <c r="G3" s="98">
        <v>1170</v>
      </c>
      <c r="H3" s="98">
        <v>249</v>
      </c>
      <c r="J3" t="s">
        <v>222</v>
      </c>
      <c r="K3" t="s">
        <v>306</v>
      </c>
      <c r="L3">
        <f>'Decline and Model'!CH3</f>
        <v>0</v>
      </c>
    </row>
    <row r="4" spans="2:23">
      <c r="C4" t="s">
        <v>61</v>
      </c>
      <c r="D4" t="s">
        <v>65</v>
      </c>
      <c r="E4" s="98">
        <f>J6</f>
        <v>3198.6</v>
      </c>
      <c r="F4" t="s">
        <v>66</v>
      </c>
      <c r="G4" s="98">
        <v>800</v>
      </c>
      <c r="J4">
        <v>5542</v>
      </c>
      <c r="K4" t="s">
        <v>223</v>
      </c>
      <c r="N4">
        <v>2000</v>
      </c>
    </row>
    <row r="5" spans="2:23">
      <c r="C5" t="s">
        <v>62</v>
      </c>
      <c r="D5" t="s">
        <v>87</v>
      </c>
      <c r="E5" s="248">
        <f>J7</f>
        <v>9520.5391938144021</v>
      </c>
      <c r="F5" t="s">
        <v>66</v>
      </c>
      <c r="G5" s="98">
        <v>0.6</v>
      </c>
      <c r="J5">
        <f>L5+$L$3*M5</f>
        <v>2343.4</v>
      </c>
      <c r="K5" t="s">
        <v>60</v>
      </c>
      <c r="L5">
        <v>2343.4</v>
      </c>
      <c r="M5">
        <v>500</v>
      </c>
      <c r="N5">
        <v>2343.4</v>
      </c>
      <c r="O5">
        <f>N5+500</f>
        <v>2843.4</v>
      </c>
      <c r="P5">
        <f t="shared" ref="P5:R5" si="0">O5+500</f>
        <v>3343.4</v>
      </c>
      <c r="Q5">
        <f t="shared" si="0"/>
        <v>3843.4</v>
      </c>
      <c r="R5">
        <f t="shared" si="0"/>
        <v>4343.3999999999996</v>
      </c>
    </row>
    <row r="6" spans="2:23" ht="16.3" thickBot="1">
      <c r="C6" t="s">
        <v>64</v>
      </c>
      <c r="D6" t="s">
        <v>59</v>
      </c>
      <c r="E6" s="253">
        <f>(E3-H3)*G3+E4*G4+E5*E3*G5</f>
        <v>18395586.928070799</v>
      </c>
      <c r="J6" s="98">
        <f t="shared" ref="J6" si="1">L6+$L$3*M6</f>
        <v>3198.6</v>
      </c>
      <c r="K6" t="s">
        <v>61</v>
      </c>
      <c r="L6">
        <v>3198.6</v>
      </c>
      <c r="M6">
        <v>500</v>
      </c>
      <c r="N6">
        <v>3198.6</v>
      </c>
      <c r="O6">
        <f>N6+500</f>
        <v>3698.6</v>
      </c>
      <c r="P6">
        <f t="shared" ref="P6:R6" si="2">O6+500</f>
        <v>4198.6000000000004</v>
      </c>
      <c r="Q6">
        <f t="shared" si="2"/>
        <v>4698.6000000000004</v>
      </c>
      <c r="R6">
        <f t="shared" si="2"/>
        <v>5198.6000000000004</v>
      </c>
    </row>
    <row r="7" spans="2:23">
      <c r="B7" t="s">
        <v>67</v>
      </c>
      <c r="J7" s="248">
        <f>J6*J9*J10*D37</f>
        <v>9520.5391938144021</v>
      </c>
      <c r="K7" t="s">
        <v>62</v>
      </c>
      <c r="L7">
        <f>L5+1000</f>
        <v>3343.4</v>
      </c>
      <c r="N7">
        <f>N6+500</f>
        <v>3698.6</v>
      </c>
      <c r="T7" s="266" t="s">
        <v>227</v>
      </c>
      <c r="U7" s="267" t="s">
        <v>244</v>
      </c>
    </row>
    <row r="8" spans="2:23">
      <c r="C8" t="s">
        <v>68</v>
      </c>
      <c r="D8" t="s">
        <v>65</v>
      </c>
      <c r="E8" s="98">
        <f>E3</f>
        <v>2343.4</v>
      </c>
      <c r="F8" t="s">
        <v>66</v>
      </c>
      <c r="G8" s="98">
        <v>3120</v>
      </c>
      <c r="H8" s="98">
        <v>2000</v>
      </c>
      <c r="L8">
        <f>L6+1000</f>
        <v>4198.6000000000004</v>
      </c>
      <c r="N8">
        <f t="shared" ref="N8:N11" si="3">N7+500</f>
        <v>4198.6000000000004</v>
      </c>
      <c r="T8" s="162">
        <v>500</v>
      </c>
      <c r="U8" s="163">
        <v>806756.15804113063</v>
      </c>
    </row>
    <row r="9" spans="2:23">
      <c r="C9" t="s">
        <v>143</v>
      </c>
      <c r="D9" t="s">
        <v>59</v>
      </c>
      <c r="E9" s="98">
        <f>(E8-H8)*G8</f>
        <v>1071408.0000000002</v>
      </c>
      <c r="I9" s="15">
        <f>I11*1.1023</f>
        <v>33.069000000000003</v>
      </c>
      <c r="J9" s="98">
        <v>3.2810000000000001</v>
      </c>
      <c r="K9" t="s">
        <v>220</v>
      </c>
      <c r="N9">
        <f t="shared" si="3"/>
        <v>4698.6000000000004</v>
      </c>
      <c r="T9" s="164">
        <v>1000</v>
      </c>
      <c r="U9" s="165">
        <v>1613512.3160822613</v>
      </c>
    </row>
    <row r="10" spans="2:23">
      <c r="C10" t="s">
        <v>144</v>
      </c>
      <c r="D10" t="s">
        <v>59</v>
      </c>
      <c r="E10" s="252">
        <f>E9+E6</f>
        <v>19466994.928070799</v>
      </c>
      <c r="F10">
        <f>L31*E10</f>
        <v>3140293.9549397705</v>
      </c>
      <c r="H10" s="15">
        <f>I10*I11</f>
        <v>314834.71060024848</v>
      </c>
      <c r="I10">
        <f>E5*1.1023</f>
        <v>10494.490353341616</v>
      </c>
      <c r="J10" s="98">
        <f>L10+$L$2*M10</f>
        <v>2000</v>
      </c>
      <c r="K10" t="s">
        <v>221</v>
      </c>
      <c r="L10">
        <v>2000</v>
      </c>
      <c r="M10">
        <v>250</v>
      </c>
      <c r="N10">
        <f t="shared" si="3"/>
        <v>5198.6000000000004</v>
      </c>
      <c r="T10" s="164">
        <v>1500</v>
      </c>
      <c r="U10" s="165">
        <v>2420268.4741233913</v>
      </c>
    </row>
    <row r="11" spans="2:23" ht="16.3" thickBot="1">
      <c r="C11">
        <v>2000</v>
      </c>
      <c r="D11" t="s">
        <v>221</v>
      </c>
      <c r="F11">
        <v>3.2810000000000001</v>
      </c>
      <c r="G11" t="s">
        <v>220</v>
      </c>
      <c r="H11">
        <f>20/0.78</f>
        <v>25.641025641025639</v>
      </c>
      <c r="I11" s="8">
        <v>30</v>
      </c>
      <c r="N11">
        <f t="shared" si="3"/>
        <v>5698.6</v>
      </c>
      <c r="T11" s="166">
        <v>2000</v>
      </c>
      <c r="U11" s="167">
        <v>3227024.6321645211</v>
      </c>
    </row>
    <row r="12" spans="2:23">
      <c r="C12" s="109" t="s">
        <v>147</v>
      </c>
      <c r="D12" s="109"/>
      <c r="E12" s="109"/>
      <c r="F12" s="109"/>
      <c r="H12" t="s">
        <v>318</v>
      </c>
      <c r="I12">
        <v>2000</v>
      </c>
      <c r="J12" t="s">
        <v>319</v>
      </c>
      <c r="T12" s="266" t="s">
        <v>229</v>
      </c>
      <c r="U12" s="267" t="s">
        <v>244</v>
      </c>
      <c r="V12" s="266" t="s">
        <v>300</v>
      </c>
      <c r="W12" s="267" t="s">
        <v>244</v>
      </c>
    </row>
    <row r="13" spans="2:23">
      <c r="D13" t="s">
        <v>148</v>
      </c>
      <c r="E13">
        <v>194</v>
      </c>
      <c r="F13">
        <f>E13/C45</f>
        <v>6855.1236749116615</v>
      </c>
      <c r="J13" s="12">
        <f>(K22-J22)*I16</f>
        <v>3140293.9549397705</v>
      </c>
      <c r="T13" s="156">
        <v>500</v>
      </c>
      <c r="U13" s="157">
        <v>402077.49582363648</v>
      </c>
      <c r="V13" s="168" t="s">
        <v>301</v>
      </c>
      <c r="W13" s="157">
        <v>1659567.9559373755</v>
      </c>
    </row>
    <row r="14" spans="2:23">
      <c r="D14" t="s">
        <v>79</v>
      </c>
      <c r="E14" s="98">
        <f>E13*6.28981</f>
        <v>1220.2231400000001</v>
      </c>
      <c r="H14" t="s">
        <v>234</v>
      </c>
      <c r="I14" t="s">
        <v>224</v>
      </c>
      <c r="N14" t="s">
        <v>235</v>
      </c>
      <c r="O14" t="s">
        <v>231</v>
      </c>
      <c r="T14" s="158">
        <v>1000</v>
      </c>
      <c r="U14" s="159">
        <v>804154.99164727237</v>
      </c>
      <c r="V14" s="169" t="s">
        <v>302</v>
      </c>
      <c r="W14" s="159">
        <v>3716768.5330088064</v>
      </c>
    </row>
    <row r="15" spans="2:23">
      <c r="H15" t="s">
        <v>227</v>
      </c>
      <c r="I15" t="s">
        <v>144</v>
      </c>
      <c r="J15" t="s">
        <v>230</v>
      </c>
      <c r="K15" t="s">
        <v>228</v>
      </c>
      <c r="L15" t="s">
        <v>244</v>
      </c>
      <c r="N15" t="s">
        <v>229</v>
      </c>
      <c r="O15" t="s">
        <v>144</v>
      </c>
      <c r="P15" t="s">
        <v>230</v>
      </c>
      <c r="Q15" t="s">
        <v>228</v>
      </c>
      <c r="R15" t="s">
        <v>244</v>
      </c>
      <c r="T15" s="158">
        <v>1500</v>
      </c>
      <c r="U15" s="159">
        <v>1206232.4874709088</v>
      </c>
      <c r="V15" s="158" t="s">
        <v>303</v>
      </c>
      <c r="W15" s="159">
        <v>6225618.1169869006</v>
      </c>
    </row>
    <row r="16" spans="2:23" ht="16.3" thickBot="1">
      <c r="H16" t="s">
        <v>238</v>
      </c>
      <c r="I16" s="7">
        <v>19466994.928070799</v>
      </c>
      <c r="J16" s="7"/>
      <c r="K16" s="7"/>
      <c r="L16" s="7">
        <f>SUM($K$16:K16)</f>
        <v>0</v>
      </c>
      <c r="M16" s="7"/>
      <c r="N16" t="s">
        <v>238</v>
      </c>
      <c r="O16" s="7">
        <v>19466994.928070799</v>
      </c>
      <c r="P16" s="7"/>
      <c r="Q16" s="7"/>
      <c r="R16" s="7">
        <f>SUM($Q$16:Q16)</f>
        <v>0</v>
      </c>
      <c r="S16" s="114" t="s">
        <v>246</v>
      </c>
      <c r="T16" s="160">
        <v>2000</v>
      </c>
      <c r="U16" s="161">
        <v>1608309.9832945447</v>
      </c>
      <c r="V16" s="160" t="s">
        <v>304</v>
      </c>
      <c r="W16" s="161">
        <v>9240133.0936442558</v>
      </c>
    </row>
    <row r="17" spans="3:22">
      <c r="H17">
        <v>500</v>
      </c>
      <c r="I17" s="7">
        <v>24468156.686215121</v>
      </c>
      <c r="J17" s="7">
        <f>I17-I16</f>
        <v>5001161.7581443228</v>
      </c>
      <c r="K17" s="7">
        <f>J17*($K$22-$J$22)</f>
        <v>806756.15804113063</v>
      </c>
      <c r="L17" s="7">
        <f>SUM($K$16:K17)</f>
        <v>806756.15804113063</v>
      </c>
      <c r="M17" s="7"/>
      <c r="N17">
        <v>500</v>
      </c>
      <c r="O17" s="7">
        <v>21959513.362396881</v>
      </c>
      <c r="P17" s="7">
        <f>O17-O16</f>
        <v>2492518.4343260825</v>
      </c>
      <c r="Q17" s="7">
        <f>P17*($K$22-$J$22)</f>
        <v>402077.49582363648</v>
      </c>
      <c r="R17" s="7">
        <f>SUM($Q$16:Q17)</f>
        <v>402077.49582363648</v>
      </c>
      <c r="S17" s="114" t="s">
        <v>245</v>
      </c>
      <c r="T17" s="266" t="s">
        <v>299</v>
      </c>
      <c r="U17" s="267" t="s">
        <v>244</v>
      </c>
    </row>
    <row r="18" spans="3:22">
      <c r="H18">
        <v>1000</v>
      </c>
      <c r="I18" s="7">
        <v>29469318.444359444</v>
      </c>
      <c r="J18" s="7">
        <f>I18-I17</f>
        <v>5001161.7581443228</v>
      </c>
      <c r="K18" s="7">
        <f t="shared" ref="K18:K20" si="4">J18*($K$22-$J$22)</f>
        <v>806756.15804113063</v>
      </c>
      <c r="L18" s="7">
        <f>SUM($K$16:K18)</f>
        <v>1613512.3160822613</v>
      </c>
      <c r="M18" s="7"/>
      <c r="N18">
        <v>1000</v>
      </c>
      <c r="O18" s="7">
        <v>24452031.79672296</v>
      </c>
      <c r="P18" s="7">
        <f>O18-O17</f>
        <v>2492518.4343260787</v>
      </c>
      <c r="Q18" s="7">
        <f t="shared" ref="Q18:Q20" si="5">P18*($K$22-$J$22)</f>
        <v>402077.49582363584</v>
      </c>
      <c r="R18" s="7">
        <f>SUM($Q$16:Q18)</f>
        <v>804154.99164727237</v>
      </c>
      <c r="S18" s="114" t="s">
        <v>247</v>
      </c>
      <c r="T18" s="156">
        <v>250</v>
      </c>
      <c r="U18" s="157">
        <v>269923.45342978108</v>
      </c>
    </row>
    <row r="19" spans="3:22">
      <c r="H19">
        <v>1500</v>
      </c>
      <c r="I19" s="7">
        <v>34470480.202503763</v>
      </c>
      <c r="J19" s="7">
        <f>I19-I18</f>
        <v>5001161.7581443191</v>
      </c>
      <c r="K19" s="7">
        <f t="shared" si="4"/>
        <v>806756.15804112994</v>
      </c>
      <c r="L19" s="7">
        <f>SUM($K$16:K19)</f>
        <v>2420268.4741233913</v>
      </c>
      <c r="M19" s="7"/>
      <c r="N19">
        <v>1500</v>
      </c>
      <c r="O19" s="7">
        <v>26944550.231049042</v>
      </c>
      <c r="P19" s="7">
        <f>O19-O18</f>
        <v>2492518.4343260825</v>
      </c>
      <c r="Q19" s="7">
        <f t="shared" si="5"/>
        <v>402077.49582363648</v>
      </c>
      <c r="R19" s="7">
        <f>SUM($Q$16:Q19)</f>
        <v>1206232.4874709088</v>
      </c>
      <c r="S19" s="114" t="s">
        <v>248</v>
      </c>
      <c r="T19" s="158">
        <v>500</v>
      </c>
      <c r="U19" s="159">
        <v>539846.90685956331</v>
      </c>
    </row>
    <row r="20" spans="3:22">
      <c r="H20">
        <v>2000</v>
      </c>
      <c r="I20" s="7">
        <v>39471641.960648082</v>
      </c>
      <c r="J20" s="7">
        <f>I20-I19</f>
        <v>5001161.7581443191</v>
      </c>
      <c r="K20" s="7">
        <f t="shared" si="4"/>
        <v>806756.15804112994</v>
      </c>
      <c r="L20" s="7">
        <f>SUM($K$16:K20)</f>
        <v>3227024.6321645211</v>
      </c>
      <c r="M20" s="7"/>
      <c r="N20">
        <v>2000</v>
      </c>
      <c r="O20" s="7">
        <v>29437068.665375121</v>
      </c>
      <c r="P20" s="7">
        <f>O20-O19</f>
        <v>2492518.4343260787</v>
      </c>
      <c r="Q20" s="7">
        <f t="shared" si="5"/>
        <v>402077.49582363584</v>
      </c>
      <c r="R20" s="7">
        <f>SUM($Q$16:Q20)</f>
        <v>1608309.9832945447</v>
      </c>
      <c r="S20" s="114" t="s">
        <v>249</v>
      </c>
      <c r="T20" s="158">
        <v>750</v>
      </c>
      <c r="U20" s="159">
        <v>809770.36028934433</v>
      </c>
    </row>
    <row r="21" spans="3:22" ht="16.3" thickBot="1">
      <c r="J21" t="s">
        <v>225</v>
      </c>
      <c r="K21" t="s">
        <v>226</v>
      </c>
      <c r="P21" t="s">
        <v>225</v>
      </c>
      <c r="Q21" t="s">
        <v>226</v>
      </c>
      <c r="T21" s="160">
        <v>1000</v>
      </c>
      <c r="U21" s="161">
        <v>1079693.8137191255</v>
      </c>
    </row>
    <row r="22" spans="3:22">
      <c r="J22">
        <v>0.05</v>
      </c>
      <c r="K22" s="144">
        <v>0.21131375009563316</v>
      </c>
      <c r="P22">
        <v>0.05</v>
      </c>
      <c r="Q22" s="144">
        <v>0.21131375009563316</v>
      </c>
    </row>
    <row r="23" spans="3:22">
      <c r="H23" t="s">
        <v>236</v>
      </c>
      <c r="I23" t="s">
        <v>232</v>
      </c>
      <c r="N23" t="s">
        <v>237</v>
      </c>
      <c r="O23" t="s">
        <v>240</v>
      </c>
    </row>
    <row r="24" spans="3:22">
      <c r="H24" t="s">
        <v>233</v>
      </c>
      <c r="I24" t="s">
        <v>144</v>
      </c>
      <c r="J24" t="s">
        <v>230</v>
      </c>
      <c r="K24" t="s">
        <v>228</v>
      </c>
      <c r="L24" t="s">
        <v>244</v>
      </c>
      <c r="N24" t="s">
        <v>241</v>
      </c>
      <c r="O24" t="s">
        <v>144</v>
      </c>
      <c r="P24" t="s">
        <v>230</v>
      </c>
      <c r="Q24" t="s">
        <v>228</v>
      </c>
      <c r="R24" t="s">
        <v>242</v>
      </c>
      <c r="S24" t="s">
        <v>243</v>
      </c>
      <c r="T24" t="s">
        <v>244</v>
      </c>
      <c r="U24" t="s">
        <v>250</v>
      </c>
      <c r="V24" t="s">
        <v>251</v>
      </c>
    </row>
    <row r="25" spans="3:22">
      <c r="H25" t="s">
        <v>238</v>
      </c>
      <c r="I25">
        <v>19466994.928070799</v>
      </c>
      <c r="J25" s="7"/>
      <c r="K25" s="7"/>
      <c r="L25" s="7">
        <f>SUM($K$25:K25)</f>
        <v>0</v>
      </c>
      <c r="N25" t="s">
        <v>238</v>
      </c>
      <c r="O25" s="7">
        <v>19466994.928070799</v>
      </c>
      <c r="T25" s="7">
        <f>SUM($Q$25:Q25)</f>
        <v>0</v>
      </c>
      <c r="U25" s="11">
        <f>SUM($R$25:R25)</f>
        <v>0</v>
      </c>
      <c r="V25" s="7">
        <f>SUM($S$25:S25)</f>
        <v>0</v>
      </c>
    </row>
    <row r="26" spans="3:22">
      <c r="H26">
        <v>250</v>
      </c>
      <c r="I26">
        <v>21140277.294079646</v>
      </c>
      <c r="J26" s="7">
        <f>I26-I25</f>
        <v>1673282.366008848</v>
      </c>
      <c r="K26" s="7">
        <f>J26*($K$22-$J$22)</f>
        <v>269923.45342978108</v>
      </c>
      <c r="L26" s="7">
        <f>SUM($K$25:K26)</f>
        <v>269923.45342978108</v>
      </c>
      <c r="N26" t="s">
        <v>239</v>
      </c>
      <c r="O26" s="7">
        <v>29754821.941908851</v>
      </c>
      <c r="P26" s="7">
        <f>O26-O25</f>
        <v>10287827.013838053</v>
      </c>
      <c r="Q26" s="7">
        <f>P26*($K$22-$J$22)</f>
        <v>1659567.9559373755</v>
      </c>
      <c r="R26" s="11">
        <f>Q17+K17+K26</f>
        <v>1478757.1072945483</v>
      </c>
      <c r="S26" s="11">
        <f>Q26-R26</f>
        <v>180810.84864282724</v>
      </c>
      <c r="T26" s="7">
        <f>SUM($Q$25:Q26)</f>
        <v>1659567.9559373755</v>
      </c>
      <c r="U26" s="11">
        <f>SUM($R$25:R26)</f>
        <v>1478757.1072945483</v>
      </c>
      <c r="V26" s="7">
        <f>SUM($S$25:S26)</f>
        <v>180810.84864282724</v>
      </c>
    </row>
    <row r="27" spans="3:22">
      <c r="H27">
        <v>500</v>
      </c>
      <c r="I27">
        <v>22813559.660088502</v>
      </c>
      <c r="J27" s="7">
        <f>I27-I26</f>
        <v>1673282.3660088554</v>
      </c>
      <c r="K27" s="7">
        <f t="shared" ref="K27:K29" si="6">J27*($K$22-$J$22)</f>
        <v>269923.45342978224</v>
      </c>
      <c r="L27" s="7">
        <f>SUM($K$25:K27)</f>
        <v>539846.90685956331</v>
      </c>
      <c r="N27" t="s">
        <v>239</v>
      </c>
      <c r="O27" s="7">
        <v>42507613.169264495</v>
      </c>
      <c r="P27" s="7">
        <f>O27-O26</f>
        <v>12752791.227355644</v>
      </c>
      <c r="Q27" s="7">
        <f t="shared" ref="Q27:Q29" si="7">P27*($K$22-$J$22)</f>
        <v>2057200.5770714311</v>
      </c>
      <c r="R27" s="11">
        <f t="shared" ref="R27:R29" si="8">Q18+K18+K27</f>
        <v>1478757.1072945488</v>
      </c>
      <c r="S27" s="11">
        <f t="shared" ref="S27:S29" si="9">Q27-R27</f>
        <v>578443.46977688232</v>
      </c>
      <c r="T27" s="7">
        <f>SUM($Q$25:Q27)</f>
        <v>3716768.5330088064</v>
      </c>
      <c r="U27" s="11">
        <f>SUM($R$25:R27)</f>
        <v>2957514.2145890971</v>
      </c>
      <c r="V27" s="7">
        <f>SUM($S$25:S27)</f>
        <v>759254.31841970957</v>
      </c>
    </row>
    <row r="28" spans="3:22">
      <c r="H28">
        <v>750</v>
      </c>
      <c r="I28">
        <v>24486842.02609735</v>
      </c>
      <c r="J28" s="7">
        <f>I28-I27</f>
        <v>1673282.366008848</v>
      </c>
      <c r="K28" s="7">
        <f t="shared" si="6"/>
        <v>269923.45342978108</v>
      </c>
      <c r="L28" s="7">
        <f>SUM($K$25:K28)</f>
        <v>809770.36028934433</v>
      </c>
      <c r="N28" t="s">
        <v>239</v>
      </c>
      <c r="O28" s="7">
        <v>58060221.564337753</v>
      </c>
      <c r="P28" s="7">
        <f>O28-O27</f>
        <v>15552608.395073257</v>
      </c>
      <c r="Q28" s="7">
        <f t="shared" si="7"/>
        <v>2508849.5839780937</v>
      </c>
      <c r="R28" s="11">
        <f t="shared" si="8"/>
        <v>1478757.1072945476</v>
      </c>
      <c r="S28" s="11">
        <f t="shared" si="9"/>
        <v>1030092.4766835461</v>
      </c>
      <c r="T28" s="7">
        <f>SUM($Q$25:Q28)</f>
        <v>6225618.1169869006</v>
      </c>
      <c r="U28" s="11">
        <f>SUM($R$25:R28)</f>
        <v>4436271.3218836449</v>
      </c>
      <c r="V28" s="7">
        <f>SUM($S$25:S28)</f>
        <v>1789346.7951032557</v>
      </c>
    </row>
    <row r="29" spans="3:22">
      <c r="C29" t="s">
        <v>70</v>
      </c>
      <c r="D29" t="s">
        <v>69</v>
      </c>
      <c r="E29">
        <v>40</v>
      </c>
      <c r="H29">
        <v>1000</v>
      </c>
      <c r="I29">
        <v>26160124.392106198</v>
      </c>
      <c r="J29" s="7">
        <f>I29-I28</f>
        <v>1673282.366008848</v>
      </c>
      <c r="K29" s="7">
        <f t="shared" si="6"/>
        <v>269923.45342978108</v>
      </c>
      <c r="L29" s="7">
        <f>SUM($K$25:K29)</f>
        <v>1079693.8137191255</v>
      </c>
      <c r="N29" t="s">
        <v>239</v>
      </c>
      <c r="O29" s="7">
        <v>76747500.081328601</v>
      </c>
      <c r="P29" s="7">
        <f>O29-O28</f>
        <v>18687278.516990848</v>
      </c>
      <c r="Q29" s="7">
        <f t="shared" si="7"/>
        <v>3014514.9766573557</v>
      </c>
      <c r="R29" s="11">
        <f t="shared" si="8"/>
        <v>1478757.1072945469</v>
      </c>
      <c r="S29" s="11">
        <f t="shared" si="9"/>
        <v>1535757.8693628088</v>
      </c>
      <c r="T29" s="7">
        <f>SUM($Q$25:Q29)</f>
        <v>9240133.0936442558</v>
      </c>
      <c r="U29" s="11">
        <f>SUM($R$25:R29)</f>
        <v>5915028.4291781913</v>
      </c>
      <c r="V29" s="7">
        <f>SUM($S$25:S29)</f>
        <v>3325104.6644660644</v>
      </c>
    </row>
    <row r="30" spans="3:22">
      <c r="D30" t="s">
        <v>79</v>
      </c>
      <c r="E30">
        <f>E29*D39</f>
        <v>1216.8000000000002</v>
      </c>
      <c r="J30" t="s">
        <v>225</v>
      </c>
      <c r="K30" t="s">
        <v>226</v>
      </c>
      <c r="P30" t="s">
        <v>225</v>
      </c>
      <c r="Q30" t="s">
        <v>226</v>
      </c>
    </row>
    <row r="31" spans="3:22">
      <c r="D31" t="s">
        <v>80</v>
      </c>
      <c r="E31">
        <f>E34/E30</f>
        <v>10.023418392504929</v>
      </c>
      <c r="J31">
        <v>0.05</v>
      </c>
      <c r="K31" s="144">
        <v>0.21131375009563316</v>
      </c>
      <c r="L31" s="144">
        <f>K31-J31</f>
        <v>0.16131375009563315</v>
      </c>
      <c r="P31">
        <v>0.05</v>
      </c>
      <c r="Q31" s="144">
        <v>0.21131375009563316</v>
      </c>
    </row>
    <row r="32" spans="3:22">
      <c r="C32" t="s">
        <v>71</v>
      </c>
      <c r="D32" t="s">
        <v>75</v>
      </c>
      <c r="E32">
        <v>345.5</v>
      </c>
      <c r="F32" t="s">
        <v>76</v>
      </c>
    </row>
    <row r="33" spans="3:18">
      <c r="D33" t="s">
        <v>72</v>
      </c>
      <c r="E33">
        <f>E32*1000</f>
        <v>345500</v>
      </c>
      <c r="F33" t="s">
        <v>76</v>
      </c>
      <c r="R33" s="144">
        <f>Q31-P31</f>
        <v>0.16131375009563315</v>
      </c>
    </row>
    <row r="34" spans="3:18">
      <c r="D34" t="s">
        <v>74</v>
      </c>
      <c r="E34">
        <f>E33*C43</f>
        <v>12196.495499999999</v>
      </c>
      <c r="F34" t="s">
        <v>76</v>
      </c>
      <c r="R34">
        <v>0.16131375009563315</v>
      </c>
    </row>
    <row r="35" spans="3:18">
      <c r="D35" t="s">
        <v>146</v>
      </c>
      <c r="E35">
        <f>E33/6.28981</f>
        <v>54930.117125954523</v>
      </c>
      <c r="F35" t="s">
        <v>76</v>
      </c>
    </row>
    <row r="37" spans="3:18">
      <c r="C37" t="s">
        <v>88</v>
      </c>
      <c r="D37">
        <v>4.53592E-4</v>
      </c>
    </row>
    <row r="39" spans="3:18">
      <c r="C39" t="s">
        <v>78</v>
      </c>
      <c r="D39">
        <v>30.42</v>
      </c>
    </row>
    <row r="41" spans="3:18">
      <c r="C41">
        <v>1</v>
      </c>
      <c r="D41" t="s">
        <v>72</v>
      </c>
    </row>
    <row r="42" spans="3:18">
      <c r="C42">
        <v>35.301000000000002</v>
      </c>
      <c r="D42" t="s">
        <v>73</v>
      </c>
    </row>
    <row r="43" spans="3:18">
      <c r="C43">
        <f>C42/1000</f>
        <v>3.5300999999999999E-2</v>
      </c>
      <c r="D43" t="s">
        <v>77</v>
      </c>
    </row>
    <row r="45" spans="3:18">
      <c r="C45">
        <v>2.8299999999999999E-2</v>
      </c>
      <c r="D45" t="s">
        <v>81</v>
      </c>
      <c r="E45" t="s">
        <v>82</v>
      </c>
    </row>
    <row r="46" spans="3:18">
      <c r="C46">
        <f>E33/C45</f>
        <v>12208480.565371025</v>
      </c>
      <c r="D46" t="s">
        <v>83</v>
      </c>
      <c r="E46" t="s">
        <v>82</v>
      </c>
    </row>
    <row r="47" spans="3:18">
      <c r="C47">
        <f>C46/1000</f>
        <v>12208.480565371025</v>
      </c>
      <c r="D47" t="s">
        <v>84</v>
      </c>
      <c r="E47" t="s">
        <v>82</v>
      </c>
    </row>
    <row r="48" spans="3:18">
      <c r="C48">
        <f>C47/D39</f>
        <v>401.33072207005335</v>
      </c>
      <c r="D48" t="s">
        <v>85</v>
      </c>
      <c r="E48" t="s">
        <v>82</v>
      </c>
    </row>
    <row r="49" spans="3:6">
      <c r="C49">
        <f>C48/E29</f>
        <v>10.033268051751334</v>
      </c>
      <c r="D49" t="s">
        <v>80</v>
      </c>
      <c r="E49" t="s">
        <v>82</v>
      </c>
      <c r="F49" t="s">
        <v>86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P97"/>
  <sheetViews>
    <sheetView topLeftCell="A13" zoomScale="85" zoomScaleNormal="85" zoomScaleSheetLayoutView="70" workbookViewId="0">
      <selection activeCell="H23" sqref="H23"/>
    </sheetView>
  </sheetViews>
  <sheetFormatPr defaultColWidth="9" defaultRowHeight="14.6"/>
  <cols>
    <col min="1" max="1" width="1.85546875" style="27" customWidth="1"/>
    <col min="2" max="2" width="15.140625" style="27" customWidth="1"/>
    <col min="3" max="15" width="10.35546875" style="27" customWidth="1"/>
    <col min="16" max="16" width="2" style="27" customWidth="1"/>
    <col min="17" max="16384" width="9" style="27"/>
  </cols>
  <sheetData>
    <row r="1" spans="1:16" ht="15.4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.4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 t="s">
        <v>8</v>
      </c>
      <c r="P2" s="31"/>
    </row>
    <row r="3" spans="1:16" ht="25.3">
      <c r="A3" s="28"/>
      <c r="B3" s="32" t="s">
        <v>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31"/>
    </row>
    <row r="4" spans="1:16" ht="20.149999999999999">
      <c r="A4" s="28"/>
      <c r="B4" s="35" t="s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1"/>
    </row>
    <row r="5" spans="1:16" ht="20.149999999999999">
      <c r="A5" s="28"/>
      <c r="B5" s="36" t="s">
        <v>92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1"/>
    </row>
    <row r="6" spans="1:16" ht="15.45">
      <c r="A6" s="28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9"/>
      <c r="P6" s="31"/>
    </row>
    <row r="7" spans="1:16" ht="15.45">
      <c r="A7" s="2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29"/>
      <c r="P7" s="31"/>
    </row>
    <row r="8" spans="1:16" ht="15.45">
      <c r="A8" s="2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29"/>
      <c r="P8" s="31"/>
    </row>
    <row r="9" spans="1:16" ht="15.45">
      <c r="A9" s="28"/>
      <c r="B9" s="37"/>
      <c r="C9" s="37"/>
      <c r="D9" s="37"/>
      <c r="E9" s="37"/>
      <c r="F9" s="37"/>
      <c r="G9" s="37"/>
      <c r="H9" s="37"/>
      <c r="I9" s="37"/>
      <c r="J9" s="39"/>
      <c r="K9" s="39"/>
      <c r="L9" s="37"/>
      <c r="M9" s="37"/>
      <c r="N9" s="37"/>
      <c r="O9" s="29"/>
      <c r="P9" s="31"/>
    </row>
    <row r="10" spans="1:16" ht="15.45">
      <c r="A10" s="28"/>
      <c r="B10" s="40"/>
      <c r="C10" s="40"/>
      <c r="D10" s="41"/>
      <c r="E10" s="39"/>
      <c r="F10" s="42" t="s">
        <v>11</v>
      </c>
      <c r="G10" s="42" t="s">
        <v>12</v>
      </c>
      <c r="H10" s="40"/>
      <c r="I10" s="39" t="s">
        <v>13</v>
      </c>
      <c r="J10" s="39" t="s">
        <v>14</v>
      </c>
      <c r="K10" s="39"/>
      <c r="L10" s="40"/>
      <c r="M10" s="40"/>
      <c r="N10" s="40"/>
      <c r="O10" s="43"/>
      <c r="P10" s="31"/>
    </row>
    <row r="11" spans="1:16" ht="15.45">
      <c r="A11" s="28"/>
      <c r="B11" s="40"/>
      <c r="C11" s="39" t="s">
        <v>15</v>
      </c>
      <c r="D11" s="39" t="s">
        <v>16</v>
      </c>
      <c r="E11" s="39" t="s">
        <v>14</v>
      </c>
      <c r="F11" s="42" t="s">
        <v>17</v>
      </c>
      <c r="G11" s="42" t="s">
        <v>18</v>
      </c>
      <c r="H11" s="39" t="s">
        <v>11</v>
      </c>
      <c r="I11" s="39" t="s">
        <v>19</v>
      </c>
      <c r="J11" s="39" t="s">
        <v>20</v>
      </c>
      <c r="K11" s="39"/>
      <c r="L11" s="39"/>
      <c r="M11" s="39"/>
      <c r="N11" s="40"/>
      <c r="O11" s="44" t="s">
        <v>21</v>
      </c>
      <c r="P11" s="31"/>
    </row>
    <row r="12" spans="1:16" ht="15.45">
      <c r="A12" s="28"/>
      <c r="B12" s="40"/>
      <c r="C12" s="39" t="s">
        <v>22</v>
      </c>
      <c r="D12" s="39" t="s">
        <v>22</v>
      </c>
      <c r="E12" s="39" t="s">
        <v>23</v>
      </c>
      <c r="F12" s="42" t="s">
        <v>24</v>
      </c>
      <c r="G12" s="42" t="s">
        <v>25</v>
      </c>
      <c r="H12" s="39" t="s">
        <v>26</v>
      </c>
      <c r="I12" s="39" t="s">
        <v>27</v>
      </c>
      <c r="J12" s="39" t="s">
        <v>28</v>
      </c>
      <c r="K12" s="39" t="s">
        <v>14</v>
      </c>
      <c r="L12" s="39" t="s">
        <v>14</v>
      </c>
      <c r="M12" s="39" t="s">
        <v>14</v>
      </c>
      <c r="N12" s="40"/>
      <c r="O12" s="44" t="s">
        <v>29</v>
      </c>
      <c r="P12" s="31"/>
    </row>
    <row r="13" spans="1:16" ht="15.9">
      <c r="A13" s="28"/>
      <c r="B13" s="40"/>
      <c r="C13" s="39" t="s">
        <v>218</v>
      </c>
      <c r="D13" s="39" t="s">
        <v>30</v>
      </c>
      <c r="E13" s="39" t="s">
        <v>104</v>
      </c>
      <c r="F13" s="42" t="s">
        <v>103</v>
      </c>
      <c r="G13" s="42" t="s">
        <v>31</v>
      </c>
      <c r="H13" s="39" t="s">
        <v>31</v>
      </c>
      <c r="I13" s="39" t="s">
        <v>31</v>
      </c>
      <c r="J13" t="s">
        <v>58</v>
      </c>
      <c r="K13" s="39" t="s">
        <v>56</v>
      </c>
      <c r="L13" s="39" t="s">
        <v>32</v>
      </c>
      <c r="M13" s="39" t="s">
        <v>33</v>
      </c>
      <c r="N13" s="39" t="s">
        <v>34</v>
      </c>
      <c r="O13" s="44" t="s">
        <v>120</v>
      </c>
      <c r="P13" s="31"/>
    </row>
    <row r="14" spans="1:16" ht="15.45">
      <c r="A14" s="28"/>
      <c r="B14" s="45" t="s">
        <v>0</v>
      </c>
      <c r="C14" s="45" t="s">
        <v>35</v>
      </c>
      <c r="D14" s="45" t="s">
        <v>35</v>
      </c>
      <c r="E14" s="45" t="s">
        <v>36</v>
      </c>
      <c r="F14" s="46" t="s">
        <v>36</v>
      </c>
      <c r="G14" s="46" t="s">
        <v>36</v>
      </c>
      <c r="H14" s="45" t="s">
        <v>36</v>
      </c>
      <c r="I14" s="45" t="s">
        <v>36</v>
      </c>
      <c r="J14" s="45" t="s">
        <v>37</v>
      </c>
      <c r="K14" s="45" t="s">
        <v>37</v>
      </c>
      <c r="L14" s="45" t="s">
        <v>37</v>
      </c>
      <c r="M14" s="45" t="s">
        <v>37</v>
      </c>
      <c r="N14" s="45" t="s">
        <v>38</v>
      </c>
      <c r="O14" s="47" t="s">
        <v>39</v>
      </c>
      <c r="P14" s="31"/>
    </row>
    <row r="15" spans="1:16" ht="15.45">
      <c r="A15" s="28"/>
      <c r="B15" s="48"/>
      <c r="C15" s="49" t="s">
        <v>93</v>
      </c>
      <c r="D15" s="49" t="s">
        <v>94</v>
      </c>
      <c r="E15" s="49" t="s">
        <v>95</v>
      </c>
      <c r="F15" s="50" t="s">
        <v>96</v>
      </c>
      <c r="G15" s="50" t="s">
        <v>97</v>
      </c>
      <c r="H15" s="50" t="s">
        <v>98</v>
      </c>
      <c r="I15" s="50" t="s">
        <v>99</v>
      </c>
      <c r="J15" s="51"/>
      <c r="K15" s="51"/>
      <c r="L15" s="51"/>
      <c r="M15" s="51"/>
      <c r="N15" s="48"/>
      <c r="O15" s="52"/>
      <c r="P15" s="31"/>
    </row>
    <row r="16" spans="1:16" ht="15.45">
      <c r="A16" s="28"/>
      <c r="B16" s="37"/>
      <c r="C16" s="37"/>
      <c r="D16" s="41"/>
      <c r="E16" s="37"/>
      <c r="F16" s="53"/>
      <c r="G16" s="37"/>
      <c r="H16" s="37"/>
      <c r="I16" s="37"/>
      <c r="J16" s="37"/>
      <c r="K16" s="37"/>
      <c r="L16" s="37"/>
      <c r="M16" s="37"/>
      <c r="N16" s="37"/>
      <c r="O16" s="29"/>
      <c r="P16" s="31"/>
    </row>
    <row r="17" spans="1:16" ht="15.45">
      <c r="A17" s="28"/>
      <c r="B17" s="54" t="s">
        <v>40</v>
      </c>
      <c r="C17" s="55"/>
      <c r="D17" s="41"/>
      <c r="E17" s="55"/>
      <c r="F17" s="56"/>
      <c r="G17" s="55"/>
      <c r="H17" s="55"/>
      <c r="I17" s="55"/>
      <c r="J17" s="55"/>
      <c r="K17" s="55"/>
      <c r="L17" s="55"/>
      <c r="M17" s="55"/>
      <c r="N17" s="55"/>
      <c r="O17" s="57"/>
      <c r="P17" s="31"/>
    </row>
    <row r="18" spans="1:16" s="64" customFormat="1" ht="15.45">
      <c r="A18" s="28"/>
      <c r="B18" s="58">
        <v>1987</v>
      </c>
      <c r="C18" s="59">
        <v>19.3</v>
      </c>
      <c r="D18" s="60"/>
      <c r="E18" s="59">
        <v>24.3</v>
      </c>
      <c r="F18" s="61">
        <v>20.79</v>
      </c>
      <c r="G18" s="59"/>
      <c r="H18" s="59"/>
      <c r="I18" s="59"/>
      <c r="J18" s="59">
        <v>23.8</v>
      </c>
      <c r="K18" s="59"/>
      <c r="L18" s="59">
        <v>9.98</v>
      </c>
      <c r="M18" s="59">
        <v>16.8</v>
      </c>
      <c r="N18" s="62"/>
      <c r="O18" s="63">
        <v>0.755</v>
      </c>
      <c r="P18" s="31"/>
    </row>
    <row r="19" spans="1:16" s="64" customFormat="1" ht="15.45">
      <c r="A19" s="28"/>
      <c r="B19" s="58">
        <v>1988</v>
      </c>
      <c r="C19" s="59">
        <v>16</v>
      </c>
      <c r="D19" s="60"/>
      <c r="E19" s="59">
        <v>18.7</v>
      </c>
      <c r="F19" s="61">
        <v>14.41</v>
      </c>
      <c r="G19" s="59"/>
      <c r="H19" s="59"/>
      <c r="I19" s="59"/>
      <c r="J19" s="59">
        <v>18.3</v>
      </c>
      <c r="K19" s="59"/>
      <c r="L19" s="59">
        <v>8.19</v>
      </c>
      <c r="M19" s="59">
        <v>12.95</v>
      </c>
      <c r="N19" s="62"/>
      <c r="O19" s="63">
        <v>0.81200000000000006</v>
      </c>
      <c r="P19" s="31"/>
    </row>
    <row r="20" spans="1:16" s="64" customFormat="1" ht="15.45">
      <c r="A20" s="28"/>
      <c r="B20" s="58">
        <v>1989</v>
      </c>
      <c r="C20" s="59">
        <v>19.600000000000001</v>
      </c>
      <c r="D20" s="60"/>
      <c r="E20" s="59">
        <v>22.2</v>
      </c>
      <c r="F20" s="61">
        <v>18.09</v>
      </c>
      <c r="G20" s="59"/>
      <c r="H20" s="59"/>
      <c r="I20" s="59"/>
      <c r="J20" s="59">
        <v>21.8</v>
      </c>
      <c r="K20" s="59"/>
      <c r="L20" s="59">
        <v>8.14</v>
      </c>
      <c r="M20" s="59">
        <v>10.35</v>
      </c>
      <c r="N20" s="62"/>
      <c r="O20" s="63">
        <v>0.84399999999999997</v>
      </c>
      <c r="P20" s="31"/>
    </row>
    <row r="21" spans="1:16" s="64" customFormat="1" ht="15.45">
      <c r="A21" s="28"/>
      <c r="B21" s="58">
        <v>1990</v>
      </c>
      <c r="C21" s="59">
        <v>24.5</v>
      </c>
      <c r="D21" s="60"/>
      <c r="E21" s="59">
        <v>27.6</v>
      </c>
      <c r="F21" s="61">
        <v>21.06</v>
      </c>
      <c r="G21" s="59"/>
      <c r="H21" s="59">
        <v>16</v>
      </c>
      <c r="I21" s="59"/>
      <c r="J21" s="59">
        <v>27</v>
      </c>
      <c r="K21" s="59"/>
      <c r="L21" s="59">
        <v>13.67</v>
      </c>
      <c r="M21" s="59">
        <v>16.21</v>
      </c>
      <c r="N21" s="62"/>
      <c r="O21" s="63">
        <v>0.85699999999999998</v>
      </c>
      <c r="P21" s="31"/>
    </row>
    <row r="22" spans="1:16" s="64" customFormat="1" ht="15.45">
      <c r="A22" s="28"/>
      <c r="B22" s="58">
        <v>1991</v>
      </c>
      <c r="C22" s="59">
        <v>21.4</v>
      </c>
      <c r="D22" s="60"/>
      <c r="E22" s="59">
        <v>23.4</v>
      </c>
      <c r="F22" s="61">
        <v>15.07</v>
      </c>
      <c r="G22" s="59"/>
      <c r="H22" s="59">
        <v>9.0500000000000007</v>
      </c>
      <c r="I22" s="59"/>
      <c r="J22" s="59">
        <v>22.9</v>
      </c>
      <c r="K22" s="59"/>
      <c r="L22" s="59">
        <v>11.91</v>
      </c>
      <c r="M22" s="59">
        <v>15.25</v>
      </c>
      <c r="N22" s="62"/>
      <c r="O22" s="63">
        <v>0.873</v>
      </c>
      <c r="P22" s="31"/>
    </row>
    <row r="23" spans="1:16" s="64" customFormat="1" ht="24.75" customHeight="1">
      <c r="A23" s="28"/>
      <c r="B23" s="58">
        <v>1992</v>
      </c>
      <c r="C23" s="59">
        <v>20.55</v>
      </c>
      <c r="D23" s="60"/>
      <c r="E23" s="59">
        <v>23.5</v>
      </c>
      <c r="F23" s="61">
        <v>17.52</v>
      </c>
      <c r="G23" s="59"/>
      <c r="H23" s="59">
        <v>12.95</v>
      </c>
      <c r="I23" s="59"/>
      <c r="J23" s="59">
        <v>23</v>
      </c>
      <c r="K23" s="59"/>
      <c r="L23" s="59">
        <v>10.55</v>
      </c>
      <c r="M23" s="59">
        <v>14.05</v>
      </c>
      <c r="N23" s="62"/>
      <c r="O23" s="63">
        <v>0.82800000000000007</v>
      </c>
      <c r="P23" s="31"/>
    </row>
    <row r="24" spans="1:16" s="64" customFormat="1" ht="15.45">
      <c r="A24" s="28"/>
      <c r="B24" s="58">
        <v>1993</v>
      </c>
      <c r="C24" s="59">
        <v>18.600000000000001</v>
      </c>
      <c r="D24" s="60"/>
      <c r="E24" s="59">
        <v>21.9</v>
      </c>
      <c r="F24" s="61">
        <v>16.7</v>
      </c>
      <c r="G24" s="59"/>
      <c r="H24" s="59">
        <v>13.3</v>
      </c>
      <c r="I24" s="59"/>
      <c r="J24" s="59">
        <v>21.5</v>
      </c>
      <c r="K24" s="59"/>
      <c r="L24" s="59">
        <v>14.1</v>
      </c>
      <c r="M24" s="59">
        <v>13.55</v>
      </c>
      <c r="N24" s="62"/>
      <c r="O24" s="63">
        <v>0.77500000000000002</v>
      </c>
      <c r="P24" s="31"/>
    </row>
    <row r="25" spans="1:16" s="64" customFormat="1" ht="15.45">
      <c r="A25" s="28"/>
      <c r="B25" s="65">
        <v>1994</v>
      </c>
      <c r="C25" s="59">
        <v>17.2</v>
      </c>
      <c r="D25" s="60"/>
      <c r="E25" s="59">
        <v>22.2</v>
      </c>
      <c r="F25" s="61">
        <v>18.43</v>
      </c>
      <c r="G25" s="59"/>
      <c r="H25" s="59">
        <v>15</v>
      </c>
      <c r="I25" s="59"/>
      <c r="J25" s="59">
        <v>21.75</v>
      </c>
      <c r="K25" s="59"/>
      <c r="L25" s="59">
        <v>12.5</v>
      </c>
      <c r="M25" s="59">
        <v>13.45</v>
      </c>
      <c r="N25" s="62"/>
      <c r="O25" s="63">
        <v>0.73199999999999998</v>
      </c>
      <c r="P25" s="31"/>
    </row>
    <row r="26" spans="1:16" s="64" customFormat="1" ht="15.45">
      <c r="A26" s="28"/>
      <c r="B26" s="65">
        <v>1995</v>
      </c>
      <c r="C26" s="59">
        <v>18.45</v>
      </c>
      <c r="D26" s="60"/>
      <c r="E26" s="59">
        <v>24.25</v>
      </c>
      <c r="F26" s="61">
        <v>20.8</v>
      </c>
      <c r="G26" s="59"/>
      <c r="H26" s="59">
        <v>17.25</v>
      </c>
      <c r="I26" s="59"/>
      <c r="J26" s="59">
        <v>23.76</v>
      </c>
      <c r="K26" s="59"/>
      <c r="L26" s="59">
        <v>13.9</v>
      </c>
      <c r="M26" s="59">
        <v>13.8</v>
      </c>
      <c r="N26" s="62"/>
      <c r="O26" s="63">
        <v>0.72899999999999998</v>
      </c>
      <c r="P26" s="31"/>
    </row>
    <row r="27" spans="1:16" s="64" customFormat="1" ht="15.45">
      <c r="A27" s="28"/>
      <c r="B27" s="58">
        <v>1996</v>
      </c>
      <c r="C27" s="59">
        <v>22.1</v>
      </c>
      <c r="D27" s="59"/>
      <c r="E27" s="59">
        <v>29.35</v>
      </c>
      <c r="F27" s="61">
        <v>25.11</v>
      </c>
      <c r="G27" s="59"/>
      <c r="H27" s="59">
        <v>20.05</v>
      </c>
      <c r="I27" s="59"/>
      <c r="J27" s="59">
        <v>28.75</v>
      </c>
      <c r="K27" s="59"/>
      <c r="L27" s="59">
        <v>22.2</v>
      </c>
      <c r="M27" s="59">
        <v>17.149999999999999</v>
      </c>
      <c r="N27" s="62"/>
      <c r="O27" s="63">
        <v>0.73299999999999998</v>
      </c>
      <c r="P27" s="31"/>
    </row>
    <row r="28" spans="1:16" s="64" customFormat="1" ht="24.75" customHeight="1">
      <c r="A28" s="28"/>
      <c r="B28" s="58">
        <v>1997</v>
      </c>
      <c r="C28" s="59">
        <v>20.55</v>
      </c>
      <c r="D28" s="59">
        <v>19.09</v>
      </c>
      <c r="E28" s="59">
        <v>27.8</v>
      </c>
      <c r="F28" s="61">
        <v>21.22</v>
      </c>
      <c r="G28" s="59"/>
      <c r="H28" s="59">
        <v>14.4</v>
      </c>
      <c r="I28" s="59"/>
      <c r="J28" s="59">
        <v>31.1</v>
      </c>
      <c r="K28" s="59"/>
      <c r="L28" s="59">
        <v>18.600000000000001</v>
      </c>
      <c r="M28" s="59">
        <v>19.05</v>
      </c>
      <c r="N28" s="62"/>
      <c r="O28" s="63">
        <v>0.72199999999999998</v>
      </c>
      <c r="P28" s="31"/>
    </row>
    <row r="29" spans="1:16" s="64" customFormat="1" ht="15.45">
      <c r="A29" s="28"/>
      <c r="B29" s="58">
        <v>1998</v>
      </c>
      <c r="C29" s="59">
        <v>14.4</v>
      </c>
      <c r="D29" s="59">
        <v>12.77</v>
      </c>
      <c r="E29" s="59">
        <v>20.350000000000001</v>
      </c>
      <c r="F29" s="61">
        <v>14.6</v>
      </c>
      <c r="G29" s="59"/>
      <c r="H29" s="59">
        <v>9.4</v>
      </c>
      <c r="I29" s="59">
        <v>17</v>
      </c>
      <c r="J29" s="59">
        <v>21.85</v>
      </c>
      <c r="K29" s="59"/>
      <c r="L29" s="59">
        <v>10.95</v>
      </c>
      <c r="M29" s="59">
        <v>11.9</v>
      </c>
      <c r="N29" s="62"/>
      <c r="O29" s="63">
        <v>0.68700000000000006</v>
      </c>
      <c r="P29" s="31"/>
    </row>
    <row r="30" spans="1:16" s="64" customFormat="1" ht="15.45">
      <c r="A30" s="28"/>
      <c r="B30" s="58">
        <v>1999</v>
      </c>
      <c r="C30" s="59">
        <v>19.25</v>
      </c>
      <c r="D30" s="59">
        <v>17.86</v>
      </c>
      <c r="E30" s="59">
        <v>27.6</v>
      </c>
      <c r="F30" s="61">
        <v>23.35</v>
      </c>
      <c r="G30" s="59"/>
      <c r="H30" s="59">
        <v>19.649999999999999</v>
      </c>
      <c r="I30" s="59">
        <v>25.47</v>
      </c>
      <c r="J30" s="59">
        <v>27.6</v>
      </c>
      <c r="K30" s="59"/>
      <c r="L30" s="59">
        <v>15.45</v>
      </c>
      <c r="M30" s="59">
        <v>17.73</v>
      </c>
      <c r="N30" s="62"/>
      <c r="O30" s="63">
        <v>0.67300000000000004</v>
      </c>
      <c r="P30" s="31"/>
    </row>
    <row r="31" spans="1:16" s="64" customFormat="1" ht="15.45">
      <c r="A31" s="28"/>
      <c r="B31" s="58">
        <v>2000</v>
      </c>
      <c r="C31" s="59">
        <v>30.31</v>
      </c>
      <c r="D31" s="59">
        <v>28.4</v>
      </c>
      <c r="E31" s="59">
        <v>44.72</v>
      </c>
      <c r="F31" s="61">
        <v>34.35</v>
      </c>
      <c r="G31" s="59"/>
      <c r="H31" s="59">
        <v>27.8</v>
      </c>
      <c r="I31" s="59">
        <v>40.1</v>
      </c>
      <c r="J31" s="59">
        <v>46.25</v>
      </c>
      <c r="K31" s="59"/>
      <c r="L31" s="59">
        <v>31.55</v>
      </c>
      <c r="M31" s="59">
        <v>35</v>
      </c>
      <c r="N31" s="62"/>
      <c r="O31" s="63">
        <v>0.67400000000000004</v>
      </c>
      <c r="P31" s="31"/>
    </row>
    <row r="32" spans="1:16" s="64" customFormat="1" ht="15.45">
      <c r="A32" s="28"/>
      <c r="B32" s="66">
        <v>2001</v>
      </c>
      <c r="C32" s="59">
        <v>25.97</v>
      </c>
      <c r="D32" s="59">
        <v>24.42</v>
      </c>
      <c r="E32" s="59">
        <v>39.6</v>
      </c>
      <c r="F32" s="61">
        <v>25.07</v>
      </c>
      <c r="G32" s="59"/>
      <c r="H32" s="59">
        <v>18.05</v>
      </c>
      <c r="I32" s="59">
        <v>32.22</v>
      </c>
      <c r="J32" s="59">
        <v>42.444910807974821</v>
      </c>
      <c r="K32" s="59"/>
      <c r="L32" s="59">
        <v>29.15</v>
      </c>
      <c r="M32" s="59">
        <v>28.45</v>
      </c>
      <c r="N32" s="62"/>
      <c r="O32" s="63">
        <v>0.64600000000000002</v>
      </c>
      <c r="P32" s="31"/>
    </row>
    <row r="33" spans="1:16" s="64" customFormat="1" ht="24.75" customHeight="1">
      <c r="A33" s="28"/>
      <c r="B33" s="58">
        <v>2002</v>
      </c>
      <c r="C33" s="59">
        <v>26.1</v>
      </c>
      <c r="D33" s="59">
        <v>24.95</v>
      </c>
      <c r="E33" s="59">
        <v>39.950000000000003</v>
      </c>
      <c r="F33" s="61">
        <v>31.65</v>
      </c>
      <c r="G33" s="59"/>
      <c r="H33" s="59">
        <v>27.6</v>
      </c>
      <c r="I33" s="59">
        <v>34.93</v>
      </c>
      <c r="J33" s="59">
        <v>40.791440109383444</v>
      </c>
      <c r="K33" s="59"/>
      <c r="L33" s="59">
        <v>19.850000000000001</v>
      </c>
      <c r="M33" s="59">
        <v>26.1</v>
      </c>
      <c r="N33" s="62"/>
      <c r="O33" s="63">
        <v>0.63700000000000001</v>
      </c>
      <c r="P33" s="31"/>
    </row>
    <row r="34" spans="1:16" s="64" customFormat="1" ht="15.45">
      <c r="A34" s="28"/>
      <c r="B34" s="66">
        <v>2003</v>
      </c>
      <c r="C34" s="59">
        <v>31.05</v>
      </c>
      <c r="D34" s="59">
        <v>28.85</v>
      </c>
      <c r="E34" s="59">
        <v>43.15</v>
      </c>
      <c r="F34" s="61">
        <v>32.68</v>
      </c>
      <c r="G34" s="59"/>
      <c r="H34" s="59">
        <v>27.4</v>
      </c>
      <c r="I34" s="59">
        <v>37.57</v>
      </c>
      <c r="J34" s="59">
        <v>44.19059429552609</v>
      </c>
      <c r="K34" s="59"/>
      <c r="L34" s="59">
        <v>30.15</v>
      </c>
      <c r="M34" s="59">
        <v>33.450000000000003</v>
      </c>
      <c r="N34" s="62"/>
      <c r="O34" s="63">
        <v>0.71599999999999997</v>
      </c>
      <c r="P34" s="31"/>
    </row>
    <row r="35" spans="1:16" s="64" customFormat="1" ht="15.45">
      <c r="A35" s="28"/>
      <c r="B35" s="58">
        <v>2004</v>
      </c>
      <c r="C35" s="67">
        <v>41.4</v>
      </c>
      <c r="D35" s="67">
        <v>38.299999999999997</v>
      </c>
      <c r="E35" s="67">
        <v>52.54</v>
      </c>
      <c r="F35" s="68">
        <v>37.6</v>
      </c>
      <c r="G35" s="68">
        <v>36.14</v>
      </c>
      <c r="H35" s="67">
        <v>30.4</v>
      </c>
      <c r="I35" s="67">
        <v>45.94</v>
      </c>
      <c r="J35" s="67">
        <v>54.085980476326753</v>
      </c>
      <c r="K35" s="67"/>
      <c r="L35" s="67">
        <v>33.28</v>
      </c>
      <c r="M35" s="67">
        <v>39.450000000000003</v>
      </c>
      <c r="N35" s="69"/>
      <c r="O35" s="70">
        <v>0.77</v>
      </c>
      <c r="P35" s="31"/>
    </row>
    <row r="36" spans="1:16" s="64" customFormat="1" ht="15.45">
      <c r="A36" s="28"/>
      <c r="B36" s="58">
        <v>2005</v>
      </c>
      <c r="C36" s="67">
        <v>56.56</v>
      </c>
      <c r="D36" s="67">
        <v>54.48</v>
      </c>
      <c r="E36" s="67">
        <v>68.72</v>
      </c>
      <c r="F36" s="68">
        <v>44.83</v>
      </c>
      <c r="G36" s="68">
        <v>44.6</v>
      </c>
      <c r="H36" s="67">
        <v>34.35</v>
      </c>
      <c r="I36" s="67">
        <v>57.47</v>
      </c>
      <c r="J36" s="67">
        <v>69.63178479442908</v>
      </c>
      <c r="K36" s="67"/>
      <c r="L36" s="67">
        <v>43.29</v>
      </c>
      <c r="M36" s="67">
        <v>52.58</v>
      </c>
      <c r="N36" s="69"/>
      <c r="O36" s="70">
        <v>0.82599999999999996</v>
      </c>
      <c r="P36" s="31"/>
    </row>
    <row r="37" spans="1:16" s="64" customFormat="1" ht="15.45">
      <c r="A37" s="28"/>
      <c r="B37" s="58">
        <v>2006</v>
      </c>
      <c r="C37" s="68">
        <v>66.23</v>
      </c>
      <c r="D37" s="68">
        <v>65.2</v>
      </c>
      <c r="E37" s="68">
        <v>72.8</v>
      </c>
      <c r="F37" s="68">
        <v>51.55</v>
      </c>
      <c r="G37" s="68">
        <v>51.22</v>
      </c>
      <c r="H37" s="68">
        <v>43.138313625234503</v>
      </c>
      <c r="I37" s="68">
        <v>61.25</v>
      </c>
      <c r="J37" s="68">
        <v>75.06</v>
      </c>
      <c r="K37" s="68"/>
      <c r="L37" s="68">
        <v>44.05</v>
      </c>
      <c r="M37" s="68">
        <v>60.1</v>
      </c>
      <c r="N37" s="71"/>
      <c r="O37" s="70">
        <v>0.88</v>
      </c>
      <c r="P37" s="72"/>
    </row>
    <row r="38" spans="1:16" s="64" customFormat="1" ht="24.75" customHeight="1">
      <c r="A38" s="28"/>
      <c r="B38" s="58">
        <v>2007</v>
      </c>
      <c r="C38" s="68">
        <v>72.3</v>
      </c>
      <c r="D38" s="68">
        <v>72.8</v>
      </c>
      <c r="E38" s="68">
        <v>76.349999999999994</v>
      </c>
      <c r="F38" s="68">
        <v>53.25</v>
      </c>
      <c r="G38" s="68">
        <v>52.9</v>
      </c>
      <c r="H38" s="68">
        <v>44.628408343667516</v>
      </c>
      <c r="I38" s="68">
        <v>65.400000000000006</v>
      </c>
      <c r="J38" s="68">
        <v>77.36</v>
      </c>
      <c r="K38" s="68" t="s">
        <v>100</v>
      </c>
      <c r="L38" s="68">
        <v>49.45</v>
      </c>
      <c r="M38" s="68">
        <v>63.75</v>
      </c>
      <c r="N38" s="71"/>
      <c r="O38" s="70">
        <v>0.93500000000000005</v>
      </c>
      <c r="P38" s="72"/>
    </row>
    <row r="39" spans="1:16" s="64" customFormat="1" ht="15.45">
      <c r="A39" s="28"/>
      <c r="B39" s="58">
        <v>2008</v>
      </c>
      <c r="C39" s="68">
        <v>99.6</v>
      </c>
      <c r="D39" s="68">
        <v>97.8</v>
      </c>
      <c r="E39" s="68">
        <v>102.2</v>
      </c>
      <c r="F39" s="68">
        <v>84.3</v>
      </c>
      <c r="G39" s="68">
        <v>82.94</v>
      </c>
      <c r="H39" s="68">
        <v>75.55</v>
      </c>
      <c r="I39" s="68">
        <v>93.2</v>
      </c>
      <c r="J39" s="68">
        <v>104.75</v>
      </c>
      <c r="K39" s="68" t="s">
        <v>100</v>
      </c>
      <c r="L39" s="68">
        <v>58.4</v>
      </c>
      <c r="M39" s="68">
        <v>75.25</v>
      </c>
      <c r="N39" s="71"/>
      <c r="O39" s="70">
        <v>0.94299999999999995</v>
      </c>
      <c r="P39" s="72"/>
    </row>
    <row r="40" spans="1:16" s="64" customFormat="1" ht="15.45">
      <c r="A40" s="28"/>
      <c r="B40" s="58">
        <v>2009</v>
      </c>
      <c r="C40" s="68">
        <v>61.8</v>
      </c>
      <c r="D40" s="68">
        <v>61.6</v>
      </c>
      <c r="E40" s="68">
        <v>65.900000000000006</v>
      </c>
      <c r="F40" s="68">
        <v>60.3</v>
      </c>
      <c r="G40" s="68">
        <v>58.58</v>
      </c>
      <c r="H40" s="68">
        <v>55.3</v>
      </c>
      <c r="I40" s="68">
        <v>62.8</v>
      </c>
      <c r="J40" s="68">
        <v>68.150000000000006</v>
      </c>
      <c r="K40" s="68" t="s">
        <v>100</v>
      </c>
      <c r="L40" s="68">
        <v>38.6</v>
      </c>
      <c r="M40" s="68">
        <v>49.25</v>
      </c>
      <c r="N40" s="71"/>
      <c r="O40" s="70">
        <v>0.88</v>
      </c>
      <c r="P40" s="72"/>
    </row>
    <row r="41" spans="1:16" s="64" customFormat="1" ht="15.45">
      <c r="A41" s="28"/>
      <c r="B41" s="58">
        <v>2010</v>
      </c>
      <c r="C41" s="68">
        <v>79.5</v>
      </c>
      <c r="D41" s="68">
        <v>79.900000000000006</v>
      </c>
      <c r="E41" s="68">
        <v>77.5</v>
      </c>
      <c r="F41" s="68">
        <v>68.5</v>
      </c>
      <c r="G41" s="68">
        <v>67.23</v>
      </c>
      <c r="H41" s="68">
        <v>61.45</v>
      </c>
      <c r="I41" s="68">
        <v>73.8</v>
      </c>
      <c r="J41" s="68">
        <v>84.25</v>
      </c>
      <c r="K41" s="68" t="s">
        <v>100</v>
      </c>
      <c r="L41" s="68">
        <v>46.7</v>
      </c>
      <c r="M41" s="68">
        <v>66.05</v>
      </c>
      <c r="N41" s="71"/>
      <c r="O41" s="70">
        <v>0.97099999999999997</v>
      </c>
      <c r="P41" s="72"/>
    </row>
    <row r="42" spans="1:16" s="64" customFormat="1" ht="15.45">
      <c r="A42" s="28"/>
      <c r="B42" s="58">
        <v>2011</v>
      </c>
      <c r="C42" s="61">
        <v>95.1</v>
      </c>
      <c r="D42" s="73">
        <v>111.25</v>
      </c>
      <c r="E42" s="61">
        <v>95</v>
      </c>
      <c r="F42" s="61">
        <v>78.55</v>
      </c>
      <c r="G42" s="61">
        <v>77.099999999999994</v>
      </c>
      <c r="H42" s="61">
        <v>67.900000000000006</v>
      </c>
      <c r="I42" s="61">
        <v>88.9</v>
      </c>
      <c r="J42" s="61">
        <v>104.2</v>
      </c>
      <c r="K42" s="68" t="s">
        <v>100</v>
      </c>
      <c r="L42" s="61">
        <v>55.15</v>
      </c>
      <c r="M42" s="61">
        <v>76.5</v>
      </c>
      <c r="N42" s="74"/>
      <c r="O42" s="63">
        <v>1.012</v>
      </c>
      <c r="P42" s="31"/>
    </row>
    <row r="43" spans="1:16" s="64" customFormat="1" ht="24.75" customHeight="1">
      <c r="A43" s="28"/>
      <c r="B43" s="58">
        <v>2012</v>
      </c>
      <c r="C43" s="61">
        <v>94.2</v>
      </c>
      <c r="D43" s="73">
        <v>111.65</v>
      </c>
      <c r="E43" s="61">
        <v>86.1</v>
      </c>
      <c r="F43" s="61">
        <v>74.349999999999994</v>
      </c>
      <c r="G43" s="61">
        <v>73.08</v>
      </c>
      <c r="H43" s="61">
        <v>63.65</v>
      </c>
      <c r="I43" s="61">
        <v>82.1</v>
      </c>
      <c r="J43" s="61">
        <v>100.8</v>
      </c>
      <c r="K43" s="68" t="s">
        <v>100</v>
      </c>
      <c r="L43" s="68">
        <v>28.6</v>
      </c>
      <c r="M43" s="68">
        <v>69.55</v>
      </c>
      <c r="N43" s="74"/>
      <c r="O43" s="63">
        <v>1</v>
      </c>
      <c r="P43" s="31"/>
    </row>
    <row r="44" spans="1:16" s="64" customFormat="1" ht="15.45">
      <c r="A44" s="28"/>
      <c r="B44" s="58">
        <v>2013</v>
      </c>
      <c r="C44" s="61">
        <v>97.95</v>
      </c>
      <c r="D44" s="73">
        <v>108.6</v>
      </c>
      <c r="E44" s="61">
        <v>93.05</v>
      </c>
      <c r="F44" s="61">
        <v>76.55</v>
      </c>
      <c r="G44" s="61">
        <v>75.25</v>
      </c>
      <c r="H44" s="61">
        <v>65.25</v>
      </c>
      <c r="I44" s="61">
        <v>88.25</v>
      </c>
      <c r="J44" s="61">
        <v>104.65</v>
      </c>
      <c r="K44" s="68" t="s">
        <v>100</v>
      </c>
      <c r="L44" s="68">
        <v>38.9</v>
      </c>
      <c r="M44" s="68">
        <v>69.400000000000006</v>
      </c>
      <c r="N44" s="74"/>
      <c r="O44" s="63">
        <v>0.97099999999999997</v>
      </c>
      <c r="P44" s="31"/>
    </row>
    <row r="45" spans="1:16" s="64" customFormat="1" ht="15.45">
      <c r="A45" s="28"/>
      <c r="B45" s="58">
        <v>2014</v>
      </c>
      <c r="C45" s="60">
        <v>93</v>
      </c>
      <c r="D45" s="60">
        <v>99</v>
      </c>
      <c r="E45" s="60">
        <v>93.5</v>
      </c>
      <c r="F45" s="60">
        <v>80.400000000000006</v>
      </c>
      <c r="G45" s="60">
        <v>79.099999999999994</v>
      </c>
      <c r="H45" s="60">
        <v>71.2</v>
      </c>
      <c r="I45" s="60">
        <v>87.8</v>
      </c>
      <c r="J45" s="60">
        <v>102.4</v>
      </c>
      <c r="K45" s="68" t="s">
        <v>100</v>
      </c>
      <c r="L45" s="60">
        <v>45.05</v>
      </c>
      <c r="M45" s="60">
        <v>69.599999999999994</v>
      </c>
      <c r="N45" s="60"/>
      <c r="O45" s="75">
        <v>0.90600000000000003</v>
      </c>
      <c r="P45" s="31"/>
    </row>
    <row r="46" spans="1:16" s="64" customFormat="1" ht="15.45">
      <c r="A46" s="28"/>
      <c r="B46" s="58">
        <v>2015</v>
      </c>
      <c r="C46" s="60">
        <v>48.8</v>
      </c>
      <c r="D46" s="60">
        <v>52.35</v>
      </c>
      <c r="E46" s="60">
        <v>57.75</v>
      </c>
      <c r="F46" s="60">
        <v>46.1</v>
      </c>
      <c r="G46" s="60">
        <v>44.8</v>
      </c>
      <c r="H46" s="60">
        <v>39.549999999999997</v>
      </c>
      <c r="I46" s="60">
        <v>51.45</v>
      </c>
      <c r="J46" s="60">
        <v>60.3</v>
      </c>
      <c r="K46" s="68" t="s">
        <v>100</v>
      </c>
      <c r="L46" s="60">
        <v>6.65</v>
      </c>
      <c r="M46" s="60">
        <v>35.549999999999997</v>
      </c>
      <c r="N46" s="60"/>
      <c r="O46" s="75">
        <v>0.78</v>
      </c>
      <c r="P46" s="31"/>
    </row>
    <row r="47" spans="1:16" s="64" customFormat="1" ht="15.45">
      <c r="A47" s="28"/>
      <c r="B47" s="58">
        <v>2016</v>
      </c>
      <c r="C47" s="59">
        <v>43.3</v>
      </c>
      <c r="D47" s="59">
        <v>43.7</v>
      </c>
      <c r="E47" s="59">
        <v>53.8</v>
      </c>
      <c r="F47" s="59">
        <v>40.299999999999997</v>
      </c>
      <c r="G47" s="59">
        <v>39.049999999999997</v>
      </c>
      <c r="H47" s="59">
        <v>33.35</v>
      </c>
      <c r="I47" s="59">
        <v>48.95</v>
      </c>
      <c r="J47" s="59">
        <v>56.15</v>
      </c>
      <c r="K47" s="68" t="s">
        <v>100</v>
      </c>
      <c r="L47" s="59">
        <v>13.05</v>
      </c>
      <c r="M47" s="59">
        <v>33.799999999999997</v>
      </c>
      <c r="N47" s="62"/>
      <c r="O47" s="63">
        <v>0.76</v>
      </c>
      <c r="P47" s="31"/>
    </row>
    <row r="48" spans="1:16" ht="24.75" customHeight="1">
      <c r="A48" s="28"/>
      <c r="B48" s="76" t="s">
        <v>7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62"/>
      <c r="O48" s="63"/>
      <c r="P48" s="31"/>
    </row>
    <row r="49" spans="1:16" ht="15.75" customHeight="1">
      <c r="A49" s="28"/>
      <c r="B49" s="58">
        <v>2017</v>
      </c>
      <c r="C49" s="59">
        <v>55</v>
      </c>
      <c r="D49" s="59">
        <v>56</v>
      </c>
      <c r="E49" s="59">
        <v>69.8</v>
      </c>
      <c r="F49" s="59">
        <v>54.4</v>
      </c>
      <c r="G49" s="59">
        <v>53.7</v>
      </c>
      <c r="H49" s="59">
        <v>46.5</v>
      </c>
      <c r="I49" s="59">
        <v>62.8</v>
      </c>
      <c r="J49" s="59">
        <v>72.8</v>
      </c>
      <c r="K49" s="59">
        <v>12.8</v>
      </c>
      <c r="L49" s="59">
        <v>23.3</v>
      </c>
      <c r="M49" s="59">
        <v>43.5</v>
      </c>
      <c r="N49" s="62">
        <v>0</v>
      </c>
      <c r="O49" s="63">
        <v>0.75</v>
      </c>
      <c r="P49" s="31"/>
    </row>
    <row r="50" spans="1:16" ht="15.75" customHeight="1">
      <c r="A50" s="28"/>
      <c r="B50" s="58">
        <v>2018</v>
      </c>
      <c r="C50" s="59">
        <v>58.7</v>
      </c>
      <c r="D50" s="59">
        <v>59.7</v>
      </c>
      <c r="E50" s="59">
        <v>72.7</v>
      </c>
      <c r="F50" s="59">
        <v>58.9</v>
      </c>
      <c r="G50" s="59">
        <v>58.2</v>
      </c>
      <c r="H50" s="59">
        <v>50.5</v>
      </c>
      <c r="I50" s="59">
        <v>67.599999999999994</v>
      </c>
      <c r="J50" s="59">
        <v>75.8</v>
      </c>
      <c r="K50" s="59">
        <v>11.8</v>
      </c>
      <c r="L50" s="59">
        <v>23.7</v>
      </c>
      <c r="M50" s="59">
        <v>47.9</v>
      </c>
      <c r="N50" s="62">
        <v>2</v>
      </c>
      <c r="O50" s="63">
        <v>0.77500000000000002</v>
      </c>
      <c r="P50" s="31"/>
    </row>
    <row r="51" spans="1:16" ht="15.75" customHeight="1">
      <c r="A51" s="28"/>
      <c r="B51" s="58">
        <v>2019</v>
      </c>
      <c r="C51" s="59">
        <v>62.4</v>
      </c>
      <c r="D51" s="59">
        <v>63.4</v>
      </c>
      <c r="E51" s="59">
        <v>75.5</v>
      </c>
      <c r="F51" s="59">
        <v>62.7</v>
      </c>
      <c r="G51" s="59">
        <v>61.9</v>
      </c>
      <c r="H51" s="59">
        <v>54</v>
      </c>
      <c r="I51" s="59">
        <v>70.2</v>
      </c>
      <c r="J51" s="59">
        <v>78.599999999999994</v>
      </c>
      <c r="K51" s="59">
        <v>12.4</v>
      </c>
      <c r="L51" s="59">
        <v>26.2</v>
      </c>
      <c r="M51" s="59">
        <v>49.8</v>
      </c>
      <c r="N51" s="62">
        <v>2</v>
      </c>
      <c r="O51" s="63">
        <v>0.8</v>
      </c>
      <c r="P51" s="31"/>
    </row>
    <row r="52" spans="1:16" ht="15.75" customHeight="1">
      <c r="A52" s="28"/>
      <c r="B52" s="58">
        <v>2020</v>
      </c>
      <c r="C52" s="59">
        <v>69</v>
      </c>
      <c r="D52" s="59">
        <v>70.099999999999994</v>
      </c>
      <c r="E52" s="59">
        <v>81.099999999999994</v>
      </c>
      <c r="F52" s="59">
        <v>67.3</v>
      </c>
      <c r="G52" s="59">
        <v>66.5</v>
      </c>
      <c r="H52" s="59">
        <v>58</v>
      </c>
      <c r="I52" s="59">
        <v>75.400000000000006</v>
      </c>
      <c r="J52" s="59">
        <v>84.3</v>
      </c>
      <c r="K52" s="59">
        <v>13.6</v>
      </c>
      <c r="L52" s="59">
        <v>28.3</v>
      </c>
      <c r="M52" s="59">
        <v>56.4</v>
      </c>
      <c r="N52" s="62">
        <v>2</v>
      </c>
      <c r="O52" s="63">
        <v>0.82499999999999996</v>
      </c>
      <c r="P52" s="31"/>
    </row>
    <row r="53" spans="1:16" ht="15.75" customHeight="1">
      <c r="A53" s="28"/>
      <c r="B53" s="58">
        <v>2021</v>
      </c>
      <c r="C53" s="59">
        <v>75.8</v>
      </c>
      <c r="D53" s="59">
        <v>76.900000000000006</v>
      </c>
      <c r="E53" s="59">
        <v>86.6</v>
      </c>
      <c r="F53" s="59">
        <v>71.900000000000006</v>
      </c>
      <c r="G53" s="59">
        <v>71</v>
      </c>
      <c r="H53" s="59">
        <v>61.9</v>
      </c>
      <c r="I53" s="59">
        <v>80.5</v>
      </c>
      <c r="J53" s="59">
        <v>89.8</v>
      </c>
      <c r="K53" s="59">
        <v>14.8</v>
      </c>
      <c r="L53" s="59">
        <v>30.3</v>
      </c>
      <c r="M53" s="59">
        <v>63.4</v>
      </c>
      <c r="N53" s="62">
        <v>2</v>
      </c>
      <c r="O53" s="63">
        <v>0.85</v>
      </c>
      <c r="P53" s="31"/>
    </row>
    <row r="54" spans="1:16" ht="24.75" customHeight="1">
      <c r="A54" s="28"/>
      <c r="B54" s="58">
        <v>2022</v>
      </c>
      <c r="C54" s="59">
        <v>77.3</v>
      </c>
      <c r="D54" s="59">
        <v>78.400000000000006</v>
      </c>
      <c r="E54" s="59">
        <v>88.3</v>
      </c>
      <c r="F54" s="59">
        <v>73.3</v>
      </c>
      <c r="G54" s="59">
        <v>72.400000000000006</v>
      </c>
      <c r="H54" s="59">
        <v>63.1</v>
      </c>
      <c r="I54" s="59">
        <v>82.1</v>
      </c>
      <c r="J54" s="59">
        <v>91.6</v>
      </c>
      <c r="K54" s="59">
        <v>15</v>
      </c>
      <c r="L54" s="59">
        <v>30.9</v>
      </c>
      <c r="M54" s="59">
        <v>64.7</v>
      </c>
      <c r="N54" s="62">
        <v>2</v>
      </c>
      <c r="O54" s="63">
        <v>0.85</v>
      </c>
      <c r="P54" s="31"/>
    </row>
    <row r="55" spans="1:16" ht="15.75" customHeight="1">
      <c r="A55" s="28"/>
      <c r="B55" s="58">
        <v>2023</v>
      </c>
      <c r="C55" s="59">
        <v>78.8</v>
      </c>
      <c r="D55" s="59">
        <v>79.900000000000006</v>
      </c>
      <c r="E55" s="59">
        <v>90</v>
      </c>
      <c r="F55" s="59">
        <v>74.7</v>
      </c>
      <c r="G55" s="59">
        <v>73.8</v>
      </c>
      <c r="H55" s="59">
        <v>64.400000000000006</v>
      </c>
      <c r="I55" s="59">
        <v>83.7</v>
      </c>
      <c r="J55" s="59">
        <v>93.4</v>
      </c>
      <c r="K55" s="59">
        <v>15.4</v>
      </c>
      <c r="L55" s="59">
        <v>31.5</v>
      </c>
      <c r="M55" s="59">
        <v>65.900000000000006</v>
      </c>
      <c r="N55" s="62">
        <v>2</v>
      </c>
      <c r="O55" s="63">
        <v>0.85</v>
      </c>
      <c r="P55" s="31"/>
    </row>
    <row r="56" spans="1:16" ht="15.75" customHeight="1">
      <c r="A56" s="28"/>
      <c r="B56" s="58">
        <v>2024</v>
      </c>
      <c r="C56" s="59">
        <v>80.400000000000006</v>
      </c>
      <c r="D56" s="59">
        <v>81.5</v>
      </c>
      <c r="E56" s="59">
        <v>91.8</v>
      </c>
      <c r="F56" s="59">
        <v>76.2</v>
      </c>
      <c r="G56" s="59">
        <v>75.3</v>
      </c>
      <c r="H56" s="59">
        <v>65.599999999999994</v>
      </c>
      <c r="I56" s="59">
        <v>85.4</v>
      </c>
      <c r="J56" s="59">
        <v>95.2</v>
      </c>
      <c r="K56" s="59">
        <v>16</v>
      </c>
      <c r="L56" s="59">
        <v>32.200000000000003</v>
      </c>
      <c r="M56" s="59">
        <v>67.3</v>
      </c>
      <c r="N56" s="62">
        <v>2</v>
      </c>
      <c r="O56" s="63">
        <v>0.85</v>
      </c>
      <c r="P56" s="31"/>
    </row>
    <row r="57" spans="1:16" ht="15.75" customHeight="1">
      <c r="A57" s="28"/>
      <c r="B57" s="58">
        <v>2025</v>
      </c>
      <c r="C57" s="59">
        <v>82</v>
      </c>
      <c r="D57" s="59">
        <v>83.2</v>
      </c>
      <c r="E57" s="59">
        <v>93.7</v>
      </c>
      <c r="F57" s="59">
        <v>77.8</v>
      </c>
      <c r="G57" s="59">
        <v>76.8</v>
      </c>
      <c r="H57" s="59">
        <v>67</v>
      </c>
      <c r="I57" s="59">
        <v>87.1</v>
      </c>
      <c r="J57" s="59">
        <v>97.2</v>
      </c>
      <c r="K57" s="59">
        <v>16.2</v>
      </c>
      <c r="L57" s="59">
        <v>32.9</v>
      </c>
      <c r="M57" s="59">
        <v>68.599999999999994</v>
      </c>
      <c r="N57" s="62">
        <v>2</v>
      </c>
      <c r="O57" s="63">
        <v>0.85</v>
      </c>
      <c r="P57" s="31"/>
    </row>
    <row r="58" spans="1:16" ht="15.75" customHeight="1">
      <c r="A58" s="28"/>
      <c r="B58" s="58">
        <v>2026</v>
      </c>
      <c r="C58" s="59">
        <v>83.7</v>
      </c>
      <c r="D58" s="59">
        <v>84.9</v>
      </c>
      <c r="E58" s="59">
        <v>95.6</v>
      </c>
      <c r="F58" s="59">
        <v>79.3</v>
      </c>
      <c r="G58" s="59">
        <v>78.400000000000006</v>
      </c>
      <c r="H58" s="59">
        <v>68.400000000000006</v>
      </c>
      <c r="I58" s="59">
        <v>88.9</v>
      </c>
      <c r="J58" s="59">
        <v>99.2</v>
      </c>
      <c r="K58" s="59">
        <v>16.600000000000001</v>
      </c>
      <c r="L58" s="59">
        <v>33.6</v>
      </c>
      <c r="M58" s="59">
        <v>70</v>
      </c>
      <c r="N58" s="62">
        <v>2</v>
      </c>
      <c r="O58" s="63">
        <v>0.85</v>
      </c>
      <c r="P58" s="31"/>
    </row>
    <row r="59" spans="1:16" ht="24.75" customHeight="1">
      <c r="A59" s="28"/>
      <c r="B59" s="58">
        <v>2027</v>
      </c>
      <c r="C59" s="59">
        <v>85.3</v>
      </c>
      <c r="D59" s="59">
        <v>86.5</v>
      </c>
      <c r="E59" s="59">
        <v>97.4</v>
      </c>
      <c r="F59" s="59">
        <v>80.8</v>
      </c>
      <c r="G59" s="59">
        <v>79.900000000000006</v>
      </c>
      <c r="H59" s="59">
        <v>69.599999999999994</v>
      </c>
      <c r="I59" s="59">
        <v>90.6</v>
      </c>
      <c r="J59" s="59">
        <v>101.1</v>
      </c>
      <c r="K59" s="59">
        <v>17</v>
      </c>
      <c r="L59" s="59">
        <v>34.200000000000003</v>
      </c>
      <c r="M59" s="59">
        <v>71.400000000000006</v>
      </c>
      <c r="N59" s="62">
        <v>2</v>
      </c>
      <c r="O59" s="63">
        <v>0.85</v>
      </c>
      <c r="P59" s="31"/>
    </row>
    <row r="60" spans="1:16" ht="15.75" customHeight="1">
      <c r="A60" s="28"/>
      <c r="B60" s="58">
        <v>2028</v>
      </c>
      <c r="C60" s="59">
        <v>87</v>
      </c>
      <c r="D60" s="59">
        <v>88.2</v>
      </c>
      <c r="E60" s="59">
        <v>99.4</v>
      </c>
      <c r="F60" s="59">
        <v>82.5</v>
      </c>
      <c r="G60" s="59">
        <v>81.5</v>
      </c>
      <c r="H60" s="59">
        <v>71.099999999999994</v>
      </c>
      <c r="I60" s="59">
        <v>92.4</v>
      </c>
      <c r="J60" s="59">
        <v>103.1</v>
      </c>
      <c r="K60" s="59">
        <v>17.399999999999999</v>
      </c>
      <c r="L60" s="59">
        <v>34.9</v>
      </c>
      <c r="M60" s="59">
        <v>72.8</v>
      </c>
      <c r="N60" s="62">
        <v>2</v>
      </c>
      <c r="O60" s="63">
        <v>0.85</v>
      </c>
      <c r="P60" s="31"/>
    </row>
    <row r="61" spans="1:16" ht="15.75" customHeight="1">
      <c r="A61" s="28"/>
      <c r="B61" s="58">
        <v>2029</v>
      </c>
      <c r="C61" s="59">
        <v>88.8</v>
      </c>
      <c r="D61" s="59">
        <v>90.1</v>
      </c>
      <c r="E61" s="59">
        <v>101.4</v>
      </c>
      <c r="F61" s="59">
        <v>84.2</v>
      </c>
      <c r="G61" s="59">
        <v>83.1</v>
      </c>
      <c r="H61" s="59">
        <v>72.5</v>
      </c>
      <c r="I61" s="59">
        <v>94.3</v>
      </c>
      <c r="J61" s="59">
        <v>105.2</v>
      </c>
      <c r="K61" s="59">
        <v>17.600000000000001</v>
      </c>
      <c r="L61" s="59">
        <v>35.6</v>
      </c>
      <c r="M61" s="59">
        <v>74.3</v>
      </c>
      <c r="N61" s="62">
        <v>2</v>
      </c>
      <c r="O61" s="63">
        <v>0.85</v>
      </c>
      <c r="P61" s="31"/>
    </row>
    <row r="62" spans="1:16" ht="15.75" customHeight="1">
      <c r="A62" s="28"/>
      <c r="B62" s="58">
        <v>2030</v>
      </c>
      <c r="C62" s="59">
        <v>90.6</v>
      </c>
      <c r="D62" s="59">
        <v>91.9</v>
      </c>
      <c r="E62" s="59">
        <v>103.5</v>
      </c>
      <c r="F62" s="59">
        <v>85.9</v>
      </c>
      <c r="G62" s="59">
        <v>84.9</v>
      </c>
      <c r="H62" s="59">
        <v>74</v>
      </c>
      <c r="I62" s="59">
        <v>96.3</v>
      </c>
      <c r="J62" s="59">
        <v>107.4</v>
      </c>
      <c r="K62" s="59">
        <v>18</v>
      </c>
      <c r="L62" s="59">
        <v>36.299999999999997</v>
      </c>
      <c r="M62" s="59">
        <v>75.8</v>
      </c>
      <c r="N62" s="62">
        <v>2</v>
      </c>
      <c r="O62" s="63">
        <v>0.85</v>
      </c>
      <c r="P62" s="31"/>
    </row>
    <row r="63" spans="1:16" ht="15.75" customHeight="1">
      <c r="A63" s="28"/>
      <c r="B63" s="58">
        <v>2031</v>
      </c>
      <c r="C63" s="59">
        <v>92.4</v>
      </c>
      <c r="D63" s="59">
        <v>93.7</v>
      </c>
      <c r="E63" s="59">
        <v>105.5</v>
      </c>
      <c r="F63" s="59">
        <v>87.6</v>
      </c>
      <c r="G63" s="59">
        <v>86.5</v>
      </c>
      <c r="H63" s="59">
        <v>75.400000000000006</v>
      </c>
      <c r="I63" s="59">
        <v>98.1</v>
      </c>
      <c r="J63" s="59">
        <v>109.5</v>
      </c>
      <c r="K63" s="59">
        <v>18.399999999999999</v>
      </c>
      <c r="L63" s="59">
        <v>37.1</v>
      </c>
      <c r="M63" s="59">
        <v>77.3</v>
      </c>
      <c r="N63" s="62">
        <v>2</v>
      </c>
      <c r="O63" s="63">
        <v>0.85</v>
      </c>
      <c r="P63" s="31"/>
    </row>
    <row r="64" spans="1:16" ht="15.75" customHeight="1">
      <c r="A64" s="28"/>
      <c r="B64" s="58">
        <v>2032</v>
      </c>
      <c r="C64" s="59">
        <f>C63*(1+$C$84)</f>
        <v>94.248000000000005</v>
      </c>
      <c r="D64" s="59">
        <f t="shared" ref="D64:M64" si="0">D63*(1+$C$84)</f>
        <v>95.573999999999998</v>
      </c>
      <c r="E64" s="59">
        <f t="shared" si="0"/>
        <v>107.61</v>
      </c>
      <c r="F64" s="59">
        <f t="shared" si="0"/>
        <v>89.35199999999999</v>
      </c>
      <c r="G64" s="59">
        <f t="shared" si="0"/>
        <v>88.23</v>
      </c>
      <c r="H64" s="59">
        <f t="shared" si="0"/>
        <v>76.908000000000001</v>
      </c>
      <c r="I64" s="59">
        <f t="shared" si="0"/>
        <v>100.062</v>
      </c>
      <c r="J64" s="59">
        <f t="shared" si="0"/>
        <v>111.69</v>
      </c>
      <c r="K64" s="59">
        <f t="shared" si="0"/>
        <v>18.767999999999997</v>
      </c>
      <c r="L64" s="59">
        <f t="shared" si="0"/>
        <v>37.841999999999999</v>
      </c>
      <c r="M64" s="59">
        <f t="shared" si="0"/>
        <v>78.846000000000004</v>
      </c>
      <c r="N64" s="62">
        <f>N$83</f>
        <v>2</v>
      </c>
      <c r="O64" s="62">
        <f t="shared" ref="O64:O77" si="1">O$83</f>
        <v>0.85</v>
      </c>
      <c r="P64" s="31"/>
    </row>
    <row r="65" spans="1:16" ht="15.75" customHeight="1">
      <c r="A65" s="28"/>
      <c r="B65" s="58">
        <v>2033</v>
      </c>
      <c r="C65" s="59">
        <f t="shared" ref="C65:C77" si="2">C64*(1+$C$84)</f>
        <v>96.132960000000011</v>
      </c>
      <c r="D65" s="59">
        <f t="shared" ref="D65:D77" si="3">D64*(1+$C$84)</f>
        <v>97.485479999999995</v>
      </c>
      <c r="E65" s="59">
        <f t="shared" ref="E65:E77" si="4">E64*(1+$C$84)</f>
        <v>109.76220000000001</v>
      </c>
      <c r="F65" s="59">
        <f t="shared" ref="F65:F77" si="5">F64*(1+$C$84)</f>
        <v>91.139039999999994</v>
      </c>
      <c r="G65" s="59">
        <f t="shared" ref="G65:G77" si="6">G64*(1+$C$84)</f>
        <v>89.994600000000005</v>
      </c>
      <c r="H65" s="59">
        <f t="shared" ref="H65:H77" si="7">H64*(1+$C$84)</f>
        <v>78.446160000000006</v>
      </c>
      <c r="I65" s="59">
        <f t="shared" ref="I65:I77" si="8">I64*(1+$C$84)</f>
        <v>102.06323999999999</v>
      </c>
      <c r="J65" s="59">
        <f t="shared" ref="J65:J77" si="9">J64*(1+$C$84)</f>
        <v>113.9238</v>
      </c>
      <c r="K65" s="59">
        <f t="shared" ref="K65:K77" si="10">K64*(1+$C$84)</f>
        <v>19.143359999999998</v>
      </c>
      <c r="L65" s="59">
        <f t="shared" ref="L65:L77" si="11">L64*(1+$C$84)</f>
        <v>38.598840000000003</v>
      </c>
      <c r="M65" s="59">
        <f t="shared" ref="M65:M77" si="12">M64*(1+$C$84)</f>
        <v>80.422920000000005</v>
      </c>
      <c r="N65" s="62">
        <f t="shared" ref="N65:N77" si="13">N$83</f>
        <v>2</v>
      </c>
      <c r="O65" s="62">
        <f t="shared" si="1"/>
        <v>0.85</v>
      </c>
      <c r="P65" s="31"/>
    </row>
    <row r="66" spans="1:16" ht="15.75" customHeight="1">
      <c r="A66" s="28"/>
      <c r="B66" s="58">
        <v>2034</v>
      </c>
      <c r="C66" s="59">
        <f t="shared" si="2"/>
        <v>98.05561920000001</v>
      </c>
      <c r="D66" s="59">
        <f t="shared" si="3"/>
        <v>99.435189600000001</v>
      </c>
      <c r="E66" s="59">
        <f t="shared" si="4"/>
        <v>111.95744400000001</v>
      </c>
      <c r="F66" s="59">
        <f t="shared" si="5"/>
        <v>92.961820799999998</v>
      </c>
      <c r="G66" s="59">
        <f t="shared" si="6"/>
        <v>91.794492000000005</v>
      </c>
      <c r="H66" s="59">
        <f t="shared" si="7"/>
        <v>80.015083200000007</v>
      </c>
      <c r="I66" s="59">
        <f t="shared" si="8"/>
        <v>104.1045048</v>
      </c>
      <c r="J66" s="59">
        <f t="shared" si="9"/>
        <v>116.202276</v>
      </c>
      <c r="K66" s="59">
        <f t="shared" si="10"/>
        <v>19.526227199999997</v>
      </c>
      <c r="L66" s="59">
        <f t="shared" si="11"/>
        <v>39.3708168</v>
      </c>
      <c r="M66" s="59">
        <f t="shared" si="12"/>
        <v>82.031378400000008</v>
      </c>
      <c r="N66" s="62">
        <f t="shared" si="13"/>
        <v>2</v>
      </c>
      <c r="O66" s="62">
        <f t="shared" si="1"/>
        <v>0.85</v>
      </c>
      <c r="P66" s="31"/>
    </row>
    <row r="67" spans="1:16" ht="15.75" customHeight="1">
      <c r="A67" s="28"/>
      <c r="B67" s="58">
        <v>2035</v>
      </c>
      <c r="C67" s="59">
        <f t="shared" si="2"/>
        <v>100.01673158400001</v>
      </c>
      <c r="D67" s="59">
        <f t="shared" si="3"/>
        <v>101.423893392</v>
      </c>
      <c r="E67" s="59">
        <f t="shared" si="4"/>
        <v>114.19659288000001</v>
      </c>
      <c r="F67" s="59">
        <f t="shared" si="5"/>
        <v>94.821057216</v>
      </c>
      <c r="G67" s="59">
        <f t="shared" si="6"/>
        <v>93.630381840000013</v>
      </c>
      <c r="H67" s="59">
        <f t="shared" si="7"/>
        <v>81.615384864000006</v>
      </c>
      <c r="I67" s="59">
        <f t="shared" si="8"/>
        <v>106.186594896</v>
      </c>
      <c r="J67" s="59">
        <f t="shared" si="9"/>
        <v>118.52632152</v>
      </c>
      <c r="K67" s="59">
        <f t="shared" si="10"/>
        <v>19.916751743999999</v>
      </c>
      <c r="L67" s="59">
        <f t="shared" si="11"/>
        <v>40.158233136</v>
      </c>
      <c r="M67" s="59">
        <f t="shared" si="12"/>
        <v>83.672005968000008</v>
      </c>
      <c r="N67" s="62">
        <f t="shared" si="13"/>
        <v>2</v>
      </c>
      <c r="O67" s="62">
        <f t="shared" si="1"/>
        <v>0.85</v>
      </c>
      <c r="P67" s="31"/>
    </row>
    <row r="68" spans="1:16" ht="15.75" customHeight="1">
      <c r="A68" s="28"/>
      <c r="B68" s="58">
        <v>2036</v>
      </c>
      <c r="C68" s="59">
        <f t="shared" si="2"/>
        <v>102.01706621568002</v>
      </c>
      <c r="D68" s="59">
        <f t="shared" si="3"/>
        <v>103.45237125983999</v>
      </c>
      <c r="E68" s="59">
        <f t="shared" si="4"/>
        <v>116.48052473760001</v>
      </c>
      <c r="F68" s="59">
        <f t="shared" si="5"/>
        <v>96.717478360320001</v>
      </c>
      <c r="G68" s="59">
        <f t="shared" si="6"/>
        <v>95.50298947680001</v>
      </c>
      <c r="H68" s="59">
        <f t="shared" si="7"/>
        <v>83.247692561280004</v>
      </c>
      <c r="I68" s="59">
        <f t="shared" si="8"/>
        <v>108.31032679392</v>
      </c>
      <c r="J68" s="59">
        <f t="shared" si="9"/>
        <v>120.8968479504</v>
      </c>
      <c r="K68" s="59">
        <f t="shared" si="10"/>
        <v>20.315086778879998</v>
      </c>
      <c r="L68" s="59">
        <f t="shared" si="11"/>
        <v>40.96139779872</v>
      </c>
      <c r="M68" s="59">
        <f t="shared" si="12"/>
        <v>85.345446087360003</v>
      </c>
      <c r="N68" s="62">
        <f t="shared" si="13"/>
        <v>2</v>
      </c>
      <c r="O68" s="62">
        <f t="shared" si="1"/>
        <v>0.85</v>
      </c>
      <c r="P68" s="31"/>
    </row>
    <row r="69" spans="1:16" ht="15.75" customHeight="1">
      <c r="A69" s="28"/>
      <c r="B69" s="58">
        <v>2037</v>
      </c>
      <c r="C69" s="59">
        <f t="shared" si="2"/>
        <v>104.05740753999362</v>
      </c>
      <c r="D69" s="59">
        <f t="shared" si="3"/>
        <v>105.52141868503679</v>
      </c>
      <c r="E69" s="59">
        <f t="shared" si="4"/>
        <v>118.81013523235201</v>
      </c>
      <c r="F69" s="59">
        <f t="shared" si="5"/>
        <v>98.651827927526398</v>
      </c>
      <c r="G69" s="59">
        <f t="shared" si="6"/>
        <v>97.413049266336017</v>
      </c>
      <c r="H69" s="59">
        <f t="shared" si="7"/>
        <v>84.912646412505609</v>
      </c>
      <c r="I69" s="59">
        <f t="shared" si="8"/>
        <v>110.4765333297984</v>
      </c>
      <c r="J69" s="59">
        <f t="shared" si="9"/>
        <v>123.314784909408</v>
      </c>
      <c r="K69" s="59">
        <f t="shared" si="10"/>
        <v>20.721388514457598</v>
      </c>
      <c r="L69" s="59">
        <f t="shared" si="11"/>
        <v>41.780625754694398</v>
      </c>
      <c r="M69" s="59">
        <f t="shared" si="12"/>
        <v>87.052355009107202</v>
      </c>
      <c r="N69" s="62">
        <f t="shared" si="13"/>
        <v>2</v>
      </c>
      <c r="O69" s="62">
        <f t="shared" si="1"/>
        <v>0.85</v>
      </c>
      <c r="P69" s="31"/>
    </row>
    <row r="70" spans="1:16" ht="15.75" customHeight="1">
      <c r="A70" s="28"/>
      <c r="B70" s="58">
        <v>2038</v>
      </c>
      <c r="C70" s="59">
        <f t="shared" si="2"/>
        <v>106.1385556907935</v>
      </c>
      <c r="D70" s="59">
        <f t="shared" si="3"/>
        <v>107.63184705873753</v>
      </c>
      <c r="E70" s="59">
        <f t="shared" si="4"/>
        <v>121.18633793699905</v>
      </c>
      <c r="F70" s="59">
        <f t="shared" si="5"/>
        <v>100.62486448607693</v>
      </c>
      <c r="G70" s="59">
        <f t="shared" si="6"/>
        <v>99.361310251662744</v>
      </c>
      <c r="H70" s="59">
        <f t="shared" si="7"/>
        <v>86.610899340755722</v>
      </c>
      <c r="I70" s="59">
        <f t="shared" si="8"/>
        <v>112.68606399639437</v>
      </c>
      <c r="J70" s="59">
        <f t="shared" si="9"/>
        <v>125.78108060759617</v>
      </c>
      <c r="K70" s="59">
        <f t="shared" si="10"/>
        <v>21.135816284746749</v>
      </c>
      <c r="L70" s="59">
        <f t="shared" si="11"/>
        <v>42.61623826978829</v>
      </c>
      <c r="M70" s="59">
        <f t="shared" si="12"/>
        <v>88.793402109289346</v>
      </c>
      <c r="N70" s="62">
        <f t="shared" si="13"/>
        <v>2</v>
      </c>
      <c r="O70" s="62">
        <f t="shared" si="1"/>
        <v>0.85</v>
      </c>
      <c r="P70" s="31"/>
    </row>
    <row r="71" spans="1:16" ht="15.75" customHeight="1">
      <c r="A71" s="28"/>
      <c r="B71" s="58">
        <v>2039</v>
      </c>
      <c r="C71" s="59">
        <f t="shared" si="2"/>
        <v>108.26132680460937</v>
      </c>
      <c r="D71" s="59">
        <f t="shared" si="3"/>
        <v>109.78448399991228</v>
      </c>
      <c r="E71" s="59">
        <f t="shared" si="4"/>
        <v>123.61006469573904</v>
      </c>
      <c r="F71" s="59">
        <f t="shared" si="5"/>
        <v>102.63736177579847</v>
      </c>
      <c r="G71" s="59">
        <f t="shared" si="6"/>
        <v>101.348536456696</v>
      </c>
      <c r="H71" s="59">
        <f t="shared" si="7"/>
        <v>88.343117327570837</v>
      </c>
      <c r="I71" s="59">
        <f t="shared" si="8"/>
        <v>114.93978527632225</v>
      </c>
      <c r="J71" s="59">
        <f t="shared" si="9"/>
        <v>128.29670221974808</v>
      </c>
      <c r="K71" s="59">
        <f t="shared" si="10"/>
        <v>21.558532610441684</v>
      </c>
      <c r="L71" s="59">
        <f t="shared" si="11"/>
        <v>43.468563035184054</v>
      </c>
      <c r="M71" s="59">
        <f t="shared" si="12"/>
        <v>90.569270151475138</v>
      </c>
      <c r="N71" s="62">
        <f t="shared" si="13"/>
        <v>2</v>
      </c>
      <c r="O71" s="62">
        <f t="shared" si="1"/>
        <v>0.85</v>
      </c>
      <c r="P71" s="31"/>
    </row>
    <row r="72" spans="1:16" ht="15.75" customHeight="1">
      <c r="A72" s="28"/>
      <c r="B72" s="58">
        <v>2040</v>
      </c>
      <c r="C72" s="59">
        <f t="shared" si="2"/>
        <v>110.42655334070156</v>
      </c>
      <c r="D72" s="59">
        <f t="shared" si="3"/>
        <v>111.98017367991054</v>
      </c>
      <c r="E72" s="59">
        <f t="shared" si="4"/>
        <v>126.08226598965382</v>
      </c>
      <c r="F72" s="59">
        <f t="shared" si="5"/>
        <v>104.69010901131443</v>
      </c>
      <c r="G72" s="59">
        <f t="shared" si="6"/>
        <v>103.37550718582992</v>
      </c>
      <c r="H72" s="59">
        <f t="shared" si="7"/>
        <v>90.109979674122258</v>
      </c>
      <c r="I72" s="59">
        <f t="shared" si="8"/>
        <v>117.2385809818487</v>
      </c>
      <c r="J72" s="59">
        <f t="shared" si="9"/>
        <v>130.86263626414305</v>
      </c>
      <c r="K72" s="59">
        <f t="shared" si="10"/>
        <v>21.989703262650519</v>
      </c>
      <c r="L72" s="59">
        <f t="shared" si="11"/>
        <v>44.337934295887734</v>
      </c>
      <c r="M72" s="59">
        <f t="shared" si="12"/>
        <v>92.380655554504642</v>
      </c>
      <c r="N72" s="62">
        <f t="shared" si="13"/>
        <v>2</v>
      </c>
      <c r="O72" s="62">
        <f t="shared" si="1"/>
        <v>0.85</v>
      </c>
      <c r="P72" s="31"/>
    </row>
    <row r="73" spans="1:16" ht="15.75" customHeight="1">
      <c r="A73" s="28"/>
      <c r="B73" s="58">
        <v>2041</v>
      </c>
      <c r="C73" s="59">
        <f t="shared" si="2"/>
        <v>112.63508440751559</v>
      </c>
      <c r="D73" s="59">
        <f t="shared" si="3"/>
        <v>114.21977715350874</v>
      </c>
      <c r="E73" s="59">
        <f t="shared" si="4"/>
        <v>128.60391130944689</v>
      </c>
      <c r="F73" s="59">
        <f t="shared" si="5"/>
        <v>106.78391119154072</v>
      </c>
      <c r="G73" s="59">
        <f t="shared" si="6"/>
        <v>105.44301732954652</v>
      </c>
      <c r="H73" s="59">
        <f t="shared" si="7"/>
        <v>91.912179267604699</v>
      </c>
      <c r="I73" s="59">
        <f t="shared" si="8"/>
        <v>119.58335260148567</v>
      </c>
      <c r="J73" s="59">
        <f t="shared" si="9"/>
        <v>133.47988898942592</v>
      </c>
      <c r="K73" s="59">
        <f t="shared" si="10"/>
        <v>22.42949732790353</v>
      </c>
      <c r="L73" s="59">
        <f t="shared" si="11"/>
        <v>45.224692981805489</v>
      </c>
      <c r="M73" s="59">
        <f t="shared" si="12"/>
        <v>94.22826866559474</v>
      </c>
      <c r="N73" s="62">
        <f t="shared" si="13"/>
        <v>2</v>
      </c>
      <c r="O73" s="62">
        <f t="shared" si="1"/>
        <v>0.85</v>
      </c>
      <c r="P73" s="31"/>
    </row>
    <row r="74" spans="1:16" ht="15.75" customHeight="1">
      <c r="A74" s="28"/>
      <c r="B74" s="58">
        <v>2042</v>
      </c>
      <c r="C74" s="59">
        <f t="shared" si="2"/>
        <v>114.8877860956659</v>
      </c>
      <c r="D74" s="59">
        <f t="shared" si="3"/>
        <v>116.50417269657892</v>
      </c>
      <c r="E74" s="59">
        <f t="shared" si="4"/>
        <v>131.17598953563584</v>
      </c>
      <c r="F74" s="59">
        <f t="shared" si="5"/>
        <v>108.91958941537155</v>
      </c>
      <c r="G74" s="59">
        <f t="shared" si="6"/>
        <v>107.55187767613745</v>
      </c>
      <c r="H74" s="59">
        <f t="shared" si="7"/>
        <v>93.750422852956788</v>
      </c>
      <c r="I74" s="59">
        <f t="shared" si="8"/>
        <v>121.97501965351539</v>
      </c>
      <c r="J74" s="59">
        <f t="shared" si="9"/>
        <v>136.14948676921443</v>
      </c>
      <c r="K74" s="59">
        <f t="shared" si="10"/>
        <v>22.878087274461599</v>
      </c>
      <c r="L74" s="59">
        <f t="shared" si="11"/>
        <v>46.129186841441602</v>
      </c>
      <c r="M74" s="59">
        <f t="shared" si="12"/>
        <v>96.112834038906641</v>
      </c>
      <c r="N74" s="62">
        <f t="shared" si="13"/>
        <v>2</v>
      </c>
      <c r="O74" s="62">
        <f t="shared" si="1"/>
        <v>0.85</v>
      </c>
      <c r="P74" s="31"/>
    </row>
    <row r="75" spans="1:16" ht="15.75" customHeight="1">
      <c r="A75" s="28"/>
      <c r="B75" s="58">
        <v>2043</v>
      </c>
      <c r="C75" s="59">
        <f t="shared" si="2"/>
        <v>117.18554181757922</v>
      </c>
      <c r="D75" s="59">
        <f t="shared" si="3"/>
        <v>118.8342561505105</v>
      </c>
      <c r="E75" s="59">
        <f t="shared" si="4"/>
        <v>133.79950932634856</v>
      </c>
      <c r="F75" s="59">
        <f t="shared" si="5"/>
        <v>111.09798120367898</v>
      </c>
      <c r="G75" s="59">
        <f t="shared" si="6"/>
        <v>109.70291522966021</v>
      </c>
      <c r="H75" s="59">
        <f t="shared" si="7"/>
        <v>95.625431310015927</v>
      </c>
      <c r="I75" s="59">
        <f t="shared" si="8"/>
        <v>124.41452004658569</v>
      </c>
      <c r="J75" s="59">
        <f t="shared" si="9"/>
        <v>138.87247650459872</v>
      </c>
      <c r="K75" s="59">
        <f t="shared" si="10"/>
        <v>23.335649019950832</v>
      </c>
      <c r="L75" s="59">
        <f t="shared" si="11"/>
        <v>47.051770578270435</v>
      </c>
      <c r="M75" s="59">
        <f t="shared" si="12"/>
        <v>98.035090719684774</v>
      </c>
      <c r="N75" s="62">
        <f t="shared" si="13"/>
        <v>2</v>
      </c>
      <c r="O75" s="62">
        <f t="shared" si="1"/>
        <v>0.85</v>
      </c>
      <c r="P75" s="31"/>
    </row>
    <row r="76" spans="1:16" ht="15.75" customHeight="1">
      <c r="A76" s="28"/>
      <c r="B76" s="58">
        <v>2044</v>
      </c>
      <c r="C76" s="59">
        <f t="shared" si="2"/>
        <v>119.52925265393081</v>
      </c>
      <c r="D76" s="59">
        <f t="shared" si="3"/>
        <v>121.21094127352072</v>
      </c>
      <c r="E76" s="59">
        <f t="shared" si="4"/>
        <v>136.47549951287553</v>
      </c>
      <c r="F76" s="59">
        <f t="shared" si="5"/>
        <v>113.31994082775256</v>
      </c>
      <c r="G76" s="59">
        <f t="shared" si="6"/>
        <v>111.89697353425342</v>
      </c>
      <c r="H76" s="59">
        <f t="shared" si="7"/>
        <v>97.537939936216247</v>
      </c>
      <c r="I76" s="59">
        <f t="shared" si="8"/>
        <v>126.90281044751741</v>
      </c>
      <c r="J76" s="59">
        <f t="shared" si="9"/>
        <v>141.64992603469071</v>
      </c>
      <c r="K76" s="59">
        <f t="shared" si="10"/>
        <v>23.802362000349849</v>
      </c>
      <c r="L76" s="59">
        <f t="shared" si="11"/>
        <v>47.992805989835844</v>
      </c>
      <c r="M76" s="59">
        <f t="shared" si="12"/>
        <v>99.995792534078475</v>
      </c>
      <c r="N76" s="62">
        <f t="shared" si="13"/>
        <v>2</v>
      </c>
      <c r="O76" s="62">
        <f t="shared" si="1"/>
        <v>0.85</v>
      </c>
      <c r="P76" s="31"/>
    </row>
    <row r="77" spans="1:16" ht="15.75" customHeight="1">
      <c r="A77" s="28"/>
      <c r="B77" s="58">
        <v>2045</v>
      </c>
      <c r="C77" s="59">
        <f t="shared" si="2"/>
        <v>121.91983770700944</v>
      </c>
      <c r="D77" s="59">
        <f t="shared" si="3"/>
        <v>123.63516009899114</v>
      </c>
      <c r="E77" s="59">
        <f t="shared" si="4"/>
        <v>139.20500950313306</v>
      </c>
      <c r="F77" s="59">
        <f t="shared" si="5"/>
        <v>115.58633964430761</v>
      </c>
      <c r="G77" s="59">
        <f t="shared" si="6"/>
        <v>114.13491300493848</v>
      </c>
      <c r="H77" s="59">
        <f t="shared" si="7"/>
        <v>99.48869873494057</v>
      </c>
      <c r="I77" s="59">
        <f t="shared" si="8"/>
        <v>129.44086665646776</v>
      </c>
      <c r="J77" s="59">
        <f t="shared" si="9"/>
        <v>144.48292455538453</v>
      </c>
      <c r="K77" s="59">
        <f t="shared" si="10"/>
        <v>24.278409240356847</v>
      </c>
      <c r="L77" s="59">
        <f t="shared" si="11"/>
        <v>48.952662109632563</v>
      </c>
      <c r="M77" s="59">
        <f t="shared" si="12"/>
        <v>101.99570838476005</v>
      </c>
      <c r="N77" s="62">
        <f t="shared" si="13"/>
        <v>2</v>
      </c>
      <c r="O77" s="62">
        <f t="shared" si="1"/>
        <v>0.85</v>
      </c>
      <c r="P77" s="31"/>
    </row>
    <row r="78" spans="1:16" ht="15.75" customHeight="1">
      <c r="A78" s="28"/>
      <c r="B78" s="5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62"/>
      <c r="O78" s="63"/>
      <c r="P78" s="31"/>
    </row>
    <row r="79" spans="1:16" ht="15.75" customHeight="1">
      <c r="A79" s="28"/>
      <c r="B79" s="58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62"/>
      <c r="O79" s="63"/>
      <c r="P79" s="31"/>
    </row>
    <row r="80" spans="1:16" ht="15.75" customHeight="1">
      <c r="A80" s="28"/>
      <c r="B80" s="58">
        <v>2031</v>
      </c>
      <c r="C80" s="59">
        <v>92.4</v>
      </c>
      <c r="D80" s="59">
        <v>93.7</v>
      </c>
      <c r="E80" s="59">
        <v>105.5</v>
      </c>
      <c r="F80" s="59">
        <v>87.6</v>
      </c>
      <c r="G80" s="59">
        <v>86.5</v>
      </c>
      <c r="H80" s="59">
        <v>75.400000000000006</v>
      </c>
      <c r="I80" s="59">
        <v>98.1</v>
      </c>
      <c r="J80" s="59">
        <v>109.5</v>
      </c>
      <c r="K80" s="59">
        <v>18.399999999999999</v>
      </c>
      <c r="L80" s="59">
        <v>37.1</v>
      </c>
      <c r="M80" s="59">
        <v>77.3</v>
      </c>
      <c r="N80" s="62">
        <v>2</v>
      </c>
      <c r="O80" s="63">
        <v>0.85</v>
      </c>
      <c r="P80" s="31"/>
    </row>
    <row r="81" spans="1:16" ht="15.45">
      <c r="A81" s="28"/>
      <c r="B81" s="37"/>
      <c r="C81" s="77"/>
      <c r="D81" s="77"/>
      <c r="E81" s="77"/>
      <c r="F81" s="77"/>
      <c r="G81" s="77"/>
      <c r="H81" s="77"/>
      <c r="I81" s="77"/>
      <c r="J81" s="77"/>
      <c r="K81" s="59"/>
      <c r="L81" s="77"/>
      <c r="M81" s="77"/>
      <c r="N81" s="62"/>
      <c r="O81" s="63"/>
      <c r="P81" s="31"/>
    </row>
    <row r="82" spans="1:16" ht="15.45">
      <c r="A82" s="28"/>
      <c r="B82" s="58"/>
      <c r="C82" s="59"/>
      <c r="D82" s="59"/>
      <c r="E82" s="59"/>
      <c r="F82" s="59"/>
      <c r="G82" s="59"/>
      <c r="H82" s="59"/>
      <c r="I82" s="59"/>
      <c r="J82" s="59"/>
      <c r="K82" s="77"/>
      <c r="L82" s="59"/>
      <c r="M82" s="59"/>
      <c r="N82" s="62"/>
      <c r="O82" s="63"/>
      <c r="P82" s="31"/>
    </row>
    <row r="83" spans="1:16" ht="15.45">
      <c r="A83" s="28"/>
      <c r="B83" s="58" t="s">
        <v>41</v>
      </c>
      <c r="C83" s="59" t="s">
        <v>42</v>
      </c>
      <c r="D83" s="59" t="s">
        <v>42</v>
      </c>
      <c r="E83" s="59" t="s">
        <v>42</v>
      </c>
      <c r="F83" s="59" t="s">
        <v>42</v>
      </c>
      <c r="G83" s="59" t="s">
        <v>42</v>
      </c>
      <c r="H83" s="59" t="s">
        <v>42</v>
      </c>
      <c r="I83" s="59" t="s">
        <v>42</v>
      </c>
      <c r="J83" s="59" t="s">
        <v>42</v>
      </c>
      <c r="K83" s="59" t="s">
        <v>42</v>
      </c>
      <c r="L83" s="59" t="s">
        <v>42</v>
      </c>
      <c r="M83" s="59" t="s">
        <v>42</v>
      </c>
      <c r="N83" s="62">
        <v>2</v>
      </c>
      <c r="O83" s="63">
        <v>0.85</v>
      </c>
      <c r="P83" s="31"/>
    </row>
    <row r="84" spans="1:16" ht="15.45">
      <c r="A84" s="28"/>
      <c r="B84" s="41"/>
      <c r="C84" s="41">
        <v>0.02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78"/>
      <c r="P84" s="31"/>
    </row>
    <row r="85" spans="1:16" ht="15.45">
      <c r="A85" s="28"/>
      <c r="B85" s="7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29"/>
      <c r="P85" s="31"/>
    </row>
    <row r="86" spans="1:16" ht="15.45">
      <c r="A86" s="28"/>
      <c r="B86" s="7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29"/>
      <c r="P86" s="31"/>
    </row>
    <row r="87" spans="1:16" ht="15.45">
      <c r="A87" s="28"/>
      <c r="B87" s="80" t="s">
        <v>43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29"/>
      <c r="P87" s="31"/>
    </row>
    <row r="88" spans="1:16" ht="15.45">
      <c r="A88" s="28"/>
      <c r="B88" s="81" t="s">
        <v>101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29"/>
      <c r="P88" s="31"/>
    </row>
    <row r="89" spans="1:16" ht="15.45">
      <c r="A89" s="28"/>
      <c r="B89" s="80" t="s">
        <v>44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29"/>
      <c r="P89" s="31"/>
    </row>
    <row r="90" spans="1:16" ht="15.45">
      <c r="A90" s="28"/>
      <c r="B90" s="82" t="s">
        <v>45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29"/>
      <c r="P90" s="31"/>
    </row>
    <row r="91" spans="1:16" ht="15.45">
      <c r="A91" s="28"/>
      <c r="B91" s="82" t="s">
        <v>46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29"/>
      <c r="P91" s="31"/>
    </row>
    <row r="92" spans="1:16" ht="15.45">
      <c r="A92" s="28"/>
      <c r="B92" s="82" t="s">
        <v>47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29"/>
      <c r="P92" s="31"/>
    </row>
    <row r="93" spans="1:16" ht="15.45">
      <c r="A93" s="28"/>
      <c r="B93" s="83" t="s">
        <v>48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29"/>
      <c r="P93" s="31"/>
    </row>
    <row r="94" spans="1:16" ht="15.45">
      <c r="A94" s="28"/>
      <c r="B94" s="84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29"/>
      <c r="P94" s="31"/>
    </row>
    <row r="95" spans="1:16" ht="15.45">
      <c r="A95" s="28"/>
      <c r="B95" s="85"/>
      <c r="C95" s="37"/>
      <c r="D95" s="37"/>
      <c r="E95" s="37"/>
      <c r="F95" s="37"/>
      <c r="G95" s="37"/>
      <c r="H95" s="37"/>
      <c r="I95" s="37"/>
      <c r="J95" s="37"/>
      <c r="K95" s="37"/>
      <c r="L95" s="86"/>
      <c r="M95" s="86"/>
      <c r="N95" s="37"/>
      <c r="O95" s="29"/>
      <c r="P95" s="31"/>
    </row>
    <row r="96" spans="1:16" ht="17.600000000000001">
      <c r="A96" s="87"/>
      <c r="B96" s="88" t="s">
        <v>102</v>
      </c>
      <c r="C96" s="89"/>
      <c r="D96" s="89"/>
      <c r="E96" s="89"/>
      <c r="F96" s="29"/>
      <c r="G96" s="29"/>
      <c r="H96" s="90"/>
      <c r="I96" s="90"/>
      <c r="J96" s="90"/>
      <c r="K96" s="91"/>
      <c r="L96" s="92"/>
      <c r="M96" s="92"/>
      <c r="N96" s="93"/>
      <c r="O96" s="93"/>
      <c r="P96" s="94"/>
    </row>
    <row r="97" ht="21.75" customHeight="1"/>
  </sheetData>
  <printOptions horizontalCentered="1" verticalCentered="1"/>
  <pageMargins left="0.65" right="0.25" top="0.3" bottom="0.3" header="0.3" footer="0.3"/>
  <pageSetup scale="55" orientation="portrait" horizontalDpi="1200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F1:X206"/>
  <sheetViews>
    <sheetView topLeftCell="B28" workbookViewId="0">
      <selection activeCell="H33" sqref="H33"/>
    </sheetView>
  </sheetViews>
  <sheetFormatPr defaultRowHeight="15.9"/>
  <cols>
    <col min="8" max="8" width="13.7109375" bestFit="1" customWidth="1"/>
    <col min="10" max="10" width="13.7109375" bestFit="1" customWidth="1"/>
    <col min="13" max="13" width="12" customWidth="1"/>
    <col min="16" max="17" width="11.85546875" bestFit="1" customWidth="1"/>
    <col min="18" max="18" width="11.35546875" customWidth="1"/>
    <col min="19" max="19" width="11.85546875" bestFit="1" customWidth="1"/>
    <col min="23" max="23" width="11.85546875" bestFit="1" customWidth="1"/>
  </cols>
  <sheetData>
    <row r="1" spans="12:24">
      <c r="N1">
        <v>0.9</v>
      </c>
      <c r="P1">
        <v>1</v>
      </c>
      <c r="W1">
        <v>1</v>
      </c>
    </row>
    <row r="2" spans="12:24">
      <c r="N2">
        <f>STANDARDIZE(N1,0,1)</f>
        <v>0.9</v>
      </c>
      <c r="P2">
        <v>0</v>
      </c>
      <c r="W2">
        <v>0.9</v>
      </c>
    </row>
    <row r="3" spans="12:24">
      <c r="M3" s="155" t="s">
        <v>295</v>
      </c>
      <c r="P3" t="s">
        <v>287</v>
      </c>
      <c r="Q3" t="s">
        <v>288</v>
      </c>
      <c r="R3" t="s">
        <v>289</v>
      </c>
      <c r="S3" t="s">
        <v>291</v>
      </c>
      <c r="T3" t="s">
        <v>292</v>
      </c>
      <c r="W3" t="s">
        <v>290</v>
      </c>
    </row>
    <row r="4" spans="12:24">
      <c r="L4" s="154" t="s">
        <v>293</v>
      </c>
      <c r="M4" s="154" t="str">
        <f>$M$3&amp;" - "&amp;ROUND(ABS(O4),1)&amp;$L$4</f>
        <v>μ - 5.1σ</v>
      </c>
      <c r="O4">
        <v>-5.05</v>
      </c>
      <c r="P4">
        <f>_xlfn.NORM.DIST(O4,$P$2,$P$1,FALSE)</f>
        <v>1.1564119035797834E-6</v>
      </c>
      <c r="Q4">
        <f>_xlfn.NORM.DIST(O4,$P$2,$P$1,TRUE)</f>
        <v>2.2090503226954324E-7</v>
      </c>
      <c r="R4">
        <v>0</v>
      </c>
      <c r="S4">
        <f>P4</f>
        <v>1.1564119035797834E-6</v>
      </c>
      <c r="T4">
        <f>1-Q4</f>
        <v>0.99999977909496773</v>
      </c>
      <c r="V4">
        <v>-5.05</v>
      </c>
      <c r="W4">
        <f>_xlfn.NORM.DIST(V4,$W$2,$W$1,FALSE)</f>
        <v>8.1913384034791736E-9</v>
      </c>
      <c r="X4">
        <f t="shared" ref="X4:X67" si="0">W4</f>
        <v>8.1913384034791736E-9</v>
      </c>
    </row>
    <row r="5" spans="12:24">
      <c r="L5" t="s">
        <v>294</v>
      </c>
      <c r="M5" s="154" t="str">
        <f>$M$3&amp;" - "&amp;ROUND(ABS(O5),1)&amp;$L$4</f>
        <v>μ - 5σ</v>
      </c>
      <c r="N5">
        <f>(P5-P4)/P4</f>
        <v>0.28563145202156393</v>
      </c>
      <c r="O5">
        <v>-5</v>
      </c>
      <c r="P5">
        <f t="shared" ref="P5:P68" si="1">_xlfn.NORM.DIST(O5,$P$2,$P$1,FALSE)</f>
        <v>1.4867195147342977E-6</v>
      </c>
      <c r="Q5">
        <f t="shared" ref="Q5:Q68" si="2">_xlfn.NORM.DIST(O5,$P$2,$P$1,TRUE)</f>
        <v>2.8665157187919333E-7</v>
      </c>
      <c r="R5">
        <v>0</v>
      </c>
      <c r="S5">
        <f t="shared" ref="S5:S68" si="3">P5</f>
        <v>1.4867195147342977E-6</v>
      </c>
      <c r="T5">
        <f t="shared" ref="T5:T68" si="4">1-Q5</f>
        <v>0.99999971334842808</v>
      </c>
      <c r="V5">
        <v>-5</v>
      </c>
      <c r="W5">
        <f t="shared" ref="W5:W68" si="5">_xlfn.NORM.DIST(V5,$W$2,$W$1,FALSE)</f>
        <v>1.1015763624682308E-8</v>
      </c>
      <c r="X5">
        <f t="shared" si="0"/>
        <v>1.1015763624682308E-8</v>
      </c>
    </row>
    <row r="6" spans="12:24">
      <c r="M6" s="154" t="str">
        <f t="shared" ref="M6:M69" si="6">$M$3&amp;" - "&amp;ROUND(ABS(O6),1)&amp;$L$4</f>
        <v>μ - 5σ</v>
      </c>
      <c r="N6">
        <f t="shared" ref="N6:N69" si="7">(P6-P5)/P5</f>
        <v>0.2824213876438913</v>
      </c>
      <c r="O6">
        <v>-4.95</v>
      </c>
      <c r="P6">
        <f t="shared" si="1"/>
        <v>1.9066009031228108E-6</v>
      </c>
      <c r="Q6">
        <f t="shared" si="2"/>
        <v>3.7106740796333271E-7</v>
      </c>
      <c r="R6">
        <v>0</v>
      </c>
      <c r="S6">
        <f t="shared" si="3"/>
        <v>1.9066009031228108E-6</v>
      </c>
      <c r="T6">
        <f t="shared" si="4"/>
        <v>0.99999962893259209</v>
      </c>
      <c r="V6">
        <v>-4.95</v>
      </c>
      <c r="W6">
        <f t="shared" si="5"/>
        <v>1.477707958648E-8</v>
      </c>
      <c r="X6">
        <f t="shared" si="0"/>
        <v>1.477707958648E-8</v>
      </c>
    </row>
    <row r="7" spans="12:24">
      <c r="M7" s="154" t="str">
        <f t="shared" si="6"/>
        <v>μ - 4.9σ</v>
      </c>
      <c r="N7">
        <f t="shared" si="7"/>
        <v>0.2792193384040636</v>
      </c>
      <c r="O7">
        <v>-4.9000000000000004</v>
      </c>
      <c r="P7">
        <f t="shared" si="1"/>
        <v>2.4389607458933522E-6</v>
      </c>
      <c r="Q7">
        <f t="shared" si="2"/>
        <v>4.7918327659031834E-7</v>
      </c>
      <c r="R7">
        <v>0</v>
      </c>
      <c r="S7">
        <f t="shared" si="3"/>
        <v>2.4389607458933522E-6</v>
      </c>
      <c r="T7">
        <f t="shared" si="4"/>
        <v>0.99999952081672339</v>
      </c>
      <c r="V7">
        <v>-4.9000000000000004</v>
      </c>
      <c r="W7">
        <f t="shared" si="5"/>
        <v>1.9773196406244602E-8</v>
      </c>
      <c r="X7">
        <f t="shared" si="0"/>
        <v>1.9773196406244602E-8</v>
      </c>
    </row>
    <row r="8" spans="12:24">
      <c r="M8" s="154" t="str">
        <f t="shared" si="6"/>
        <v>μ - 4.9σ</v>
      </c>
      <c r="N8">
        <f t="shared" si="7"/>
        <v>0.27602528428927398</v>
      </c>
      <c r="O8">
        <v>-4.8499999999999996</v>
      </c>
      <c r="P8">
        <f t="shared" si="1"/>
        <v>3.1121755791489445E-6</v>
      </c>
      <c r="Q8">
        <f t="shared" si="2"/>
        <v>6.1730737200919715E-7</v>
      </c>
      <c r="R8">
        <v>0</v>
      </c>
      <c r="S8">
        <f t="shared" si="3"/>
        <v>3.1121755791489445E-6</v>
      </c>
      <c r="T8">
        <f t="shared" si="4"/>
        <v>0.999999382692628</v>
      </c>
      <c r="V8">
        <v>-4.8499999999999996</v>
      </c>
      <c r="W8">
        <f t="shared" si="5"/>
        <v>2.6392432035705735E-8</v>
      </c>
      <c r="X8">
        <f t="shared" si="0"/>
        <v>2.6392432035705735E-8</v>
      </c>
    </row>
    <row r="9" spans="12:24">
      <c r="M9" s="154" t="str">
        <f t="shared" si="6"/>
        <v>μ - 4.8σ</v>
      </c>
      <c r="N9">
        <f t="shared" si="7"/>
        <v>0.2728392053366514</v>
      </c>
      <c r="O9">
        <v>-4.8</v>
      </c>
      <c r="P9">
        <f t="shared" si="1"/>
        <v>3.9612990910320753E-6</v>
      </c>
      <c r="Q9">
        <f t="shared" si="2"/>
        <v>7.933281519755948E-7</v>
      </c>
      <c r="R9">
        <v>0</v>
      </c>
      <c r="S9">
        <f t="shared" si="3"/>
        <v>3.9612990910320753E-6</v>
      </c>
      <c r="T9">
        <f t="shared" si="4"/>
        <v>0.99999920667184805</v>
      </c>
      <c r="V9">
        <v>-4.8</v>
      </c>
      <c r="W9">
        <f t="shared" si="5"/>
        <v>3.513955094820434E-8</v>
      </c>
      <c r="X9">
        <f t="shared" si="0"/>
        <v>3.513955094820434E-8</v>
      </c>
    </row>
    <row r="10" spans="12:24">
      <c r="M10" s="154" t="str">
        <f t="shared" si="6"/>
        <v>μ - 4.8σ</v>
      </c>
      <c r="N10">
        <f t="shared" si="7"/>
        <v>0.26966108163321229</v>
      </c>
      <c r="O10">
        <v>-4.75</v>
      </c>
      <c r="P10">
        <f t="shared" si="1"/>
        <v>5.0295072885924454E-6</v>
      </c>
      <c r="Q10">
        <f t="shared" si="2"/>
        <v>1.0170832425687034E-6</v>
      </c>
      <c r="R10">
        <v>0</v>
      </c>
      <c r="S10">
        <f t="shared" si="3"/>
        <v>5.0295072885924454E-6</v>
      </c>
      <c r="T10">
        <f t="shared" si="4"/>
        <v>0.99999898291675748</v>
      </c>
      <c r="V10">
        <v>-4.75</v>
      </c>
      <c r="W10">
        <f t="shared" si="5"/>
        <v>4.666886797594256E-8</v>
      </c>
      <c r="X10">
        <f t="shared" si="0"/>
        <v>4.666886797594256E-8</v>
      </c>
    </row>
    <row r="11" spans="12:24">
      <c r="M11" s="154" t="str">
        <f t="shared" si="6"/>
        <v>μ - 4.7σ</v>
      </c>
      <c r="N11">
        <f t="shared" si="7"/>
        <v>0.26649089331566411</v>
      </c>
      <c r="O11">
        <v>-4.7</v>
      </c>
      <c r="P11">
        <f t="shared" si="1"/>
        <v>6.3698251788670899E-6</v>
      </c>
      <c r="Q11">
        <f t="shared" si="2"/>
        <v>1.3008074539172773E-6</v>
      </c>
      <c r="R11">
        <v>0</v>
      </c>
      <c r="S11">
        <f t="shared" si="3"/>
        <v>6.3698251788670899E-6</v>
      </c>
      <c r="T11">
        <f t="shared" si="4"/>
        <v>0.99999869919254614</v>
      </c>
      <c r="V11">
        <v>-4.7</v>
      </c>
      <c r="W11">
        <f t="shared" si="5"/>
        <v>6.1826205001658242E-8</v>
      </c>
      <c r="X11">
        <f t="shared" si="0"/>
        <v>6.1826205001658242E-8</v>
      </c>
    </row>
    <row r="12" spans="12:24">
      <c r="M12" s="154" t="str">
        <f t="shared" si="6"/>
        <v>μ - 4.7σ</v>
      </c>
      <c r="N12">
        <f t="shared" si="7"/>
        <v>0.26332862057032669</v>
      </c>
      <c r="O12">
        <v>-4.6500000000000004</v>
      </c>
      <c r="P12">
        <f t="shared" si="1"/>
        <v>8.0471824564922952E-6</v>
      </c>
      <c r="Q12">
        <f t="shared" si="2"/>
        <v>1.6596751443714555E-6</v>
      </c>
      <c r="R12">
        <v>0</v>
      </c>
      <c r="S12">
        <f t="shared" si="3"/>
        <v>8.0471824564922952E-6</v>
      </c>
      <c r="T12">
        <f t="shared" si="4"/>
        <v>0.99999834032485568</v>
      </c>
      <c r="V12">
        <v>-4.6500000000000004</v>
      </c>
      <c r="W12">
        <f t="shared" si="5"/>
        <v>8.1701903785431753E-8</v>
      </c>
      <c r="X12">
        <f t="shared" si="0"/>
        <v>8.1701903785431753E-8</v>
      </c>
    </row>
    <row r="13" spans="12:24">
      <c r="M13" s="154" t="str">
        <f t="shared" si="6"/>
        <v>μ - 4.6σ</v>
      </c>
      <c r="N13">
        <f t="shared" si="7"/>
        <v>0.26017424363297925</v>
      </c>
      <c r="O13">
        <v>-4.5999999999999996</v>
      </c>
      <c r="P13">
        <f t="shared" si="1"/>
        <v>1.0140852065486758E-5</v>
      </c>
      <c r="Q13">
        <f t="shared" si="2"/>
        <v>2.1124547025028533E-6</v>
      </c>
      <c r="R13">
        <v>0</v>
      </c>
      <c r="S13">
        <f t="shared" si="3"/>
        <v>1.0140852065486758E-5</v>
      </c>
      <c r="T13">
        <f t="shared" si="4"/>
        <v>0.9999978875452975</v>
      </c>
      <c r="V13">
        <v>-4.5999999999999996</v>
      </c>
      <c r="W13">
        <f t="shared" si="5"/>
        <v>1.0769760042543276E-7</v>
      </c>
      <c r="X13">
        <f t="shared" si="0"/>
        <v>1.0769760042543276E-7</v>
      </c>
    </row>
    <row r="14" spans="12:24">
      <c r="M14" s="154" t="str">
        <f t="shared" si="6"/>
        <v>μ - 4.6σ</v>
      </c>
      <c r="N14">
        <f t="shared" si="7"/>
        <v>0.25702774278875123</v>
      </c>
      <c r="O14">
        <v>-4.55</v>
      </c>
      <c r="P14">
        <f t="shared" si="1"/>
        <v>1.2747332381833466E-5</v>
      </c>
      <c r="Q14">
        <f t="shared" si="2"/>
        <v>2.6822957796388485E-6</v>
      </c>
      <c r="R14">
        <v>0</v>
      </c>
      <c r="S14">
        <f t="shared" si="3"/>
        <v>1.2747332381833466E-5</v>
      </c>
      <c r="T14">
        <f t="shared" si="4"/>
        <v>0.9999973177042204</v>
      </c>
      <c r="V14">
        <v>-4.55</v>
      </c>
      <c r="W14">
        <f t="shared" si="5"/>
        <v>1.4161007130161176E-7</v>
      </c>
      <c r="X14">
        <f t="shared" si="0"/>
        <v>1.4161007130161176E-7</v>
      </c>
    </row>
    <row r="15" spans="12:24">
      <c r="M15" s="154" t="str">
        <f t="shared" si="6"/>
        <v>μ - 4.5σ</v>
      </c>
      <c r="N15">
        <f t="shared" si="7"/>
        <v>0.25388909837200874</v>
      </c>
      <c r="O15">
        <v>-4.5</v>
      </c>
      <c r="P15">
        <f t="shared" si="1"/>
        <v>1.5983741106905475E-5</v>
      </c>
      <c r="Q15">
        <f t="shared" si="2"/>
        <v>3.3976731247300535E-6</v>
      </c>
      <c r="R15">
        <v>0</v>
      </c>
      <c r="S15">
        <f t="shared" si="3"/>
        <v>1.5983741106905475E-5</v>
      </c>
      <c r="T15">
        <f t="shared" si="4"/>
        <v>0.99999660232687526</v>
      </c>
      <c r="V15">
        <v>-4.5</v>
      </c>
      <c r="W15">
        <f t="shared" si="5"/>
        <v>1.8573618445552897E-7</v>
      </c>
      <c r="X15">
        <f t="shared" si="0"/>
        <v>1.8573618445552897E-7</v>
      </c>
    </row>
    <row r="16" spans="12:24">
      <c r="M16" s="154" t="str">
        <f t="shared" si="6"/>
        <v>μ - 4.5σ</v>
      </c>
      <c r="N16">
        <f t="shared" si="7"/>
        <v>0.25075829076621564</v>
      </c>
      <c r="O16">
        <v>-4.45</v>
      </c>
      <c r="P16">
        <f t="shared" si="1"/>
        <v>1.9991796706922791E-5</v>
      </c>
      <c r="Q16">
        <f t="shared" si="2"/>
        <v>4.2935144699718588E-6</v>
      </c>
      <c r="R16">
        <v>0</v>
      </c>
      <c r="S16">
        <f t="shared" si="3"/>
        <v>1.9991796706922791E-5</v>
      </c>
      <c r="T16">
        <f t="shared" si="4"/>
        <v>0.99999570648553004</v>
      </c>
      <c r="V16">
        <v>-4.45</v>
      </c>
      <c r="W16">
        <f t="shared" si="5"/>
        <v>2.4300385410805223E-7</v>
      </c>
      <c r="X16">
        <f t="shared" si="0"/>
        <v>2.4300385410805223E-7</v>
      </c>
    </row>
    <row r="17" spans="6:24">
      <c r="M17" s="154" t="str">
        <f t="shared" si="6"/>
        <v>μ - 4.4σ</v>
      </c>
      <c r="N17">
        <f t="shared" si="7"/>
        <v>0.24763530040381096</v>
      </c>
      <c r="O17">
        <v>-4.4000000000000004</v>
      </c>
      <c r="P17">
        <f t="shared" si="1"/>
        <v>2.4942471290053535E-5</v>
      </c>
      <c r="Q17">
        <f t="shared" si="2"/>
        <v>5.4125439077038416E-6</v>
      </c>
      <c r="R17">
        <v>0</v>
      </c>
      <c r="S17">
        <f t="shared" si="3"/>
        <v>2.4942471290053535E-5</v>
      </c>
      <c r="T17">
        <f t="shared" si="4"/>
        <v>0.99999458745609227</v>
      </c>
      <c r="V17">
        <v>-4.4000000000000004</v>
      </c>
      <c r="W17">
        <f t="shared" si="5"/>
        <v>3.1713492167159643E-7</v>
      </c>
      <c r="X17">
        <f t="shared" si="0"/>
        <v>3.1713492167159643E-7</v>
      </c>
    </row>
    <row r="18" spans="6:24">
      <c r="M18" s="154" t="str">
        <f t="shared" si="6"/>
        <v>μ - 4.4σ</v>
      </c>
      <c r="N18">
        <f t="shared" si="7"/>
        <v>0.24452010776609942</v>
      </c>
      <c r="O18">
        <v>-4.3499999999999996</v>
      </c>
      <c r="P18">
        <f t="shared" si="1"/>
        <v>3.1041407057850266E-5</v>
      </c>
      <c r="Q18">
        <f t="shared" si="2"/>
        <v>6.8068765993340439E-6</v>
      </c>
      <c r="R18">
        <v>0</v>
      </c>
      <c r="S18">
        <f t="shared" si="3"/>
        <v>3.1041407057850266E-5</v>
      </c>
      <c r="T18">
        <f t="shared" si="4"/>
        <v>0.99999319312340063</v>
      </c>
      <c r="V18">
        <v>-4.3499999999999996</v>
      </c>
      <c r="W18">
        <f t="shared" si="5"/>
        <v>4.1284709886299984E-7</v>
      </c>
      <c r="X18">
        <f t="shared" si="0"/>
        <v>4.1284709886299984E-7</v>
      </c>
    </row>
    <row r="19" spans="6:24">
      <c r="M19" s="154" t="str">
        <f t="shared" si="6"/>
        <v>μ - 4.3σ</v>
      </c>
      <c r="N19">
        <f t="shared" si="7"/>
        <v>0.24141269338310195</v>
      </c>
      <c r="O19">
        <v>-4.3</v>
      </c>
      <c r="P19">
        <f t="shared" si="1"/>
        <v>3.8535196742087129E-5</v>
      </c>
      <c r="Q19">
        <f t="shared" si="2"/>
        <v>8.5399054709917942E-6</v>
      </c>
      <c r="R19">
        <v>0</v>
      </c>
      <c r="S19">
        <f t="shared" si="3"/>
        <v>3.8535196742087129E-5</v>
      </c>
      <c r="T19">
        <f t="shared" si="4"/>
        <v>0.99999146009452899</v>
      </c>
      <c r="V19">
        <v>-4.3</v>
      </c>
      <c r="W19">
        <f t="shared" si="5"/>
        <v>5.3610353446976145E-7</v>
      </c>
      <c r="X19">
        <f t="shared" si="0"/>
        <v>5.3610353446976145E-7</v>
      </c>
    </row>
    <row r="20" spans="6:24">
      <c r="M20" s="154" t="str">
        <f t="shared" si="6"/>
        <v>μ - 4.3σ</v>
      </c>
      <c r="N20">
        <f t="shared" si="7"/>
        <v>0.23831303783348562</v>
      </c>
      <c r="O20">
        <v>-4.25</v>
      </c>
      <c r="P20">
        <f t="shared" si="1"/>
        <v>4.7718636541204952E-5</v>
      </c>
      <c r="Q20">
        <f t="shared" si="2"/>
        <v>1.06885257749344E-5</v>
      </c>
      <c r="R20">
        <v>0</v>
      </c>
      <c r="S20">
        <f t="shared" si="3"/>
        <v>4.7718636541204952E-5</v>
      </c>
      <c r="T20">
        <f t="shared" si="4"/>
        <v>0.9999893114742251</v>
      </c>
      <c r="V20">
        <v>-4.25</v>
      </c>
      <c r="W20">
        <f t="shared" si="5"/>
        <v>6.9442023538553393E-7</v>
      </c>
      <c r="X20">
        <f t="shared" si="0"/>
        <v>6.9442023538553393E-7</v>
      </c>
    </row>
    <row r="21" spans="6:24">
      <c r="M21" s="154" t="str">
        <f t="shared" si="6"/>
        <v>μ - 4.2σ</v>
      </c>
      <c r="N21">
        <f t="shared" si="7"/>
        <v>0.23522112174438656</v>
      </c>
      <c r="O21">
        <v>-4.2</v>
      </c>
      <c r="P21">
        <f t="shared" si="1"/>
        <v>5.8943067756539855E-5</v>
      </c>
      <c r="Q21">
        <f t="shared" si="2"/>
        <v>1.3345749015906309E-5</v>
      </c>
      <c r="R21">
        <v>0</v>
      </c>
      <c r="S21">
        <f t="shared" si="3"/>
        <v>5.8943067756539855E-5</v>
      </c>
      <c r="T21">
        <f t="shared" si="4"/>
        <v>0.9999866542509841</v>
      </c>
      <c r="V21">
        <v>-4.2</v>
      </c>
      <c r="W21">
        <f t="shared" si="5"/>
        <v>8.9724351623833067E-7</v>
      </c>
      <c r="X21">
        <f t="shared" si="0"/>
        <v>8.9724351623833067E-7</v>
      </c>
    </row>
    <row r="22" spans="6:24">
      <c r="M22" s="154" t="str">
        <f t="shared" si="6"/>
        <v>μ - 4.2σ</v>
      </c>
      <c r="N22">
        <f t="shared" si="7"/>
        <v>0.23213692579131712</v>
      </c>
      <c r="O22">
        <v>-4.1500000000000004</v>
      </c>
      <c r="P22">
        <f t="shared" si="1"/>
        <v>7.2625930302252324E-5</v>
      </c>
      <c r="Q22">
        <f t="shared" si="2"/>
        <v>1.6623763729652213E-5</v>
      </c>
      <c r="R22">
        <v>0</v>
      </c>
      <c r="S22">
        <f t="shared" si="3"/>
        <v>7.2625930302252324E-5</v>
      </c>
      <c r="T22">
        <f t="shared" si="4"/>
        <v>0.99998337623627032</v>
      </c>
      <c r="V22">
        <v>-4.1500000000000004</v>
      </c>
      <c r="W22">
        <f t="shared" si="5"/>
        <v>1.156411903579777E-6</v>
      </c>
      <c r="X22">
        <f t="shared" si="0"/>
        <v>1.156411903579777E-6</v>
      </c>
    </row>
    <row r="23" spans="6:24">
      <c r="M23" s="154" t="str">
        <f t="shared" si="6"/>
        <v>μ - 4.1σ</v>
      </c>
      <c r="N23">
        <f t="shared" si="7"/>
        <v>0.22906043069805174</v>
      </c>
      <c r="O23">
        <v>-4.0999999999999996</v>
      </c>
      <c r="P23">
        <f t="shared" si="1"/>
        <v>8.9261657177132928E-5</v>
      </c>
      <c r="Q23">
        <f t="shared" si="2"/>
        <v>2.0657506912546714E-5</v>
      </c>
      <c r="R23">
        <v>0</v>
      </c>
      <c r="S23">
        <f t="shared" si="3"/>
        <v>8.9261657177132928E-5</v>
      </c>
      <c r="T23">
        <f t="shared" si="4"/>
        <v>0.99997934249308751</v>
      </c>
      <c r="V23">
        <v>-4.0999999999999996</v>
      </c>
      <c r="W23">
        <f t="shared" si="5"/>
        <v>1.4867195147342977E-6</v>
      </c>
      <c r="X23">
        <f t="shared" si="0"/>
        <v>1.4867195147342977E-6</v>
      </c>
    </row>
    <row r="24" spans="6:24">
      <c r="M24" s="154" t="str">
        <f t="shared" si="6"/>
        <v>μ - 4.1σ</v>
      </c>
      <c r="N24">
        <f t="shared" si="7"/>
        <v>0.22599161723646996</v>
      </c>
      <c r="O24">
        <v>-4.05</v>
      </c>
      <c r="P24">
        <f t="shared" si="1"/>
        <v>1.0943404343980055E-4</v>
      </c>
      <c r="Q24">
        <f t="shared" si="2"/>
        <v>2.5608816474041486E-5</v>
      </c>
      <c r="R24">
        <v>0</v>
      </c>
      <c r="S24">
        <f t="shared" si="3"/>
        <v>1.0943404343980055E-4</v>
      </c>
      <c r="T24">
        <f t="shared" si="4"/>
        <v>0.99997439118352593</v>
      </c>
      <c r="V24">
        <v>-4.05</v>
      </c>
      <c r="W24">
        <f t="shared" si="5"/>
        <v>1.9066009031228108E-6</v>
      </c>
      <c r="X24">
        <f t="shared" si="0"/>
        <v>1.9066009031228108E-6</v>
      </c>
    </row>
    <row r="25" spans="6:24">
      <c r="M25" s="154" t="str">
        <f t="shared" si="6"/>
        <v>μ - 4σ</v>
      </c>
      <c r="N25">
        <f t="shared" si="7"/>
        <v>0.22293046622649107</v>
      </c>
      <c r="O25">
        <v>-4</v>
      </c>
      <c r="P25">
        <f t="shared" si="1"/>
        <v>1.3383022576488537E-4</v>
      </c>
      <c r="Q25">
        <f t="shared" si="2"/>
        <v>3.1671241833119857E-5</v>
      </c>
      <c r="R25">
        <v>0</v>
      </c>
      <c r="S25">
        <f t="shared" si="3"/>
        <v>1.3383022576488537E-4</v>
      </c>
      <c r="T25">
        <f t="shared" si="4"/>
        <v>0.99996832875816688</v>
      </c>
      <c r="V25">
        <v>-4</v>
      </c>
      <c r="W25">
        <f t="shared" si="5"/>
        <v>2.4389607458933522E-6</v>
      </c>
      <c r="X25">
        <f t="shared" si="0"/>
        <v>2.4389607458933522E-6</v>
      </c>
    </row>
    <row r="26" spans="6:24">
      <c r="M26" s="154" t="str">
        <f t="shared" si="6"/>
        <v>μ - 4σ</v>
      </c>
      <c r="N26">
        <f t="shared" si="7"/>
        <v>0.21987695853590586</v>
      </c>
      <c r="O26">
        <v>-3.95</v>
      </c>
      <c r="P26">
        <f t="shared" si="1"/>
        <v>1.6325640876624199E-4</v>
      </c>
      <c r="Q26">
        <f t="shared" si="2"/>
        <v>3.9075596597787456E-5</v>
      </c>
      <c r="R26">
        <v>0</v>
      </c>
      <c r="S26">
        <f t="shared" si="3"/>
        <v>1.6325640876624199E-4</v>
      </c>
      <c r="T26">
        <f t="shared" si="4"/>
        <v>0.99996092440340223</v>
      </c>
      <c r="V26">
        <v>-3.95</v>
      </c>
      <c r="W26">
        <f t="shared" si="5"/>
        <v>3.1121755791489339E-6</v>
      </c>
      <c r="X26">
        <f t="shared" si="0"/>
        <v>3.1121755791489339E-6</v>
      </c>
    </row>
    <row r="27" spans="6:24">
      <c r="M27" s="154" t="str">
        <f t="shared" si="6"/>
        <v>μ - 3.9σ</v>
      </c>
      <c r="N27">
        <f t="shared" si="7"/>
        <v>0.2168310750802851</v>
      </c>
      <c r="O27">
        <v>-3.9</v>
      </c>
      <c r="P27">
        <f t="shared" si="1"/>
        <v>1.9865547139277272E-4</v>
      </c>
      <c r="Q27">
        <f t="shared" si="2"/>
        <v>4.8096344017602614E-5</v>
      </c>
      <c r="R27">
        <v>0</v>
      </c>
      <c r="S27">
        <f t="shared" si="3"/>
        <v>1.9865547139277272E-4</v>
      </c>
      <c r="T27">
        <f t="shared" si="4"/>
        <v>0.99995190365598241</v>
      </c>
      <c r="V27">
        <v>-3.9</v>
      </c>
      <c r="W27">
        <f t="shared" si="5"/>
        <v>3.9612990910320753E-6</v>
      </c>
      <c r="X27">
        <f t="shared" si="0"/>
        <v>3.9612990910320753E-6</v>
      </c>
    </row>
    <row r="28" spans="6:24">
      <c r="M28" s="154" t="str">
        <f t="shared" si="6"/>
        <v>μ - 3.9σ</v>
      </c>
      <c r="N28">
        <f t="shared" si="7"/>
        <v>0.21379279682283978</v>
      </c>
      <c r="O28">
        <v>-3.85</v>
      </c>
      <c r="P28">
        <f t="shared" si="1"/>
        <v>2.4112658022599324E-4</v>
      </c>
      <c r="Q28">
        <f t="shared" si="2"/>
        <v>5.9058912418922381E-5</v>
      </c>
      <c r="R28">
        <v>0</v>
      </c>
      <c r="S28">
        <f t="shared" si="3"/>
        <v>2.4112658022599324E-4</v>
      </c>
      <c r="T28">
        <f t="shared" si="4"/>
        <v>0.99994094108758103</v>
      </c>
      <c r="V28">
        <v>-3.85</v>
      </c>
      <c r="W28">
        <f t="shared" si="5"/>
        <v>5.0295072885924454E-6</v>
      </c>
      <c r="X28">
        <f t="shared" si="0"/>
        <v>5.0295072885924454E-6</v>
      </c>
    </row>
    <row r="29" spans="6:24">
      <c r="G29" t="s">
        <v>336</v>
      </c>
      <c r="M29" s="154" t="str">
        <f t="shared" si="6"/>
        <v>μ - 3.8σ</v>
      </c>
      <c r="N29">
        <f t="shared" si="7"/>
        <v>0.21076210477433149</v>
      </c>
      <c r="O29">
        <v>-3.8</v>
      </c>
      <c r="P29">
        <f t="shared" si="1"/>
        <v>2.9194692579146027E-4</v>
      </c>
      <c r="Q29">
        <f t="shared" si="2"/>
        <v>7.234804392511999E-5</v>
      </c>
      <c r="R29">
        <v>0</v>
      </c>
      <c r="S29">
        <f t="shared" si="3"/>
        <v>2.9194692579146027E-4</v>
      </c>
      <c r="T29">
        <f t="shared" si="4"/>
        <v>0.99992765195607491</v>
      </c>
      <c r="V29">
        <v>-3.8</v>
      </c>
      <c r="W29">
        <f t="shared" si="5"/>
        <v>6.3698251788670899E-6</v>
      </c>
      <c r="X29">
        <f t="shared" si="0"/>
        <v>6.3698251788670899E-6</v>
      </c>
    </row>
    <row r="30" spans="6:24">
      <c r="G30" s="268">
        <v>100000</v>
      </c>
      <c r="H30" t="s">
        <v>337</v>
      </c>
      <c r="J30">
        <v>-1</v>
      </c>
      <c r="M30" s="154" t="str">
        <f t="shared" si="6"/>
        <v>μ - 3.8σ</v>
      </c>
      <c r="N30">
        <f t="shared" si="7"/>
        <v>0.20773897999291477</v>
      </c>
      <c r="O30">
        <v>-3.75</v>
      </c>
      <c r="P30">
        <f t="shared" si="1"/>
        <v>3.5259568236744541E-4</v>
      </c>
      <c r="Q30">
        <f t="shared" si="2"/>
        <v>8.841728520080376E-5</v>
      </c>
      <c r="R30">
        <v>0</v>
      </c>
      <c r="S30">
        <f t="shared" si="3"/>
        <v>3.5259568236744541E-4</v>
      </c>
      <c r="T30">
        <f t="shared" si="4"/>
        <v>0.99991158271479919</v>
      </c>
      <c r="V30">
        <v>-3.75</v>
      </c>
      <c r="W30">
        <f t="shared" si="5"/>
        <v>8.0471824564922952E-6</v>
      </c>
      <c r="X30">
        <f t="shared" si="0"/>
        <v>8.0471824564922952E-6</v>
      </c>
    </row>
    <row r="31" spans="6:24">
      <c r="F31" t="s">
        <v>338</v>
      </c>
      <c r="G31" s="98">
        <f>G33-I33*G30</f>
        <v>1433754</v>
      </c>
      <c r="M31" s="154" t="str">
        <f t="shared" si="6"/>
        <v>μ - 3.7σ</v>
      </c>
      <c r="N31">
        <f t="shared" si="7"/>
        <v>0.20472340358405566</v>
      </c>
      <c r="O31">
        <v>-3.7</v>
      </c>
      <c r="P31">
        <f t="shared" si="1"/>
        <v>4.2478027055075143E-4</v>
      </c>
      <c r="Q31">
        <f t="shared" si="2"/>
        <v>1.0779973347738824E-4</v>
      </c>
      <c r="R31">
        <v>0</v>
      </c>
      <c r="S31">
        <f t="shared" si="3"/>
        <v>4.2478027055075143E-4</v>
      </c>
      <c r="T31">
        <f t="shared" si="4"/>
        <v>0.99989220026652259</v>
      </c>
      <c r="V31">
        <v>-3.7</v>
      </c>
      <c r="W31">
        <f t="shared" si="5"/>
        <v>1.0140852065486724E-5</v>
      </c>
      <c r="X31">
        <f t="shared" si="0"/>
        <v>1.0140852065486724E-5</v>
      </c>
    </row>
    <row r="32" spans="6:24">
      <c r="M32" s="154" t="str">
        <f t="shared" si="6"/>
        <v>μ - 3.7σ</v>
      </c>
      <c r="N32">
        <f t="shared" si="7"/>
        <v>0.20171535670039276</v>
      </c>
      <c r="O32">
        <v>-3.65</v>
      </c>
      <c r="P32">
        <f t="shared" si="1"/>
        <v>5.104649743441856E-4</v>
      </c>
      <c r="Q32">
        <f t="shared" si="2"/>
        <v>1.3112015442048446E-4</v>
      </c>
      <c r="R32">
        <v>0</v>
      </c>
      <c r="S32">
        <f t="shared" si="3"/>
        <v>5.104649743441856E-4</v>
      </c>
      <c r="T32">
        <f t="shared" si="4"/>
        <v>0.99986887984557948</v>
      </c>
      <c r="V32">
        <v>-3.65</v>
      </c>
      <c r="W32">
        <f t="shared" si="5"/>
        <v>1.2747332381833466E-5</v>
      </c>
      <c r="X32">
        <f t="shared" si="0"/>
        <v>1.2747332381833466E-5</v>
      </c>
    </row>
    <row r="33" spans="6:24">
      <c r="F33" t="s">
        <v>339</v>
      </c>
      <c r="G33" s="98">
        <v>1305054</v>
      </c>
      <c r="H33" t="s">
        <v>340</v>
      </c>
      <c r="I33" s="98">
        <v>-1.2869999999999999</v>
      </c>
      <c r="M33" s="154" t="str">
        <f t="shared" si="6"/>
        <v>μ - 3.6σ</v>
      </c>
      <c r="N33">
        <f t="shared" si="7"/>
        <v>0.19871482054157624</v>
      </c>
      <c r="O33">
        <v>-3.6000000000000099</v>
      </c>
      <c r="P33">
        <f t="shared" si="1"/>
        <v>6.1190193011375076E-4</v>
      </c>
      <c r="Q33">
        <f t="shared" si="2"/>
        <v>1.5910859015752789E-4</v>
      </c>
      <c r="R33">
        <v>0</v>
      </c>
      <c r="S33">
        <f t="shared" si="3"/>
        <v>6.1190193011375076E-4</v>
      </c>
      <c r="T33">
        <f t="shared" si="4"/>
        <v>0.99984089140984245</v>
      </c>
      <c r="V33">
        <v>-3.6000000000000099</v>
      </c>
      <c r="W33">
        <f t="shared" si="5"/>
        <v>1.5983741106904766E-5</v>
      </c>
      <c r="X33">
        <f t="shared" si="0"/>
        <v>1.5983741106904766E-5</v>
      </c>
    </row>
    <row r="34" spans="6:24">
      <c r="G34" s="98">
        <f>G31-G33</f>
        <v>128700</v>
      </c>
      <c r="H34" s="253">
        <f>G34*'Decline and Model'!$V$4</f>
        <v>6869298.3541035112</v>
      </c>
      <c r="M34" s="154" t="str">
        <f t="shared" si="6"/>
        <v>μ - 3.6σ</v>
      </c>
      <c r="N34">
        <f t="shared" si="7"/>
        <v>0.19572177635437424</v>
      </c>
      <c r="O34">
        <v>-3.55000000000001</v>
      </c>
      <c r="P34">
        <f t="shared" si="1"/>
        <v>7.3166446283028422E-4</v>
      </c>
      <c r="Q34">
        <f t="shared" si="2"/>
        <v>1.9261557563562541E-4</v>
      </c>
      <c r="R34">
        <v>0</v>
      </c>
      <c r="S34">
        <f t="shared" si="3"/>
        <v>7.3166446283028422E-4</v>
      </c>
      <c r="T34">
        <f t="shared" si="4"/>
        <v>0.99980738442436434</v>
      </c>
      <c r="V34">
        <v>-3.55000000000001</v>
      </c>
      <c r="W34">
        <f t="shared" si="5"/>
        <v>1.9991796706921937E-5</v>
      </c>
      <c r="X34">
        <f t="shared" si="0"/>
        <v>1.9991796706921937E-5</v>
      </c>
    </row>
    <row r="35" spans="6:24">
      <c r="M35" s="154" t="str">
        <f t="shared" si="6"/>
        <v>μ - 3.5σ</v>
      </c>
      <c r="N35">
        <f t="shared" si="7"/>
        <v>0.19273620543212758</v>
      </c>
      <c r="O35">
        <v>-3.5000000000000102</v>
      </c>
      <c r="P35">
        <f t="shared" si="1"/>
        <v>8.7268269504572915E-4</v>
      </c>
      <c r="Q35">
        <f t="shared" si="2"/>
        <v>2.3262907903551577E-4</v>
      </c>
      <c r="R35">
        <v>0</v>
      </c>
      <c r="S35">
        <f t="shared" si="3"/>
        <v>8.7268269504572915E-4</v>
      </c>
      <c r="T35">
        <f t="shared" si="4"/>
        <v>0.99976737092096446</v>
      </c>
      <c r="V35">
        <v>-3.5000000000000102</v>
      </c>
      <c r="W35">
        <f t="shared" si="5"/>
        <v>2.4942471290052468E-5</v>
      </c>
      <c r="X35">
        <f t="shared" si="0"/>
        <v>2.4942471290052468E-5</v>
      </c>
    </row>
    <row r="36" spans="6:24">
      <c r="M36" s="154" t="str">
        <f t="shared" si="6"/>
        <v>μ - 3.5σ</v>
      </c>
      <c r="N36">
        <f t="shared" si="7"/>
        <v>0.1897580891150461</v>
      </c>
      <c r="O36">
        <v>-3.4500000000000099</v>
      </c>
      <c r="P36">
        <f t="shared" si="1"/>
        <v>1.0382812956613752E-3</v>
      </c>
      <c r="Q36">
        <f t="shared" si="2"/>
        <v>2.8029327681616676E-4</v>
      </c>
      <c r="R36">
        <v>0</v>
      </c>
      <c r="S36">
        <f t="shared" si="3"/>
        <v>1.0382812956613752E-3</v>
      </c>
      <c r="T36">
        <f t="shared" si="4"/>
        <v>0.99971970672318389</v>
      </c>
      <c r="V36">
        <v>-3.4500000000000099</v>
      </c>
      <c r="W36">
        <f t="shared" si="5"/>
        <v>3.1041407057848837E-5</v>
      </c>
      <c r="X36">
        <f t="shared" si="0"/>
        <v>3.1041407057848837E-5</v>
      </c>
    </row>
    <row r="37" spans="6:24">
      <c r="G37" t="s">
        <v>30</v>
      </c>
      <c r="H37" t="s">
        <v>261</v>
      </c>
      <c r="I37" t="s">
        <v>115</v>
      </c>
      <c r="M37" s="154" t="str">
        <f t="shared" si="6"/>
        <v>μ - 3.4σ</v>
      </c>
      <c r="N37">
        <f t="shared" si="7"/>
        <v>0.18678740878989392</v>
      </c>
      <c r="O37">
        <v>-3.4000000000000101</v>
      </c>
      <c r="P37">
        <f t="shared" si="1"/>
        <v>1.2322191684729772E-3</v>
      </c>
      <c r="Q37">
        <f t="shared" si="2"/>
        <v>3.3692926567686834E-4</v>
      </c>
      <c r="R37">
        <v>0</v>
      </c>
      <c r="S37">
        <f t="shared" si="3"/>
        <v>1.2322191684729772E-3</v>
      </c>
      <c r="T37">
        <f t="shared" si="4"/>
        <v>0.99966307073432314</v>
      </c>
      <c r="V37">
        <v>-3.4000000000000101</v>
      </c>
      <c r="W37">
        <f t="shared" si="5"/>
        <v>3.8535196742085354E-5</v>
      </c>
      <c r="X37">
        <f t="shared" si="0"/>
        <v>3.8535196742085354E-5</v>
      </c>
    </row>
    <row r="38" spans="6:24">
      <c r="G38" s="98">
        <v>562941.8872385904</v>
      </c>
      <c r="H38" s="98">
        <v>255776.44163667591</v>
      </c>
      <c r="I38" s="98">
        <v>487193.22216509696</v>
      </c>
      <c r="J38" s="98">
        <f t="shared" ref="J38" si="8">SUM(G38:I38)</f>
        <v>1305911.5510403633</v>
      </c>
      <c r="M38" s="154" t="str">
        <f t="shared" si="6"/>
        <v>μ - 3.4σ</v>
      </c>
      <c r="N38">
        <f t="shared" si="7"/>
        <v>0.18382414588991047</v>
      </c>
      <c r="O38">
        <v>-3.3500000000000099</v>
      </c>
      <c r="P38">
        <f t="shared" si="1"/>
        <v>1.458730804666698E-3</v>
      </c>
      <c r="Q38">
        <f t="shared" si="2"/>
        <v>4.0405780186400611E-4</v>
      </c>
      <c r="R38">
        <v>0</v>
      </c>
      <c r="S38">
        <f t="shared" si="3"/>
        <v>1.458730804666698E-3</v>
      </c>
      <c r="T38">
        <f t="shared" si="4"/>
        <v>0.99959594219813597</v>
      </c>
      <c r="V38">
        <v>-3.3500000000000099</v>
      </c>
      <c r="W38">
        <f t="shared" si="5"/>
        <v>4.7718636541202993E-5</v>
      </c>
      <c r="X38">
        <f t="shared" si="0"/>
        <v>4.7718636541202993E-5</v>
      </c>
    </row>
    <row r="39" spans="6:24">
      <c r="G39" s="98">
        <f>G38/$J$38</f>
        <v>0.43107198706537125</v>
      </c>
      <c r="H39" s="98">
        <f>H38/$J$38</f>
        <v>0.19586046346929842</v>
      </c>
      <c r="I39" s="98">
        <f>I38/$J$38</f>
        <v>0.37306754946533033</v>
      </c>
      <c r="J39" s="98"/>
      <c r="M39" s="154" t="str">
        <f t="shared" si="6"/>
        <v>μ - 3.3σ</v>
      </c>
      <c r="N39">
        <f t="shared" si="7"/>
        <v>0.18086828189469045</v>
      </c>
      <c r="O39">
        <v>-3.30000000000001</v>
      </c>
      <c r="P39">
        <f t="shared" si="1"/>
        <v>1.7225689390536229E-3</v>
      </c>
      <c r="Q39">
        <f t="shared" si="2"/>
        <v>4.834241423837595E-4</v>
      </c>
      <c r="R39">
        <v>0</v>
      </c>
      <c r="S39">
        <f t="shared" si="3"/>
        <v>1.7225689390536229E-3</v>
      </c>
      <c r="T39">
        <f t="shared" si="4"/>
        <v>0.99951657585761622</v>
      </c>
      <c r="V39">
        <v>-3.30000000000001</v>
      </c>
      <c r="W39">
        <f t="shared" si="5"/>
        <v>5.8943067756537443E-5</v>
      </c>
      <c r="X39">
        <f t="shared" si="0"/>
        <v>5.8943067756537443E-5</v>
      </c>
    </row>
    <row r="40" spans="6:24">
      <c r="G40" s="98">
        <f>$G$34*G39</f>
        <v>55478.964735313282</v>
      </c>
      <c r="H40" s="98">
        <f t="shared" ref="H40:I40" si="9">$G$34*H39</f>
        <v>25207.241648498708</v>
      </c>
      <c r="I40" s="98">
        <f t="shared" si="9"/>
        <v>48013.793616188013</v>
      </c>
      <c r="J40" s="98"/>
      <c r="M40" s="154" t="str">
        <f t="shared" si="6"/>
        <v>μ - 3.3σ</v>
      </c>
      <c r="N40">
        <f t="shared" si="7"/>
        <v>0.17791979833007882</v>
      </c>
      <c r="O40">
        <v>-3.2500000000000102</v>
      </c>
      <c r="P40">
        <f t="shared" si="1"/>
        <v>2.0290480572997013E-3</v>
      </c>
      <c r="Q40">
        <f t="shared" si="2"/>
        <v>5.7702504239074554E-4</v>
      </c>
      <c r="R40">
        <v>0</v>
      </c>
      <c r="S40">
        <f t="shared" si="3"/>
        <v>2.0290480572997013E-3</v>
      </c>
      <c r="T40">
        <f t="shared" si="4"/>
        <v>0.99942297495760923</v>
      </c>
      <c r="V40">
        <v>-3.2500000000000102</v>
      </c>
      <c r="W40">
        <f t="shared" si="5"/>
        <v>7.2625930302249369E-5</v>
      </c>
      <c r="X40">
        <f t="shared" si="0"/>
        <v>7.2625930302249369E-5</v>
      </c>
    </row>
    <row r="41" spans="6:24">
      <c r="M41" s="154" t="str">
        <f t="shared" si="6"/>
        <v>μ - 3.2σ</v>
      </c>
      <c r="N41">
        <f t="shared" si="7"/>
        <v>0.17497867676804046</v>
      </c>
      <c r="O41">
        <v>-3.2000000000000099</v>
      </c>
      <c r="P41">
        <f t="shared" si="1"/>
        <v>2.3840882014647662E-3</v>
      </c>
      <c r="Q41">
        <f t="shared" si="2"/>
        <v>6.8713793791582453E-4</v>
      </c>
      <c r="R41">
        <v>0</v>
      </c>
      <c r="S41">
        <f t="shared" si="3"/>
        <v>2.3840882014647662E-3</v>
      </c>
      <c r="T41">
        <f t="shared" si="4"/>
        <v>0.99931286206208414</v>
      </c>
      <c r="V41">
        <v>-3.2000000000000099</v>
      </c>
      <c r="W41">
        <f t="shared" si="5"/>
        <v>8.926165717712912E-5</v>
      </c>
      <c r="X41">
        <f t="shared" si="0"/>
        <v>8.926165717712912E-5</v>
      </c>
    </row>
    <row r="42" spans="6:24">
      <c r="M42" s="154" t="str">
        <f t="shared" si="6"/>
        <v>μ - 3.2σ</v>
      </c>
      <c r="N42">
        <f t="shared" si="7"/>
        <v>0.17204489882655602</v>
      </c>
      <c r="O42">
        <v>-3.1500000000000101</v>
      </c>
      <c r="P42">
        <f t="shared" si="1"/>
        <v>2.7942584148793578E-3</v>
      </c>
      <c r="Q42">
        <f t="shared" si="2"/>
        <v>8.1635231282853413E-4</v>
      </c>
      <c r="R42">
        <v>0</v>
      </c>
      <c r="S42">
        <f t="shared" si="3"/>
        <v>2.7942584148793578E-3</v>
      </c>
      <c r="T42">
        <f t="shared" si="4"/>
        <v>0.99918364768717149</v>
      </c>
      <c r="V42">
        <v>-3.1500000000000101</v>
      </c>
      <c r="W42">
        <f t="shared" si="5"/>
        <v>1.0943404343979588E-4</v>
      </c>
      <c r="X42">
        <f t="shared" si="0"/>
        <v>1.0943404343979588E-4</v>
      </c>
    </row>
    <row r="43" spans="6:24">
      <c r="J43" s="98">
        <f>SUM(G40:I40)</f>
        <v>128700</v>
      </c>
      <c r="M43" s="154" t="str">
        <f t="shared" si="6"/>
        <v>μ - 3.1σ</v>
      </c>
      <c r="N43">
        <f t="shared" si="7"/>
        <v>0.16911844616950547</v>
      </c>
      <c r="O43">
        <v>-3.1000000000000099</v>
      </c>
      <c r="P43">
        <f t="shared" si="1"/>
        <v>3.2668190561998202E-3</v>
      </c>
      <c r="Q43">
        <f t="shared" si="2"/>
        <v>9.6760321321832314E-4</v>
      </c>
      <c r="R43">
        <v>0</v>
      </c>
      <c r="S43">
        <f t="shared" si="3"/>
        <v>3.2668190561998202E-3</v>
      </c>
      <c r="T43">
        <f t="shared" si="4"/>
        <v>0.99903239678678168</v>
      </c>
      <c r="V43">
        <v>-3.1000000000000099</v>
      </c>
      <c r="W43">
        <f t="shared" si="5"/>
        <v>1.3383022576488014E-4</v>
      </c>
      <c r="X43">
        <f t="shared" si="0"/>
        <v>1.3383022576488014E-4</v>
      </c>
    </row>
    <row r="44" spans="6:24">
      <c r="F44" s="95">
        <v>40.522955274562953</v>
      </c>
      <c r="J44" s="7">
        <f>J43*$F$44</f>
        <v>5215304.3438362516</v>
      </c>
      <c r="M44" s="154" t="str">
        <f t="shared" si="6"/>
        <v>μ - 3.1σ</v>
      </c>
      <c r="N44">
        <f t="shared" si="7"/>
        <v>0.1661993005065481</v>
      </c>
      <c r="O44">
        <v>-3.05000000000001</v>
      </c>
      <c r="P44">
        <f t="shared" si="1"/>
        <v>3.809762098221692E-3</v>
      </c>
      <c r="Q44">
        <f t="shared" si="2"/>
        <v>1.14420683102266E-3</v>
      </c>
      <c r="R44">
        <v>0</v>
      </c>
      <c r="S44">
        <f t="shared" si="3"/>
        <v>3.809762098221692E-3</v>
      </c>
      <c r="T44">
        <f t="shared" si="4"/>
        <v>0.99885579316897732</v>
      </c>
      <c r="V44">
        <v>-3.05000000000001</v>
      </c>
      <c r="W44">
        <f t="shared" si="5"/>
        <v>1.6325640876623562E-4</v>
      </c>
      <c r="X44">
        <f t="shared" si="0"/>
        <v>1.6325640876623562E-4</v>
      </c>
    </row>
    <row r="45" spans="6:24">
      <c r="F45" s="98">
        <v>19.666399044046951</v>
      </c>
      <c r="J45" s="253">
        <f>J43*F45</f>
        <v>2531065.5569688426</v>
      </c>
      <c r="M45" s="154" t="str">
        <f t="shared" si="6"/>
        <v>μ - 3σ</v>
      </c>
      <c r="N45">
        <f t="shared" si="7"/>
        <v>0.16328744359301525</v>
      </c>
      <c r="O45">
        <v>-3.0000000000000102</v>
      </c>
      <c r="P45">
        <f t="shared" si="1"/>
        <v>4.431848411937874E-3</v>
      </c>
      <c r="Q45">
        <f t="shared" si="2"/>
        <v>1.3498980316300484E-3</v>
      </c>
      <c r="R45">
        <v>0</v>
      </c>
      <c r="S45">
        <f t="shared" si="3"/>
        <v>4.431848411937874E-3</v>
      </c>
      <c r="T45">
        <f t="shared" si="4"/>
        <v>0.9986501019683699</v>
      </c>
      <c r="V45">
        <v>-3.0000000000000102</v>
      </c>
      <c r="W45">
        <f t="shared" si="5"/>
        <v>1.9865547139276475E-4</v>
      </c>
      <c r="X45">
        <f t="shared" si="0"/>
        <v>1.9865547139276475E-4</v>
      </c>
    </row>
    <row r="46" spans="6:24">
      <c r="M46" s="154" t="str">
        <f t="shared" si="6"/>
        <v>μ - 3σ</v>
      </c>
      <c r="N46">
        <f t="shared" si="7"/>
        <v>0.16038285722979242</v>
      </c>
      <c r="O46">
        <v>-2.9500000000000099</v>
      </c>
      <c r="P46">
        <f t="shared" si="1"/>
        <v>5.1426409230537883E-3</v>
      </c>
      <c r="Q46">
        <f t="shared" si="2"/>
        <v>1.5888696473648186E-3</v>
      </c>
      <c r="R46">
        <v>0</v>
      </c>
      <c r="S46">
        <f t="shared" si="3"/>
        <v>5.1426409230537883E-3</v>
      </c>
      <c r="T46">
        <f t="shared" si="4"/>
        <v>0.99841113035263518</v>
      </c>
      <c r="V46">
        <v>-2.9500000000000099</v>
      </c>
      <c r="W46">
        <f t="shared" si="5"/>
        <v>2.4112658022598424E-4</v>
      </c>
      <c r="X46">
        <f t="shared" si="0"/>
        <v>2.4112658022598424E-4</v>
      </c>
    </row>
    <row r="47" spans="6:24">
      <c r="M47" s="154" t="str">
        <f t="shared" si="6"/>
        <v>μ - 2.9σ</v>
      </c>
      <c r="N47">
        <f t="shared" si="7"/>
        <v>0.15748552326320378</v>
      </c>
      <c r="O47">
        <v>-2.9000000000000101</v>
      </c>
      <c r="P47">
        <f t="shared" si="1"/>
        <v>5.9525324197756795E-3</v>
      </c>
      <c r="Q47">
        <f t="shared" si="2"/>
        <v>1.865813300383974E-3</v>
      </c>
      <c r="R47">
        <v>0</v>
      </c>
      <c r="S47">
        <f t="shared" si="3"/>
        <v>5.9525324197756795E-3</v>
      </c>
      <c r="T47">
        <f t="shared" si="4"/>
        <v>0.99813418669961607</v>
      </c>
      <c r="V47">
        <v>-2.9000000000000101</v>
      </c>
      <c r="W47">
        <f t="shared" si="5"/>
        <v>2.919469257914491E-4</v>
      </c>
      <c r="X47">
        <f t="shared" si="0"/>
        <v>2.919469257914491E-4</v>
      </c>
    </row>
    <row r="48" spans="6:24">
      <c r="M48" s="154" t="str">
        <f t="shared" si="6"/>
        <v>μ - 2.9σ</v>
      </c>
      <c r="N48">
        <f t="shared" si="7"/>
        <v>0.15459542358490547</v>
      </c>
      <c r="O48">
        <v>-2.8500000000000099</v>
      </c>
      <c r="P48">
        <f t="shared" si="1"/>
        <v>6.8727666906137829E-3</v>
      </c>
      <c r="Q48">
        <f t="shared" si="2"/>
        <v>2.1859614549131711E-3</v>
      </c>
      <c r="R48">
        <v>0</v>
      </c>
      <c r="S48">
        <f t="shared" si="3"/>
        <v>6.8727666906137829E-3</v>
      </c>
      <c r="T48">
        <f t="shared" si="4"/>
        <v>0.99781403854508688</v>
      </c>
      <c r="V48">
        <v>-2.8500000000000099</v>
      </c>
      <c r="W48">
        <f t="shared" si="5"/>
        <v>3.5259568236743256E-4</v>
      </c>
      <c r="X48">
        <f t="shared" si="0"/>
        <v>3.5259568236743256E-4</v>
      </c>
    </row>
    <row r="49" spans="13:24">
      <c r="M49" s="154" t="str">
        <f t="shared" si="6"/>
        <v>μ - 2.8σ</v>
      </c>
      <c r="N49">
        <f t="shared" si="7"/>
        <v>0.151712540131759</v>
      </c>
      <c r="O49">
        <v>-2.80000000000001</v>
      </c>
      <c r="P49">
        <f t="shared" si="1"/>
        <v>7.915451582979743E-3</v>
      </c>
      <c r="Q49">
        <f t="shared" si="2"/>
        <v>2.5551303304278523E-3</v>
      </c>
      <c r="R49">
        <v>0</v>
      </c>
      <c r="S49">
        <f t="shared" si="3"/>
        <v>7.915451582979743E-3</v>
      </c>
      <c r="T49">
        <f t="shared" si="4"/>
        <v>0.99744486966957213</v>
      </c>
      <c r="V49">
        <v>-2.80000000000001</v>
      </c>
      <c r="W49">
        <f t="shared" si="5"/>
        <v>4.2478027055073593E-4</v>
      </c>
      <c r="X49">
        <f t="shared" si="0"/>
        <v>4.2478027055073593E-4</v>
      </c>
    </row>
    <row r="50" spans="13:24">
      <c r="M50" s="154" t="str">
        <f t="shared" si="6"/>
        <v>μ - 2.8σ</v>
      </c>
      <c r="N50">
        <f t="shared" si="7"/>
        <v>0.14883685488573994</v>
      </c>
      <c r="O50">
        <v>-2.7500000000000102</v>
      </c>
      <c r="P50">
        <f t="shared" si="1"/>
        <v>9.0935625015907996E-3</v>
      </c>
      <c r="Q50">
        <f t="shared" si="2"/>
        <v>2.9797632350544627E-3</v>
      </c>
      <c r="R50">
        <v>0</v>
      </c>
      <c r="S50">
        <f t="shared" si="3"/>
        <v>9.0935625015907996E-3</v>
      </c>
      <c r="T50">
        <f t="shared" si="4"/>
        <v>0.99702023676494556</v>
      </c>
      <c r="V50">
        <v>-2.7500000000000102</v>
      </c>
      <c r="W50">
        <f t="shared" si="5"/>
        <v>5.1046497434416652E-4</v>
      </c>
      <c r="X50">
        <f t="shared" si="0"/>
        <v>5.1046497434416652E-4</v>
      </c>
    </row>
    <row r="51" spans="13:24">
      <c r="M51" s="154" t="str">
        <f t="shared" si="6"/>
        <v>μ - 2.7σ</v>
      </c>
      <c r="N51">
        <f t="shared" si="7"/>
        <v>0.14596834987380486</v>
      </c>
      <c r="O51">
        <v>-2.7000000000000099</v>
      </c>
      <c r="P51">
        <f t="shared" si="1"/>
        <v>1.0420934814422318E-2</v>
      </c>
      <c r="Q51">
        <f t="shared" si="2"/>
        <v>3.4669738030405624E-3</v>
      </c>
      <c r="R51">
        <v>0</v>
      </c>
      <c r="S51">
        <f t="shared" si="3"/>
        <v>1.0420934814422318E-2</v>
      </c>
      <c r="T51">
        <f t="shared" si="4"/>
        <v>0.99653302619695949</v>
      </c>
      <c r="V51">
        <v>-2.7000000000000099</v>
      </c>
      <c r="W51">
        <f t="shared" si="5"/>
        <v>6.1190193011375076E-4</v>
      </c>
      <c r="X51">
        <f t="shared" si="0"/>
        <v>6.1190193011375076E-4</v>
      </c>
    </row>
    <row r="52" spans="13:24">
      <c r="M52" s="154" t="str">
        <f t="shared" si="6"/>
        <v>μ - 2.7σ</v>
      </c>
      <c r="N52">
        <f t="shared" si="7"/>
        <v>0.14310700716778396</v>
      </c>
      <c r="O52">
        <v>-2.6500000000000101</v>
      </c>
      <c r="P52">
        <f t="shared" si="1"/>
        <v>1.1912243607604862E-2</v>
      </c>
      <c r="Q52">
        <f t="shared" si="2"/>
        <v>4.0245885427581838E-3</v>
      </c>
      <c r="R52">
        <v>0</v>
      </c>
      <c r="S52">
        <f t="shared" si="3"/>
        <v>1.1912243607604862E-2</v>
      </c>
      <c r="T52">
        <f t="shared" si="4"/>
        <v>0.99597541145724178</v>
      </c>
      <c r="V52">
        <v>-2.6500000000000101</v>
      </c>
      <c r="W52">
        <f t="shared" si="5"/>
        <v>7.3166446283028422E-4</v>
      </c>
      <c r="X52">
        <f t="shared" si="0"/>
        <v>7.3166446283028422E-4</v>
      </c>
    </row>
    <row r="53" spans="13:24">
      <c r="M53" s="154" t="str">
        <f t="shared" si="6"/>
        <v>μ - 2.6σ</v>
      </c>
      <c r="N53">
        <f t="shared" si="7"/>
        <v>0.14025280888428157</v>
      </c>
      <c r="O53">
        <v>-2.6000000000000099</v>
      </c>
      <c r="P53">
        <f t="shared" si="1"/>
        <v>1.3582969233685271E-2</v>
      </c>
      <c r="Q53">
        <f t="shared" si="2"/>
        <v>4.6611880237186157E-3</v>
      </c>
      <c r="R53">
        <v>0</v>
      </c>
      <c r="S53">
        <f t="shared" si="3"/>
        <v>1.3582969233685271E-2</v>
      </c>
      <c r="T53">
        <f t="shared" si="4"/>
        <v>0.99533881197628138</v>
      </c>
      <c r="V53">
        <v>-2.6000000000000099</v>
      </c>
      <c r="W53">
        <f t="shared" si="5"/>
        <v>8.7268269504573066E-4</v>
      </c>
      <c r="X53">
        <f t="shared" si="0"/>
        <v>8.7268269504573066E-4</v>
      </c>
    </row>
    <row r="54" spans="13:24">
      <c r="M54" s="154" t="str">
        <f t="shared" si="6"/>
        <v>μ - 2.6σ</v>
      </c>
      <c r="N54">
        <f t="shared" si="7"/>
        <v>0.13740573718454416</v>
      </c>
      <c r="O54">
        <v>-2.55000000000001</v>
      </c>
      <c r="P54">
        <f t="shared" si="1"/>
        <v>1.5449347134394779E-2</v>
      </c>
      <c r="Q54">
        <f t="shared" si="2"/>
        <v>5.3861459540665282E-3</v>
      </c>
      <c r="R54">
        <v>0</v>
      </c>
      <c r="S54">
        <f t="shared" si="3"/>
        <v>1.5449347134394779E-2</v>
      </c>
      <c r="T54">
        <f t="shared" si="4"/>
        <v>0.9946138540459335</v>
      </c>
      <c r="V54">
        <v>-2.55000000000001</v>
      </c>
      <c r="W54">
        <f t="shared" si="5"/>
        <v>1.0382812956613752E-3</v>
      </c>
      <c r="X54">
        <f t="shared" si="0"/>
        <v>1.0382812956613752E-3</v>
      </c>
    </row>
    <row r="55" spans="13:24">
      <c r="M55" s="154" t="str">
        <f t="shared" si="6"/>
        <v>μ - 2.5σ</v>
      </c>
      <c r="N55">
        <f t="shared" si="7"/>
        <v>0.13456577427436706</v>
      </c>
      <c r="O55">
        <v>-2.5000000000000102</v>
      </c>
      <c r="P55">
        <f t="shared" si="1"/>
        <v>1.7528300493568086E-2</v>
      </c>
      <c r="Q55">
        <f t="shared" si="2"/>
        <v>6.2096653257759519E-3</v>
      </c>
      <c r="R55">
        <v>0</v>
      </c>
      <c r="S55">
        <f t="shared" si="3"/>
        <v>1.7528300493568086E-2</v>
      </c>
      <c r="T55">
        <f t="shared" si="4"/>
        <v>0.99379033467422406</v>
      </c>
      <c r="V55">
        <v>-2.5000000000000102</v>
      </c>
      <c r="W55">
        <f t="shared" si="5"/>
        <v>1.2322191684729772E-3</v>
      </c>
      <c r="X55">
        <f t="shared" si="0"/>
        <v>1.2322191684729772E-3</v>
      </c>
    </row>
    <row r="56" spans="13:24">
      <c r="M56" s="154" t="str">
        <f t="shared" si="6"/>
        <v>μ - 2.5σ</v>
      </c>
      <c r="N56">
        <f t="shared" si="7"/>
        <v>0.13173290240397542</v>
      </c>
      <c r="O56">
        <v>-2.4500000000000099</v>
      </c>
      <c r="P56">
        <f t="shared" si="1"/>
        <v>1.9837354391794845E-2</v>
      </c>
      <c r="Q56">
        <f t="shared" si="2"/>
        <v>7.1428107352712157E-3</v>
      </c>
      <c r="R56">
        <v>0</v>
      </c>
      <c r="S56">
        <f t="shared" si="3"/>
        <v>1.9837354391794845E-2</v>
      </c>
      <c r="T56">
        <f t="shared" si="4"/>
        <v>0.99285718926472877</v>
      </c>
      <c r="V56">
        <v>-2.4500000000000099</v>
      </c>
      <c r="W56">
        <f t="shared" si="5"/>
        <v>1.458730804666698E-3</v>
      </c>
      <c r="X56">
        <f t="shared" si="0"/>
        <v>1.458730804666698E-3</v>
      </c>
    </row>
    <row r="57" spans="13:24">
      <c r="M57" s="154" t="str">
        <f t="shared" si="6"/>
        <v>μ - 2.4σ</v>
      </c>
      <c r="N57">
        <f t="shared" si="7"/>
        <v>0.12890710386790352</v>
      </c>
      <c r="O57">
        <v>-2.4000000000000101</v>
      </c>
      <c r="P57">
        <f t="shared" si="1"/>
        <v>2.2394530294842355E-2</v>
      </c>
      <c r="Q57">
        <f t="shared" si="2"/>
        <v>8.1975359245958987E-3</v>
      </c>
      <c r="R57">
        <v>0</v>
      </c>
      <c r="S57">
        <f t="shared" si="3"/>
        <v>2.2394530294842355E-2</v>
      </c>
      <c r="T57">
        <f t="shared" si="4"/>
        <v>0.99180246407540407</v>
      </c>
      <c r="V57">
        <v>-2.4000000000000101</v>
      </c>
      <c r="W57">
        <f t="shared" si="5"/>
        <v>1.7225689390536229E-3</v>
      </c>
      <c r="X57">
        <f t="shared" si="0"/>
        <v>1.7225689390536229E-3</v>
      </c>
    </row>
    <row r="58" spans="13:24">
      <c r="M58" s="154" t="str">
        <f t="shared" si="6"/>
        <v>μ - 2.4σ</v>
      </c>
      <c r="N58">
        <f t="shared" si="7"/>
        <v>0.12608836100490919</v>
      </c>
      <c r="O58">
        <v>-2.3500000000000099</v>
      </c>
      <c r="P58">
        <f t="shared" si="1"/>
        <v>2.5218219915193813E-2</v>
      </c>
      <c r="Q58">
        <f t="shared" si="2"/>
        <v>9.3867055348383199E-3</v>
      </c>
      <c r="R58">
        <v>0</v>
      </c>
      <c r="S58">
        <f t="shared" si="3"/>
        <v>2.5218219915193813E-2</v>
      </c>
      <c r="T58">
        <f t="shared" si="4"/>
        <v>0.99061329446516166</v>
      </c>
      <c r="V58">
        <v>-2.3500000000000099</v>
      </c>
      <c r="W58">
        <f t="shared" si="5"/>
        <v>2.0290480572997031E-3</v>
      </c>
      <c r="X58">
        <f t="shared" si="0"/>
        <v>2.0290480572997031E-3</v>
      </c>
    </row>
    <row r="59" spans="13:24">
      <c r="M59" s="154" t="str">
        <f t="shared" si="6"/>
        <v>μ - 2.3σ</v>
      </c>
      <c r="N59">
        <f t="shared" si="7"/>
        <v>0.12327665619783341</v>
      </c>
      <c r="O59">
        <v>-2.30000000000001</v>
      </c>
      <c r="P59">
        <f t="shared" si="1"/>
        <v>2.8327037741600516E-2</v>
      </c>
      <c r="Q59">
        <f t="shared" si="2"/>
        <v>1.0724110021675514E-2</v>
      </c>
      <c r="R59">
        <v>0</v>
      </c>
      <c r="S59">
        <f t="shared" si="3"/>
        <v>2.8327037741600516E-2</v>
      </c>
      <c r="T59">
        <f t="shared" si="4"/>
        <v>0.9892758899783245</v>
      </c>
      <c r="V59">
        <v>-2.30000000000001</v>
      </c>
      <c r="W59">
        <f t="shared" si="5"/>
        <v>2.3840882014647662E-3</v>
      </c>
      <c r="X59">
        <f t="shared" si="0"/>
        <v>2.3840882014647662E-3</v>
      </c>
    </row>
    <row r="60" spans="13:24">
      <c r="M60" s="154" t="str">
        <f t="shared" si="6"/>
        <v>μ - 2.3σ</v>
      </c>
      <c r="N60">
        <f t="shared" si="7"/>
        <v>0.12047197187351749</v>
      </c>
      <c r="O60">
        <v>-2.2500000000000102</v>
      </c>
      <c r="P60">
        <f t="shared" si="1"/>
        <v>3.1739651835666682E-2</v>
      </c>
      <c r="Q60">
        <f t="shared" si="2"/>
        <v>1.2224472655044376E-2</v>
      </c>
      <c r="R60">
        <v>0</v>
      </c>
      <c r="S60">
        <f t="shared" si="3"/>
        <v>3.1739651835666682E-2</v>
      </c>
      <c r="T60">
        <f t="shared" si="4"/>
        <v>0.98777552734495566</v>
      </c>
      <c r="V60">
        <v>-2.2500000000000102</v>
      </c>
      <c r="W60">
        <f t="shared" si="5"/>
        <v>2.7942584148793578E-3</v>
      </c>
      <c r="X60">
        <f t="shared" si="0"/>
        <v>2.7942584148793578E-3</v>
      </c>
    </row>
    <row r="61" spans="13:24">
      <c r="M61" s="154" t="str">
        <f t="shared" si="6"/>
        <v>μ - 2.2σ</v>
      </c>
      <c r="N61">
        <f t="shared" si="7"/>
        <v>0.11767429050267446</v>
      </c>
      <c r="O61">
        <v>-2.2000000000000099</v>
      </c>
      <c r="P61">
        <f t="shared" si="1"/>
        <v>3.5474592846230668E-2</v>
      </c>
      <c r="Q61">
        <f t="shared" si="2"/>
        <v>1.3903447513498252E-2</v>
      </c>
      <c r="R61">
        <v>0</v>
      </c>
      <c r="S61">
        <f t="shared" si="3"/>
        <v>3.5474592846230668E-2</v>
      </c>
      <c r="T61">
        <f t="shared" si="4"/>
        <v>0.98609655248650174</v>
      </c>
      <c r="V61">
        <v>-2.2000000000000099</v>
      </c>
      <c r="W61">
        <f t="shared" si="5"/>
        <v>3.2668190561998202E-3</v>
      </c>
      <c r="X61">
        <f t="shared" si="0"/>
        <v>3.2668190561998202E-3</v>
      </c>
    </row>
    <row r="62" spans="13:24">
      <c r="M62" s="154" t="str">
        <f t="shared" si="6"/>
        <v>μ - 2.2σ</v>
      </c>
      <c r="N62">
        <f t="shared" si="7"/>
        <v>0.11488359459978204</v>
      </c>
      <c r="O62">
        <v>-2.1500000000000101</v>
      </c>
      <c r="P62">
        <f t="shared" si="1"/>
        <v>3.955004158936936E-2</v>
      </c>
      <c r="Q62">
        <f t="shared" si="2"/>
        <v>1.5777607391090104E-2</v>
      </c>
      <c r="R62">
        <v>0</v>
      </c>
      <c r="S62">
        <f t="shared" si="3"/>
        <v>3.955004158936936E-2</v>
      </c>
      <c r="T62">
        <f t="shared" si="4"/>
        <v>0.98422239260890987</v>
      </c>
      <c r="V62">
        <v>-2.1500000000000101</v>
      </c>
      <c r="W62">
        <f t="shared" si="5"/>
        <v>3.809762098221692E-3</v>
      </c>
      <c r="X62">
        <f t="shared" si="0"/>
        <v>3.809762098221692E-3</v>
      </c>
    </row>
    <row r="63" spans="13:24">
      <c r="M63" s="154" t="str">
        <f t="shared" si="6"/>
        <v>μ - 2.1σ</v>
      </c>
      <c r="N63">
        <f t="shared" si="7"/>
        <v>0.11209986672298795</v>
      </c>
      <c r="O63">
        <v>-2.1000000000000099</v>
      </c>
      <c r="P63">
        <f t="shared" si="1"/>
        <v>4.3983595980426296E-2</v>
      </c>
      <c r="Q63">
        <f t="shared" si="2"/>
        <v>1.7864420562816112E-2</v>
      </c>
      <c r="R63">
        <v>0</v>
      </c>
      <c r="S63">
        <f t="shared" si="3"/>
        <v>4.3983595980426296E-2</v>
      </c>
      <c r="T63">
        <f t="shared" si="4"/>
        <v>0.98213557943718388</v>
      </c>
      <c r="V63">
        <v>-2.1000000000000099</v>
      </c>
      <c r="W63">
        <f t="shared" si="5"/>
        <v>4.4318484119378783E-3</v>
      </c>
      <c r="X63">
        <f t="shared" si="0"/>
        <v>4.4318484119378783E-3</v>
      </c>
    </row>
    <row r="64" spans="13:24">
      <c r="M64" s="154" t="str">
        <f t="shared" si="6"/>
        <v>μ - 2.1σ</v>
      </c>
      <c r="N64">
        <f t="shared" si="7"/>
        <v>0.10932308947397826</v>
      </c>
      <c r="O64">
        <v>-2.05000000000001</v>
      </c>
      <c r="P64">
        <f t="shared" si="1"/>
        <v>4.8792018579181751E-2</v>
      </c>
      <c r="Q64">
        <f t="shared" si="2"/>
        <v>2.0182215405703908E-2</v>
      </c>
      <c r="R64">
        <v>0</v>
      </c>
      <c r="S64">
        <f t="shared" si="3"/>
        <v>4.8792018579181751E-2</v>
      </c>
      <c r="T64">
        <f t="shared" si="4"/>
        <v>0.97981778459429614</v>
      </c>
      <c r="V64">
        <v>-2.05000000000001</v>
      </c>
      <c r="W64">
        <f t="shared" si="5"/>
        <v>5.1426409230537883E-3</v>
      </c>
      <c r="X64">
        <f t="shared" si="0"/>
        <v>5.1426409230537883E-3</v>
      </c>
    </row>
    <row r="65" spans="13:24">
      <c r="M65" s="154" t="str">
        <f t="shared" si="6"/>
        <v>μ - 2σ</v>
      </c>
      <c r="N65">
        <f t="shared" si="7"/>
        <v>0.1065532454978908</v>
      </c>
      <c r="O65">
        <v>-2.0000000000000102</v>
      </c>
      <c r="P65">
        <f t="shared" si="1"/>
        <v>5.3990966513186953E-2</v>
      </c>
      <c r="Q65">
        <f t="shared" si="2"/>
        <v>2.2750131948178647E-2</v>
      </c>
      <c r="R65">
        <v>0</v>
      </c>
      <c r="S65">
        <f t="shared" si="3"/>
        <v>5.3990966513186953E-2</v>
      </c>
      <c r="T65">
        <f t="shared" si="4"/>
        <v>0.97724986805182135</v>
      </c>
      <c r="V65">
        <v>-2.0000000000000102</v>
      </c>
      <c r="W65">
        <f t="shared" si="5"/>
        <v>5.9525324197756795E-3</v>
      </c>
      <c r="X65">
        <f t="shared" si="0"/>
        <v>5.9525324197756795E-3</v>
      </c>
    </row>
    <row r="66" spans="13:24">
      <c r="M66" s="154" t="str">
        <f t="shared" si="6"/>
        <v>μ - 2σ</v>
      </c>
      <c r="N66">
        <f t="shared" si="7"/>
        <v>0.10379031748319006</v>
      </c>
      <c r="O66">
        <v>-1.9500000000000099</v>
      </c>
      <c r="P66">
        <f t="shared" si="1"/>
        <v>5.9594706068814909E-2</v>
      </c>
      <c r="Q66">
        <f t="shared" si="2"/>
        <v>2.5588059521638038E-2</v>
      </c>
      <c r="R66">
        <v>0</v>
      </c>
      <c r="S66">
        <f t="shared" si="3"/>
        <v>5.9594706068814909E-2</v>
      </c>
      <c r="T66">
        <f t="shared" si="4"/>
        <v>0.97441194047836199</v>
      </c>
      <c r="V66">
        <v>-1.9500000000000099</v>
      </c>
      <c r="W66">
        <f t="shared" si="5"/>
        <v>6.8727666906137829E-3</v>
      </c>
      <c r="X66">
        <f t="shared" si="0"/>
        <v>6.8727666906137829E-3</v>
      </c>
    </row>
    <row r="67" spans="13:24">
      <c r="M67" s="154" t="str">
        <f t="shared" si="6"/>
        <v>μ - 1.9σ</v>
      </c>
      <c r="N67">
        <f t="shared" si="7"/>
        <v>0.10103428816156565</v>
      </c>
      <c r="O67">
        <v>-1.9000000000000099</v>
      </c>
      <c r="P67">
        <f t="shared" si="1"/>
        <v>6.561581477467536E-2</v>
      </c>
      <c r="Q67">
        <f t="shared" si="2"/>
        <v>2.8716559816001137E-2</v>
      </c>
      <c r="R67">
        <v>0</v>
      </c>
      <c r="S67">
        <f t="shared" si="3"/>
        <v>6.561581477467536E-2</v>
      </c>
      <c r="T67">
        <f t="shared" si="4"/>
        <v>0.97128344018399881</v>
      </c>
      <c r="V67">
        <v>-1.9000000000000099</v>
      </c>
      <c r="W67">
        <f t="shared" si="5"/>
        <v>7.915451582979743E-3</v>
      </c>
      <c r="X67">
        <f t="shared" si="0"/>
        <v>7.915451582979743E-3</v>
      </c>
    </row>
    <row r="68" spans="13:24">
      <c r="M68" s="154" t="str">
        <f t="shared" si="6"/>
        <v>μ - 1.9σ</v>
      </c>
      <c r="N68">
        <f t="shared" si="7"/>
        <v>9.8285140307826258E-2</v>
      </c>
      <c r="O68">
        <v>-1.8500000000000101</v>
      </c>
      <c r="P68">
        <f t="shared" si="1"/>
        <v>7.2064874336216667E-2</v>
      </c>
      <c r="Q68">
        <f t="shared" si="2"/>
        <v>3.2156774795612984E-2</v>
      </c>
      <c r="R68">
        <v>0</v>
      </c>
      <c r="S68">
        <f t="shared" si="3"/>
        <v>7.2064874336216667E-2</v>
      </c>
      <c r="T68">
        <f t="shared" si="4"/>
        <v>0.96784322520438704</v>
      </c>
      <c r="V68">
        <v>-1.8500000000000101</v>
      </c>
      <c r="W68">
        <f t="shared" si="5"/>
        <v>9.0935625015907996E-3</v>
      </c>
      <c r="X68">
        <f t="shared" ref="X68:X106" si="10">W68</f>
        <v>9.0935625015907996E-3</v>
      </c>
    </row>
    <row r="69" spans="13:24">
      <c r="M69" s="154" t="str">
        <f t="shared" si="6"/>
        <v>μ - 1.8σ</v>
      </c>
      <c r="N69">
        <f t="shared" si="7"/>
        <v>9.5542856739789295E-2</v>
      </c>
      <c r="O69">
        <v>-1.80000000000001</v>
      </c>
      <c r="P69">
        <f t="shared" ref="P69:P132" si="11">_xlfn.NORM.DIST(O69,$P$2,$P$1,FALSE)</f>
        <v>7.8950158300892734E-2</v>
      </c>
      <c r="Q69">
        <f t="shared" ref="Q69:Q132" si="12">_xlfn.NORM.DIST(O69,$P$2,$P$1,TRUE)</f>
        <v>3.5930319112924998E-2</v>
      </c>
      <c r="R69">
        <v>0</v>
      </c>
      <c r="S69">
        <f t="shared" ref="S69:S78" si="13">P69</f>
        <v>7.8950158300892734E-2</v>
      </c>
      <c r="T69">
        <f t="shared" ref="T69:T132" si="14">1-Q69</f>
        <v>0.96406968088707501</v>
      </c>
      <c r="V69">
        <v>-1.80000000000001</v>
      </c>
      <c r="W69">
        <f t="shared" ref="W69:W132" si="15">_xlfn.NORM.DIST(V69,$W$2,$W$1,FALSE)</f>
        <v>1.0420934814422318E-2</v>
      </c>
      <c r="X69">
        <f t="shared" si="10"/>
        <v>1.0420934814422318E-2</v>
      </c>
    </row>
    <row r="70" spans="13:24">
      <c r="M70" s="154" t="str">
        <f t="shared" ref="M70:M105" si="16">$M$3&amp;" - "&amp;ROUND(ABS(O70),1)&amp;$L$4</f>
        <v>μ - 1.8σ</v>
      </c>
      <c r="N70">
        <f t="shared" ref="N70:N133" si="17">(P70-P69)/P69</f>
        <v>9.2807420318173309E-2</v>
      </c>
      <c r="O70">
        <v>-1.75000000000001</v>
      </c>
      <c r="P70">
        <f t="shared" si="11"/>
        <v>8.6277318826510005E-2</v>
      </c>
      <c r="Q70">
        <f t="shared" si="12"/>
        <v>4.0059156863816225E-2</v>
      </c>
      <c r="R70">
        <v>0</v>
      </c>
      <c r="S70">
        <f t="shared" si="13"/>
        <v>8.6277318826510005E-2</v>
      </c>
      <c r="T70">
        <f t="shared" si="14"/>
        <v>0.95994084313618377</v>
      </c>
      <c r="V70">
        <v>-1.75000000000001</v>
      </c>
      <c r="W70">
        <f t="shared" si="15"/>
        <v>1.1912243607604862E-2</v>
      </c>
      <c r="X70">
        <f t="shared" si="10"/>
        <v>1.1912243607604862E-2</v>
      </c>
    </row>
    <row r="71" spans="13:24">
      <c r="M71" s="154" t="str">
        <f t="shared" si="16"/>
        <v>μ - 1.7σ</v>
      </c>
      <c r="N71">
        <f t="shared" si="17"/>
        <v>9.0078813946491601E-2</v>
      </c>
      <c r="O71">
        <v>-1.7000000000000099</v>
      </c>
      <c r="P71">
        <f t="shared" si="11"/>
        <v>9.4049077376885337E-2</v>
      </c>
      <c r="Q71">
        <f t="shared" si="12"/>
        <v>4.4565462758542097E-2</v>
      </c>
      <c r="R71">
        <v>0</v>
      </c>
      <c r="S71">
        <f t="shared" si="13"/>
        <v>9.4049077376885337E-2</v>
      </c>
      <c r="T71">
        <f t="shared" si="14"/>
        <v>0.95543453724145788</v>
      </c>
      <c r="V71">
        <v>-1.7000000000000099</v>
      </c>
      <c r="W71">
        <f t="shared" si="15"/>
        <v>1.3582969233685271E-2</v>
      </c>
      <c r="X71">
        <f t="shared" si="10"/>
        <v>1.3582969233685271E-2</v>
      </c>
    </row>
    <row r="72" spans="13:24">
      <c r="M72" s="154" t="str">
        <f t="shared" si="16"/>
        <v>μ - 1.7σ</v>
      </c>
      <c r="N72">
        <f t="shared" si="17"/>
        <v>8.7357020570945396E-2</v>
      </c>
      <c r="O72">
        <v>-1.6500000000000099</v>
      </c>
      <c r="P72">
        <f t="shared" si="11"/>
        <v>0.10226492456397634</v>
      </c>
      <c r="Q72">
        <f t="shared" si="12"/>
        <v>4.947146803364709E-2</v>
      </c>
      <c r="R72">
        <v>0</v>
      </c>
      <c r="S72">
        <f t="shared" si="13"/>
        <v>0.10226492456397634</v>
      </c>
      <c r="T72">
        <f t="shared" si="14"/>
        <v>0.9505285319663529</v>
      </c>
      <c r="V72">
        <v>-1.6500000000000099</v>
      </c>
      <c r="W72">
        <f t="shared" si="15"/>
        <v>1.5449347134394779E-2</v>
      </c>
      <c r="X72">
        <f t="shared" si="10"/>
        <v>1.5449347134394779E-2</v>
      </c>
    </row>
    <row r="73" spans="13:24">
      <c r="M73" s="154" t="str">
        <f t="shared" si="16"/>
        <v>μ - 1.6σ</v>
      </c>
      <c r="N73">
        <f t="shared" si="17"/>
        <v>8.4642023180316675E-2</v>
      </c>
      <c r="O73">
        <v>-1.6000000000000101</v>
      </c>
      <c r="P73">
        <f t="shared" si="11"/>
        <v>0.11092083467945377</v>
      </c>
      <c r="Q73">
        <f t="shared" si="12"/>
        <v>5.479929169955685E-2</v>
      </c>
      <c r="R73">
        <v>0</v>
      </c>
      <c r="S73">
        <f t="shared" si="13"/>
        <v>0.11092083467945377</v>
      </c>
      <c r="T73">
        <f t="shared" si="14"/>
        <v>0.94520070830044312</v>
      </c>
      <c r="V73">
        <v>-1.6000000000000101</v>
      </c>
      <c r="W73">
        <f t="shared" si="15"/>
        <v>1.7528300493568086E-2</v>
      </c>
      <c r="X73">
        <f t="shared" si="10"/>
        <v>1.7528300493568086E-2</v>
      </c>
    </row>
    <row r="74" spans="13:24">
      <c r="M74" s="154" t="str">
        <f t="shared" si="16"/>
        <v>μ - 1.6σ</v>
      </c>
      <c r="N74">
        <f t="shared" si="17"/>
        <v>8.1933804805864874E-2</v>
      </c>
      <c r="O74">
        <v>-1.55000000000001</v>
      </c>
      <c r="P74">
        <f t="shared" si="11"/>
        <v>0.12000900069698374</v>
      </c>
      <c r="Q74">
        <f t="shared" si="12"/>
        <v>6.0570758002057801E-2</v>
      </c>
      <c r="R74">
        <v>0</v>
      </c>
      <c r="S74">
        <f t="shared" si="13"/>
        <v>0.12000900069698374</v>
      </c>
      <c r="T74">
        <f t="shared" si="14"/>
        <v>0.9394292419979422</v>
      </c>
      <c r="V74">
        <v>-1.55000000000001</v>
      </c>
      <c r="W74">
        <f t="shared" si="15"/>
        <v>1.9837354391794845E-2</v>
      </c>
      <c r="X74">
        <f t="shared" si="10"/>
        <v>1.9837354391794845E-2</v>
      </c>
    </row>
    <row r="75" spans="13:24">
      <c r="M75" s="154" t="str">
        <f t="shared" si="16"/>
        <v>μ - 1.5σ</v>
      </c>
      <c r="N75">
        <f t="shared" si="17"/>
        <v>7.9232348521214274E-2</v>
      </c>
      <c r="O75">
        <v>-1.50000000000001</v>
      </c>
      <c r="P75">
        <f t="shared" si="11"/>
        <v>0.1295175956658898</v>
      </c>
      <c r="Q75">
        <f t="shared" si="12"/>
        <v>6.6807201268856753E-2</v>
      </c>
      <c r="R75">
        <v>0</v>
      </c>
      <c r="S75">
        <f t="shared" si="13"/>
        <v>0.1295175956658898</v>
      </c>
      <c r="T75">
        <f t="shared" si="14"/>
        <v>0.93319279873114325</v>
      </c>
      <c r="V75">
        <v>-1.50000000000001</v>
      </c>
      <c r="W75">
        <f t="shared" si="15"/>
        <v>2.2394530294842355E-2</v>
      </c>
      <c r="X75">
        <f t="shared" si="10"/>
        <v>2.2394530294842355E-2</v>
      </c>
    </row>
    <row r="76" spans="13:24">
      <c r="M76" s="154" t="str">
        <f t="shared" si="16"/>
        <v>μ - 1.5σ</v>
      </c>
      <c r="N76">
        <f t="shared" si="17"/>
        <v>7.653763744225503E-2</v>
      </c>
      <c r="O76">
        <v>-1.4500000000000099</v>
      </c>
      <c r="P76">
        <f t="shared" si="11"/>
        <v>0.13943056644535826</v>
      </c>
      <c r="Q76">
        <f t="shared" si="12"/>
        <v>7.3529259609646958E-2</v>
      </c>
      <c r="R76">
        <v>0</v>
      </c>
      <c r="S76">
        <f t="shared" si="13"/>
        <v>0.13943056644535826</v>
      </c>
      <c r="T76">
        <f t="shared" si="14"/>
        <v>0.92647074039035304</v>
      </c>
      <c r="V76">
        <v>-1.4500000000000099</v>
      </c>
      <c r="W76">
        <f t="shared" si="15"/>
        <v>2.5218219915193813E-2</v>
      </c>
      <c r="X76">
        <f t="shared" si="10"/>
        <v>2.5218219915193813E-2</v>
      </c>
    </row>
    <row r="77" spans="13:24">
      <c r="M77" s="154" t="str">
        <f t="shared" si="16"/>
        <v>μ - 1.4σ</v>
      </c>
      <c r="N77">
        <f t="shared" si="17"/>
        <v>7.3849654727034433E-2</v>
      </c>
      <c r="O77">
        <v>-1.4000000000000099</v>
      </c>
      <c r="P77">
        <f t="shared" si="11"/>
        <v>0.1497274656357428</v>
      </c>
      <c r="Q77">
        <f t="shared" si="12"/>
        <v>8.0756659233769554E-2</v>
      </c>
      <c r="R77">
        <v>0</v>
      </c>
      <c r="S77">
        <f t="shared" si="13"/>
        <v>0.1497274656357428</v>
      </c>
      <c r="T77">
        <f t="shared" si="14"/>
        <v>0.91924334076623049</v>
      </c>
      <c r="V77">
        <v>-1.4000000000000099</v>
      </c>
      <c r="W77">
        <f t="shared" si="15"/>
        <v>2.8327037741600516E-2</v>
      </c>
      <c r="X77">
        <f t="shared" si="10"/>
        <v>2.8327037741600516E-2</v>
      </c>
    </row>
    <row r="78" spans="13:24">
      <c r="M78" s="154" t="str">
        <f t="shared" si="16"/>
        <v>μ - 1.4σ</v>
      </c>
      <c r="N78">
        <f t="shared" si="17"/>
        <v>7.1168383575650737E-2</v>
      </c>
      <c r="O78">
        <v>-1.3500000000000101</v>
      </c>
      <c r="P78">
        <f t="shared" si="11"/>
        <v>0.1603833273419174</v>
      </c>
      <c r="Q78">
        <f t="shared" si="12"/>
        <v>8.8507991437400374E-2</v>
      </c>
      <c r="R78">
        <v>0</v>
      </c>
      <c r="S78">
        <f t="shared" si="13"/>
        <v>0.1603833273419174</v>
      </c>
      <c r="T78">
        <f t="shared" si="14"/>
        <v>0.9114920085625996</v>
      </c>
      <c r="V78">
        <v>-1.3500000000000101</v>
      </c>
      <c r="W78">
        <f t="shared" si="15"/>
        <v>3.1739651835666682E-2</v>
      </c>
      <c r="X78">
        <f t="shared" si="10"/>
        <v>3.1739651835666682E-2</v>
      </c>
    </row>
    <row r="79" spans="13:24">
      <c r="M79" s="154" t="str">
        <f t="shared" si="16"/>
        <v>μ - 1.3σ</v>
      </c>
      <c r="N79">
        <f t="shared" si="17"/>
        <v>8.6612979367531789E-2</v>
      </c>
      <c r="O79">
        <v>-1.2869999999999999</v>
      </c>
      <c r="P79">
        <f t="shared" ref="P79" si="18">_xlfn.NORM.DIST(O79,$P$2,$P$1,FALSE)</f>
        <v>0.17427460516387899</v>
      </c>
      <c r="Q79">
        <f t="shared" ref="Q79" si="19">_xlfn.NORM.DIST(O79,$P$2,$P$1,TRUE)</f>
        <v>9.9047144069627294E-2</v>
      </c>
      <c r="R79">
        <v>0</v>
      </c>
      <c r="S79">
        <f t="shared" ref="S79" si="20">P79</f>
        <v>0.17427460516387899</v>
      </c>
      <c r="T79">
        <f t="shared" ref="T79" si="21">1-Q79</f>
        <v>0.90095285593037266</v>
      </c>
      <c r="V79">
        <v>-1.30000000000001</v>
      </c>
      <c r="W79">
        <f t="shared" si="15"/>
        <v>3.5474592846230668E-2</v>
      </c>
      <c r="X79">
        <f t="shared" si="10"/>
        <v>3.5474592846230668E-2</v>
      </c>
    </row>
    <row r="80" spans="13:24">
      <c r="M80" s="154" t="str">
        <f t="shared" si="16"/>
        <v>μ - 1.3σ</v>
      </c>
      <c r="N80">
        <f>(P80-P79)/P79</f>
        <v>4.8053359336351444E-2</v>
      </c>
      <c r="O80">
        <v>-1.25000000000001</v>
      </c>
      <c r="P80">
        <f t="shared" si="11"/>
        <v>0.18264908538901964</v>
      </c>
      <c r="Q80">
        <f t="shared" si="12"/>
        <v>0.10564977366685342</v>
      </c>
      <c r="R80">
        <f t="shared" ref="R80:R86" si="22">P80</f>
        <v>0.18264908538901964</v>
      </c>
      <c r="S80">
        <v>0</v>
      </c>
      <c r="T80">
        <f t="shared" si="14"/>
        <v>0.89435022633314654</v>
      </c>
      <c r="V80">
        <v>-1.25000000000001</v>
      </c>
      <c r="W80">
        <f t="shared" si="15"/>
        <v>3.955004158936936E-2</v>
      </c>
      <c r="X80">
        <f t="shared" si="10"/>
        <v>3.955004158936936E-2</v>
      </c>
    </row>
    <row r="81" spans="13:24">
      <c r="M81" s="154" t="str">
        <f t="shared" si="16"/>
        <v>μ - 1.2σ</v>
      </c>
      <c r="N81">
        <f t="shared" si="17"/>
        <v>6.3164672134101915E-2</v>
      </c>
      <c r="O81">
        <v>-1.2000000000000099</v>
      </c>
      <c r="P81">
        <f t="shared" si="11"/>
        <v>0.19418605498321065</v>
      </c>
      <c r="Q81">
        <f t="shared" si="12"/>
        <v>0.11506967022170632</v>
      </c>
      <c r="R81">
        <f t="shared" si="22"/>
        <v>0.19418605498321065</v>
      </c>
      <c r="S81">
        <v>0</v>
      </c>
      <c r="T81">
        <f t="shared" si="14"/>
        <v>0.88493032977829367</v>
      </c>
      <c r="V81">
        <v>-1.2000000000000099</v>
      </c>
      <c r="W81">
        <f t="shared" si="15"/>
        <v>4.3983595980426296E-2</v>
      </c>
      <c r="X81">
        <f t="shared" si="10"/>
        <v>4.3983595980426296E-2</v>
      </c>
    </row>
    <row r="82" spans="13:24">
      <c r="M82" s="154" t="str">
        <f t="shared" si="16"/>
        <v>μ - 1.2σ</v>
      </c>
      <c r="N82">
        <f t="shared" si="17"/>
        <v>6.0510080076438391E-2</v>
      </c>
      <c r="O82">
        <v>-1.1500000000000099</v>
      </c>
      <c r="P82">
        <f t="shared" si="11"/>
        <v>0.20593626871997239</v>
      </c>
      <c r="Q82">
        <f t="shared" si="12"/>
        <v>0.12507193563714819</v>
      </c>
      <c r="R82">
        <f t="shared" si="22"/>
        <v>0.20593626871997239</v>
      </c>
      <c r="S82">
        <v>0</v>
      </c>
      <c r="T82">
        <f t="shared" si="14"/>
        <v>0.87492806436285186</v>
      </c>
      <c r="V82">
        <v>-1.1500000000000099</v>
      </c>
      <c r="W82">
        <f t="shared" si="15"/>
        <v>4.8792018579181751E-2</v>
      </c>
      <c r="X82">
        <f t="shared" si="10"/>
        <v>4.8792018579181751E-2</v>
      </c>
    </row>
    <row r="83" spans="13:24">
      <c r="M83" s="154" t="str">
        <f t="shared" si="16"/>
        <v>μ - 1.1σ</v>
      </c>
      <c r="N83">
        <f t="shared" si="17"/>
        <v>5.7862116210227812E-2</v>
      </c>
      <c r="O83">
        <v>-1.1000000000000101</v>
      </c>
      <c r="P83">
        <f t="shared" si="11"/>
        <v>0.21785217703254814</v>
      </c>
      <c r="Q83">
        <f t="shared" si="12"/>
        <v>0.13566606094638042</v>
      </c>
      <c r="R83">
        <f t="shared" si="22"/>
        <v>0.21785217703254814</v>
      </c>
      <c r="S83">
        <v>0</v>
      </c>
      <c r="T83">
        <f t="shared" si="14"/>
        <v>0.86433393905361955</v>
      </c>
      <c r="V83">
        <v>-1.1000000000000101</v>
      </c>
      <c r="W83">
        <f t="shared" si="15"/>
        <v>5.3990966513186953E-2</v>
      </c>
      <c r="X83">
        <f t="shared" si="10"/>
        <v>5.3990966513186953E-2</v>
      </c>
    </row>
    <row r="84" spans="13:24">
      <c r="M84" s="154" t="str">
        <f t="shared" si="16"/>
        <v>μ - 1.1σ</v>
      </c>
      <c r="N84">
        <f t="shared" si="17"/>
        <v>5.5220763985687218E-2</v>
      </c>
      <c r="O84">
        <v>-1.05000000000001</v>
      </c>
      <c r="P84">
        <f t="shared" si="11"/>
        <v>0.22988214068423063</v>
      </c>
      <c r="Q84">
        <f t="shared" si="12"/>
        <v>0.14685905637589361</v>
      </c>
      <c r="R84">
        <f t="shared" si="22"/>
        <v>0.22988214068423063</v>
      </c>
      <c r="S84">
        <v>0</v>
      </c>
      <c r="T84">
        <f t="shared" si="14"/>
        <v>0.85314094362410642</v>
      </c>
      <c r="U84">
        <f>_xlfn.NORM.S.INV(0.9)</f>
        <v>1.2815515655446006</v>
      </c>
      <c r="V84">
        <v>-1.05000000000001</v>
      </c>
      <c r="W84">
        <f t="shared" si="15"/>
        <v>5.9594706068814909E-2</v>
      </c>
      <c r="X84">
        <f t="shared" si="10"/>
        <v>5.9594706068814909E-2</v>
      </c>
    </row>
    <row r="85" spans="13:24">
      <c r="M85" s="154" t="str">
        <f t="shared" si="16"/>
        <v>μ - 1σ</v>
      </c>
      <c r="N85">
        <f t="shared" si="17"/>
        <v>5.2586006894356115E-2</v>
      </c>
      <c r="O85">
        <v>-1.00000000000001</v>
      </c>
      <c r="P85">
        <f t="shared" si="11"/>
        <v>0.24197072451914092</v>
      </c>
      <c r="Q85">
        <f t="shared" si="12"/>
        <v>0.15865525393145458</v>
      </c>
      <c r="R85">
        <f t="shared" si="22"/>
        <v>0.24197072451914092</v>
      </c>
      <c r="S85">
        <v>0</v>
      </c>
      <c r="T85">
        <f t="shared" si="14"/>
        <v>0.84134474606854548</v>
      </c>
      <c r="U85" t="e">
        <f>no</f>
        <v>#NAME?</v>
      </c>
      <c r="V85">
        <v>-1.00000000000001</v>
      </c>
      <c r="W85">
        <f t="shared" si="15"/>
        <v>6.5615814774675332E-2</v>
      </c>
      <c r="X85">
        <f t="shared" si="10"/>
        <v>6.5615814774675332E-2</v>
      </c>
    </row>
    <row r="86" spans="13:24">
      <c r="M86" s="154" t="str">
        <f t="shared" si="16"/>
        <v>μ - 1σ</v>
      </c>
      <c r="N86">
        <f t="shared" si="17"/>
        <v>4.9957828468994901E-2</v>
      </c>
      <c r="O86">
        <v>-0.95000000000000995</v>
      </c>
      <c r="P86">
        <f t="shared" si="11"/>
        <v>0.25405905646918658</v>
      </c>
      <c r="Q86">
        <f t="shared" si="12"/>
        <v>0.17105612630847924</v>
      </c>
      <c r="R86">
        <f t="shared" si="22"/>
        <v>0.25405905646918658</v>
      </c>
      <c r="S86">
        <v>0</v>
      </c>
      <c r="T86">
        <f t="shared" si="14"/>
        <v>0.82894387369152078</v>
      </c>
      <c r="V86">
        <v>-0.95000000000000995</v>
      </c>
      <c r="W86">
        <f t="shared" si="15"/>
        <v>7.2064874336216694E-2</v>
      </c>
      <c r="X86">
        <f t="shared" si="10"/>
        <v>7.2064874336216694E-2</v>
      </c>
    </row>
    <row r="87" spans="13:24">
      <c r="M87" s="154" t="str">
        <f t="shared" si="16"/>
        <v>μ - 0.9σ</v>
      </c>
      <c r="N87">
        <f t="shared" si="17"/>
        <v>4.7336212283479201E-2</v>
      </c>
      <c r="O87">
        <v>-0.90000000000001001</v>
      </c>
      <c r="P87">
        <f t="shared" si="11"/>
        <v>0.26608524989875243</v>
      </c>
      <c r="Q87">
        <f t="shared" si="12"/>
        <v>0.18406012534675684</v>
      </c>
      <c r="R87">
        <f>P87</f>
        <v>0.26608524989875243</v>
      </c>
      <c r="S87">
        <v>0</v>
      </c>
      <c r="T87">
        <f>1-Q87</f>
        <v>0.81593987465324314</v>
      </c>
      <c r="V87">
        <v>-0.90000000000001001</v>
      </c>
      <c r="W87">
        <f t="shared" si="15"/>
        <v>7.8950158300892734E-2</v>
      </c>
      <c r="X87">
        <f t="shared" si="10"/>
        <v>7.8950158300892734E-2</v>
      </c>
    </row>
    <row r="88" spans="13:24">
      <c r="M88" s="154" t="str">
        <f t="shared" si="16"/>
        <v>μ - 0.9σ</v>
      </c>
      <c r="N88">
        <f t="shared" si="17"/>
        <v>4.4721141952700667E-2</v>
      </c>
      <c r="O88">
        <v>-0.85000000000000897</v>
      </c>
      <c r="P88">
        <f t="shared" si="11"/>
        <v>0.27798488613099437</v>
      </c>
      <c r="Q88">
        <f t="shared" si="12"/>
        <v>0.19766254312268991</v>
      </c>
      <c r="R88">
        <f t="shared" ref="R88:R151" si="23">P88</f>
        <v>0.27798488613099437</v>
      </c>
      <c r="S88">
        <v>0</v>
      </c>
      <c r="T88">
        <f t="shared" si="14"/>
        <v>0.80233745687731006</v>
      </c>
      <c r="V88">
        <v>-0.85000000000000897</v>
      </c>
      <c r="W88">
        <f t="shared" si="15"/>
        <v>8.6277318826510171E-2</v>
      </c>
      <c r="X88">
        <f t="shared" si="10"/>
        <v>8.6277318826510171E-2</v>
      </c>
    </row>
    <row r="89" spans="13:24">
      <c r="M89" s="154" t="str">
        <f t="shared" si="16"/>
        <v>μ - 0.8σ</v>
      </c>
      <c r="N89">
        <f t="shared" si="17"/>
        <v>4.211260113244876E-2</v>
      </c>
      <c r="O89">
        <v>-0.80000000000002003</v>
      </c>
      <c r="P89">
        <f t="shared" si="11"/>
        <v>0.28969155276147812</v>
      </c>
      <c r="Q89">
        <f t="shared" si="12"/>
        <v>0.21185539858339086</v>
      </c>
      <c r="R89">
        <f t="shared" si="23"/>
        <v>0.28969155276147812</v>
      </c>
      <c r="S89">
        <v>0</v>
      </c>
      <c r="T89">
        <f t="shared" si="14"/>
        <v>0.78814460141660914</v>
      </c>
      <c r="V89">
        <v>-0.80000000000002003</v>
      </c>
      <c r="W89">
        <f t="shared" si="15"/>
        <v>9.40490773768837E-2</v>
      </c>
      <c r="X89">
        <f t="shared" si="10"/>
        <v>9.40490773768837E-2</v>
      </c>
    </row>
    <row r="90" spans="13:24">
      <c r="M90" s="154" t="str">
        <f t="shared" si="16"/>
        <v>μ - 0.8σ</v>
      </c>
      <c r="N90">
        <f t="shared" si="17"/>
        <v>3.9510573519366467E-2</v>
      </c>
      <c r="O90">
        <v>-0.75000000000001998</v>
      </c>
      <c r="P90">
        <f t="shared" si="11"/>
        <v>0.30113743215479993</v>
      </c>
      <c r="Q90">
        <f t="shared" si="12"/>
        <v>0.22662735237686216</v>
      </c>
      <c r="R90">
        <f t="shared" si="23"/>
        <v>0.30113743215479993</v>
      </c>
      <c r="S90">
        <v>0</v>
      </c>
      <c r="T90">
        <f t="shared" si="14"/>
        <v>0.77337264762313784</v>
      </c>
      <c r="V90">
        <v>-0.75000000000001998</v>
      </c>
      <c r="W90">
        <f t="shared" si="15"/>
        <v>0.10226492456397464</v>
      </c>
      <c r="X90">
        <f t="shared" si="10"/>
        <v>0.10226492456397464</v>
      </c>
    </row>
    <row r="91" spans="13:24">
      <c r="M91" s="154" t="str">
        <f t="shared" si="16"/>
        <v>μ - 0.7σ</v>
      </c>
      <c r="N91">
        <f t="shared" si="17"/>
        <v>3.691504285074234E-2</v>
      </c>
      <c r="O91">
        <v>-0.70000000000002005</v>
      </c>
      <c r="P91">
        <f t="shared" si="11"/>
        <v>0.31225393336675689</v>
      </c>
      <c r="Q91">
        <f t="shared" si="12"/>
        <v>0.24196365222306665</v>
      </c>
      <c r="R91">
        <f t="shared" si="23"/>
        <v>0.31225393336675689</v>
      </c>
      <c r="S91">
        <v>0</v>
      </c>
      <c r="T91">
        <f t="shared" si="14"/>
        <v>0.75803634777693341</v>
      </c>
      <c r="V91">
        <v>-0.70000000000002005</v>
      </c>
      <c r="W91">
        <f t="shared" si="15"/>
        <v>0.110920834679452</v>
      </c>
      <c r="X91">
        <f t="shared" si="10"/>
        <v>0.110920834679452</v>
      </c>
    </row>
    <row r="92" spans="13:24">
      <c r="M92" s="154" t="str">
        <f t="shared" si="16"/>
        <v>μ - 0.7σ</v>
      </c>
      <c r="N92">
        <f t="shared" si="17"/>
        <v>3.4325992904511861E-2</v>
      </c>
      <c r="O92">
        <v>-0.65000000000002001</v>
      </c>
      <c r="P92">
        <f t="shared" si="11"/>
        <v>0.3229723596679101</v>
      </c>
      <c r="Q92">
        <f t="shared" si="12"/>
        <v>0.25784611080585818</v>
      </c>
      <c r="R92">
        <f t="shared" si="23"/>
        <v>0.3229723596679101</v>
      </c>
      <c r="S92">
        <v>0</v>
      </c>
      <c r="T92">
        <f t="shared" si="14"/>
        <v>0.74215388919414182</v>
      </c>
      <c r="V92">
        <v>-0.65000000000002001</v>
      </c>
      <c r="W92">
        <f t="shared" si="15"/>
        <v>0.12000900069698188</v>
      </c>
      <c r="X92">
        <f t="shared" si="10"/>
        <v>0.12000900069698188</v>
      </c>
    </row>
    <row r="93" spans="13:24">
      <c r="M93" s="154" t="str">
        <f t="shared" si="16"/>
        <v>μ - 0.6σ</v>
      </c>
      <c r="N93">
        <f t="shared" si="17"/>
        <v>3.1743407499103753E-2</v>
      </c>
      <c r="O93">
        <v>-0.60000000000001996</v>
      </c>
      <c r="P93">
        <f t="shared" si="11"/>
        <v>0.33322460289179567</v>
      </c>
      <c r="Q93">
        <f t="shared" si="12"/>
        <v>0.27425311775006689</v>
      </c>
      <c r="R93">
        <f t="shared" si="23"/>
        <v>0.33322460289179567</v>
      </c>
      <c r="S93">
        <v>0</v>
      </c>
      <c r="T93">
        <f t="shared" si="14"/>
        <v>0.72574688224993311</v>
      </c>
      <c r="V93">
        <v>-0.60000000000001996</v>
      </c>
      <c r="W93">
        <f t="shared" si="15"/>
        <v>0.12951759566588786</v>
      </c>
      <c r="X93">
        <f t="shared" si="10"/>
        <v>0.12951759566588786</v>
      </c>
    </row>
    <row r="94" spans="13:24">
      <c r="M94" s="154" t="str">
        <f t="shared" si="16"/>
        <v>μ - 0.6σ</v>
      </c>
      <c r="N94">
        <f t="shared" si="17"/>
        <v>2.9167270493350935E-2</v>
      </c>
      <c r="O94">
        <v>-0.55000000000002003</v>
      </c>
      <c r="P94">
        <f t="shared" si="11"/>
        <v>0.34294385501938013</v>
      </c>
      <c r="Q94">
        <f t="shared" si="12"/>
        <v>0.29115968678833948</v>
      </c>
      <c r="R94">
        <f t="shared" si="23"/>
        <v>0.34294385501938013</v>
      </c>
      <c r="S94">
        <v>0</v>
      </c>
      <c r="T94">
        <f t="shared" si="14"/>
        <v>0.70884031321166052</v>
      </c>
      <c r="V94">
        <v>-0.55000000000002003</v>
      </c>
      <c r="W94">
        <f t="shared" si="15"/>
        <v>0.13943056644535617</v>
      </c>
      <c r="X94">
        <f t="shared" si="10"/>
        <v>0.13943056644535617</v>
      </c>
    </row>
    <row r="95" spans="13:24">
      <c r="M95" s="154" t="str">
        <f t="shared" si="16"/>
        <v>μ - 0.5σ</v>
      </c>
      <c r="N95">
        <f t="shared" si="17"/>
        <v>2.6597565786389086E-2</v>
      </c>
      <c r="O95">
        <v>-0.50000000000001998</v>
      </c>
      <c r="P95">
        <f t="shared" si="11"/>
        <v>0.35206532676429597</v>
      </c>
      <c r="Q95">
        <f t="shared" si="12"/>
        <v>0.30853753872597978</v>
      </c>
      <c r="R95">
        <f t="shared" si="23"/>
        <v>0.35206532676429597</v>
      </c>
      <c r="S95">
        <v>0</v>
      </c>
      <c r="T95">
        <f t="shared" si="14"/>
        <v>0.69146246127402022</v>
      </c>
      <c r="V95">
        <v>-0.50000000000001998</v>
      </c>
      <c r="W95">
        <f t="shared" si="15"/>
        <v>0.14972746563574069</v>
      </c>
      <c r="X95">
        <f t="shared" si="10"/>
        <v>0.14972746563574069</v>
      </c>
    </row>
    <row r="96" spans="13:24">
      <c r="M96" s="154" t="str">
        <f t="shared" si="16"/>
        <v>μ - 0.5σ</v>
      </c>
      <c r="N96">
        <f t="shared" si="17"/>
        <v>2.4034277317555142E-2</v>
      </c>
      <c r="O96">
        <v>-0.45000000000002</v>
      </c>
      <c r="P96">
        <f t="shared" si="11"/>
        <v>0.36052696246164473</v>
      </c>
      <c r="Q96">
        <f t="shared" si="12"/>
        <v>0.32635522028791286</v>
      </c>
      <c r="R96">
        <f t="shared" si="23"/>
        <v>0.36052696246164473</v>
      </c>
      <c r="S96">
        <v>0</v>
      </c>
      <c r="T96">
        <f t="shared" si="14"/>
        <v>0.67364477971208714</v>
      </c>
      <c r="V96">
        <v>-0.45000000000002</v>
      </c>
      <c r="W96">
        <f t="shared" si="15"/>
        <v>0.16038332734191524</v>
      </c>
      <c r="X96">
        <f t="shared" si="10"/>
        <v>0.16038332734191524</v>
      </c>
    </row>
    <row r="97" spans="9:24">
      <c r="M97" s="154" t="str">
        <f t="shared" si="16"/>
        <v>μ - 0.4σ</v>
      </c>
      <c r="N97">
        <f t="shared" si="17"/>
        <v>2.1477389066287753E-2</v>
      </c>
      <c r="O97">
        <v>-0.40000000000002001</v>
      </c>
      <c r="P97">
        <f t="shared" si="11"/>
        <v>0.36827014030332039</v>
      </c>
      <c r="Q97">
        <f t="shared" si="12"/>
        <v>0.34457825838966843</v>
      </c>
      <c r="R97">
        <f t="shared" si="23"/>
        <v>0.36827014030332039</v>
      </c>
      <c r="S97">
        <v>0</v>
      </c>
      <c r="T97">
        <f t="shared" si="14"/>
        <v>0.65542174161033162</v>
      </c>
      <c r="V97">
        <v>-0.40000000000002001</v>
      </c>
      <c r="W97">
        <f t="shared" si="15"/>
        <v>0.17136859204780289</v>
      </c>
      <c r="X97">
        <f t="shared" si="10"/>
        <v>0.17136859204780289</v>
      </c>
    </row>
    <row r="98" spans="9:24">
      <c r="M98" s="154" t="str">
        <f t="shared" si="16"/>
        <v>μ - 0.4σ</v>
      </c>
      <c r="N98">
        <f t="shared" si="17"/>
        <v>1.8926885052027161E-2</v>
      </c>
      <c r="O98">
        <v>-0.35000000000002002</v>
      </c>
      <c r="P98">
        <f t="shared" si="11"/>
        <v>0.37524034691693525</v>
      </c>
      <c r="Q98">
        <f t="shared" si="12"/>
        <v>0.36316934882437341</v>
      </c>
      <c r="R98">
        <f t="shared" si="23"/>
        <v>0.37524034691693525</v>
      </c>
      <c r="S98">
        <v>0</v>
      </c>
      <c r="T98">
        <f t="shared" si="14"/>
        <v>0.63683065117562654</v>
      </c>
      <c r="V98">
        <v>-0.35000000000002002</v>
      </c>
      <c r="W98">
        <f t="shared" si="15"/>
        <v>0.18264908538901736</v>
      </c>
      <c r="X98">
        <f t="shared" si="10"/>
        <v>0.18264908538901736</v>
      </c>
    </row>
    <row r="99" spans="9:24">
      <c r="M99" s="154" t="str">
        <f t="shared" si="16"/>
        <v>μ - 0.3σ</v>
      </c>
      <c r="N99">
        <f t="shared" si="17"/>
        <v>1.6382749334115137E-2</v>
      </c>
      <c r="O99">
        <v>-0.30000000000001997</v>
      </c>
      <c r="P99">
        <f t="shared" si="11"/>
        <v>0.38138781546052181</v>
      </c>
      <c r="Q99">
        <f t="shared" si="12"/>
        <v>0.38208857781103972</v>
      </c>
      <c r="R99">
        <f t="shared" si="23"/>
        <v>0.38138781546052181</v>
      </c>
      <c r="S99">
        <v>0</v>
      </c>
      <c r="T99">
        <f t="shared" si="14"/>
        <v>0.61791142218896034</v>
      </c>
      <c r="V99">
        <v>-0.30000000000001997</v>
      </c>
      <c r="W99">
        <f t="shared" si="15"/>
        <v>0.19418605498320829</v>
      </c>
      <c r="X99">
        <f t="shared" si="10"/>
        <v>0.19418605498320829</v>
      </c>
    </row>
    <row r="100" spans="9:24">
      <c r="M100" s="154" t="str">
        <f t="shared" si="16"/>
        <v>μ - 0.3σ</v>
      </c>
      <c r="N100">
        <f t="shared" si="17"/>
        <v>1.3844966011694894E-2</v>
      </c>
      <c r="O100">
        <v>-0.25000000000001998</v>
      </c>
      <c r="P100">
        <f t="shared" si="11"/>
        <v>0.38666811680284729</v>
      </c>
      <c r="Q100">
        <f t="shared" si="12"/>
        <v>0.40129367431706853</v>
      </c>
      <c r="R100">
        <f t="shared" si="23"/>
        <v>0.38666811680284729</v>
      </c>
      <c r="S100">
        <v>0</v>
      </c>
      <c r="T100">
        <f t="shared" si="14"/>
        <v>0.59870632568293147</v>
      </c>
      <c r="V100">
        <v>-0.25000000000001998</v>
      </c>
      <c r="W100">
        <f t="shared" si="15"/>
        <v>0.20593626871997003</v>
      </c>
      <c r="X100">
        <f t="shared" si="10"/>
        <v>0.20593626871997003</v>
      </c>
    </row>
    <row r="101" spans="9:24">
      <c r="M101" s="154" t="str">
        <f t="shared" si="16"/>
        <v>μ - 0.2σ</v>
      </c>
      <c r="N101">
        <f t="shared" si="17"/>
        <v>1.1313519223612433E-2</v>
      </c>
      <c r="O101">
        <v>-0.20000000000002</v>
      </c>
      <c r="P101">
        <f t="shared" si="11"/>
        <v>0.39104269397545433</v>
      </c>
      <c r="Q101">
        <f t="shared" si="12"/>
        <v>0.42074029056088913</v>
      </c>
      <c r="R101">
        <f t="shared" si="23"/>
        <v>0.39104269397545433</v>
      </c>
      <c r="S101">
        <v>0</v>
      </c>
      <c r="T101">
        <f t="shared" si="14"/>
        <v>0.57925970943911087</v>
      </c>
      <c r="V101">
        <v>-0.20000000000002</v>
      </c>
      <c r="W101">
        <f t="shared" si="15"/>
        <v>0.21785217703254575</v>
      </c>
      <c r="X101">
        <f t="shared" si="10"/>
        <v>0.21785217703254575</v>
      </c>
    </row>
    <row r="102" spans="9:24">
      <c r="M102" s="154" t="str">
        <f t="shared" si="16"/>
        <v>μ - 0.2σ</v>
      </c>
      <c r="N102">
        <f t="shared" si="17"/>
        <v>8.7883931483172476E-3</v>
      </c>
      <c r="O102">
        <v>-0.15000000000002001</v>
      </c>
      <c r="P102">
        <f t="shared" si="11"/>
        <v>0.39447933090788773</v>
      </c>
      <c r="Q102">
        <f t="shared" si="12"/>
        <v>0.44038230762974956</v>
      </c>
      <c r="R102">
        <f t="shared" si="23"/>
        <v>0.39447933090788773</v>
      </c>
      <c r="S102">
        <v>0</v>
      </c>
      <c r="T102">
        <f t="shared" si="14"/>
        <v>0.5596176923702505</v>
      </c>
      <c r="V102">
        <v>-0.15000000000002001</v>
      </c>
      <c r="W102">
        <f t="shared" si="15"/>
        <v>0.22988214068422821</v>
      </c>
      <c r="X102">
        <f t="shared" si="10"/>
        <v>0.22988214068422821</v>
      </c>
    </row>
    <row r="103" spans="9:24">
      <c r="M103" s="154" t="str">
        <f t="shared" si="16"/>
        <v>μ - 0.1σ</v>
      </c>
      <c r="N103">
        <f t="shared" si="17"/>
        <v>6.2695720037629892E-3</v>
      </c>
      <c r="O103">
        <v>-0.10000000000002</v>
      </c>
      <c r="P103">
        <f t="shared" si="11"/>
        <v>0.39695254747701098</v>
      </c>
      <c r="Q103">
        <f t="shared" si="12"/>
        <v>0.46017216272296307</v>
      </c>
      <c r="R103">
        <f t="shared" si="23"/>
        <v>0.39695254747701098</v>
      </c>
      <c r="S103">
        <v>0</v>
      </c>
      <c r="T103">
        <f t="shared" si="14"/>
        <v>0.53982783727703687</v>
      </c>
      <c r="V103">
        <v>-0.10000000000002</v>
      </c>
      <c r="W103">
        <f t="shared" si="15"/>
        <v>0.24197072451913854</v>
      </c>
      <c r="X103">
        <f t="shared" si="10"/>
        <v>0.24197072451913854</v>
      </c>
    </row>
    <row r="104" spans="9:24">
      <c r="M104" s="154" t="str">
        <f t="shared" si="16"/>
        <v>μ - 0.1σ</v>
      </c>
      <c r="N104">
        <f t="shared" si="17"/>
        <v>3.7570400473094117E-3</v>
      </c>
      <c r="O104">
        <v>-5.0000000000020299E-2</v>
      </c>
      <c r="P104">
        <f t="shared" si="11"/>
        <v>0.3984439140947636</v>
      </c>
      <c r="Q104">
        <f t="shared" si="12"/>
        <v>0.48006119416161946</v>
      </c>
      <c r="R104">
        <f t="shared" si="23"/>
        <v>0.3984439140947636</v>
      </c>
      <c r="S104">
        <v>0</v>
      </c>
      <c r="T104">
        <f t="shared" si="14"/>
        <v>0.51993880583838048</v>
      </c>
      <c r="V104">
        <v>-5.0000000000020299E-2</v>
      </c>
      <c r="W104">
        <f t="shared" si="15"/>
        <v>0.25405905646918409</v>
      </c>
      <c r="X104">
        <f t="shared" si="10"/>
        <v>0.25405905646918409</v>
      </c>
    </row>
    <row r="105" spans="9:24">
      <c r="M105" s="154" t="str">
        <f t="shared" si="16"/>
        <v>μ - 0σ</v>
      </c>
      <c r="N105">
        <f t="shared" si="17"/>
        <v>1.2507815756236606E-3</v>
      </c>
      <c r="O105">
        <v>-1.9539925233402799E-14</v>
      </c>
      <c r="P105">
        <f>_xlfn.NORM.DIST(O105,$P$2,$P$1,FALSE)</f>
        <v>0.3989422804014327</v>
      </c>
      <c r="Q105">
        <f t="shared" si="12"/>
        <v>0.49999999999999223</v>
      </c>
      <c r="R105">
        <f t="shared" si="23"/>
        <v>0.3989422804014327</v>
      </c>
      <c r="S105">
        <v>0</v>
      </c>
      <c r="T105">
        <f>1-Q105</f>
        <v>0.50000000000000777</v>
      </c>
      <c r="V105">
        <v>-1.9539925233402799E-14</v>
      </c>
      <c r="W105">
        <f t="shared" si="15"/>
        <v>0.26608524989875015</v>
      </c>
      <c r="X105">
        <f t="shared" si="10"/>
        <v>0.26608524989875015</v>
      </c>
    </row>
    <row r="106" spans="9:24">
      <c r="M106" s="154" t="str">
        <f>$M$3&amp;" + "&amp;ROUND(ABS(O106),1)&amp;$L$4</f>
        <v>μ + 0σ</v>
      </c>
      <c r="N106">
        <f t="shared" si="17"/>
        <v>-1.2492190754182593E-3</v>
      </c>
      <c r="O106">
        <v>4.9999999999980303E-2</v>
      </c>
      <c r="P106">
        <f t="shared" si="11"/>
        <v>0.39844391409476437</v>
      </c>
      <c r="Q106">
        <f t="shared" si="12"/>
        <v>0.5199388058383646</v>
      </c>
      <c r="R106">
        <f t="shared" si="23"/>
        <v>0.39844391409476437</v>
      </c>
      <c r="S106">
        <v>0</v>
      </c>
      <c r="T106">
        <f t="shared" si="14"/>
        <v>0.4800611941616354</v>
      </c>
      <c r="V106">
        <v>4.9999999999980303E-2</v>
      </c>
      <c r="W106">
        <f t="shared" si="15"/>
        <v>0.27798488613099182</v>
      </c>
      <c r="X106">
        <f t="shared" si="10"/>
        <v>0.27798488613099182</v>
      </c>
    </row>
    <row r="107" spans="9:24">
      <c r="I107">
        <f>_xlfn.NORM.INV(0.9,0,1)</f>
        <v>1.2815515655446006</v>
      </c>
      <c r="J107">
        <v>0.50000000000000777</v>
      </c>
      <c r="K107">
        <v>0.3989422804014327</v>
      </c>
      <c r="M107" s="154" t="str">
        <f t="shared" ref="M107:M170" si="24">$M$3&amp;" + "&amp;ROUND(ABS(O107),1)&amp;$L$4</f>
        <v>μ + 0.1σ</v>
      </c>
      <c r="N107">
        <f t="shared" si="17"/>
        <v>-3.7429775308278073E-3</v>
      </c>
      <c r="O107">
        <v>9.9999999999980105E-2</v>
      </c>
      <c r="P107">
        <f t="shared" si="11"/>
        <v>0.39695254747701259</v>
      </c>
      <c r="Q107">
        <f t="shared" si="12"/>
        <v>0.53982783727702111</v>
      </c>
      <c r="R107">
        <f t="shared" si="23"/>
        <v>0.39695254747701259</v>
      </c>
      <c r="S107">
        <v>0</v>
      </c>
      <c r="T107">
        <f t="shared" si="14"/>
        <v>0.46017216272297889</v>
      </c>
      <c r="V107">
        <v>9.9999999999980105E-2</v>
      </c>
      <c r="W107">
        <f t="shared" si="15"/>
        <v>0.28969155276147818</v>
      </c>
      <c r="X107">
        <f>W107</f>
        <v>0.28969155276147818</v>
      </c>
    </row>
    <row r="108" spans="9:24">
      <c r="M108" s="154" t="str">
        <f t="shared" si="24"/>
        <v>μ + 0.1σ</v>
      </c>
      <c r="N108">
        <f t="shared" si="17"/>
        <v>-6.2305093766042525E-3</v>
      </c>
      <c r="O108">
        <v>0.14999999999998001</v>
      </c>
      <c r="P108">
        <f t="shared" si="11"/>
        <v>0.39447933090789011</v>
      </c>
      <c r="Q108">
        <f t="shared" si="12"/>
        <v>0.55961769237023462</v>
      </c>
      <c r="R108">
        <f t="shared" si="23"/>
        <v>0.39447933090789011</v>
      </c>
      <c r="S108">
        <v>0</v>
      </c>
      <c r="T108">
        <f t="shared" si="14"/>
        <v>0.44038230762976538</v>
      </c>
      <c r="V108">
        <v>0.14999999999998001</v>
      </c>
      <c r="W108">
        <f t="shared" si="15"/>
        <v>0.30113743215479993</v>
      </c>
      <c r="X108">
        <v>0</v>
      </c>
    </row>
    <row r="109" spans="9:24">
      <c r="M109" s="154" t="str">
        <f t="shared" si="24"/>
        <v>μ + 0.2σ</v>
      </c>
      <c r="N109">
        <f t="shared" si="17"/>
        <v>-8.7118301598292612E-3</v>
      </c>
      <c r="O109">
        <v>0.19999999999998</v>
      </c>
      <c r="P109">
        <f t="shared" si="11"/>
        <v>0.39104269397545749</v>
      </c>
      <c r="Q109">
        <f t="shared" si="12"/>
        <v>0.57925970943909522</v>
      </c>
      <c r="R109">
        <f t="shared" si="23"/>
        <v>0.39104269397545749</v>
      </c>
      <c r="S109">
        <v>0</v>
      </c>
      <c r="T109">
        <f t="shared" si="14"/>
        <v>0.42074029056090478</v>
      </c>
      <c r="V109">
        <v>0.19999999999998</v>
      </c>
      <c r="W109">
        <f t="shared" si="15"/>
        <v>0.31225393336675689</v>
      </c>
      <c r="X109">
        <v>0</v>
      </c>
    </row>
    <row r="110" spans="9:24">
      <c r="M110" s="154" t="str">
        <f t="shared" si="24"/>
        <v>μ + 0.2σ</v>
      </c>
      <c r="N110">
        <f t="shared" si="17"/>
        <v>-1.1186955388765976E-2</v>
      </c>
      <c r="O110">
        <v>0.24999999999997999</v>
      </c>
      <c r="P110">
        <f t="shared" si="11"/>
        <v>0.38666811680285118</v>
      </c>
      <c r="Q110">
        <f t="shared" si="12"/>
        <v>0.59870632568291593</v>
      </c>
      <c r="R110">
        <f t="shared" si="23"/>
        <v>0.38666811680285118</v>
      </c>
      <c r="S110">
        <v>0</v>
      </c>
      <c r="T110">
        <f t="shared" si="14"/>
        <v>0.40129367431708407</v>
      </c>
      <c r="V110">
        <v>0.24999999999997999</v>
      </c>
      <c r="W110">
        <f t="shared" si="15"/>
        <v>0.3229723596679101</v>
      </c>
      <c r="X110">
        <v>0</v>
      </c>
    </row>
    <row r="111" spans="9:24">
      <c r="M111" s="154" t="str">
        <f t="shared" si="24"/>
        <v>μ + 0.3σ</v>
      </c>
      <c r="N111">
        <f t="shared" si="17"/>
        <v>-1.3655900532955014E-2</v>
      </c>
      <c r="O111">
        <v>0.29999999999998</v>
      </c>
      <c r="P111">
        <f t="shared" si="11"/>
        <v>0.38138781546052641</v>
      </c>
      <c r="Q111">
        <f t="shared" si="12"/>
        <v>0.61791142218894501</v>
      </c>
      <c r="R111">
        <f t="shared" si="23"/>
        <v>0.38138781546052641</v>
      </c>
      <c r="S111">
        <v>0</v>
      </c>
      <c r="T111">
        <f t="shared" si="14"/>
        <v>0.38208857781105499</v>
      </c>
      <c r="V111">
        <v>0.29999999999998</v>
      </c>
      <c r="W111">
        <f t="shared" si="15"/>
        <v>0.33322460289179567</v>
      </c>
      <c r="X111">
        <v>0</v>
      </c>
    </row>
    <row r="112" spans="9:24">
      <c r="M112" s="154" t="str">
        <f t="shared" si="24"/>
        <v>μ + 0.3σ</v>
      </c>
      <c r="N112">
        <f t="shared" si="17"/>
        <v>-1.6118681023311689E-2</v>
      </c>
      <c r="O112">
        <v>0.34999999999997999</v>
      </c>
      <c r="P112">
        <f t="shared" si="11"/>
        <v>0.37524034691694053</v>
      </c>
      <c r="Q112">
        <f t="shared" si="12"/>
        <v>0.63683065117561155</v>
      </c>
      <c r="R112">
        <f t="shared" si="23"/>
        <v>0.37524034691694053</v>
      </c>
      <c r="S112">
        <v>0</v>
      </c>
      <c r="T112">
        <f t="shared" si="14"/>
        <v>0.36316934882438845</v>
      </c>
      <c r="V112">
        <v>0.34999999999997999</v>
      </c>
      <c r="W112">
        <f t="shared" si="15"/>
        <v>0.34294385501938013</v>
      </c>
      <c r="X112">
        <v>0</v>
      </c>
    </row>
    <row r="113" spans="13:24">
      <c r="M113" s="154" t="str">
        <f t="shared" si="24"/>
        <v>μ + 0.4σ</v>
      </c>
      <c r="N113">
        <f t="shared" si="17"/>
        <v>-1.8575312252221921E-2</v>
      </c>
      <c r="O113">
        <v>0.39999999999997998</v>
      </c>
      <c r="P113">
        <f t="shared" si="11"/>
        <v>0.36827014030332628</v>
      </c>
      <c r="Q113">
        <f t="shared" si="12"/>
        <v>0.65542174161031674</v>
      </c>
      <c r="R113">
        <f t="shared" si="23"/>
        <v>0.36827014030332628</v>
      </c>
      <c r="S113">
        <v>0</v>
      </c>
      <c r="T113">
        <f t="shared" si="14"/>
        <v>0.34457825838968326</v>
      </c>
      <c r="V113">
        <v>0.39999999999997998</v>
      </c>
      <c r="W113">
        <f t="shared" si="15"/>
        <v>0.35206532676429597</v>
      </c>
      <c r="X113">
        <v>0</v>
      </c>
    </row>
    <row r="114" spans="13:24">
      <c r="M114" s="154" t="str">
        <f t="shared" si="24"/>
        <v>μ + 0.4σ</v>
      </c>
      <c r="N114">
        <f t="shared" si="17"/>
        <v>-2.1025809573639143E-2</v>
      </c>
      <c r="O114">
        <v>0.44999999999998003</v>
      </c>
      <c r="P114">
        <f t="shared" si="11"/>
        <v>0.36052696246165117</v>
      </c>
      <c r="Q114">
        <f t="shared" si="12"/>
        <v>0.67364477971207282</v>
      </c>
      <c r="R114">
        <f t="shared" si="23"/>
        <v>0.36052696246165117</v>
      </c>
      <c r="S114">
        <v>0</v>
      </c>
      <c r="T114">
        <f t="shared" si="14"/>
        <v>0.32635522028792718</v>
      </c>
      <c r="V114">
        <v>0.44999999999998003</v>
      </c>
      <c r="W114">
        <f t="shared" si="15"/>
        <v>0.36052696246164473</v>
      </c>
      <c r="X114">
        <v>0</v>
      </c>
    </row>
    <row r="115" spans="13:24">
      <c r="M115" s="154" t="str">
        <f t="shared" si="24"/>
        <v>μ + 0.5σ</v>
      </c>
      <c r="N115">
        <f t="shared" si="17"/>
        <v>-2.3470188303179131E-2</v>
      </c>
      <c r="O115">
        <v>0.49999999999998002</v>
      </c>
      <c r="P115">
        <f t="shared" si="11"/>
        <v>0.35206532676430302</v>
      </c>
      <c r="Q115">
        <f t="shared" si="12"/>
        <v>0.69146246127400612</v>
      </c>
      <c r="R115">
        <f t="shared" si="23"/>
        <v>0.35206532676430302</v>
      </c>
      <c r="S115">
        <v>0</v>
      </c>
      <c r="T115">
        <f t="shared" si="14"/>
        <v>0.30853753872599388</v>
      </c>
      <c r="V115">
        <v>0.49999999999998002</v>
      </c>
      <c r="W115">
        <f t="shared" si="15"/>
        <v>0.36827014030332039</v>
      </c>
      <c r="X115">
        <v>0</v>
      </c>
    </row>
    <row r="116" spans="13:24">
      <c r="M116" s="154" t="str">
        <f t="shared" si="24"/>
        <v>μ + 0.5σ</v>
      </c>
      <c r="N116">
        <f t="shared" si="17"/>
        <v>-2.590846371821753E-2</v>
      </c>
      <c r="O116">
        <v>0.54999999999997995</v>
      </c>
      <c r="P116">
        <f t="shared" si="11"/>
        <v>0.34294385501938768</v>
      </c>
      <c r="Q116">
        <f t="shared" si="12"/>
        <v>0.70884031321164676</v>
      </c>
      <c r="R116">
        <f t="shared" si="23"/>
        <v>0.34294385501938768</v>
      </c>
      <c r="S116">
        <v>0</v>
      </c>
      <c r="T116">
        <f t="shared" si="14"/>
        <v>0.29115968678835324</v>
      </c>
      <c r="V116">
        <v>0.54999999999997995</v>
      </c>
      <c r="W116">
        <f t="shared" si="15"/>
        <v>0.37524034691693525</v>
      </c>
      <c r="X116">
        <v>0</v>
      </c>
    </row>
    <row r="117" spans="13:24">
      <c r="M117" s="154" t="str">
        <f t="shared" si="24"/>
        <v>μ + 0.6σ</v>
      </c>
      <c r="N117">
        <f t="shared" si="17"/>
        <v>-2.8340651057983255E-2</v>
      </c>
      <c r="O117">
        <v>0.59999999999997999</v>
      </c>
      <c r="P117">
        <f t="shared" si="11"/>
        <v>0.33322460289180361</v>
      </c>
      <c r="Q117">
        <f t="shared" si="12"/>
        <v>0.72574688224991979</v>
      </c>
      <c r="R117">
        <f t="shared" si="23"/>
        <v>0.33322460289180361</v>
      </c>
      <c r="S117">
        <v>0</v>
      </c>
      <c r="T117">
        <f t="shared" si="14"/>
        <v>0.27425311775008021</v>
      </c>
      <c r="V117">
        <v>0.59999999999997999</v>
      </c>
      <c r="W117">
        <f t="shared" si="15"/>
        <v>0.38138781546052181</v>
      </c>
      <c r="X117">
        <v>0</v>
      </c>
    </row>
    <row r="118" spans="13:24">
      <c r="M118" s="154" t="str">
        <f t="shared" si="24"/>
        <v>μ + 0.6σ</v>
      </c>
      <c r="N118">
        <f t="shared" si="17"/>
        <v>-3.0766765523654867E-2</v>
      </c>
      <c r="O118">
        <v>0.64999999999998004</v>
      </c>
      <c r="P118">
        <f t="shared" si="11"/>
        <v>0.32297235966791848</v>
      </c>
      <c r="Q118">
        <f t="shared" si="12"/>
        <v>0.74215388919412884</v>
      </c>
      <c r="R118">
        <f t="shared" si="23"/>
        <v>0.32297235966791848</v>
      </c>
      <c r="S118">
        <v>0</v>
      </c>
      <c r="T118">
        <f t="shared" si="14"/>
        <v>0.25784611080587116</v>
      </c>
      <c r="V118">
        <v>0.64999999999998004</v>
      </c>
      <c r="W118">
        <f t="shared" si="15"/>
        <v>0.38666811680284729</v>
      </c>
      <c r="X118">
        <v>0</v>
      </c>
    </row>
    <row r="119" spans="13:24">
      <c r="M119" s="154" t="str">
        <f t="shared" si="24"/>
        <v>μ + 0.7σ</v>
      </c>
      <c r="N119">
        <f t="shared" si="17"/>
        <v>-3.3186822278456145E-2</v>
      </c>
      <c r="O119">
        <v>0.69999999999997997</v>
      </c>
      <c r="P119">
        <f t="shared" si="11"/>
        <v>0.31225393336676566</v>
      </c>
      <c r="Q119">
        <f t="shared" si="12"/>
        <v>0.75803634777692075</v>
      </c>
      <c r="R119">
        <f t="shared" si="23"/>
        <v>0.31225393336676566</v>
      </c>
      <c r="S119">
        <v>0</v>
      </c>
      <c r="T119">
        <f t="shared" si="14"/>
        <v>0.24196365222307925</v>
      </c>
      <c r="V119">
        <v>0.69999999999997997</v>
      </c>
      <c r="W119">
        <f t="shared" si="15"/>
        <v>0.39104269397545433</v>
      </c>
      <c r="X119">
        <v>0</v>
      </c>
    </row>
    <row r="120" spans="13:24">
      <c r="M120" s="154" t="str">
        <f t="shared" si="24"/>
        <v>μ + 0.7σ</v>
      </c>
      <c r="N120">
        <f t="shared" si="17"/>
        <v>-3.5600836447749619E-2</v>
      </c>
      <c r="O120">
        <v>0.74999999999998002</v>
      </c>
      <c r="P120">
        <f t="shared" si="11"/>
        <v>0.30113743215480893</v>
      </c>
      <c r="Q120">
        <f t="shared" si="12"/>
        <v>0.77337264762312574</v>
      </c>
      <c r="R120">
        <f t="shared" si="23"/>
        <v>0.30113743215480893</v>
      </c>
      <c r="S120">
        <v>0</v>
      </c>
      <c r="T120">
        <f t="shared" si="14"/>
        <v>0.22662735237687426</v>
      </c>
      <c r="V120">
        <v>0.74999999999998002</v>
      </c>
      <c r="W120">
        <f t="shared" si="15"/>
        <v>0.39447933090788773</v>
      </c>
      <c r="X120">
        <v>0</v>
      </c>
    </row>
    <row r="121" spans="13:24">
      <c r="M121" s="154" t="str">
        <f t="shared" si="24"/>
        <v>μ + 0.8σ</v>
      </c>
      <c r="N121">
        <f t="shared" si="17"/>
        <v>-3.8008823119131299E-2</v>
      </c>
      <c r="O121">
        <v>0.79999999999997995</v>
      </c>
      <c r="P121">
        <f t="shared" si="11"/>
        <v>0.28969155276148739</v>
      </c>
      <c r="Q121">
        <f t="shared" si="12"/>
        <v>0.78814460141659759</v>
      </c>
      <c r="R121">
        <f t="shared" si="23"/>
        <v>0.28969155276148739</v>
      </c>
      <c r="S121">
        <v>0</v>
      </c>
      <c r="T121">
        <f t="shared" si="14"/>
        <v>0.21185539858340241</v>
      </c>
      <c r="V121">
        <v>0.79999999999997995</v>
      </c>
      <c r="W121">
        <f t="shared" si="15"/>
        <v>0.39695254747701098</v>
      </c>
      <c r="X121">
        <v>0</v>
      </c>
    </row>
    <row r="122" spans="13:24">
      <c r="M122" s="154" t="str">
        <f t="shared" si="24"/>
        <v>μ + 0.8σ</v>
      </c>
      <c r="N122">
        <f t="shared" si="17"/>
        <v>-4.0410797342526172E-2</v>
      </c>
      <c r="O122">
        <v>0.84999999999997999</v>
      </c>
      <c r="P122">
        <f t="shared" si="11"/>
        <v>0.2779848861310012</v>
      </c>
      <c r="Q122">
        <f t="shared" si="12"/>
        <v>0.80233745687730207</v>
      </c>
      <c r="R122">
        <f t="shared" si="23"/>
        <v>0.2779848861310012</v>
      </c>
      <c r="S122">
        <v>0</v>
      </c>
      <c r="T122">
        <f t="shared" si="14"/>
        <v>0.19766254312269793</v>
      </c>
      <c r="V122">
        <v>0.84999999999997999</v>
      </c>
      <c r="W122">
        <f t="shared" si="15"/>
        <v>0.39844391409476365</v>
      </c>
      <c r="X122">
        <v>0</v>
      </c>
    </row>
    <row r="123" spans="13:24">
      <c r="M123" s="154" t="str">
        <f t="shared" si="24"/>
        <v>μ + 0.9σ</v>
      </c>
      <c r="N123">
        <f t="shared" si="17"/>
        <v>-4.2806774130280834E-2</v>
      </c>
      <c r="O123">
        <v>0.89999999999998004</v>
      </c>
      <c r="P123">
        <f t="shared" si="11"/>
        <v>0.26608524989875959</v>
      </c>
      <c r="Q123">
        <f t="shared" si="12"/>
        <v>0.81593987465323525</v>
      </c>
      <c r="R123">
        <f t="shared" si="23"/>
        <v>0.26608524989875959</v>
      </c>
      <c r="S123">
        <v>0</v>
      </c>
      <c r="T123">
        <f t="shared" si="14"/>
        <v>0.18406012534676475</v>
      </c>
      <c r="V123">
        <v>0.89999999999998004</v>
      </c>
      <c r="W123">
        <f t="shared" si="15"/>
        <v>0.3989422804014327</v>
      </c>
      <c r="X123">
        <v>0</v>
      </c>
    </row>
    <row r="124" spans="13:24">
      <c r="M124" s="154" t="str">
        <f t="shared" si="24"/>
        <v>μ + 0.9σ</v>
      </c>
      <c r="N124">
        <f t="shared" si="17"/>
        <v>-4.5196768457257494E-2</v>
      </c>
      <c r="O124">
        <v>0.94999999999997997</v>
      </c>
      <c r="P124">
        <f t="shared" si="11"/>
        <v>0.25405905646919386</v>
      </c>
      <c r="Q124">
        <f t="shared" si="12"/>
        <v>0.82894387369151312</v>
      </c>
      <c r="R124">
        <f t="shared" si="23"/>
        <v>0.25405905646919386</v>
      </c>
      <c r="S124">
        <v>0</v>
      </c>
      <c r="T124">
        <f t="shared" si="14"/>
        <v>0.17105612630848688</v>
      </c>
      <c r="V124">
        <v>0.94999999999997997</v>
      </c>
      <c r="W124">
        <f t="shared" si="15"/>
        <v>0.39844391409476443</v>
      </c>
      <c r="X124">
        <v>0</v>
      </c>
    </row>
    <row r="125" spans="13:24">
      <c r="M125" s="154" t="str">
        <f t="shared" si="24"/>
        <v>μ + 1σ</v>
      </c>
      <c r="N125">
        <f t="shared" si="17"/>
        <v>-4.7580795260929586E-2</v>
      </c>
      <c r="O125">
        <v>0.99999999999998002</v>
      </c>
      <c r="P125">
        <f t="shared" si="11"/>
        <v>0.24197072451914819</v>
      </c>
      <c r="Q125">
        <f t="shared" si="12"/>
        <v>0.84134474606853815</v>
      </c>
      <c r="R125">
        <f t="shared" si="23"/>
        <v>0.24197072451914819</v>
      </c>
      <c r="S125">
        <v>0</v>
      </c>
      <c r="T125">
        <f t="shared" si="14"/>
        <v>0.15865525393146185</v>
      </c>
      <c r="V125">
        <v>0.99999999999998002</v>
      </c>
      <c r="W125">
        <f t="shared" si="15"/>
        <v>0.39695254747701259</v>
      </c>
      <c r="X125">
        <v>0</v>
      </c>
    </row>
    <row r="126" spans="13:24">
      <c r="M126" s="154" t="str">
        <f t="shared" si="24"/>
        <v>μ + 1σ</v>
      </c>
      <c r="N126">
        <f t="shared" si="17"/>
        <v>-4.9958869441471328E-2</v>
      </c>
      <c r="O126">
        <v>1.0499999999999801</v>
      </c>
      <c r="P126">
        <f t="shared" si="11"/>
        <v>0.22988214068423785</v>
      </c>
      <c r="Q126">
        <f t="shared" si="12"/>
        <v>0.85314094362409953</v>
      </c>
      <c r="R126">
        <f t="shared" si="23"/>
        <v>0.22988214068423785</v>
      </c>
      <c r="S126">
        <v>0</v>
      </c>
      <c r="T126">
        <f t="shared" si="14"/>
        <v>0.14685905637590047</v>
      </c>
      <c r="V126">
        <v>1.0499999999999801</v>
      </c>
      <c r="W126">
        <f t="shared" si="15"/>
        <v>0.39447933090789011</v>
      </c>
      <c r="X126">
        <v>0</v>
      </c>
    </row>
    <row r="127" spans="13:24">
      <c r="M127" s="154" t="str">
        <f t="shared" si="24"/>
        <v>μ + 1.1σ</v>
      </c>
      <c r="N127">
        <f t="shared" si="17"/>
        <v>-5.2331005861854532E-2</v>
      </c>
      <c r="O127">
        <v>1.0999999999999801</v>
      </c>
      <c r="P127">
        <f t="shared" si="11"/>
        <v>0.21785217703255533</v>
      </c>
      <c r="Q127">
        <f t="shared" si="12"/>
        <v>0.864333939053613</v>
      </c>
      <c r="R127">
        <f t="shared" si="23"/>
        <v>0.21785217703255533</v>
      </c>
      <c r="S127">
        <v>0</v>
      </c>
      <c r="T127">
        <f t="shared" si="14"/>
        <v>0.135666060946387</v>
      </c>
      <c r="V127">
        <v>1.0999999999999801</v>
      </c>
      <c r="W127">
        <f t="shared" si="15"/>
        <v>0.39104269397545749</v>
      </c>
      <c r="X127">
        <v>0</v>
      </c>
    </row>
    <row r="128" spans="13:24">
      <c r="M128" s="154" t="str">
        <f t="shared" si="24"/>
        <v>μ + 1.1σ</v>
      </c>
      <c r="N128">
        <f t="shared" si="17"/>
        <v>-5.4697219347939384E-2</v>
      </c>
      <c r="O128">
        <v>1.1499999999999799</v>
      </c>
      <c r="P128">
        <f t="shared" si="11"/>
        <v>0.20593626871997953</v>
      </c>
      <c r="Q128">
        <f t="shared" si="12"/>
        <v>0.87492806436284565</v>
      </c>
      <c r="R128">
        <f t="shared" si="23"/>
        <v>0.20593626871997953</v>
      </c>
      <c r="S128">
        <v>0</v>
      </c>
      <c r="T128">
        <f t="shared" si="14"/>
        <v>0.12507193563715435</v>
      </c>
      <c r="V128">
        <v>1.1499999999999799</v>
      </c>
      <c r="W128">
        <f t="shared" si="15"/>
        <v>0.38666811680285118</v>
      </c>
      <c r="X128">
        <v>0</v>
      </c>
    </row>
    <row r="129" spans="13:24">
      <c r="M129" s="154" t="str">
        <f t="shared" si="24"/>
        <v>μ + 1.2σ</v>
      </c>
      <c r="N129">
        <f t="shared" si="17"/>
        <v>-5.7057524688568513E-2</v>
      </c>
      <c r="O129">
        <v>1.19999999999998</v>
      </c>
      <c r="P129">
        <f t="shared" si="11"/>
        <v>0.19418605498321762</v>
      </c>
      <c r="Q129">
        <f t="shared" si="12"/>
        <v>0.88493032977828789</v>
      </c>
      <c r="R129">
        <f t="shared" si="23"/>
        <v>0.19418605498321762</v>
      </c>
      <c r="S129">
        <v>0</v>
      </c>
      <c r="T129">
        <f t="shared" si="14"/>
        <v>0.11506967022171211</v>
      </c>
      <c r="V129">
        <v>1.19999999999998</v>
      </c>
      <c r="W129">
        <f t="shared" si="15"/>
        <v>0.38138781546052641</v>
      </c>
      <c r="X129">
        <v>0</v>
      </c>
    </row>
    <row r="130" spans="13:24">
      <c r="M130" s="154" t="str">
        <f t="shared" si="24"/>
        <v>μ + 1.2σ</v>
      </c>
      <c r="N130">
        <f t="shared" si="17"/>
        <v>-5.9411936635656949E-2</v>
      </c>
      <c r="O130">
        <v>1.24999999999998</v>
      </c>
      <c r="P130">
        <f t="shared" si="11"/>
        <v>0.18264908538902649</v>
      </c>
      <c r="Q130">
        <f t="shared" si="12"/>
        <v>0.8943502263331411</v>
      </c>
      <c r="R130">
        <f t="shared" si="23"/>
        <v>0.18264908538902649</v>
      </c>
      <c r="S130">
        <v>0</v>
      </c>
      <c r="T130">
        <f t="shared" si="14"/>
        <v>0.1056497736668589</v>
      </c>
      <c r="V130">
        <v>1.24999999999998</v>
      </c>
      <c r="W130">
        <f t="shared" si="15"/>
        <v>0.37524034691694053</v>
      </c>
      <c r="X130">
        <v>0</v>
      </c>
    </row>
    <row r="131" spans="13:24">
      <c r="M131" s="154" t="str">
        <f t="shared" si="24"/>
        <v>μ + 1.3σ</v>
      </c>
      <c r="N131">
        <f t="shared" si="17"/>
        <v>-6.176046990428799E-2</v>
      </c>
      <c r="O131">
        <v>1.2999999999999801</v>
      </c>
      <c r="P131">
        <f t="shared" si="11"/>
        <v>0.1713685920478118</v>
      </c>
      <c r="Q131">
        <f t="shared" si="12"/>
        <v>0.90319951541438626</v>
      </c>
      <c r="R131">
        <f t="shared" si="23"/>
        <v>0.1713685920478118</v>
      </c>
      <c r="S131">
        <v>0</v>
      </c>
      <c r="T131">
        <f t="shared" si="14"/>
        <v>9.6800484585613744E-2</v>
      </c>
      <c r="V131">
        <v>1.2999999999999801</v>
      </c>
      <c r="W131">
        <f t="shared" si="15"/>
        <v>0.36827014030332628</v>
      </c>
      <c r="X131">
        <v>0</v>
      </c>
    </row>
    <row r="132" spans="13:24">
      <c r="M132" s="154" t="str">
        <f t="shared" si="24"/>
        <v>μ + 1.3σ</v>
      </c>
      <c r="N132">
        <f t="shared" si="17"/>
        <v>-6.4103139172801346E-2</v>
      </c>
      <c r="O132">
        <v>1.3499999999999801</v>
      </c>
      <c r="P132">
        <f t="shared" si="11"/>
        <v>0.1603833273419239</v>
      </c>
      <c r="Q132">
        <f t="shared" si="12"/>
        <v>0.91149200856259482</v>
      </c>
      <c r="R132">
        <f t="shared" si="23"/>
        <v>0.1603833273419239</v>
      </c>
      <c r="S132">
        <v>0</v>
      </c>
      <c r="T132">
        <f t="shared" si="14"/>
        <v>8.8507991437405176E-2</v>
      </c>
      <c r="V132">
        <v>1.3499999999999801</v>
      </c>
      <c r="W132">
        <f t="shared" si="15"/>
        <v>0.36052696246165117</v>
      </c>
      <c r="X132">
        <v>0</v>
      </c>
    </row>
    <row r="133" spans="13:24">
      <c r="M133" s="154" t="str">
        <f t="shared" si="24"/>
        <v>μ + 1.4σ</v>
      </c>
      <c r="N133">
        <f t="shared" si="17"/>
        <v>-6.6439959082887828E-2</v>
      </c>
      <c r="O133">
        <v>1.3999999999999799</v>
      </c>
      <c r="P133">
        <f t="shared" ref="P133:P196" si="25">_xlfn.NORM.DIST(O133,$P$2,$P$1,FALSE)</f>
        <v>0.14972746563574907</v>
      </c>
      <c r="Q133">
        <f t="shared" ref="Q133:Q196" si="26">_xlfn.NORM.DIST(O133,$P$2,$P$1,TRUE)</f>
        <v>0.91924334076622594</v>
      </c>
      <c r="R133">
        <f t="shared" si="23"/>
        <v>0.14972746563574907</v>
      </c>
      <c r="S133">
        <v>0</v>
      </c>
      <c r="T133">
        <f t="shared" ref="T133:T196" si="27">1-Q133</f>
        <v>8.0756659233774064E-2</v>
      </c>
      <c r="V133">
        <v>1.3999999999999799</v>
      </c>
      <c r="W133">
        <f t="shared" ref="W133:W196" si="28">_xlfn.NORM.DIST(V133,$W$2,$W$1,FALSE)</f>
        <v>0.35206532676430302</v>
      </c>
      <c r="X133">
        <v>0</v>
      </c>
    </row>
    <row r="134" spans="13:24">
      <c r="M134" s="154" t="str">
        <f t="shared" si="24"/>
        <v>μ + 1.4σ</v>
      </c>
      <c r="N134">
        <f t="shared" ref="N134:N197" si="29">(P134-P133)/P133</f>
        <v>-6.8770944239680207E-2</v>
      </c>
      <c r="O134">
        <v>1.44999999999998</v>
      </c>
      <c r="P134">
        <f t="shared" si="25"/>
        <v>0.13943056644536433</v>
      </c>
      <c r="Q134">
        <f t="shared" si="26"/>
        <v>0.92647074039034893</v>
      </c>
      <c r="R134">
        <f t="shared" si="23"/>
        <v>0.13943056644536433</v>
      </c>
      <c r="S134">
        <v>0</v>
      </c>
      <c r="T134">
        <f t="shared" si="27"/>
        <v>7.3529259609651065E-2</v>
      </c>
      <c r="V134">
        <v>1.44999999999998</v>
      </c>
      <c r="W134">
        <f t="shared" si="28"/>
        <v>0.34294385501938768</v>
      </c>
      <c r="X134">
        <v>0</v>
      </c>
    </row>
    <row r="135" spans="13:24">
      <c r="M135" s="154" t="str">
        <f t="shared" si="24"/>
        <v>μ + 1.5σ</v>
      </c>
      <c r="N135">
        <f t="shared" si="29"/>
        <v>-7.1096109211842839E-2</v>
      </c>
      <c r="O135">
        <v>1.49999999999998</v>
      </c>
      <c r="P135">
        <f t="shared" si="25"/>
        <v>0.1295175956658956</v>
      </c>
      <c r="Q135">
        <f t="shared" si="26"/>
        <v>0.93319279873113936</v>
      </c>
      <c r="R135">
        <f t="shared" si="23"/>
        <v>0.1295175956658956</v>
      </c>
      <c r="S135">
        <v>0</v>
      </c>
      <c r="T135">
        <f t="shared" si="27"/>
        <v>6.6807201268860639E-2</v>
      </c>
      <c r="V135">
        <v>1.49999999999998</v>
      </c>
      <c r="W135">
        <f t="shared" si="28"/>
        <v>0.33322460289180361</v>
      </c>
      <c r="X135">
        <v>0</v>
      </c>
    </row>
    <row r="136" spans="13:24">
      <c r="M136" s="154" t="str">
        <f t="shared" si="24"/>
        <v>μ + 1.5σ</v>
      </c>
      <c r="N136">
        <f t="shared" si="29"/>
        <v>-7.3415468531663558E-2</v>
      </c>
      <c r="O136">
        <v>1.5499999999999801</v>
      </c>
      <c r="P136">
        <f t="shared" si="25"/>
        <v>0.12000900069698932</v>
      </c>
      <c r="Q136">
        <f t="shared" si="26"/>
        <v>0.93942924199793865</v>
      </c>
      <c r="R136">
        <f t="shared" si="23"/>
        <v>0.12000900069698932</v>
      </c>
      <c r="S136">
        <v>0</v>
      </c>
      <c r="T136">
        <f t="shared" si="27"/>
        <v>6.0570758002061353E-2</v>
      </c>
      <c r="V136">
        <v>1.5499999999999801</v>
      </c>
      <c r="W136">
        <f t="shared" si="28"/>
        <v>0.32297235966791848</v>
      </c>
      <c r="X136">
        <v>0</v>
      </c>
    </row>
    <row r="137" spans="13:24">
      <c r="M137" s="154" t="str">
        <f t="shared" si="24"/>
        <v>μ + 1.6σ</v>
      </c>
      <c r="N137">
        <f t="shared" si="29"/>
        <v>-7.5729036695147078E-2</v>
      </c>
      <c r="O137">
        <v>1.5999999999999801</v>
      </c>
      <c r="P137">
        <f t="shared" si="25"/>
        <v>0.11092083467945908</v>
      </c>
      <c r="Q137">
        <f t="shared" si="26"/>
        <v>0.94520070830043978</v>
      </c>
      <c r="R137">
        <f t="shared" si="23"/>
        <v>0.11092083467945908</v>
      </c>
      <c r="S137">
        <v>0</v>
      </c>
      <c r="T137">
        <f t="shared" si="27"/>
        <v>5.4799291699560215E-2</v>
      </c>
      <c r="V137">
        <v>1.5999999999999801</v>
      </c>
      <c r="W137">
        <f t="shared" si="28"/>
        <v>0.3122539333667656</v>
      </c>
      <c r="X137">
        <v>0</v>
      </c>
    </row>
    <row r="138" spans="13:24">
      <c r="M138" s="154" t="str">
        <f t="shared" si="24"/>
        <v>μ + 1.6σ</v>
      </c>
      <c r="N138">
        <f t="shared" si="29"/>
        <v>-7.8036828162100572E-2</v>
      </c>
      <c r="O138">
        <v>1.6499999999999799</v>
      </c>
      <c r="P138">
        <f t="shared" si="25"/>
        <v>0.10226492456398137</v>
      </c>
      <c r="Q138">
        <f t="shared" si="26"/>
        <v>0.9505285319663499</v>
      </c>
      <c r="R138">
        <f t="shared" si="23"/>
        <v>0.10226492456398137</v>
      </c>
      <c r="S138">
        <v>0</v>
      </c>
      <c r="T138">
        <f t="shared" si="27"/>
        <v>4.9471468033650101E-2</v>
      </c>
      <c r="V138">
        <v>1.6499999999999799</v>
      </c>
      <c r="W138">
        <f t="shared" si="28"/>
        <v>0.30113743215480898</v>
      </c>
      <c r="X138">
        <v>0</v>
      </c>
    </row>
    <row r="139" spans="13:24">
      <c r="M139" s="154" t="str">
        <f t="shared" si="24"/>
        <v>μ + 1.7σ</v>
      </c>
      <c r="N139">
        <f t="shared" si="29"/>
        <v>-8.0338857356229115E-2</v>
      </c>
      <c r="O139">
        <v>1.69999999999998</v>
      </c>
      <c r="P139">
        <f t="shared" si="25"/>
        <v>9.4049077376890139E-2</v>
      </c>
      <c r="Q139">
        <f t="shared" si="26"/>
        <v>0.95543453724145511</v>
      </c>
      <c r="R139">
        <f t="shared" si="23"/>
        <v>9.4049077376890139E-2</v>
      </c>
      <c r="S139">
        <v>0</v>
      </c>
      <c r="T139">
        <f t="shared" si="27"/>
        <v>4.4565462758544894E-2</v>
      </c>
      <c r="V139">
        <v>1.69999999999998</v>
      </c>
      <c r="W139">
        <f t="shared" si="28"/>
        <v>0.28969155276148739</v>
      </c>
      <c r="X139">
        <v>0</v>
      </c>
    </row>
    <row r="140" spans="13:24">
      <c r="M140" s="154" t="str">
        <f t="shared" si="24"/>
        <v>μ + 1.7σ</v>
      </c>
      <c r="N140">
        <f t="shared" si="29"/>
        <v>-8.2635138665222915E-2</v>
      </c>
      <c r="O140">
        <v>1.74999999999998</v>
      </c>
      <c r="P140">
        <f t="shared" si="25"/>
        <v>8.6277318826514543E-2</v>
      </c>
      <c r="Q140">
        <f t="shared" si="26"/>
        <v>0.95994084313618122</v>
      </c>
      <c r="R140">
        <f t="shared" si="23"/>
        <v>8.6277318826514543E-2</v>
      </c>
      <c r="S140">
        <v>0</v>
      </c>
      <c r="T140">
        <f t="shared" si="27"/>
        <v>4.0059156863818779E-2</v>
      </c>
      <c r="V140">
        <v>1.74999999999998</v>
      </c>
      <c r="W140">
        <f t="shared" si="28"/>
        <v>0.2779848861310012</v>
      </c>
      <c r="X140">
        <v>0</v>
      </c>
    </row>
    <row r="141" spans="13:24">
      <c r="M141" s="154" t="str">
        <f t="shared" si="24"/>
        <v>μ + 1.8σ</v>
      </c>
      <c r="N141">
        <f t="shared" si="29"/>
        <v>-8.4925686440846873E-2</v>
      </c>
      <c r="O141">
        <v>1.7999999999999801</v>
      </c>
      <c r="P141">
        <f t="shared" si="25"/>
        <v>7.8950158300896994E-2</v>
      </c>
      <c r="Q141">
        <f t="shared" si="26"/>
        <v>0.96406968088707268</v>
      </c>
      <c r="R141">
        <f t="shared" si="23"/>
        <v>7.8950158300896994E-2</v>
      </c>
      <c r="S141">
        <v>0</v>
      </c>
      <c r="T141">
        <f t="shared" si="27"/>
        <v>3.5930319112927323E-2</v>
      </c>
      <c r="V141">
        <v>1.7999999999999801</v>
      </c>
      <c r="W141">
        <f t="shared" si="28"/>
        <v>0.26608524989875959</v>
      </c>
      <c r="X141">
        <v>0</v>
      </c>
    </row>
    <row r="142" spans="13:24">
      <c r="M142" s="154" t="str">
        <f t="shared" si="24"/>
        <v>μ + 1.8σ</v>
      </c>
      <c r="N142">
        <f t="shared" si="29"/>
        <v>-8.7210514999032207E-2</v>
      </c>
      <c r="O142">
        <v>1.8499999999999801</v>
      </c>
      <c r="P142">
        <f t="shared" si="25"/>
        <v>7.206487433622065E-2</v>
      </c>
      <c r="Q142">
        <f t="shared" si="26"/>
        <v>0.96784322520438493</v>
      </c>
      <c r="R142">
        <f t="shared" si="23"/>
        <v>7.206487433622065E-2</v>
      </c>
      <c r="S142">
        <v>0</v>
      </c>
      <c r="T142">
        <f t="shared" si="27"/>
        <v>3.2156774795615073E-2</v>
      </c>
      <c r="V142">
        <v>1.8499999999999801</v>
      </c>
      <c r="W142">
        <f t="shared" si="28"/>
        <v>0.2540590564691938</v>
      </c>
      <c r="X142">
        <v>0</v>
      </c>
    </row>
    <row r="143" spans="13:24">
      <c r="M143" s="154" t="str">
        <f t="shared" si="24"/>
        <v>μ + 1.9σ</v>
      </c>
      <c r="N143">
        <f t="shared" si="29"/>
        <v>-8.9489638619964729E-2</v>
      </c>
      <c r="O143">
        <v>1.8999999999999799</v>
      </c>
      <c r="P143">
        <f t="shared" si="25"/>
        <v>6.5615814774679093E-2</v>
      </c>
      <c r="Q143">
        <f t="shared" si="26"/>
        <v>0.97128344018399693</v>
      </c>
      <c r="R143">
        <f t="shared" si="23"/>
        <v>6.5615814774679093E-2</v>
      </c>
      <c r="S143">
        <v>0</v>
      </c>
      <c r="T143">
        <f t="shared" si="27"/>
        <v>2.8716559816003073E-2</v>
      </c>
      <c r="V143">
        <v>1.8999999999999799</v>
      </c>
      <c r="W143">
        <f t="shared" si="28"/>
        <v>0.24197072451914825</v>
      </c>
      <c r="X143">
        <v>0</v>
      </c>
    </row>
    <row r="144" spans="13:24">
      <c r="M144" s="154" t="str">
        <f t="shared" si="24"/>
        <v>μ + 1.9σ</v>
      </c>
      <c r="N144">
        <f t="shared" si="29"/>
        <v>-9.1763071548175271E-2</v>
      </c>
      <c r="O144">
        <v>1.94999999999998</v>
      </c>
      <c r="P144">
        <f t="shared" si="25"/>
        <v>5.95947060688184E-2</v>
      </c>
      <c r="Q144">
        <f t="shared" si="26"/>
        <v>0.97441194047836022</v>
      </c>
      <c r="R144">
        <f t="shared" si="23"/>
        <v>5.95947060688184E-2</v>
      </c>
      <c r="S144">
        <v>0</v>
      </c>
      <c r="T144">
        <f t="shared" si="27"/>
        <v>2.5588059521639783E-2</v>
      </c>
      <c r="V144">
        <v>1.94999999999998</v>
      </c>
      <c r="W144">
        <f t="shared" si="28"/>
        <v>0.22988214068423793</v>
      </c>
      <c r="X144">
        <v>0</v>
      </c>
    </row>
    <row r="145" spans="13:24">
      <c r="M145" s="154" t="str">
        <f t="shared" si="24"/>
        <v>μ + 2σ</v>
      </c>
      <c r="N145">
        <f t="shared" si="29"/>
        <v>-9.4030827992608257E-2</v>
      </c>
      <c r="O145">
        <v>1.99999999999997</v>
      </c>
      <c r="P145">
        <f t="shared" si="25"/>
        <v>5.3990966513191289E-2</v>
      </c>
      <c r="Q145">
        <f t="shared" si="26"/>
        <v>0.97724986805181924</v>
      </c>
      <c r="R145">
        <f t="shared" si="23"/>
        <v>5.3990966513191289E-2</v>
      </c>
      <c r="S145">
        <v>0</v>
      </c>
      <c r="T145">
        <f t="shared" si="27"/>
        <v>2.2750131948180763E-2</v>
      </c>
      <c r="V145">
        <v>1.99999999999997</v>
      </c>
      <c r="W145">
        <f t="shared" si="28"/>
        <v>0.21785217703255777</v>
      </c>
      <c r="X145">
        <v>0</v>
      </c>
    </row>
    <row r="146" spans="13:24">
      <c r="M146" s="154" t="str">
        <f t="shared" si="24"/>
        <v>μ + 2σ</v>
      </c>
      <c r="N146">
        <f t="shared" si="29"/>
        <v>-9.6292922126802585E-2</v>
      </c>
      <c r="O146">
        <v>2.0499999999999701</v>
      </c>
      <c r="P146">
        <f t="shared" si="25"/>
        <v>4.8792018579185754E-2</v>
      </c>
      <c r="Q146">
        <f t="shared" si="26"/>
        <v>0.97981778459429414</v>
      </c>
      <c r="R146">
        <f t="shared" si="23"/>
        <v>4.8792018579185754E-2</v>
      </c>
      <c r="S146">
        <v>0</v>
      </c>
      <c r="T146">
        <f t="shared" si="27"/>
        <v>2.0182215405705861E-2</v>
      </c>
      <c r="V146">
        <v>2.0499999999999701</v>
      </c>
      <c r="W146">
        <f t="shared" si="28"/>
        <v>0.20593626871998183</v>
      </c>
      <c r="X146">
        <v>0</v>
      </c>
    </row>
    <row r="147" spans="13:24">
      <c r="M147" s="154" t="str">
        <f t="shared" si="24"/>
        <v>μ + 2.1σ</v>
      </c>
      <c r="N147">
        <f t="shared" si="29"/>
        <v>-9.8549368088800438E-2</v>
      </c>
      <c r="O147">
        <v>2.0999999999999699</v>
      </c>
      <c r="P147">
        <f t="shared" si="25"/>
        <v>4.3983595980429988E-2</v>
      </c>
      <c r="Q147">
        <f t="shared" si="26"/>
        <v>0.9821355794371821</v>
      </c>
      <c r="R147">
        <f t="shared" si="23"/>
        <v>4.3983595980429988E-2</v>
      </c>
      <c r="S147">
        <v>0</v>
      </c>
      <c r="T147">
        <f t="shared" si="27"/>
        <v>1.7864420562817895E-2</v>
      </c>
      <c r="V147">
        <v>2.0999999999999699</v>
      </c>
      <c r="W147">
        <f t="shared" si="28"/>
        <v>0.19418605498321995</v>
      </c>
      <c r="X147">
        <v>0</v>
      </c>
    </row>
    <row r="148" spans="13:24">
      <c r="M148" s="154" t="str">
        <f t="shared" si="24"/>
        <v>μ + 2.1σ</v>
      </c>
      <c r="N148">
        <f t="shared" si="29"/>
        <v>-0.10080017998141615</v>
      </c>
      <c r="O148">
        <v>2.1499999999999702</v>
      </c>
      <c r="P148">
        <f t="shared" si="25"/>
        <v>3.9550041589372753E-2</v>
      </c>
      <c r="Q148">
        <f t="shared" si="26"/>
        <v>0.98422239260890831</v>
      </c>
      <c r="R148">
        <f t="shared" si="23"/>
        <v>3.9550041589372753E-2</v>
      </c>
      <c r="S148">
        <v>0</v>
      </c>
      <c r="T148">
        <f t="shared" si="27"/>
        <v>1.5777607391091686E-2</v>
      </c>
      <c r="V148">
        <v>2.1499999999999702</v>
      </c>
      <c r="W148">
        <f t="shared" si="28"/>
        <v>0.18264908538902871</v>
      </c>
      <c r="X148">
        <v>0</v>
      </c>
    </row>
    <row r="149" spans="13:24">
      <c r="M149" s="154" t="str">
        <f t="shared" si="24"/>
        <v>μ + 2.2σ</v>
      </c>
      <c r="N149">
        <f t="shared" si="29"/>
        <v>-0.10304537187222708</v>
      </c>
      <c r="O149">
        <v>2.19999999999997</v>
      </c>
      <c r="P149">
        <f t="shared" si="25"/>
        <v>3.5474592846233791E-2</v>
      </c>
      <c r="Q149">
        <f t="shared" si="26"/>
        <v>0.9860965524865003</v>
      </c>
      <c r="R149">
        <f t="shared" si="23"/>
        <v>3.5474592846233791E-2</v>
      </c>
      <c r="S149">
        <v>0</v>
      </c>
      <c r="T149">
        <f t="shared" si="27"/>
        <v>1.39034475134997E-2</v>
      </c>
      <c r="V149">
        <v>2.19999999999997</v>
      </c>
      <c r="W149">
        <f t="shared" si="28"/>
        <v>0.17136859204781404</v>
      </c>
      <c r="X149">
        <v>0</v>
      </c>
    </row>
    <row r="150" spans="13:24">
      <c r="M150" s="154" t="str">
        <f t="shared" si="24"/>
        <v>μ + 2.2σ</v>
      </c>
      <c r="N150">
        <f t="shared" si="29"/>
        <v>-0.1052849577936943</v>
      </c>
      <c r="O150">
        <v>2.2499999999999698</v>
      </c>
      <c r="P150">
        <f t="shared" si="25"/>
        <v>3.1739651835669576E-2</v>
      </c>
      <c r="Q150">
        <f t="shared" si="26"/>
        <v>0.98777552734495433</v>
      </c>
      <c r="R150">
        <f t="shared" si="23"/>
        <v>3.1739651835669576E-2</v>
      </c>
      <c r="S150">
        <v>0</v>
      </c>
      <c r="T150">
        <f t="shared" si="27"/>
        <v>1.2224472655045671E-2</v>
      </c>
      <c r="V150">
        <v>2.2499999999999698</v>
      </c>
      <c r="W150">
        <f t="shared" si="28"/>
        <v>0.16038332734192612</v>
      </c>
      <c r="X150">
        <v>0</v>
      </c>
    </row>
    <row r="151" spans="13:24">
      <c r="M151" s="154" t="str">
        <f t="shared" si="24"/>
        <v>μ + 2.3σ</v>
      </c>
      <c r="N151">
        <f t="shared" si="29"/>
        <v>-0.10751895174323541</v>
      </c>
      <c r="O151">
        <v>2.2999999999999701</v>
      </c>
      <c r="P151">
        <f t="shared" si="25"/>
        <v>2.8327037741603125E-2</v>
      </c>
      <c r="Q151">
        <f t="shared" si="26"/>
        <v>0.98927588997832339</v>
      </c>
      <c r="R151">
        <f t="shared" si="23"/>
        <v>2.8327037741603125E-2</v>
      </c>
      <c r="S151">
        <v>0</v>
      </c>
      <c r="T151">
        <f t="shared" si="27"/>
        <v>1.0724110021676614E-2</v>
      </c>
      <c r="V151">
        <v>2.2999999999999701</v>
      </c>
      <c r="W151">
        <f t="shared" si="28"/>
        <v>0.14972746563575112</v>
      </c>
      <c r="X151">
        <v>0</v>
      </c>
    </row>
    <row r="152" spans="13:24">
      <c r="M152" s="154" t="str">
        <f t="shared" si="24"/>
        <v>μ + 2.3σ</v>
      </c>
      <c r="N152">
        <f t="shared" si="29"/>
        <v>-0.10974736768331844</v>
      </c>
      <c r="O152">
        <v>2.3499999999999699</v>
      </c>
      <c r="P152">
        <f t="shared" si="25"/>
        <v>2.5218219915196169E-2</v>
      </c>
      <c r="Q152">
        <f t="shared" si="26"/>
        <v>0.99061329446516067</v>
      </c>
      <c r="R152">
        <f t="shared" ref="R152:R206" si="30">P152</f>
        <v>2.5218219915196169E-2</v>
      </c>
      <c r="S152">
        <v>0</v>
      </c>
      <c r="T152">
        <f t="shared" si="27"/>
        <v>9.3867055348393347E-3</v>
      </c>
      <c r="V152">
        <v>2.3499999999999699</v>
      </c>
      <c r="W152">
        <f t="shared" si="28"/>
        <v>0.13943056644536633</v>
      </c>
      <c r="X152">
        <v>0</v>
      </c>
    </row>
    <row r="153" spans="13:24">
      <c r="M153" s="154" t="str">
        <f t="shared" si="24"/>
        <v>μ + 2.4σ</v>
      </c>
      <c r="N153">
        <f t="shared" si="29"/>
        <v>-0.11197021954155251</v>
      </c>
      <c r="O153">
        <v>2.3999999999999702</v>
      </c>
      <c r="P153">
        <f t="shared" si="25"/>
        <v>2.2394530294844502E-2</v>
      </c>
      <c r="Q153">
        <f t="shared" si="26"/>
        <v>0.99180246407540318</v>
      </c>
      <c r="R153">
        <f t="shared" si="30"/>
        <v>2.2394530294844502E-2</v>
      </c>
      <c r="S153">
        <v>0</v>
      </c>
      <c r="T153">
        <f t="shared" si="27"/>
        <v>8.1975359245968216E-3</v>
      </c>
      <c r="V153">
        <v>2.3999999999999702</v>
      </c>
      <c r="W153">
        <f t="shared" si="28"/>
        <v>0.12951759566589752</v>
      </c>
      <c r="X153">
        <v>0</v>
      </c>
    </row>
    <row r="154" spans="13:24">
      <c r="M154" s="154" t="str">
        <f t="shared" si="24"/>
        <v>μ + 2.4σ</v>
      </c>
      <c r="N154">
        <f t="shared" si="29"/>
        <v>-0.11418752121076704</v>
      </c>
      <c r="O154">
        <v>2.44999999999997</v>
      </c>
      <c r="P154">
        <f t="shared" si="25"/>
        <v>1.9837354391796781E-2</v>
      </c>
      <c r="Q154">
        <f t="shared" si="26"/>
        <v>0.99285718926472799</v>
      </c>
      <c r="R154">
        <f t="shared" si="30"/>
        <v>1.9837354391796781E-2</v>
      </c>
      <c r="S154">
        <v>0</v>
      </c>
      <c r="T154">
        <f t="shared" si="27"/>
        <v>7.1428107352720094E-3</v>
      </c>
      <c r="V154">
        <v>2.44999999999997</v>
      </c>
      <c r="W154">
        <f t="shared" si="28"/>
        <v>0.12000900069699118</v>
      </c>
      <c r="X154">
        <v>0</v>
      </c>
    </row>
    <row r="155" spans="13:24">
      <c r="M155" s="154" t="str">
        <f t="shared" si="24"/>
        <v>μ + 2.5σ</v>
      </c>
      <c r="N155">
        <f t="shared" si="29"/>
        <v>-0.11639928654910592</v>
      </c>
      <c r="O155">
        <v>2.4999999999999698</v>
      </c>
      <c r="P155">
        <f t="shared" si="25"/>
        <v>1.7528300493569862E-2</v>
      </c>
      <c r="Q155">
        <f t="shared" si="26"/>
        <v>0.99379033467422329</v>
      </c>
      <c r="R155">
        <f t="shared" si="30"/>
        <v>1.7528300493569862E-2</v>
      </c>
      <c r="S155">
        <v>0</v>
      </c>
      <c r="T155">
        <f t="shared" si="27"/>
        <v>6.2096653257767143E-3</v>
      </c>
      <c r="V155">
        <v>2.4999999999999698</v>
      </c>
      <c r="W155">
        <f t="shared" si="28"/>
        <v>0.1109208346794609</v>
      </c>
      <c r="X155">
        <v>0</v>
      </c>
    </row>
    <row r="156" spans="13:24">
      <c r="M156" s="154" t="str">
        <f t="shared" si="24"/>
        <v>μ + 2.5σ</v>
      </c>
      <c r="N156">
        <f t="shared" si="29"/>
        <v>-0.11860552938011105</v>
      </c>
      <c r="O156">
        <v>2.5499999999999701</v>
      </c>
      <c r="P156">
        <f t="shared" si="25"/>
        <v>1.5449347134396347E-2</v>
      </c>
      <c r="Q156">
        <f t="shared" si="26"/>
        <v>0.99461385404593283</v>
      </c>
      <c r="R156">
        <f t="shared" si="30"/>
        <v>1.5449347134396347E-2</v>
      </c>
      <c r="S156">
        <v>0</v>
      </c>
      <c r="T156">
        <f t="shared" si="27"/>
        <v>5.3861459540671675E-3</v>
      </c>
      <c r="V156">
        <v>2.5499999999999701</v>
      </c>
      <c r="W156">
        <f t="shared" si="28"/>
        <v>0.10226492456398303</v>
      </c>
      <c r="X156">
        <v>0</v>
      </c>
    </row>
    <row r="157" spans="13:24">
      <c r="M157" s="154" t="str">
        <f t="shared" si="24"/>
        <v>μ + 2.6σ</v>
      </c>
      <c r="N157">
        <f t="shared" si="29"/>
        <v>-0.12080626349280296</v>
      </c>
      <c r="O157">
        <v>2.5999999999999699</v>
      </c>
      <c r="P157">
        <f t="shared" si="25"/>
        <v>1.3582969233686681E-2</v>
      </c>
      <c r="Q157">
        <f t="shared" si="26"/>
        <v>0.99533881197628082</v>
      </c>
      <c r="R157">
        <f t="shared" si="30"/>
        <v>1.3582969233686681E-2</v>
      </c>
      <c r="S157">
        <v>0</v>
      </c>
      <c r="T157">
        <f t="shared" si="27"/>
        <v>4.6611880237191761E-3</v>
      </c>
      <c r="V157">
        <v>2.5999999999999699</v>
      </c>
      <c r="W157">
        <f t="shared" si="28"/>
        <v>9.4049077376891735E-2</v>
      </c>
      <c r="X157">
        <v>0</v>
      </c>
    </row>
    <row r="158" spans="13:24">
      <c r="M158" s="154" t="str">
        <f t="shared" si="24"/>
        <v>μ + 2.6σ</v>
      </c>
      <c r="N158">
        <f t="shared" si="29"/>
        <v>-0.12300150264178232</v>
      </c>
      <c r="O158">
        <v>2.6499999999999702</v>
      </c>
      <c r="P158">
        <f t="shared" si="25"/>
        <v>1.1912243607606121E-2</v>
      </c>
      <c r="Q158">
        <f t="shared" si="26"/>
        <v>0.99597541145724133</v>
      </c>
      <c r="R158">
        <f t="shared" si="30"/>
        <v>1.1912243607606121E-2</v>
      </c>
      <c r="S158">
        <v>0</v>
      </c>
      <c r="T158">
        <f t="shared" si="27"/>
        <v>4.024588542758667E-3</v>
      </c>
      <c r="V158">
        <v>2.6499999999999702</v>
      </c>
      <c r="W158">
        <f t="shared" si="28"/>
        <v>8.6277318826516E-2</v>
      </c>
      <c r="X158">
        <v>0</v>
      </c>
    </row>
    <row r="159" spans="13:24">
      <c r="M159" s="154" t="str">
        <f t="shared" si="24"/>
        <v>μ + 2.7σ</v>
      </c>
      <c r="N159">
        <f t="shared" si="29"/>
        <v>-0.12519126054729601</v>
      </c>
      <c r="O159">
        <v>2.69999999999997</v>
      </c>
      <c r="P159">
        <f t="shared" si="25"/>
        <v>1.0420934814423442E-2</v>
      </c>
      <c r="Q159">
        <f t="shared" si="26"/>
        <v>0.99653302619695905</v>
      </c>
      <c r="R159">
        <f t="shared" si="30"/>
        <v>1.0420934814423442E-2</v>
      </c>
      <c r="S159">
        <v>0</v>
      </c>
      <c r="T159">
        <f t="shared" si="27"/>
        <v>3.4669738030409514E-3</v>
      </c>
      <c r="V159">
        <v>2.69999999999997</v>
      </c>
      <c r="W159">
        <f t="shared" si="28"/>
        <v>7.895015830089841E-2</v>
      </c>
      <c r="X159">
        <v>0</v>
      </c>
    </row>
    <row r="160" spans="13:24">
      <c r="M160" s="154" t="str">
        <f t="shared" si="24"/>
        <v>μ + 2.7σ</v>
      </c>
      <c r="N160">
        <f t="shared" si="29"/>
        <v>-0.1273755508953418</v>
      </c>
      <c r="O160">
        <v>2.7499999999999698</v>
      </c>
      <c r="P160">
        <f t="shared" si="25"/>
        <v>9.0935625015918092E-3</v>
      </c>
      <c r="Q160">
        <f t="shared" si="26"/>
        <v>0.99702023676494522</v>
      </c>
      <c r="R160">
        <f t="shared" si="30"/>
        <v>9.0935625015918092E-3</v>
      </c>
      <c r="S160">
        <v>0</v>
      </c>
      <c r="T160">
        <f t="shared" si="27"/>
        <v>2.9797632350547776E-3</v>
      </c>
      <c r="V160">
        <v>2.7499999999999698</v>
      </c>
      <c r="W160">
        <f t="shared" si="28"/>
        <v>7.2064874336222023E-2</v>
      </c>
      <c r="X160">
        <v>0</v>
      </c>
    </row>
    <row r="161" spans="13:24">
      <c r="M161" s="154" t="str">
        <f t="shared" si="24"/>
        <v>μ + 2.8σ</v>
      </c>
      <c r="N161">
        <f t="shared" si="29"/>
        <v>-0.12955438733774091</v>
      </c>
      <c r="O161">
        <v>2.7999999999999701</v>
      </c>
      <c r="P161">
        <f t="shared" si="25"/>
        <v>7.9154515829806277E-3</v>
      </c>
      <c r="Q161">
        <f t="shared" si="26"/>
        <v>0.9974448696695718</v>
      </c>
      <c r="R161">
        <f t="shared" si="30"/>
        <v>7.9154515829806277E-3</v>
      </c>
      <c r="S161">
        <v>0</v>
      </c>
      <c r="T161">
        <f t="shared" si="27"/>
        <v>2.5551303304282014E-3</v>
      </c>
      <c r="V161">
        <v>2.7999999999999701</v>
      </c>
      <c r="W161">
        <f t="shared" si="28"/>
        <v>6.5615814774680314E-2</v>
      </c>
      <c r="X161">
        <v>0</v>
      </c>
    </row>
    <row r="162" spans="13:24">
      <c r="M162" s="154" t="str">
        <f t="shared" si="24"/>
        <v>μ + 2.8σ</v>
      </c>
      <c r="N162">
        <f t="shared" si="29"/>
        <v>-0.1317277834922253</v>
      </c>
      <c r="O162">
        <v>2.8499999999999699</v>
      </c>
      <c r="P162">
        <f t="shared" si="25"/>
        <v>6.8727666906145636E-3</v>
      </c>
      <c r="Q162">
        <f t="shared" si="26"/>
        <v>0.99781403854508655</v>
      </c>
      <c r="R162">
        <f t="shared" si="30"/>
        <v>6.8727666906145636E-3</v>
      </c>
      <c r="S162">
        <v>0</v>
      </c>
      <c r="T162">
        <f t="shared" si="27"/>
        <v>2.1859614549134543E-3</v>
      </c>
      <c r="V162">
        <v>2.8499999999999699</v>
      </c>
      <c r="W162">
        <f t="shared" si="28"/>
        <v>5.9594706068819565E-2</v>
      </c>
      <c r="X162">
        <v>0</v>
      </c>
    </row>
    <row r="163" spans="13:24">
      <c r="M163" s="154" t="str">
        <f t="shared" si="24"/>
        <v>μ + 2.9σ</v>
      </c>
      <c r="N163">
        <f t="shared" si="29"/>
        <v>-0.13389575294253203</v>
      </c>
      <c r="O163">
        <v>2.8999999999999702</v>
      </c>
      <c r="P163">
        <f t="shared" si="25"/>
        <v>5.9525324197763725E-3</v>
      </c>
      <c r="Q163">
        <f t="shared" si="26"/>
        <v>0.99813418669961573</v>
      </c>
      <c r="R163">
        <f t="shared" si="30"/>
        <v>5.9525324197763725E-3</v>
      </c>
      <c r="S163">
        <v>0</v>
      </c>
      <c r="T163">
        <f t="shared" si="27"/>
        <v>1.865813300384267E-3</v>
      </c>
      <c r="V163">
        <v>2.8999999999999702</v>
      </c>
      <c r="W163">
        <f t="shared" si="28"/>
        <v>5.3990966513191269E-2</v>
      </c>
      <c r="X163">
        <v>0</v>
      </c>
    </row>
    <row r="164" spans="13:24">
      <c r="M164" s="154" t="str">
        <f t="shared" si="24"/>
        <v>μ + 2.9σ</v>
      </c>
      <c r="N164">
        <f t="shared" si="29"/>
        <v>-0.13605830923847409</v>
      </c>
      <c r="O164">
        <v>2.94999999999997</v>
      </c>
      <c r="P164">
        <f t="shared" si="25"/>
        <v>5.1426409230543963E-3</v>
      </c>
      <c r="Q164">
        <f t="shared" si="26"/>
        <v>0.99841113035263496</v>
      </c>
      <c r="R164">
        <f t="shared" si="30"/>
        <v>5.1426409230543963E-3</v>
      </c>
      <c r="S164">
        <v>0</v>
      </c>
      <c r="T164">
        <f t="shared" si="27"/>
        <v>1.5888696473650432E-3</v>
      </c>
      <c r="V164">
        <v>2.94999999999997</v>
      </c>
      <c r="W164">
        <f t="shared" si="28"/>
        <v>4.8792018579185754E-2</v>
      </c>
      <c r="X164">
        <v>0</v>
      </c>
    </row>
    <row r="165" spans="13:24">
      <c r="M165" s="154" t="str">
        <f t="shared" si="24"/>
        <v>μ + 3σ</v>
      </c>
      <c r="N165">
        <f t="shared" si="29"/>
        <v>-0.13821546589603678</v>
      </c>
      <c r="O165">
        <v>2.9999999999999698</v>
      </c>
      <c r="P165">
        <f t="shared" si="25"/>
        <v>4.4318484119384082E-3</v>
      </c>
      <c r="Q165">
        <f t="shared" si="26"/>
        <v>0.99865010196836979</v>
      </c>
      <c r="R165">
        <f t="shared" si="30"/>
        <v>4.4318484119384082E-3</v>
      </c>
      <c r="S165">
        <v>0</v>
      </c>
      <c r="T165">
        <f t="shared" si="27"/>
        <v>1.3498980316302145E-3</v>
      </c>
      <c r="V165">
        <v>2.9999999999999698</v>
      </c>
      <c r="W165">
        <f t="shared" si="28"/>
        <v>4.3983595980429988E-2</v>
      </c>
      <c r="X165">
        <v>0</v>
      </c>
    </row>
    <row r="166" spans="13:24">
      <c r="M166" s="154" t="str">
        <f t="shared" si="24"/>
        <v>μ + 3σ</v>
      </c>
      <c r="N166">
        <f t="shared" si="29"/>
        <v>-0.14036723639745693</v>
      </c>
      <c r="O166">
        <v>3.0499999999999701</v>
      </c>
      <c r="P166">
        <f t="shared" si="25"/>
        <v>3.8097620982221556E-3</v>
      </c>
      <c r="Q166">
        <f t="shared" si="26"/>
        <v>0.99885579316897721</v>
      </c>
      <c r="R166">
        <f t="shared" si="30"/>
        <v>3.8097620982221556E-3</v>
      </c>
      <c r="S166">
        <v>0</v>
      </c>
      <c r="T166">
        <f t="shared" si="27"/>
        <v>1.1442068310227871E-3</v>
      </c>
      <c r="V166">
        <v>3.0499999999999701</v>
      </c>
      <c r="W166">
        <f t="shared" si="28"/>
        <v>3.9550041589372753E-2</v>
      </c>
      <c r="X166">
        <v>0</v>
      </c>
    </row>
    <row r="167" spans="13:24">
      <c r="M167" s="154" t="str">
        <f t="shared" si="24"/>
        <v>μ + 3.1σ</v>
      </c>
      <c r="N167">
        <f t="shared" si="29"/>
        <v>-0.14251363419130453</v>
      </c>
      <c r="O167">
        <v>3.0999999999999699</v>
      </c>
      <c r="P167">
        <f t="shared" si="25"/>
        <v>3.2668190562002266E-3</v>
      </c>
      <c r="Q167">
        <f t="shared" si="26"/>
        <v>0.99903239678678157</v>
      </c>
      <c r="R167">
        <f t="shared" si="30"/>
        <v>3.2668190562002266E-3</v>
      </c>
      <c r="S167">
        <v>0</v>
      </c>
      <c r="T167">
        <f t="shared" si="27"/>
        <v>9.6760321321842646E-4</v>
      </c>
      <c r="V167">
        <v>3.0999999999999699</v>
      </c>
      <c r="W167">
        <f t="shared" si="28"/>
        <v>3.5474592846233791E-2</v>
      </c>
      <c r="X167">
        <v>0</v>
      </c>
    </row>
    <row r="168" spans="13:24">
      <c r="M168" s="154" t="str">
        <f t="shared" si="24"/>
        <v>μ + 3.1σ</v>
      </c>
      <c r="N168">
        <f t="shared" si="29"/>
        <v>-0.1446546726925767</v>
      </c>
      <c r="O168">
        <v>3.1499999999999702</v>
      </c>
      <c r="P168">
        <f t="shared" si="25"/>
        <v>2.7942584148797104E-3</v>
      </c>
      <c r="Q168">
        <f t="shared" si="26"/>
        <v>0.99918364768717138</v>
      </c>
      <c r="R168">
        <f t="shared" si="30"/>
        <v>2.7942584148797104E-3</v>
      </c>
      <c r="S168">
        <v>0</v>
      </c>
      <c r="T168">
        <f t="shared" si="27"/>
        <v>8.1635231282861653E-4</v>
      </c>
      <c r="V168">
        <v>3.1499999999999702</v>
      </c>
      <c r="W168">
        <f t="shared" si="28"/>
        <v>3.1739651835669548E-2</v>
      </c>
      <c r="X168">
        <v>0</v>
      </c>
    </row>
    <row r="169" spans="13:24">
      <c r="M169" s="154" t="str">
        <f t="shared" si="24"/>
        <v>μ + 3.2σ</v>
      </c>
      <c r="N169">
        <f t="shared" si="29"/>
        <v>-0.1467903652827674</v>
      </c>
      <c r="O169">
        <v>3.19999999999997</v>
      </c>
      <c r="P169">
        <f t="shared" si="25"/>
        <v>2.3840882014650711E-3</v>
      </c>
      <c r="Q169">
        <f t="shared" si="26"/>
        <v>0.99931286206208403</v>
      </c>
      <c r="R169">
        <f t="shared" si="30"/>
        <v>2.3840882014650711E-3</v>
      </c>
      <c r="S169">
        <v>0</v>
      </c>
      <c r="T169">
        <f t="shared" si="27"/>
        <v>6.8713793791597144E-4</v>
      </c>
      <c r="V169">
        <v>3.19999999999997</v>
      </c>
      <c r="W169">
        <f t="shared" si="28"/>
        <v>2.8327037741603125E-2</v>
      </c>
      <c r="X169">
        <v>0</v>
      </c>
    </row>
    <row r="170" spans="13:24">
      <c r="M170" s="154" t="str">
        <f t="shared" si="24"/>
        <v>μ + 3.2σ</v>
      </c>
      <c r="N170">
        <f t="shared" si="29"/>
        <v>-0.1489207253099635</v>
      </c>
      <c r="O170">
        <v>3.2499999999999698</v>
      </c>
      <c r="P170">
        <f t="shared" si="25"/>
        <v>2.0290480572999663E-3</v>
      </c>
      <c r="Q170">
        <f t="shared" si="26"/>
        <v>0.99942297495760912</v>
      </c>
      <c r="R170">
        <f t="shared" si="30"/>
        <v>2.0290480572999663E-3</v>
      </c>
      <c r="S170">
        <v>0</v>
      </c>
      <c r="T170">
        <f t="shared" si="27"/>
        <v>5.7702504239087737E-4</v>
      </c>
      <c r="V170">
        <v>3.2499999999999698</v>
      </c>
      <c r="W170">
        <f t="shared" si="28"/>
        <v>2.5218219915196169E-2</v>
      </c>
      <c r="X170">
        <v>0</v>
      </c>
    </row>
    <row r="171" spans="13:24">
      <c r="M171" s="154" t="str">
        <f t="shared" ref="M171:M206" si="31">$M$3&amp;" + "&amp;ROUND(ABS(O171),1)&amp;$L$4</f>
        <v>μ + 3.3σ</v>
      </c>
      <c r="N171">
        <f t="shared" si="29"/>
        <v>-0.15104576608892348</v>
      </c>
      <c r="O171">
        <v>3.2999999999999701</v>
      </c>
      <c r="P171">
        <f t="shared" si="25"/>
        <v>1.722568939053851E-3</v>
      </c>
      <c r="Q171">
        <f t="shared" si="26"/>
        <v>0.99951657585761622</v>
      </c>
      <c r="R171">
        <f t="shared" si="30"/>
        <v>1.722568939053851E-3</v>
      </c>
      <c r="S171">
        <v>0</v>
      </c>
      <c r="T171">
        <f t="shared" si="27"/>
        <v>4.8342414238378151E-4</v>
      </c>
      <c r="V171">
        <v>3.2999999999999701</v>
      </c>
      <c r="W171">
        <f t="shared" si="28"/>
        <v>2.2394530294844502E-2</v>
      </c>
      <c r="X171">
        <v>0</v>
      </c>
    </row>
    <row r="172" spans="13:24">
      <c r="M172" s="154" t="str">
        <f t="shared" si="31"/>
        <v>μ + 3.3σ</v>
      </c>
      <c r="N172">
        <f t="shared" si="29"/>
        <v>-0.15316550090115674</v>
      </c>
      <c r="O172">
        <v>3.3499999999999699</v>
      </c>
      <c r="P172">
        <f t="shared" si="25"/>
        <v>1.4587308046668938E-3</v>
      </c>
      <c r="Q172">
        <f t="shared" si="26"/>
        <v>0.99959594219813597</v>
      </c>
      <c r="R172">
        <f t="shared" si="30"/>
        <v>1.4587308046668938E-3</v>
      </c>
      <c r="S172">
        <v>0</v>
      </c>
      <c r="T172">
        <f t="shared" si="27"/>
        <v>4.0405780186403284E-4</v>
      </c>
      <c r="V172">
        <v>3.3499999999999699</v>
      </c>
      <c r="W172">
        <f t="shared" si="28"/>
        <v>1.9837354391796781E-2</v>
      </c>
      <c r="X172">
        <v>0</v>
      </c>
    </row>
    <row r="173" spans="13:24">
      <c r="M173" s="154" t="str">
        <f t="shared" si="31"/>
        <v>μ + 3.4σ</v>
      </c>
      <c r="N173">
        <f t="shared" si="29"/>
        <v>-0.15527994299501605</v>
      </c>
      <c r="O173">
        <v>3.3999999999999702</v>
      </c>
      <c r="P173">
        <f t="shared" si="25"/>
        <v>1.2322191684731446E-3</v>
      </c>
      <c r="Q173">
        <f t="shared" si="26"/>
        <v>0.99966307073432303</v>
      </c>
      <c r="R173">
        <f t="shared" si="30"/>
        <v>1.2322191684731446E-3</v>
      </c>
      <c r="S173">
        <v>0</v>
      </c>
      <c r="T173">
        <f t="shared" si="27"/>
        <v>3.3692926567696624E-4</v>
      </c>
      <c r="V173">
        <v>3.3999999999999702</v>
      </c>
      <c r="W173">
        <f t="shared" si="28"/>
        <v>1.7528300493569845E-2</v>
      </c>
      <c r="X173">
        <v>0</v>
      </c>
    </row>
    <row r="174" spans="13:24">
      <c r="M174" s="154" t="str">
        <f t="shared" si="31"/>
        <v>μ + 3.4σ</v>
      </c>
      <c r="N174">
        <f t="shared" si="29"/>
        <v>-0.15738910558576671</v>
      </c>
      <c r="O174">
        <v>3.44999999999997</v>
      </c>
      <c r="P174">
        <f t="shared" si="25"/>
        <v>1.0382812956615192E-3</v>
      </c>
      <c r="Q174">
        <f t="shared" si="26"/>
        <v>0.99971970672318378</v>
      </c>
      <c r="R174">
        <f t="shared" si="30"/>
        <v>1.0382812956615192E-3</v>
      </c>
      <c r="S174">
        <v>0</v>
      </c>
      <c r="T174">
        <f t="shared" si="27"/>
        <v>2.8029327681622362E-4</v>
      </c>
      <c r="V174">
        <v>3.44999999999997</v>
      </c>
      <c r="W174">
        <f t="shared" si="28"/>
        <v>1.5449347134396347E-2</v>
      </c>
      <c r="X174">
        <v>0</v>
      </c>
    </row>
    <row r="175" spans="13:24">
      <c r="M175" s="154" t="str">
        <f t="shared" si="31"/>
        <v>μ + 3.5σ</v>
      </c>
      <c r="N175">
        <f t="shared" si="29"/>
        <v>-0.15949300185568613</v>
      </c>
      <c r="O175">
        <v>3.4999999999999698</v>
      </c>
      <c r="P175">
        <f t="shared" si="25"/>
        <v>8.7268269504585231E-4</v>
      </c>
      <c r="Q175">
        <f t="shared" si="26"/>
        <v>0.99976737092096446</v>
      </c>
      <c r="R175">
        <f t="shared" si="30"/>
        <v>8.7268269504585231E-4</v>
      </c>
      <c r="S175">
        <v>0</v>
      </c>
      <c r="T175">
        <f t="shared" si="27"/>
        <v>2.3262907903554009E-4</v>
      </c>
      <c r="V175">
        <v>3.4999999999999698</v>
      </c>
      <c r="W175">
        <f t="shared" si="28"/>
        <v>1.3582969233686681E-2</v>
      </c>
      <c r="X175">
        <v>0</v>
      </c>
    </row>
    <row r="176" spans="13:24">
      <c r="M176" s="154" t="str">
        <f t="shared" si="31"/>
        <v>μ + 3.5σ</v>
      </c>
      <c r="N176">
        <f t="shared" si="29"/>
        <v>-0.16159164495413164</v>
      </c>
      <c r="O176">
        <v>3.5499999999999701</v>
      </c>
      <c r="P176">
        <f t="shared" si="25"/>
        <v>7.316644628303882E-4</v>
      </c>
      <c r="Q176">
        <f t="shared" si="26"/>
        <v>0.99980738442436434</v>
      </c>
      <c r="R176">
        <f t="shared" si="30"/>
        <v>7.316644628303882E-4</v>
      </c>
      <c r="S176">
        <v>0</v>
      </c>
      <c r="T176">
        <f t="shared" si="27"/>
        <v>1.9261557563565734E-4</v>
      </c>
      <c r="V176">
        <v>3.5499999999999701</v>
      </c>
      <c r="W176">
        <f t="shared" si="28"/>
        <v>1.1912243607606121E-2</v>
      </c>
      <c r="X176">
        <v>0</v>
      </c>
    </row>
    <row r="177" spans="13:24">
      <c r="M177" s="154" t="str">
        <f t="shared" si="31"/>
        <v>μ + 3.6σ</v>
      </c>
      <c r="N177">
        <f t="shared" si="29"/>
        <v>-0.16368504799762609</v>
      </c>
      <c r="O177">
        <v>3.5999999999999699</v>
      </c>
      <c r="P177">
        <f t="shared" si="25"/>
        <v>6.1190193011383879E-4</v>
      </c>
      <c r="Q177">
        <f t="shared" si="26"/>
        <v>0.99984089140984245</v>
      </c>
      <c r="R177">
        <f t="shared" si="30"/>
        <v>6.1190193011383879E-4</v>
      </c>
      <c r="S177">
        <v>0</v>
      </c>
      <c r="T177">
        <f t="shared" si="27"/>
        <v>1.5910859015755285E-4</v>
      </c>
      <c r="V177">
        <v>3.5999999999999699</v>
      </c>
      <c r="W177">
        <f t="shared" si="28"/>
        <v>1.0420934814423442E-2</v>
      </c>
      <c r="X177">
        <v>0</v>
      </c>
    </row>
    <row r="178" spans="13:24">
      <c r="M178" s="154" t="str">
        <f t="shared" si="31"/>
        <v>μ + 3.6σ</v>
      </c>
      <c r="N178">
        <f t="shared" si="29"/>
        <v>-0.16577322406995193</v>
      </c>
      <c r="O178">
        <v>3.6499999999999702</v>
      </c>
      <c r="P178">
        <f t="shared" si="25"/>
        <v>5.1046497434424133E-4</v>
      </c>
      <c r="Q178">
        <f t="shared" si="26"/>
        <v>0.99986887984557948</v>
      </c>
      <c r="R178">
        <f t="shared" si="30"/>
        <v>5.1046497434424133E-4</v>
      </c>
      <c r="S178">
        <v>0</v>
      </c>
      <c r="T178">
        <f t="shared" si="27"/>
        <v>1.311201544205165E-4</v>
      </c>
      <c r="V178">
        <v>3.6499999999999702</v>
      </c>
      <c r="W178">
        <f t="shared" si="28"/>
        <v>9.0935625015917954E-3</v>
      </c>
      <c r="X178">
        <v>0</v>
      </c>
    </row>
    <row r="179" spans="13:24">
      <c r="M179" s="154" t="str">
        <f t="shared" si="31"/>
        <v>μ + 3.7σ</v>
      </c>
      <c r="N179">
        <f t="shared" si="29"/>
        <v>-0.16785618622220935</v>
      </c>
      <c r="O179">
        <v>3.69999999999997</v>
      </c>
      <c r="P179">
        <f t="shared" si="25"/>
        <v>4.2478027055079903E-4</v>
      </c>
      <c r="Q179">
        <f t="shared" si="26"/>
        <v>0.99989220026652259</v>
      </c>
      <c r="R179">
        <f t="shared" si="30"/>
        <v>4.2478027055079903E-4</v>
      </c>
      <c r="S179">
        <v>0</v>
      </c>
      <c r="T179">
        <f t="shared" si="27"/>
        <v>1.0779973347740945E-4</v>
      </c>
      <c r="V179">
        <v>3.69999999999997</v>
      </c>
      <c r="W179">
        <f t="shared" si="28"/>
        <v>7.9154515829806277E-3</v>
      </c>
      <c r="X179">
        <v>0</v>
      </c>
    </row>
    <row r="180" spans="13:24">
      <c r="M180" s="154" t="str">
        <f t="shared" si="31"/>
        <v>μ + 3.7σ</v>
      </c>
      <c r="N180">
        <f t="shared" si="29"/>
        <v>-0.16993394747292315</v>
      </c>
      <c r="O180">
        <v>3.7499999999999698</v>
      </c>
      <c r="P180">
        <f t="shared" si="25"/>
        <v>3.5259568236748547E-4</v>
      </c>
      <c r="Q180">
        <f t="shared" si="26"/>
        <v>0.99991158271479919</v>
      </c>
      <c r="R180">
        <f t="shared" si="30"/>
        <v>3.5259568236748547E-4</v>
      </c>
      <c r="S180">
        <v>0</v>
      </c>
      <c r="T180">
        <f t="shared" si="27"/>
        <v>8.841728520081471E-5</v>
      </c>
      <c r="V180">
        <v>3.7499999999999698</v>
      </c>
      <c r="W180">
        <f t="shared" si="28"/>
        <v>6.8727666906145636E-3</v>
      </c>
      <c r="X180">
        <v>0</v>
      </c>
    </row>
    <row r="181" spans="13:24">
      <c r="M181" s="154" t="str">
        <f t="shared" si="31"/>
        <v>μ + 3.8σ</v>
      </c>
      <c r="N181">
        <f t="shared" si="29"/>
        <v>-0.17200652080810827</v>
      </c>
      <c r="O181">
        <v>3.7999999999999701</v>
      </c>
      <c r="P181">
        <f t="shared" si="25"/>
        <v>2.9194692579149345E-4</v>
      </c>
      <c r="Q181">
        <f t="shared" si="26"/>
        <v>0.99992765195607491</v>
      </c>
      <c r="R181">
        <f t="shared" si="30"/>
        <v>2.9194692579149345E-4</v>
      </c>
      <c r="S181">
        <v>0</v>
      </c>
      <c r="T181">
        <f t="shared" si="27"/>
        <v>7.2348043925085648E-5</v>
      </c>
      <c r="V181">
        <v>3.7999999999999701</v>
      </c>
      <c r="W181">
        <f t="shared" si="28"/>
        <v>5.9525324197763725E-3</v>
      </c>
      <c r="X181">
        <v>0</v>
      </c>
    </row>
    <row r="182" spans="13:24">
      <c r="M182" s="154" t="str">
        <f t="shared" si="31"/>
        <v>μ + 3.8σ</v>
      </c>
      <c r="N182">
        <f t="shared" si="29"/>
        <v>-0.1740739191813504</v>
      </c>
      <c r="O182">
        <v>3.8499999999999699</v>
      </c>
      <c r="P182">
        <f t="shared" si="25"/>
        <v>2.4112658022602132E-4</v>
      </c>
      <c r="Q182">
        <f t="shared" si="26"/>
        <v>0.99994094108758103</v>
      </c>
      <c r="R182">
        <f t="shared" si="30"/>
        <v>2.4112658022602132E-4</v>
      </c>
      <c r="S182">
        <v>0</v>
      </c>
      <c r="T182">
        <f t="shared" si="27"/>
        <v>5.905891241897443E-5</v>
      </c>
      <c r="V182">
        <v>3.8499999999999699</v>
      </c>
      <c r="W182">
        <f t="shared" si="28"/>
        <v>5.1426409230543963E-3</v>
      </c>
      <c r="X182">
        <v>0</v>
      </c>
    </row>
    <row r="183" spans="13:24">
      <c r="M183" s="154" t="str">
        <f t="shared" si="31"/>
        <v>μ + 3.9σ</v>
      </c>
      <c r="N183">
        <f t="shared" si="29"/>
        <v>-0.17613615551390055</v>
      </c>
      <c r="O183">
        <v>3.8999999999999702</v>
      </c>
      <c r="P183">
        <f t="shared" si="25"/>
        <v>1.9865547139279581E-4</v>
      </c>
      <c r="Q183">
        <f t="shared" si="26"/>
        <v>0.99995190365598241</v>
      </c>
      <c r="R183">
        <f t="shared" si="30"/>
        <v>1.9865547139279581E-4</v>
      </c>
      <c r="S183">
        <v>0</v>
      </c>
      <c r="T183">
        <f t="shared" si="27"/>
        <v>4.8096344017589665E-5</v>
      </c>
      <c r="V183">
        <v>3.8999999999999702</v>
      </c>
      <c r="W183">
        <f t="shared" si="28"/>
        <v>4.4318484119384013E-3</v>
      </c>
      <c r="X183">
        <v>0</v>
      </c>
    </row>
    <row r="184" spans="13:24">
      <c r="M184" s="154" t="str">
        <f t="shared" si="31"/>
        <v>μ + 3.9σ</v>
      </c>
      <c r="N184">
        <f t="shared" si="29"/>
        <v>-0.17819324269473971</v>
      </c>
      <c r="O184">
        <v>3.94999999999997</v>
      </c>
      <c r="P184">
        <f t="shared" si="25"/>
        <v>1.6325640876626142E-4</v>
      </c>
      <c r="Q184">
        <f t="shared" si="26"/>
        <v>0.99996092440340223</v>
      </c>
      <c r="R184">
        <f t="shared" si="30"/>
        <v>1.6325640876626142E-4</v>
      </c>
      <c r="S184">
        <v>0</v>
      </c>
      <c r="T184">
        <f t="shared" si="27"/>
        <v>3.9075596597770712E-5</v>
      </c>
      <c r="V184">
        <v>3.94999999999997</v>
      </c>
      <c r="W184">
        <f t="shared" si="28"/>
        <v>3.8097620982221556E-3</v>
      </c>
      <c r="X184">
        <v>0</v>
      </c>
    </row>
    <row r="185" spans="13:24">
      <c r="M185" s="154" t="str">
        <f t="shared" si="31"/>
        <v>μ + 4σ</v>
      </c>
      <c r="N185">
        <f t="shared" si="29"/>
        <v>-0.18024519358067073</v>
      </c>
      <c r="O185">
        <v>3.9999999999999698</v>
      </c>
      <c r="P185">
        <f t="shared" si="25"/>
        <v>1.3383022576490152E-4</v>
      </c>
      <c r="Q185">
        <f t="shared" si="26"/>
        <v>0.99996832875816688</v>
      </c>
      <c r="R185">
        <f t="shared" si="30"/>
        <v>1.3383022576490152E-4</v>
      </c>
      <c r="S185">
        <v>0</v>
      </c>
      <c r="T185">
        <f t="shared" si="27"/>
        <v>3.1671241833119979E-5</v>
      </c>
      <c r="V185">
        <v>3.9999999999999698</v>
      </c>
      <c r="W185">
        <f t="shared" si="28"/>
        <v>3.2668190562002266E-3</v>
      </c>
      <c r="X185">
        <v>0</v>
      </c>
    </row>
    <row r="186" spans="13:24">
      <c r="M186" s="154" t="str">
        <f t="shared" si="31"/>
        <v>μ + 4σ</v>
      </c>
      <c r="N186">
        <f t="shared" si="29"/>
        <v>-0.18229202099639391</v>
      </c>
      <c r="O186">
        <v>4.0499999999999696</v>
      </c>
      <c r="P186">
        <f t="shared" si="25"/>
        <v>1.0943404343981396E-4</v>
      </c>
      <c r="Q186">
        <f t="shared" si="26"/>
        <v>0.99997439118352593</v>
      </c>
      <c r="R186">
        <f t="shared" si="30"/>
        <v>1.0943404343981396E-4</v>
      </c>
      <c r="S186">
        <v>0</v>
      </c>
      <c r="T186">
        <f t="shared" si="27"/>
        <v>2.5608816474065321E-5</v>
      </c>
      <c r="V186">
        <v>4.0499999999999696</v>
      </c>
      <c r="W186">
        <f t="shared" si="28"/>
        <v>2.7942584148797126E-3</v>
      </c>
      <c r="X186">
        <v>0</v>
      </c>
    </row>
    <row r="187" spans="13:24">
      <c r="M187" s="154" t="str">
        <f t="shared" si="31"/>
        <v>μ + 4.1σ</v>
      </c>
      <c r="N187">
        <f t="shared" si="29"/>
        <v>-0.18433373773458872</v>
      </c>
      <c r="O187">
        <v>4.0999999999999703</v>
      </c>
      <c r="P187">
        <f t="shared" si="25"/>
        <v>8.9261657177143702E-5</v>
      </c>
      <c r="Q187">
        <f t="shared" si="26"/>
        <v>0.9999793424930874</v>
      </c>
      <c r="R187">
        <f t="shared" si="30"/>
        <v>8.9261657177143702E-5</v>
      </c>
      <c r="S187">
        <v>0</v>
      </c>
      <c r="T187">
        <f t="shared" si="27"/>
        <v>2.0657506912602486E-5</v>
      </c>
      <c r="V187">
        <v>4.0999999999999703</v>
      </c>
      <c r="W187">
        <f t="shared" si="28"/>
        <v>2.3840882014650689E-3</v>
      </c>
      <c r="X187">
        <v>0</v>
      </c>
    </row>
    <row r="188" spans="13:24">
      <c r="M188" s="154" t="str">
        <f t="shared" si="31"/>
        <v>μ + 4.1σ</v>
      </c>
      <c r="N188">
        <f t="shared" si="29"/>
        <v>-0.1863703565559833</v>
      </c>
      <c r="O188">
        <v>4.1499999999999702</v>
      </c>
      <c r="P188">
        <f t="shared" si="25"/>
        <v>7.2625930302261485E-5</v>
      </c>
      <c r="Q188">
        <f t="shared" si="26"/>
        <v>0.99998337623627032</v>
      </c>
      <c r="R188">
        <f t="shared" si="30"/>
        <v>7.2625930302261485E-5</v>
      </c>
      <c r="S188">
        <v>0</v>
      </c>
      <c r="T188">
        <f t="shared" si="27"/>
        <v>1.6623763729683994E-5</v>
      </c>
      <c r="V188">
        <v>4.1499999999999702</v>
      </c>
      <c r="W188">
        <f t="shared" si="28"/>
        <v>2.0290480572999641E-3</v>
      </c>
      <c r="X188">
        <v>0</v>
      </c>
    </row>
    <row r="189" spans="13:24">
      <c r="M189" s="154" t="str">
        <f t="shared" si="31"/>
        <v>μ + 4.2σ</v>
      </c>
      <c r="N189">
        <f t="shared" si="29"/>
        <v>-0.1884018901894621</v>
      </c>
      <c r="O189">
        <v>4.19999999999997</v>
      </c>
      <c r="P189">
        <f t="shared" si="25"/>
        <v>5.8943067756547288E-5</v>
      </c>
      <c r="Q189">
        <f t="shared" si="26"/>
        <v>0.9999866542509841</v>
      </c>
      <c r="R189">
        <f t="shared" si="30"/>
        <v>5.8943067756547288E-5</v>
      </c>
      <c r="S189">
        <v>0</v>
      </c>
      <c r="T189">
        <f t="shared" si="27"/>
        <v>1.3345749015902797E-5</v>
      </c>
      <c r="V189">
        <v>4.19999999999997</v>
      </c>
      <c r="W189">
        <f t="shared" si="28"/>
        <v>1.722568939053851E-3</v>
      </c>
      <c r="X189">
        <v>0</v>
      </c>
    </row>
    <row r="190" spans="13:24">
      <c r="M190" s="154" t="str">
        <f t="shared" si="31"/>
        <v>μ + 4.2σ</v>
      </c>
      <c r="N190">
        <f t="shared" si="29"/>
        <v>-0.19042835133211147</v>
      </c>
      <c r="O190">
        <v>4.2499999999999698</v>
      </c>
      <c r="P190">
        <f t="shared" si="25"/>
        <v>4.771863654121105E-5</v>
      </c>
      <c r="Q190">
        <f t="shared" si="26"/>
        <v>0.9999893114742251</v>
      </c>
      <c r="R190">
        <f t="shared" si="30"/>
        <v>4.771863654121105E-5</v>
      </c>
      <c r="S190">
        <v>0</v>
      </c>
      <c r="T190">
        <f t="shared" si="27"/>
        <v>1.0688525774904534E-5</v>
      </c>
      <c r="V190">
        <v>4.2499999999999698</v>
      </c>
      <c r="W190">
        <f t="shared" si="28"/>
        <v>1.4587308046668938E-3</v>
      </c>
      <c r="X190">
        <v>0</v>
      </c>
    </row>
    <row r="191" spans="13:24">
      <c r="M191" s="154" t="str">
        <f t="shared" si="31"/>
        <v>μ + 4.3σ</v>
      </c>
      <c r="N191">
        <f t="shared" si="29"/>
        <v>-0.19244975264932121</v>
      </c>
      <c r="O191">
        <v>4.2999999999999696</v>
      </c>
      <c r="P191">
        <f t="shared" si="25"/>
        <v>3.8535196742092124E-5</v>
      </c>
      <c r="Q191">
        <f t="shared" si="26"/>
        <v>0.99999146009452899</v>
      </c>
      <c r="R191">
        <f t="shared" si="30"/>
        <v>3.8535196742092124E-5</v>
      </c>
      <c r="S191">
        <v>0</v>
      </c>
      <c r="T191">
        <f t="shared" si="27"/>
        <v>8.5399054710055822E-6</v>
      </c>
      <c r="V191">
        <v>4.2999999999999696</v>
      </c>
      <c r="W191">
        <f t="shared" si="28"/>
        <v>1.2322191684731457E-3</v>
      </c>
      <c r="X191">
        <v>0</v>
      </c>
    </row>
    <row r="192" spans="13:24">
      <c r="M192" s="154" t="str">
        <f t="shared" si="31"/>
        <v>μ + 4.3σ</v>
      </c>
      <c r="N192">
        <f t="shared" si="29"/>
        <v>-0.19446610677486043</v>
      </c>
      <c r="O192">
        <v>4.3499999999999703</v>
      </c>
      <c r="P192">
        <f t="shared" si="25"/>
        <v>3.1041407057854183E-5</v>
      </c>
      <c r="Q192">
        <f t="shared" si="26"/>
        <v>0.99999319312340063</v>
      </c>
      <c r="R192">
        <f t="shared" si="30"/>
        <v>3.1041407057854183E-5</v>
      </c>
      <c r="S192">
        <v>0</v>
      </c>
      <c r="T192">
        <f t="shared" si="27"/>
        <v>6.8068765993745117E-6</v>
      </c>
      <c r="V192">
        <v>4.3499999999999703</v>
      </c>
      <c r="W192">
        <f t="shared" si="28"/>
        <v>1.0382812956615172E-3</v>
      </c>
      <c r="X192">
        <v>0</v>
      </c>
    </row>
    <row r="193" spans="13:24">
      <c r="M193" s="154" t="str">
        <f t="shared" si="31"/>
        <v>μ + 4.4σ</v>
      </c>
      <c r="N193">
        <f t="shared" si="29"/>
        <v>-0.19647742631093654</v>
      </c>
      <c r="O193">
        <v>4.3999999999999702</v>
      </c>
      <c r="P193">
        <f t="shared" si="25"/>
        <v>2.4942471290056852E-5</v>
      </c>
      <c r="Q193">
        <f t="shared" si="26"/>
        <v>0.99999458745609227</v>
      </c>
      <c r="R193">
        <f t="shared" si="30"/>
        <v>2.4942471290056852E-5</v>
      </c>
      <c r="S193">
        <v>0</v>
      </c>
      <c r="T193">
        <f t="shared" si="27"/>
        <v>5.4125439077346016E-6</v>
      </c>
      <c r="V193">
        <v>4.3999999999999702</v>
      </c>
      <c r="W193">
        <f t="shared" si="28"/>
        <v>8.7268269504585079E-4</v>
      </c>
      <c r="X193">
        <v>0</v>
      </c>
    </row>
    <row r="194" spans="13:24">
      <c r="M194" s="154" t="str">
        <f t="shared" si="31"/>
        <v>μ + 4.4σ</v>
      </c>
      <c r="N194">
        <f t="shared" si="29"/>
        <v>-0.19848372382831664</v>
      </c>
      <c r="O194">
        <v>4.44999999999997</v>
      </c>
      <c r="P194">
        <f t="shared" si="25"/>
        <v>1.9991796706925491E-5</v>
      </c>
      <c r="Q194">
        <f t="shared" si="26"/>
        <v>0.99999570648553004</v>
      </c>
      <c r="R194">
        <f t="shared" si="30"/>
        <v>1.9991796706925491E-5</v>
      </c>
      <c r="S194">
        <v>0</v>
      </c>
      <c r="T194">
        <f t="shared" si="27"/>
        <v>4.2935144699551842E-6</v>
      </c>
      <c r="V194">
        <v>4.44999999999997</v>
      </c>
      <c r="W194">
        <f t="shared" si="28"/>
        <v>7.316644628303882E-4</v>
      </c>
      <c r="X194">
        <v>0</v>
      </c>
    </row>
    <row r="195" spans="13:24">
      <c r="M195" s="154" t="str">
        <f t="shared" si="31"/>
        <v>μ + 4.5σ</v>
      </c>
      <c r="N195">
        <f t="shared" si="29"/>
        <v>-0.20048501186636222</v>
      </c>
      <c r="O195">
        <v>4.4999999999999698</v>
      </c>
      <c r="P195">
        <f t="shared" si="25"/>
        <v>1.5983741106907633E-5</v>
      </c>
      <c r="Q195">
        <f t="shared" si="26"/>
        <v>0.99999660232687526</v>
      </c>
      <c r="R195">
        <f t="shared" si="30"/>
        <v>1.5983741106907633E-5</v>
      </c>
      <c r="S195">
        <v>0</v>
      </c>
      <c r="T195">
        <f t="shared" si="27"/>
        <v>3.3976731247387093E-6</v>
      </c>
      <c r="V195">
        <v>4.4999999999999698</v>
      </c>
      <c r="W195">
        <f t="shared" si="28"/>
        <v>6.1190193011383879E-4</v>
      </c>
      <c r="X195">
        <v>0</v>
      </c>
    </row>
    <row r="196" spans="13:24">
      <c r="M196" s="154" t="str">
        <f t="shared" si="31"/>
        <v>μ + 4.5σ</v>
      </c>
      <c r="N196">
        <f t="shared" si="29"/>
        <v>-0.20248130293312616</v>
      </c>
      <c r="O196">
        <v>4.5499999999999696</v>
      </c>
      <c r="P196">
        <f t="shared" si="25"/>
        <v>1.2747332381835207E-5</v>
      </c>
      <c r="Q196">
        <f t="shared" si="26"/>
        <v>0.9999973177042204</v>
      </c>
      <c r="R196">
        <f t="shared" si="30"/>
        <v>1.2747332381835207E-5</v>
      </c>
      <c r="S196">
        <v>0</v>
      </c>
      <c r="T196">
        <f t="shared" si="27"/>
        <v>2.6822957795991087E-6</v>
      </c>
      <c r="V196">
        <v>4.5499999999999696</v>
      </c>
      <c r="W196">
        <f t="shared" si="28"/>
        <v>5.1046497434424176E-4</v>
      </c>
      <c r="X196">
        <v>0</v>
      </c>
    </row>
    <row r="197" spans="13:24">
      <c r="M197" s="154" t="str">
        <f t="shared" si="31"/>
        <v>μ + 4.6σ</v>
      </c>
      <c r="N197">
        <f t="shared" si="29"/>
        <v>-0.20447260950544294</v>
      </c>
      <c r="O197">
        <v>4.5999999999999703</v>
      </c>
      <c r="P197">
        <f t="shared" ref="P197:P206" si="32">_xlfn.NORM.DIST(O197,$P$2,$P$1,FALSE)</f>
        <v>1.0140852065488129E-5</v>
      </c>
      <c r="Q197">
        <f t="shared" ref="Q197:Q206" si="33">_xlfn.NORM.DIST(O197,$P$2,$P$1,TRUE)</f>
        <v>0.9999978875452975</v>
      </c>
      <c r="R197">
        <f t="shared" si="30"/>
        <v>1.0140852065488129E-5</v>
      </c>
      <c r="S197">
        <v>0</v>
      </c>
      <c r="T197">
        <f t="shared" ref="T197:T206" si="34">1-Q197</f>
        <v>2.1124547024964357E-6</v>
      </c>
      <c r="V197">
        <v>4.5999999999999703</v>
      </c>
      <c r="W197">
        <f t="shared" ref="W197:W206" si="35">_xlfn.NORM.DIST(V197,$W$2,$W$1,FALSE)</f>
        <v>4.2478027055079822E-4</v>
      </c>
      <c r="X197">
        <v>0</v>
      </c>
    </row>
    <row r="198" spans="13:24">
      <c r="M198" s="154" t="str">
        <f t="shared" si="31"/>
        <v>μ + 4.6σ</v>
      </c>
      <c r="N198">
        <f t="shared" ref="N198:N206" si="36">(P198-P197)/P197</f>
        <v>-0.20645894402897266</v>
      </c>
      <c r="O198">
        <v>4.6499999999999702</v>
      </c>
      <c r="P198">
        <f t="shared" si="32"/>
        <v>8.0471824564934235E-6</v>
      </c>
      <c r="Q198">
        <f t="shared" si="33"/>
        <v>0.99999834032485568</v>
      </c>
      <c r="R198">
        <f t="shared" si="30"/>
        <v>8.0471824564934235E-6</v>
      </c>
      <c r="S198">
        <v>0</v>
      </c>
      <c r="T198">
        <f t="shared" si="34"/>
        <v>1.6596751443165303E-6</v>
      </c>
      <c r="V198">
        <v>4.6499999999999702</v>
      </c>
      <c r="W198">
        <f t="shared" si="35"/>
        <v>3.5259568236748487E-4</v>
      </c>
      <c r="X198">
        <v>0</v>
      </c>
    </row>
    <row r="199" spans="13:24">
      <c r="M199" s="154" t="str">
        <f t="shared" si="31"/>
        <v>μ + 4.7σ</v>
      </c>
      <c r="N199">
        <f t="shared" si="36"/>
        <v>-0.20844031891828699</v>
      </c>
      <c r="O199">
        <v>4.6999999999999602</v>
      </c>
      <c r="P199">
        <f t="shared" si="32"/>
        <v>6.3698251788682901E-6</v>
      </c>
      <c r="Q199">
        <f t="shared" si="33"/>
        <v>0.99999869919254614</v>
      </c>
      <c r="R199">
        <f t="shared" si="30"/>
        <v>6.3698251788682901E-6</v>
      </c>
      <c r="S199">
        <v>0</v>
      </c>
      <c r="T199">
        <f t="shared" si="34"/>
        <v>1.3008074538634062E-6</v>
      </c>
      <c r="V199">
        <v>4.6999999999999602</v>
      </c>
      <c r="W199">
        <f t="shared" si="35"/>
        <v>2.9194692579150434E-4</v>
      </c>
      <c r="X199">
        <v>0</v>
      </c>
    </row>
    <row r="200" spans="13:24">
      <c r="M200" s="154" t="str">
        <f t="shared" si="31"/>
        <v>μ + 4.7σ</v>
      </c>
      <c r="N200">
        <f t="shared" si="36"/>
        <v>-0.2104167465571247</v>
      </c>
      <c r="O200">
        <v>4.7499999999999698</v>
      </c>
      <c r="P200">
        <f t="shared" si="32"/>
        <v>5.0295072885931696E-6</v>
      </c>
      <c r="Q200">
        <f t="shared" si="33"/>
        <v>0.99999898291675748</v>
      </c>
      <c r="R200">
        <f t="shared" si="30"/>
        <v>5.0295072885931696E-6</v>
      </c>
      <c r="S200">
        <v>0</v>
      </c>
      <c r="T200">
        <f t="shared" si="34"/>
        <v>1.017083242516037E-6</v>
      </c>
      <c r="V200">
        <v>4.7499999999999698</v>
      </c>
      <c r="W200">
        <f t="shared" si="35"/>
        <v>2.4112658022602132E-4</v>
      </c>
      <c r="X200">
        <v>0</v>
      </c>
    </row>
    <row r="201" spans="13:24">
      <c r="M201" s="154" t="str">
        <f t="shared" si="31"/>
        <v>μ + 4.8σ</v>
      </c>
      <c r="N201">
        <f t="shared" si="36"/>
        <v>-0.21238823929795136</v>
      </c>
      <c r="O201">
        <v>4.7999999999999696</v>
      </c>
      <c r="P201">
        <f t="shared" si="32"/>
        <v>3.961299091032653E-6</v>
      </c>
      <c r="Q201">
        <f t="shared" si="33"/>
        <v>0.99999920667184805</v>
      </c>
      <c r="R201">
        <f t="shared" si="30"/>
        <v>3.961299091032653E-6</v>
      </c>
      <c r="S201">
        <v>0</v>
      </c>
      <c r="T201">
        <f t="shared" si="34"/>
        <v>7.9332815194899098E-7</v>
      </c>
      <c r="V201">
        <v>4.7999999999999696</v>
      </c>
      <c r="W201">
        <f t="shared" si="35"/>
        <v>1.9865547139279597E-4</v>
      </c>
      <c r="X201">
        <v>0</v>
      </c>
    </row>
    <row r="202" spans="13:24">
      <c r="M202" s="154" t="str">
        <f t="shared" si="31"/>
        <v>μ + 4.8σ</v>
      </c>
      <c r="N202">
        <f t="shared" si="36"/>
        <v>-0.21435480946270868</v>
      </c>
      <c r="O202">
        <v>4.8499999999999597</v>
      </c>
      <c r="P202">
        <f t="shared" si="32"/>
        <v>3.1121755791495475E-6</v>
      </c>
      <c r="Q202">
        <f t="shared" si="33"/>
        <v>0.999999382692628</v>
      </c>
      <c r="R202">
        <f t="shared" si="30"/>
        <v>3.1121755791495475E-6</v>
      </c>
      <c r="S202">
        <v>0</v>
      </c>
      <c r="T202">
        <f t="shared" si="34"/>
        <v>6.173073719972777E-7</v>
      </c>
      <c r="V202">
        <v>4.8499999999999597</v>
      </c>
      <c r="W202">
        <f t="shared" si="35"/>
        <v>1.6325640876626796E-4</v>
      </c>
      <c r="X202">
        <v>0</v>
      </c>
    </row>
    <row r="203" spans="13:24">
      <c r="M203" s="154" t="str">
        <f t="shared" si="31"/>
        <v>μ + 4.9σ</v>
      </c>
      <c r="N203">
        <f t="shared" si="36"/>
        <v>-0.21631646934254306</v>
      </c>
      <c r="O203">
        <v>4.8999999999999604</v>
      </c>
      <c r="P203">
        <f t="shared" si="32"/>
        <v>2.4389607458938333E-6</v>
      </c>
      <c r="Q203">
        <f t="shared" si="33"/>
        <v>0.99999952081672339</v>
      </c>
      <c r="R203">
        <f t="shared" si="30"/>
        <v>2.4389607458938333E-6</v>
      </c>
      <c r="S203">
        <v>0</v>
      </c>
      <c r="T203">
        <f t="shared" si="34"/>
        <v>4.7918327661378157E-7</v>
      </c>
      <c r="V203">
        <v>4.8999999999999604</v>
      </c>
      <c r="W203">
        <f t="shared" si="35"/>
        <v>1.3383022576490651E-4</v>
      </c>
      <c r="X203">
        <v>0</v>
      </c>
    </row>
    <row r="204" spans="13:24">
      <c r="M204" s="154" t="str">
        <f t="shared" si="31"/>
        <v>μ + 4.9σ</v>
      </c>
      <c r="N204">
        <f t="shared" si="36"/>
        <v>-0.21827323119771924</v>
      </c>
      <c r="O204">
        <v>4.9499999999999602</v>
      </c>
      <c r="P204">
        <f t="shared" si="32"/>
        <v>1.9066009031231868E-6</v>
      </c>
      <c r="Q204">
        <f t="shared" si="33"/>
        <v>0.99999962893259209</v>
      </c>
      <c r="R204">
        <f t="shared" si="30"/>
        <v>1.9066009031231868E-6</v>
      </c>
      <c r="S204">
        <v>0</v>
      </c>
      <c r="T204">
        <f t="shared" si="34"/>
        <v>3.7106740791159609E-7</v>
      </c>
      <c r="V204">
        <v>4.9499999999999602</v>
      </c>
      <c r="W204">
        <f t="shared" si="35"/>
        <v>1.0943404343981824E-4</v>
      </c>
      <c r="X204">
        <v>0</v>
      </c>
    </row>
    <row r="205" spans="13:24">
      <c r="M205" s="154" t="str">
        <f t="shared" si="31"/>
        <v>μ + 5σ</v>
      </c>
      <c r="N205">
        <f t="shared" si="36"/>
        <v>-0.2202251072582023</v>
      </c>
      <c r="O205">
        <v>5</v>
      </c>
      <c r="P205">
        <f t="shared" si="32"/>
        <v>1.4867195147342977E-6</v>
      </c>
      <c r="Q205">
        <f t="shared" si="33"/>
        <v>0.99999971334842808</v>
      </c>
      <c r="R205">
        <f t="shared" si="30"/>
        <v>1.4867195147342977E-6</v>
      </c>
      <c r="S205">
        <v>0</v>
      </c>
      <c r="T205">
        <f t="shared" si="34"/>
        <v>2.8665157192353519E-7</v>
      </c>
      <c r="V205">
        <v>5</v>
      </c>
      <c r="W205">
        <f t="shared" si="35"/>
        <v>8.9261657177132928E-5</v>
      </c>
      <c r="X205">
        <v>0</v>
      </c>
    </row>
    <row r="206" spans="13:24">
      <c r="M206" s="154" t="str">
        <f t="shared" si="31"/>
        <v>μ + 5.1σ</v>
      </c>
      <c r="N206">
        <f t="shared" si="36"/>
        <v>-0.22217210972275825</v>
      </c>
      <c r="O206">
        <v>5.05</v>
      </c>
      <c r="P206">
        <f t="shared" si="32"/>
        <v>1.1564119035797834E-6</v>
      </c>
      <c r="Q206">
        <f t="shared" si="33"/>
        <v>0.99999977909496773</v>
      </c>
      <c r="R206">
        <f t="shared" si="30"/>
        <v>1.1564119035797834E-6</v>
      </c>
      <c r="S206">
        <v>0</v>
      </c>
      <c r="T206">
        <f t="shared" si="34"/>
        <v>2.2090503226657177E-7</v>
      </c>
      <c r="V206">
        <v>5.05</v>
      </c>
      <c r="W206">
        <f t="shared" si="35"/>
        <v>7.2625930302252581E-5</v>
      </c>
      <c r="X206"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C4:H16"/>
  <sheetViews>
    <sheetView showGridLines="0" workbookViewId="0">
      <selection activeCell="D24" sqref="D24:D25"/>
    </sheetView>
  </sheetViews>
  <sheetFormatPr defaultRowHeight="15.9"/>
  <cols>
    <col min="3" max="3" width="35.5" customWidth="1"/>
    <col min="4" max="4" width="15.140625" customWidth="1"/>
    <col min="5" max="5" width="30.85546875" customWidth="1"/>
    <col min="7" max="8" width="20.140625" customWidth="1"/>
  </cols>
  <sheetData>
    <row r="4" spans="3:8" ht="15.75" customHeight="1">
      <c r="C4" s="279" t="s">
        <v>330</v>
      </c>
      <c r="D4" s="280"/>
      <c r="E4" s="197"/>
      <c r="G4" s="279" t="s">
        <v>341</v>
      </c>
      <c r="H4" s="280"/>
    </row>
    <row r="5" spans="3:8" ht="15.75" customHeight="1">
      <c r="C5" s="281"/>
      <c r="D5" s="282"/>
      <c r="E5" s="198"/>
      <c r="G5" s="281"/>
      <c r="H5" s="282"/>
    </row>
    <row r="6" spans="3:8" ht="17.25" customHeight="1">
      <c r="C6" s="277" t="s">
        <v>331</v>
      </c>
      <c r="D6" s="278"/>
      <c r="E6" s="198"/>
      <c r="G6" s="215" t="s">
        <v>342</v>
      </c>
      <c r="H6" s="213">
        <v>13666856.799841944</v>
      </c>
    </row>
    <row r="7" spans="3:8" ht="67.5" customHeight="1">
      <c r="C7" s="201" t="s">
        <v>333</v>
      </c>
      <c r="D7" s="202">
        <v>12000000</v>
      </c>
      <c r="E7" s="199"/>
      <c r="G7" s="216" t="s">
        <v>345</v>
      </c>
      <c r="H7" s="217" t="s">
        <v>344</v>
      </c>
    </row>
    <row r="8" spans="3:8" ht="29.25" customHeight="1">
      <c r="C8" s="203" t="s">
        <v>332</v>
      </c>
      <c r="D8" s="204" t="s">
        <v>327</v>
      </c>
      <c r="E8" s="199"/>
      <c r="G8" s="218" t="s">
        <v>343</v>
      </c>
      <c r="H8" s="214">
        <v>1.1389047333201621</v>
      </c>
    </row>
    <row r="9" spans="3:8">
      <c r="C9" s="203" t="s">
        <v>334</v>
      </c>
      <c r="D9" s="204" t="s">
        <v>328</v>
      </c>
      <c r="E9" s="199"/>
    </row>
    <row r="10" spans="3:8">
      <c r="C10" s="205" t="s">
        <v>335</v>
      </c>
      <c r="D10" s="206">
        <v>9.5000000000000001E-2</v>
      </c>
      <c r="E10" s="199"/>
    </row>
    <row r="11" spans="3:8">
      <c r="C11" s="277" t="s">
        <v>329</v>
      </c>
      <c r="D11" s="278"/>
      <c r="E11" s="199"/>
    </row>
    <row r="12" spans="3:8">
      <c r="C12" s="207" t="s">
        <v>55</v>
      </c>
      <c r="D12" s="208">
        <v>8</v>
      </c>
      <c r="E12" s="199"/>
    </row>
    <row r="13" spans="3:8">
      <c r="C13" s="209" t="s">
        <v>56</v>
      </c>
      <c r="D13" s="210">
        <v>0.41639999999999999</v>
      </c>
      <c r="E13" s="199"/>
    </row>
    <row r="14" spans="3:8">
      <c r="C14" s="209" t="s">
        <v>32</v>
      </c>
      <c r="D14" s="210">
        <v>0.2833</v>
      </c>
      <c r="E14" s="199"/>
    </row>
    <row r="15" spans="3:8">
      <c r="C15" s="209" t="s">
        <v>58</v>
      </c>
      <c r="D15" s="210">
        <v>0.1351</v>
      </c>
      <c r="E15" s="199"/>
    </row>
    <row r="16" spans="3:8" ht="19.5" customHeight="1">
      <c r="C16" s="211" t="s">
        <v>57</v>
      </c>
      <c r="D16" s="212">
        <v>0.1653</v>
      </c>
      <c r="E16" s="200"/>
    </row>
  </sheetData>
  <mergeCells count="4">
    <mergeCell ref="C11:D11"/>
    <mergeCell ref="C4:D5"/>
    <mergeCell ref="C6:D6"/>
    <mergeCell ref="G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Initial Data</vt:lpstr>
      <vt:lpstr>Decline and Model</vt:lpstr>
      <vt:lpstr>Royalty</vt:lpstr>
      <vt:lpstr>C</vt:lpstr>
      <vt:lpstr>PriceDeck</vt:lpstr>
      <vt:lpstr>Stats</vt:lpstr>
      <vt:lpstr>figure</vt:lpstr>
      <vt:lpstr>PriceDeck!Print_Area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Leach</dc:creator>
  <cp:lastModifiedBy>Andrew Leach</cp:lastModifiedBy>
  <cp:lastPrinted>2015-01-25T20:03:58Z</cp:lastPrinted>
  <dcterms:created xsi:type="dcterms:W3CDTF">2015-01-25T16:57:24Z</dcterms:created>
  <dcterms:modified xsi:type="dcterms:W3CDTF">2022-10-25T02:24:48Z</dcterms:modified>
</cp:coreProperties>
</file>