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otero/Desktop/Beta/"/>
    </mc:Choice>
  </mc:AlternateContent>
  <xr:revisionPtr revIDLastSave="0" documentId="13_ncr:1_{A9F7B8F7-655A-674D-A913-D36FEFC5E42D}" xr6:coauthVersionLast="47" xr6:coauthVersionMax="47" xr10:uidLastSave="{00000000-0000-0000-0000-000000000000}"/>
  <bookViews>
    <workbookView xWindow="3740" yWindow="500" windowWidth="20600" windowHeight="23500" activeTab="5" xr2:uid="{DBBC3ECF-C9E8-9C4F-A0B2-E42972294664}"/>
  </bookViews>
  <sheets>
    <sheet name="Top View Wing" sheetId="1" r:id="rId1"/>
    <sheet name="Tail Top View" sheetId="2" r:id="rId2"/>
    <sheet name="rotors" sheetId="5" r:id="rId3"/>
    <sheet name="Top View Fuselage" sheetId="3" r:id="rId4"/>
    <sheet name="Pusher" sheetId="7" r:id="rId5"/>
    <sheet name="Boom" sheetId="4" r:id="rId6"/>
    <sheet name="Skid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5" l="1"/>
  <c r="N9" i="7"/>
  <c r="N10" i="7"/>
  <c r="N11" i="7"/>
  <c r="N12" i="7"/>
  <c r="N13" i="7"/>
  <c r="N14" i="7"/>
  <c r="N15" i="7"/>
  <c r="N8" i="7"/>
  <c r="M8" i="7"/>
  <c r="M9" i="7"/>
  <c r="M10" i="7"/>
  <c r="M11" i="7"/>
  <c r="M12" i="7"/>
  <c r="M13" i="7"/>
  <c r="M14" i="7"/>
  <c r="M15" i="7"/>
  <c r="M7" i="7"/>
  <c r="I17" i="7"/>
  <c r="I19" i="7"/>
  <c r="L7" i="7"/>
  <c r="L15" i="7"/>
  <c r="L14" i="7"/>
  <c r="L13" i="7"/>
  <c r="L12" i="7"/>
  <c r="L11" i="7"/>
  <c r="L10" i="7"/>
  <c r="L9" i="7"/>
  <c r="L8" i="7"/>
  <c r="I7" i="7"/>
  <c r="K9" i="7"/>
  <c r="K10" i="7"/>
  <c r="K11" i="7"/>
  <c r="K12" i="7"/>
  <c r="K13" i="7"/>
  <c r="K14" i="7"/>
  <c r="K15" i="7"/>
  <c r="K8" i="7"/>
  <c r="J13" i="7"/>
  <c r="J14" i="7"/>
  <c r="J15" i="7"/>
  <c r="J12" i="7"/>
  <c r="J11" i="7"/>
  <c r="J10" i="7"/>
  <c r="J9" i="7"/>
  <c r="J8" i="7"/>
  <c r="I14" i="7"/>
  <c r="I13" i="7"/>
  <c r="I12" i="7"/>
  <c r="I11" i="7"/>
  <c r="I10" i="7"/>
  <c r="I9" i="7"/>
  <c r="I8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7" i="7"/>
  <c r="E2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7" i="7"/>
  <c r="F25" i="6"/>
  <c r="F16" i="6"/>
  <c r="F17" i="6"/>
  <c r="F19" i="6"/>
  <c r="F7" i="6"/>
  <c r="F8" i="6"/>
  <c r="F6" i="6"/>
  <c r="F5" i="6"/>
  <c r="F4" i="6"/>
  <c r="J8" i="5"/>
  <c r="I8" i="5"/>
  <c r="F20" i="5"/>
  <c r="E21" i="5"/>
  <c r="H18" i="5"/>
  <c r="H19" i="5"/>
  <c r="H20" i="5"/>
  <c r="H21" i="5"/>
  <c r="H22" i="5"/>
  <c r="H23" i="5"/>
  <c r="H24" i="5"/>
  <c r="H17" i="5"/>
  <c r="G22" i="5"/>
  <c r="G21" i="5" s="1"/>
  <c r="G20" i="5" s="1"/>
  <c r="G19" i="5" s="1"/>
  <c r="G18" i="5" s="1"/>
  <c r="G17" i="5" s="1"/>
  <c r="G23" i="5"/>
  <c r="F21" i="5"/>
  <c r="F22" i="5"/>
  <c r="F23" i="5"/>
  <c r="F24" i="5"/>
  <c r="E23" i="5"/>
  <c r="E22" i="5"/>
  <c r="E20" i="5"/>
  <c r="E19" i="5"/>
  <c r="E18" i="5"/>
  <c r="F19" i="5"/>
  <c r="F18" i="5"/>
  <c r="F13" i="5"/>
  <c r="F17" i="5"/>
  <c r="F10" i="5"/>
  <c r="F8" i="5"/>
  <c r="P10" i="2"/>
  <c r="R11" i="2"/>
  <c r="R8" i="2"/>
  <c r="R9" i="2"/>
  <c r="R10" i="2"/>
  <c r="R7" i="2"/>
  <c r="Q7" i="2"/>
  <c r="L12" i="3"/>
  <c r="L11" i="3"/>
  <c r="L40" i="3"/>
  <c r="L41" i="3"/>
  <c r="K41" i="3"/>
  <c r="K40" i="3"/>
  <c r="L39" i="3"/>
  <c r="K39" i="3"/>
  <c r="N19" i="3"/>
  <c r="N20" i="3"/>
  <c r="N18" i="3"/>
  <c r="N17" i="3"/>
  <c r="N16" i="3"/>
  <c r="N15" i="3"/>
  <c r="N14" i="3"/>
  <c r="N13" i="3"/>
  <c r="N10" i="3"/>
  <c r="N9" i="3"/>
  <c r="N8" i="3"/>
  <c r="N6" i="3"/>
  <c r="N5" i="3"/>
  <c r="M17" i="3"/>
  <c r="M15" i="3"/>
  <c r="M16" i="3"/>
  <c r="M18" i="3"/>
  <c r="M19" i="3"/>
  <c r="M14" i="3"/>
  <c r="M8" i="3"/>
  <c r="M6" i="3"/>
  <c r="M9" i="3"/>
  <c r="M10" i="3"/>
  <c r="M13" i="3"/>
  <c r="M5" i="3"/>
  <c r="J6" i="3"/>
  <c r="J5" i="3"/>
  <c r="F28" i="4"/>
  <c r="F27" i="4"/>
  <c r="F26" i="4"/>
  <c r="B21" i="4"/>
  <c r="I7" i="4"/>
  <c r="I8" i="4"/>
  <c r="I9" i="4"/>
  <c r="I6" i="4"/>
  <c r="G8" i="4"/>
  <c r="H8" i="4" s="1"/>
  <c r="G10" i="4"/>
  <c r="H10" i="4" s="1"/>
  <c r="G9" i="4"/>
  <c r="H9" i="4" s="1"/>
  <c r="G7" i="4"/>
  <c r="H7" i="4" s="1"/>
  <c r="G6" i="4"/>
  <c r="H6" i="4" s="1"/>
  <c r="G5" i="4"/>
  <c r="H5" i="4" s="1"/>
  <c r="G2" i="4"/>
  <c r="I5" i="4"/>
  <c r="G4" i="4"/>
  <c r="F5" i="4"/>
  <c r="F6" i="4" s="1"/>
  <c r="F7" i="4" s="1"/>
  <c r="F8" i="4" s="1"/>
  <c r="F9" i="4" s="1"/>
  <c r="F10" i="4" s="1"/>
  <c r="J20" i="3"/>
  <c r="J19" i="3"/>
  <c r="J18" i="3"/>
  <c r="J17" i="3"/>
  <c r="J16" i="3"/>
  <c r="J15" i="3"/>
  <c r="J14" i="3"/>
  <c r="J10" i="3"/>
  <c r="J13" i="3"/>
  <c r="J9" i="3"/>
  <c r="J8" i="3"/>
  <c r="I20" i="3"/>
  <c r="I19" i="3"/>
  <c r="I18" i="3"/>
  <c r="I17" i="3"/>
  <c r="I16" i="3"/>
  <c r="I15" i="3"/>
  <c r="I14" i="3"/>
  <c r="I13" i="3"/>
  <c r="I10" i="3"/>
  <c r="I9" i="3"/>
  <c r="H6" i="3"/>
  <c r="H9" i="3" s="1"/>
  <c r="H10" i="3" s="1"/>
  <c r="H14" i="3" s="1"/>
  <c r="H15" i="3" s="1"/>
  <c r="H16" i="3" s="1"/>
  <c r="H17" i="3" s="1"/>
  <c r="H18" i="3" s="1"/>
  <c r="H19" i="3" s="1"/>
  <c r="I8" i="3"/>
  <c r="I6" i="3"/>
  <c r="I2" i="3"/>
  <c r="K4" i="3"/>
  <c r="L4" i="3" s="1"/>
  <c r="I4" i="3"/>
  <c r="K19" i="3" s="1"/>
  <c r="L19" i="3" s="1"/>
  <c r="I5" i="3"/>
  <c r="B8" i="3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7" i="3"/>
  <c r="B9" i="3" s="1"/>
  <c r="B11" i="3" s="1"/>
  <c r="B13" i="3" s="1"/>
  <c r="B15" i="3" s="1"/>
  <c r="B17" i="3" s="1"/>
  <c r="B19" i="3" s="1"/>
  <c r="B21" i="3" s="1"/>
  <c r="B23" i="3" s="1"/>
  <c r="B25" i="3" s="1"/>
  <c r="B27" i="3" s="1"/>
  <c r="N11" i="2"/>
  <c r="L8" i="2"/>
  <c r="L9" i="2" s="1"/>
  <c r="L10" i="2" s="1"/>
  <c r="L11" i="2" s="1"/>
  <c r="I8" i="2"/>
  <c r="N7" i="2" s="1"/>
  <c r="I9" i="2"/>
  <c r="I10" i="2"/>
  <c r="N8" i="2" s="1"/>
  <c r="I11" i="2"/>
  <c r="I12" i="2"/>
  <c r="I13" i="2"/>
  <c r="I14" i="2"/>
  <c r="I15" i="2"/>
  <c r="I16" i="2"/>
  <c r="I7" i="2"/>
  <c r="H16" i="2"/>
  <c r="H13" i="2"/>
  <c r="H14" i="2"/>
  <c r="H11" i="2"/>
  <c r="H12" i="2"/>
  <c r="H9" i="2"/>
  <c r="H10" i="2"/>
  <c r="H7" i="2"/>
  <c r="H8" i="2"/>
  <c r="H15" i="2"/>
  <c r="E16" i="2"/>
  <c r="E13" i="2"/>
  <c r="E14" i="2"/>
  <c r="E11" i="2"/>
  <c r="E12" i="2"/>
  <c r="E9" i="2"/>
  <c r="E10" i="2"/>
  <c r="J10" i="2" s="1"/>
  <c r="E7" i="2"/>
  <c r="J7" i="2" s="1"/>
  <c r="E8" i="2"/>
  <c r="E15" i="2"/>
  <c r="K6" i="1"/>
  <c r="K7" i="1"/>
  <c r="K8" i="1" s="1"/>
  <c r="K9" i="1" s="1"/>
  <c r="K10" i="1" s="1"/>
  <c r="K11" i="1" s="1"/>
  <c r="K12" i="1" s="1"/>
  <c r="K13" i="1" s="1"/>
  <c r="M13" i="1"/>
  <c r="L13" i="1"/>
  <c r="H8" i="1"/>
  <c r="H9" i="1"/>
  <c r="H10" i="1"/>
  <c r="H11" i="1"/>
  <c r="H12" i="1"/>
  <c r="H13" i="1"/>
  <c r="H14" i="1"/>
  <c r="H15" i="1"/>
  <c r="H16" i="1"/>
  <c r="M10" i="1" s="1"/>
  <c r="H17" i="1"/>
  <c r="H18" i="1"/>
  <c r="H19" i="1"/>
  <c r="H20" i="1"/>
  <c r="H21" i="1"/>
  <c r="H7" i="1"/>
  <c r="H6" i="1"/>
  <c r="H5" i="1"/>
  <c r="M5" i="1"/>
  <c r="G19" i="1"/>
  <c r="G20" i="1"/>
  <c r="G17" i="1"/>
  <c r="G18" i="1"/>
  <c r="G15" i="1"/>
  <c r="G16" i="1"/>
  <c r="G13" i="1"/>
  <c r="G14" i="1"/>
  <c r="G11" i="1"/>
  <c r="G12" i="1"/>
  <c r="G9" i="1"/>
  <c r="G10" i="1"/>
  <c r="G7" i="1"/>
  <c r="G8" i="1"/>
  <c r="D5" i="1"/>
  <c r="D6" i="1"/>
  <c r="D7" i="1"/>
  <c r="D8" i="1"/>
  <c r="D9" i="1"/>
  <c r="D10" i="1"/>
  <c r="D11" i="1"/>
  <c r="D12" i="1"/>
  <c r="I12" i="1" s="1"/>
  <c r="D13" i="1"/>
  <c r="D14" i="1"/>
  <c r="D15" i="1"/>
  <c r="D16" i="1"/>
  <c r="D17" i="1"/>
  <c r="D18" i="1"/>
  <c r="I18" i="1" s="1"/>
  <c r="D19" i="1"/>
  <c r="D20" i="1"/>
  <c r="D21" i="1"/>
  <c r="G21" i="1"/>
  <c r="J9" i="2" l="1"/>
  <c r="J14" i="2"/>
  <c r="N10" i="2"/>
  <c r="J12" i="2"/>
  <c r="O8" i="2" s="1"/>
  <c r="J11" i="2"/>
  <c r="J13" i="2"/>
  <c r="J16" i="2"/>
  <c r="O10" i="2" s="1"/>
  <c r="J15" i="2"/>
  <c r="J8" i="2"/>
  <c r="O7" i="2" s="1"/>
  <c r="N9" i="2"/>
  <c r="K20" i="3"/>
  <c r="L20" i="3" s="1"/>
  <c r="O9" i="2"/>
  <c r="K18" i="3"/>
  <c r="L18" i="3" s="1"/>
  <c r="K17" i="3"/>
  <c r="L17" i="3" s="1"/>
  <c r="D2" i="3"/>
  <c r="C36" i="3" s="1"/>
  <c r="K16" i="3"/>
  <c r="L16" i="3" s="1"/>
  <c r="K15" i="3"/>
  <c r="L15" i="3" s="1"/>
  <c r="K14" i="3"/>
  <c r="L14" i="3" s="1"/>
  <c r="I11" i="1"/>
  <c r="K13" i="3"/>
  <c r="L13" i="3" s="1"/>
  <c r="K10" i="3"/>
  <c r="L10" i="3" s="1"/>
  <c r="K9" i="3"/>
  <c r="L9" i="3" s="1"/>
  <c r="K8" i="3"/>
  <c r="L8" i="3" s="1"/>
  <c r="K5" i="3"/>
  <c r="L5" i="3" s="1"/>
  <c r="K6" i="3"/>
  <c r="L6" i="3" s="1"/>
  <c r="I7" i="1"/>
  <c r="N5" i="1" s="1"/>
  <c r="I15" i="1"/>
  <c r="I14" i="1"/>
  <c r="I13" i="1"/>
  <c r="N8" i="1" s="1"/>
  <c r="M6" i="1"/>
  <c r="M9" i="1"/>
  <c r="I20" i="1"/>
  <c r="I8" i="1"/>
  <c r="I21" i="1"/>
  <c r="N12" i="1" s="1"/>
  <c r="M12" i="1"/>
  <c r="M11" i="1"/>
  <c r="M8" i="1"/>
  <c r="M7" i="1"/>
  <c r="I10" i="1"/>
  <c r="I9" i="1"/>
  <c r="I19" i="1"/>
  <c r="I17" i="1"/>
  <c r="I16" i="1"/>
  <c r="L8" i="1"/>
  <c r="J3" i="2" l="1"/>
  <c r="N9" i="1"/>
  <c r="O7" i="1"/>
  <c r="L6" i="1"/>
  <c r="O5" i="1" s="1"/>
  <c r="L10" i="1"/>
  <c r="L9" i="1"/>
  <c r="O8" i="1" s="1"/>
  <c r="L11" i="1"/>
  <c r="O10" i="1" s="1"/>
  <c r="N10" i="1"/>
  <c r="L12" i="1"/>
  <c r="N11" i="1"/>
  <c r="N7" i="1"/>
  <c r="N6" i="1"/>
  <c r="L7" i="1"/>
  <c r="M7" i="2" l="1"/>
  <c r="M9" i="2"/>
  <c r="P8" i="2" s="1"/>
  <c r="M10" i="2"/>
  <c r="M8" i="2"/>
  <c r="P7" i="2" s="1"/>
  <c r="O11" i="1"/>
  <c r="O12" i="1"/>
  <c r="O9" i="1"/>
  <c r="O6" i="1"/>
  <c r="P9" i="2" l="1"/>
</calcChain>
</file>

<file path=xl/sharedStrings.xml><?xml version="1.0" encoding="utf-8"?>
<sst xmlns="http://schemas.openxmlformats.org/spreadsheetml/2006/main" count="226" uniqueCount="138">
  <si>
    <t>X</t>
  </si>
  <si>
    <t>Y</t>
  </si>
  <si>
    <t>Tip</t>
  </si>
  <si>
    <t>Location</t>
  </si>
  <si>
    <t>Root</t>
  </si>
  <si>
    <t>End of Taper</t>
  </si>
  <si>
    <t>Chord</t>
  </si>
  <si>
    <t>LE Sweep</t>
  </si>
  <si>
    <t>Tip Taper</t>
  </si>
  <si>
    <t>Tip Taper LE</t>
  </si>
  <si>
    <t>Tip Taper TE</t>
  </si>
  <si>
    <t>Taper End LE</t>
  </si>
  <si>
    <t>Taper End TE</t>
  </si>
  <si>
    <t>Taper Start LE</t>
  </si>
  <si>
    <t>Taper Start TE</t>
  </si>
  <si>
    <t>Boom Outer LE</t>
  </si>
  <si>
    <t>Boom Outer TE</t>
  </si>
  <si>
    <t>Boom Inner LE</t>
  </si>
  <si>
    <t>Boom Inner TE</t>
  </si>
  <si>
    <t>Fuselage Outer LE</t>
  </si>
  <si>
    <t>Fuselage Outer TE</t>
  </si>
  <si>
    <t>Root LE</t>
  </si>
  <si>
    <t>Root TE</t>
  </si>
  <si>
    <t>Left</t>
  </si>
  <si>
    <t>Right</t>
  </si>
  <si>
    <t>Outer Inner Panel LE</t>
  </si>
  <si>
    <t>Outer Inner Panel TE</t>
  </si>
  <si>
    <t>Section</t>
  </si>
  <si>
    <t>Y Normalized</t>
  </si>
  <si>
    <t>Adjusted Y</t>
  </si>
  <si>
    <t>Fuselage Outer</t>
  </si>
  <si>
    <t>Outer Inner Panel</t>
  </si>
  <si>
    <t>Boom Inner</t>
  </si>
  <si>
    <t>Boom Outer</t>
  </si>
  <si>
    <t>Taper Start</t>
  </si>
  <si>
    <t>Taper End</t>
  </si>
  <si>
    <t>Average X</t>
  </si>
  <si>
    <t>Average Adjusted Y</t>
  </si>
  <si>
    <t>Span</t>
  </si>
  <si>
    <t>Tip TE</t>
  </si>
  <si>
    <t>Tip LE</t>
  </si>
  <si>
    <t>Fuselage Intersection</t>
  </si>
  <si>
    <t>Start Of Taper</t>
  </si>
  <si>
    <t>Curve Up</t>
  </si>
  <si>
    <t>Fuselage Intersection TE</t>
  </si>
  <si>
    <t>Fuselage Intersection LE</t>
  </si>
  <si>
    <t>Start Of Taper TE</t>
  </si>
  <si>
    <t>Start Of Taper LE</t>
  </si>
  <si>
    <t>End of Taper TE</t>
  </si>
  <si>
    <t>End of Taper LE</t>
  </si>
  <si>
    <t>Curve Up TE</t>
  </si>
  <si>
    <t>Curve Up LE</t>
  </si>
  <si>
    <t>Number</t>
  </si>
  <si>
    <t>Wing Root</t>
  </si>
  <si>
    <t>Nose</t>
  </si>
  <si>
    <t>Tail</t>
  </si>
  <si>
    <t>X Loc</t>
  </si>
  <si>
    <t>Width</t>
  </si>
  <si>
    <t>Normalized X</t>
  </si>
  <si>
    <t>Fuselage Length</t>
  </si>
  <si>
    <t>Length</t>
  </si>
  <si>
    <t>Wing Tip X location</t>
  </si>
  <si>
    <t>Wing Location</t>
  </si>
  <si>
    <t>L F Mot</t>
  </si>
  <si>
    <t>R F Mot</t>
  </si>
  <si>
    <t>F Mot</t>
  </si>
  <si>
    <t>A L F Mot</t>
  </si>
  <si>
    <t>A R F Mot</t>
  </si>
  <si>
    <t>F L A Mot</t>
  </si>
  <si>
    <t>F R A Mot</t>
  </si>
  <si>
    <t>L A Mot</t>
  </si>
  <si>
    <t>R A Mot</t>
  </si>
  <si>
    <t>A Mot</t>
  </si>
  <si>
    <t>End</t>
  </si>
  <si>
    <t>A L A Mot</t>
  </si>
  <si>
    <t>A R A Mot</t>
  </si>
  <si>
    <t>X Normalized</t>
  </si>
  <si>
    <t>X Location</t>
  </si>
  <si>
    <t>Name</t>
  </si>
  <si>
    <t>A F Mot</t>
  </si>
  <si>
    <t>F A Mot</t>
  </si>
  <si>
    <t>A A Mot</t>
  </si>
  <si>
    <t>Origin</t>
  </si>
  <si>
    <t>s</t>
  </si>
  <si>
    <t>Height</t>
  </si>
  <si>
    <t>Motor height</t>
  </si>
  <si>
    <t>Middle</t>
  </si>
  <si>
    <t>B F Mot</t>
  </si>
  <si>
    <t>T F Mot</t>
  </si>
  <si>
    <t>A B F Mot</t>
  </si>
  <si>
    <t>A T F Mot</t>
  </si>
  <si>
    <t>Jog</t>
  </si>
  <si>
    <t>3 New</t>
  </si>
  <si>
    <t>7 New</t>
  </si>
  <si>
    <t>8 New</t>
  </si>
  <si>
    <t>Dih</t>
  </si>
  <si>
    <t>TRUE Span</t>
  </si>
  <si>
    <t>tip</t>
  </si>
  <si>
    <t>hub</t>
  </si>
  <si>
    <t>Tip Diameter</t>
  </si>
  <si>
    <t>Hub Diameter</t>
  </si>
  <si>
    <t>Station</t>
  </si>
  <si>
    <t>Diameter</t>
  </si>
  <si>
    <t>Radius</t>
  </si>
  <si>
    <t>Z</t>
  </si>
  <si>
    <t>Front Location left</t>
  </si>
  <si>
    <t>OpenVSP Numbers</t>
  </si>
  <si>
    <t>C/R</t>
  </si>
  <si>
    <t>Back</t>
  </si>
  <si>
    <t>Side view</t>
  </si>
  <si>
    <t>Front</t>
  </si>
  <si>
    <t>Bottom Corner</t>
  </si>
  <si>
    <t>Top corner</t>
  </si>
  <si>
    <t>Front Strut Skid Intersection</t>
  </si>
  <si>
    <t>Front Strut Fuselage Intersection</t>
  </si>
  <si>
    <t>Back Strut Skid Intersection</t>
  </si>
  <si>
    <t>Back Strut Fuselage Intersection</t>
  </si>
  <si>
    <t>Skid Length</t>
  </si>
  <si>
    <t>Skid Diameter</t>
  </si>
  <si>
    <t>Skid X Origin</t>
  </si>
  <si>
    <t>Skid Z Origin</t>
  </si>
  <si>
    <t>Skid Y Origin</t>
  </si>
  <si>
    <t>Half Width</t>
  </si>
  <si>
    <t>Front Strut</t>
  </si>
  <si>
    <t>Y Location</t>
  </si>
  <si>
    <t xml:space="preserve"> Projected Span</t>
  </si>
  <si>
    <t>Rear X</t>
  </si>
  <si>
    <t>TE Tip</t>
  </si>
  <si>
    <t>LE Tip</t>
  </si>
  <si>
    <t>TE</t>
  </si>
  <si>
    <t>LE</t>
  </si>
  <si>
    <t>Adjusted X</t>
  </si>
  <si>
    <t>Scaled X</t>
  </si>
  <si>
    <t>Scaled Y</t>
  </si>
  <si>
    <t>Adjustment Factor</t>
  </si>
  <si>
    <t>LE  Y</t>
  </si>
  <si>
    <t>LE  Sweep</t>
  </si>
  <si>
    <t>Delta LE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</si>
</sst>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11" fontId="0" fillId="0" borderId="7" xfId="0" applyNumberFormat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0" xfId="0" applyFill="1" applyBorder="1"/>
    <xf numFmtId="0" fontId="0" fillId="0" borderId="2" xfId="0" applyFill="1" applyBorder="1"/>
    <xf numFmtId="0" fontId="0" fillId="0" borderId="12" xfId="0" applyBorder="1"/>
    <xf numFmtId="2" fontId="0" fillId="0" borderId="13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CEF7-99E3-334C-A68D-F0BC72FC4926}">
  <dimension ref="A3:O54"/>
  <sheetViews>
    <sheetView workbookViewId="0">
      <selection activeCell="N6" sqref="N6"/>
    </sheetView>
  </sheetViews>
  <sheetFormatPr baseColWidth="10" defaultRowHeight="16" x14ac:dyDescent="0.2"/>
  <cols>
    <col min="1" max="1" width="18.6640625" bestFit="1" customWidth="1"/>
    <col min="4" max="4" width="12.1640625" bestFit="1" customWidth="1"/>
    <col min="6" max="6" width="15.83203125" bestFit="1" customWidth="1"/>
    <col min="7" max="7" width="12.1640625" bestFit="1" customWidth="1"/>
    <col min="8" max="8" width="9.33203125" bestFit="1" customWidth="1"/>
    <col min="9" max="9" width="17.1640625" bestFit="1" customWidth="1"/>
    <col min="10" max="10" width="15.5" bestFit="1" customWidth="1"/>
    <col min="11" max="11" width="15.5" customWidth="1"/>
    <col min="12" max="12" width="12.1640625" bestFit="1" customWidth="1"/>
  </cols>
  <sheetData>
    <row r="3" spans="1:15" x14ac:dyDescent="0.2">
      <c r="B3" t="s">
        <v>24</v>
      </c>
      <c r="E3" t="s">
        <v>23</v>
      </c>
    </row>
    <row r="4" spans="1:15" x14ac:dyDescent="0.2">
      <c r="A4" t="s">
        <v>3</v>
      </c>
      <c r="B4" t="s">
        <v>0</v>
      </c>
      <c r="C4" s="1" t="s">
        <v>1</v>
      </c>
      <c r="D4" s="6" t="s">
        <v>29</v>
      </c>
      <c r="E4" t="s">
        <v>0</v>
      </c>
      <c r="F4" s="1" t="s">
        <v>1</v>
      </c>
      <c r="G4" s="6" t="s">
        <v>29</v>
      </c>
      <c r="H4" s="20" t="s">
        <v>36</v>
      </c>
      <c r="I4" s="21" t="s">
        <v>37</v>
      </c>
      <c r="J4" s="19" t="s">
        <v>27</v>
      </c>
      <c r="K4" s="3" t="s">
        <v>52</v>
      </c>
      <c r="L4" s="3" t="s">
        <v>28</v>
      </c>
      <c r="M4" s="3" t="s">
        <v>6</v>
      </c>
      <c r="N4" s="3" t="s">
        <v>7</v>
      </c>
      <c r="O4" s="20" t="s">
        <v>38</v>
      </c>
    </row>
    <row r="5" spans="1:15" x14ac:dyDescent="0.2">
      <c r="A5" s="16" t="s">
        <v>21</v>
      </c>
      <c r="B5" s="9">
        <v>7.3346869999999997</v>
      </c>
      <c r="C5" s="10">
        <v>25.084475999999999</v>
      </c>
      <c r="D5" s="11">
        <f t="shared" ref="D5:D21" si="0">ABS(25-C5)</f>
        <v>8.4475999999998663E-2</v>
      </c>
      <c r="E5" s="9"/>
      <c r="F5" s="10"/>
      <c r="G5" s="15"/>
      <c r="H5">
        <f>B5</f>
        <v>7.3346869999999997</v>
      </c>
      <c r="I5" s="7">
        <v>0</v>
      </c>
      <c r="J5" s="6" t="s">
        <v>4</v>
      </c>
      <c r="K5" s="5">
        <v>1</v>
      </c>
      <c r="L5">
        <v>0</v>
      </c>
      <c r="M5">
        <f>B5-B6</f>
        <v>11.7976563</v>
      </c>
      <c r="N5">
        <f>ATAN2((I7-I5),(H5-H7))*180/PI()</f>
        <v>47.161033154816991</v>
      </c>
      <c r="O5">
        <f>(L6-L5)*25</f>
        <v>0.80368149999999972</v>
      </c>
    </row>
    <row r="6" spans="1:15" x14ac:dyDescent="0.2">
      <c r="A6" s="17" t="s">
        <v>22</v>
      </c>
      <c r="B6" s="12">
        <v>-4.4629693000000001</v>
      </c>
      <c r="C6" s="3">
        <v>25.161626999999999</v>
      </c>
      <c r="D6" s="8">
        <f t="shared" si="0"/>
        <v>0.1616269999999993</v>
      </c>
      <c r="E6" s="12"/>
      <c r="F6" s="3"/>
      <c r="G6" s="19"/>
      <c r="H6" s="3">
        <f>B6</f>
        <v>-4.4629693000000001</v>
      </c>
      <c r="I6" s="19">
        <v>0</v>
      </c>
      <c r="J6" s="6" t="s">
        <v>30</v>
      </c>
      <c r="K6" s="5">
        <f>K5+1</f>
        <v>2</v>
      </c>
      <c r="L6" s="2">
        <f>AVERAGE(I7:I8)/50</f>
        <v>3.214725999999999E-2</v>
      </c>
      <c r="M6">
        <f>H7-H8</f>
        <v>7.0536326999999996</v>
      </c>
      <c r="N6">
        <f>ATAN2((I9-I7),(H7-H9))*180/PI()</f>
        <v>-1.0353614180560915</v>
      </c>
      <c r="O6">
        <f t="shared" ref="O6:O12" si="1">(L7-L6)*25</f>
        <v>5.9691115000000012</v>
      </c>
    </row>
    <row r="7" spans="1:15" x14ac:dyDescent="0.2">
      <c r="A7" s="18" t="s">
        <v>19</v>
      </c>
      <c r="B7" s="13">
        <v>5.5888229999999997</v>
      </c>
      <c r="C7" s="5">
        <v>26.647205</v>
      </c>
      <c r="D7" s="7">
        <f t="shared" si="0"/>
        <v>1.6472049999999996</v>
      </c>
      <c r="E7" s="13">
        <v>5.6472699999999998</v>
      </c>
      <c r="F7" s="5">
        <v>23.463612000000001</v>
      </c>
      <c r="G7" s="7">
        <f t="shared" ref="G7:G21" si="2">ABS(25-F7)</f>
        <v>1.5363879999999988</v>
      </c>
      <c r="H7">
        <f>AVERAGE(B7,E7)</f>
        <v>5.6180465000000002</v>
      </c>
      <c r="I7" s="7">
        <f>AVERAGE(D7,G7)</f>
        <v>1.5917964999999992</v>
      </c>
      <c r="J7" s="6" t="s">
        <v>31</v>
      </c>
      <c r="K7" s="5">
        <f t="shared" ref="K7:K13" si="3">K6+1</f>
        <v>3</v>
      </c>
      <c r="L7" s="2">
        <f>AVERAGE(I9:I10)/25</f>
        <v>0.27091172000000002</v>
      </c>
      <c r="M7">
        <f>H9-H10</f>
        <v>5.2121484899999997</v>
      </c>
      <c r="N7">
        <f>ATAN2((I11-I9),(H9-H11))*180/PI()</f>
        <v>-15.122216083066096</v>
      </c>
      <c r="O7">
        <f t="shared" si="1"/>
        <v>1.1705069999999997</v>
      </c>
    </row>
    <row r="8" spans="1:15" x14ac:dyDescent="0.2">
      <c r="A8" s="17" t="s">
        <v>20</v>
      </c>
      <c r="B8" s="12">
        <v>-1.4023490999999999</v>
      </c>
      <c r="C8" s="3">
        <v>26.718354999999999</v>
      </c>
      <c r="D8" s="8">
        <f t="shared" si="0"/>
        <v>1.718354999999999</v>
      </c>
      <c r="E8" s="12">
        <v>-1.4688232999999999</v>
      </c>
      <c r="F8" s="3">
        <v>23.472496</v>
      </c>
      <c r="G8" s="8">
        <f t="shared" si="2"/>
        <v>1.5275040000000004</v>
      </c>
      <c r="H8" s="12">
        <f t="shared" ref="H8:H21" si="4">AVERAGE(B8,E8)</f>
        <v>-1.4355861999999999</v>
      </c>
      <c r="I8" s="8">
        <f t="shared" ref="I8:I21" si="5">AVERAGE(D8,G8)</f>
        <v>1.6229294999999997</v>
      </c>
      <c r="J8" s="6" t="s">
        <v>32</v>
      </c>
      <c r="K8" s="5">
        <f t="shared" si="3"/>
        <v>4</v>
      </c>
      <c r="L8" s="2">
        <f>AVERAGE(I11:I12)/25</f>
        <v>0.31773200000000001</v>
      </c>
      <c r="M8">
        <f>H11-H12</f>
        <v>6.6790236400000005</v>
      </c>
      <c r="N8">
        <f>ATAN2((I13-I11),(H11-H13))*180/PI()</f>
        <v>6.4828716808506721</v>
      </c>
      <c r="O8">
        <f t="shared" si="1"/>
        <v>1.3576179999999993</v>
      </c>
    </row>
    <row r="9" spans="1:15" x14ac:dyDescent="0.2">
      <c r="A9" s="18" t="s">
        <v>25</v>
      </c>
      <c r="B9" s="13">
        <v>5.7201347</v>
      </c>
      <c r="C9" s="5">
        <v>31.828064000000001</v>
      </c>
      <c r="D9" s="7">
        <f t="shared" si="0"/>
        <v>6.8280640000000012</v>
      </c>
      <c r="E9" s="13">
        <v>5.7032239999999996</v>
      </c>
      <c r="F9" s="5">
        <v>18.282518</v>
      </c>
      <c r="G9" s="7">
        <f t="shared" si="2"/>
        <v>6.7174820000000004</v>
      </c>
      <c r="H9">
        <f t="shared" si="4"/>
        <v>5.7116793499999998</v>
      </c>
      <c r="I9" s="7">
        <f t="shared" si="5"/>
        <v>6.7727730000000008</v>
      </c>
      <c r="J9" s="6" t="s">
        <v>33</v>
      </c>
      <c r="K9" s="5">
        <f t="shared" si="3"/>
        <v>5</v>
      </c>
      <c r="L9" s="2">
        <f>AVERAGE(I13:I14)/25</f>
        <v>0.37203671999999999</v>
      </c>
      <c r="M9">
        <f>H13-H14</f>
        <v>6.0860551799999998</v>
      </c>
      <c r="N9">
        <f>ATAN2((I15-I13),(H13-H15))*180/PI()</f>
        <v>18.003634450212012</v>
      </c>
      <c r="O9">
        <f t="shared" si="1"/>
        <v>1.2796880000000037</v>
      </c>
    </row>
    <row r="10" spans="1:15" x14ac:dyDescent="0.2">
      <c r="A10" s="17" t="s">
        <v>26</v>
      </c>
      <c r="B10" s="12">
        <v>0.47677532</v>
      </c>
      <c r="C10" s="3">
        <v>31.897034000000001</v>
      </c>
      <c r="D10" s="8">
        <f t="shared" si="0"/>
        <v>6.8970340000000014</v>
      </c>
      <c r="E10" s="12">
        <v>0.52228640000000004</v>
      </c>
      <c r="F10" s="3">
        <v>18.351407999999999</v>
      </c>
      <c r="G10" s="8">
        <f t="shared" si="2"/>
        <v>6.6485920000000007</v>
      </c>
      <c r="H10" s="12">
        <f t="shared" si="4"/>
        <v>0.49953086000000002</v>
      </c>
      <c r="I10" s="8">
        <f t="shared" si="5"/>
        <v>6.7728130000000011</v>
      </c>
      <c r="J10" s="6" t="s">
        <v>34</v>
      </c>
      <c r="K10" s="5">
        <f t="shared" si="3"/>
        <v>6</v>
      </c>
      <c r="L10" s="2">
        <f>AVERAGE(I15:I16)/25</f>
        <v>0.42322424000000014</v>
      </c>
      <c r="M10">
        <f>H15-H16</f>
        <v>4.4631639000000005</v>
      </c>
      <c r="N10">
        <f>ATAN2((I17-I15),(H15-H17))*180/PI()</f>
        <v>11.574633169112316</v>
      </c>
      <c r="O10">
        <f t="shared" si="1"/>
        <v>11.672813024999995</v>
      </c>
    </row>
    <row r="11" spans="1:15" x14ac:dyDescent="0.2">
      <c r="A11" s="18" t="s">
        <v>17</v>
      </c>
      <c r="B11" s="13">
        <v>6.0336470000000002</v>
      </c>
      <c r="C11" s="5">
        <v>32.951267000000001</v>
      </c>
      <c r="D11" s="7">
        <f t="shared" si="0"/>
        <v>7.9512670000000014</v>
      </c>
      <c r="E11" s="13">
        <v>6.0138525999999999</v>
      </c>
      <c r="F11" s="5">
        <v>17.096112999999999</v>
      </c>
      <c r="G11" s="7">
        <f t="shared" si="2"/>
        <v>7.903887000000001</v>
      </c>
      <c r="H11">
        <f t="shared" si="4"/>
        <v>6.0237498</v>
      </c>
      <c r="I11" s="7">
        <f t="shared" si="5"/>
        <v>7.9275770000000012</v>
      </c>
      <c r="J11" s="6" t="s">
        <v>35</v>
      </c>
      <c r="K11" s="5">
        <f t="shared" si="3"/>
        <v>7</v>
      </c>
      <c r="L11" s="2">
        <f>AVERAGE(I17:I18)/25</f>
        <v>0.89013676099999994</v>
      </c>
      <c r="M11">
        <f>H17-H18</f>
        <v>2.2783205450000001</v>
      </c>
      <c r="N11">
        <f>ATAN2((I19-I17),(H17-H19))*180/PI()</f>
        <v>35.448604672998734</v>
      </c>
      <c r="O11">
        <f t="shared" si="1"/>
        <v>2.0756633900000043</v>
      </c>
    </row>
    <row r="12" spans="1:15" x14ac:dyDescent="0.2">
      <c r="A12" s="17" t="s">
        <v>18</v>
      </c>
      <c r="B12" s="12">
        <v>-0.83260339999999999</v>
      </c>
      <c r="C12" s="3">
        <v>33.084685999999998</v>
      </c>
      <c r="D12" s="8">
        <f t="shared" si="0"/>
        <v>8.0846859999999978</v>
      </c>
      <c r="E12" s="12">
        <v>-0.47794428</v>
      </c>
      <c r="F12" s="3">
        <v>17.166640000000001</v>
      </c>
      <c r="G12" s="8">
        <f t="shared" si="2"/>
        <v>7.833359999999999</v>
      </c>
      <c r="H12">
        <f t="shared" si="4"/>
        <v>-0.65527384</v>
      </c>
      <c r="I12" s="7">
        <f t="shared" si="5"/>
        <v>7.9590229999999984</v>
      </c>
      <c r="J12" s="6" t="s">
        <v>8</v>
      </c>
      <c r="K12" s="5">
        <f t="shared" si="3"/>
        <v>8</v>
      </c>
      <c r="L12" s="2">
        <f>AVERAGE(I19:I20)/25</f>
        <v>0.97316329660000012</v>
      </c>
      <c r="M12">
        <f>H19-H20</f>
        <v>1.3732422499999999</v>
      </c>
      <c r="N12">
        <f>ATAN2((I21-I19),(H19-H21))*180/PI()</f>
        <v>69.108401537114275</v>
      </c>
      <c r="O12">
        <f t="shared" si="1"/>
        <v>0.6709175849999971</v>
      </c>
    </row>
    <row r="13" spans="1:15" x14ac:dyDescent="0.2">
      <c r="A13" s="18" t="s">
        <v>15</v>
      </c>
      <c r="B13" s="13">
        <v>5.848096</v>
      </c>
      <c r="C13" s="5">
        <v>34.324782999999996</v>
      </c>
      <c r="D13" s="7">
        <f t="shared" si="0"/>
        <v>9.3247829999999965</v>
      </c>
      <c r="E13" s="13">
        <v>5.8872949999999999</v>
      </c>
      <c r="F13" s="5">
        <v>15.722987</v>
      </c>
      <c r="G13" s="7">
        <f t="shared" si="2"/>
        <v>9.2770130000000002</v>
      </c>
      <c r="H13">
        <f t="shared" si="4"/>
        <v>5.8676955</v>
      </c>
      <c r="I13" s="7">
        <f t="shared" si="5"/>
        <v>9.3008979999999983</v>
      </c>
      <c r="J13" s="6" t="s">
        <v>2</v>
      </c>
      <c r="K13" s="5">
        <f t="shared" si="3"/>
        <v>9</v>
      </c>
      <c r="L13" s="2">
        <f>1</f>
        <v>1</v>
      </c>
      <c r="M13">
        <f>0</f>
        <v>0</v>
      </c>
      <c r="O13">
        <v>0</v>
      </c>
    </row>
    <row r="14" spans="1:15" x14ac:dyDescent="0.2">
      <c r="A14" s="17" t="s">
        <v>16</v>
      </c>
      <c r="B14" s="12">
        <v>-0.26917000000000002</v>
      </c>
      <c r="C14" s="3">
        <v>34.394843999999999</v>
      </c>
      <c r="D14" s="8">
        <f t="shared" si="0"/>
        <v>9.3948439999999991</v>
      </c>
      <c r="E14" s="12">
        <v>-0.16754936000000001</v>
      </c>
      <c r="F14" s="3">
        <v>15.792968</v>
      </c>
      <c r="G14" s="8">
        <f t="shared" si="2"/>
        <v>9.2070319999999999</v>
      </c>
      <c r="H14" s="12">
        <f t="shared" si="4"/>
        <v>-0.21835968</v>
      </c>
      <c r="I14" s="8">
        <f t="shared" si="5"/>
        <v>9.3009379999999986</v>
      </c>
      <c r="J14" s="6"/>
      <c r="K14" s="5"/>
    </row>
    <row r="15" spans="1:15" x14ac:dyDescent="0.2">
      <c r="A15" s="18" t="s">
        <v>13</v>
      </c>
      <c r="B15" s="13">
        <v>5.4127010000000002</v>
      </c>
      <c r="C15" s="5">
        <v>35.573770000000003</v>
      </c>
      <c r="D15" s="7">
        <f t="shared" si="0"/>
        <v>10.573770000000003</v>
      </c>
      <c r="E15" s="13">
        <v>5.5112047000000004</v>
      </c>
      <c r="F15" s="5">
        <v>14.475018</v>
      </c>
      <c r="G15" s="7">
        <f t="shared" si="2"/>
        <v>10.524982</v>
      </c>
      <c r="H15">
        <f t="shared" si="4"/>
        <v>5.4619528500000003</v>
      </c>
      <c r="I15" s="7">
        <f t="shared" si="5"/>
        <v>10.549376000000002</v>
      </c>
    </row>
    <row r="16" spans="1:15" x14ac:dyDescent="0.2">
      <c r="A16" s="17" t="s">
        <v>14</v>
      </c>
      <c r="B16" s="14">
        <v>0.9184042</v>
      </c>
      <c r="C16" s="3">
        <v>35.641800000000003</v>
      </c>
      <c r="D16" s="8">
        <f t="shared" si="0"/>
        <v>10.641800000000003</v>
      </c>
      <c r="E16" s="12">
        <v>1.0791736999999999</v>
      </c>
      <c r="F16" s="3">
        <v>14.418127999999999</v>
      </c>
      <c r="G16" s="8">
        <f t="shared" si="2"/>
        <v>10.581872000000001</v>
      </c>
      <c r="H16" s="12">
        <f t="shared" si="4"/>
        <v>0.99878895000000001</v>
      </c>
      <c r="I16" s="8">
        <f t="shared" si="5"/>
        <v>10.611836000000002</v>
      </c>
    </row>
    <row r="17" spans="1:9" x14ac:dyDescent="0.2">
      <c r="A17" s="18" t="s">
        <v>11</v>
      </c>
      <c r="B17" s="13">
        <v>3.1175090000000001</v>
      </c>
      <c r="C17" s="5">
        <v>47.124699999999997</v>
      </c>
      <c r="D17" s="7">
        <f t="shared" si="0"/>
        <v>22.124699999999997</v>
      </c>
      <c r="E17" s="13">
        <v>2.9994451999999998</v>
      </c>
      <c r="F17" s="5">
        <v>2.5555563000000001</v>
      </c>
      <c r="G17" s="7">
        <f t="shared" si="2"/>
        <v>22.444443700000001</v>
      </c>
      <c r="H17">
        <f t="shared" si="4"/>
        <v>3.0584771000000002</v>
      </c>
      <c r="I17" s="7">
        <f t="shared" si="5"/>
        <v>22.284571849999999</v>
      </c>
    </row>
    <row r="18" spans="1:9" x14ac:dyDescent="0.2">
      <c r="A18" s="17" t="s">
        <v>12</v>
      </c>
      <c r="B18" s="12">
        <v>0.74547774</v>
      </c>
      <c r="C18" s="3">
        <v>47.127659999999999</v>
      </c>
      <c r="D18" s="8">
        <f t="shared" si="0"/>
        <v>22.127659999999999</v>
      </c>
      <c r="E18" s="12">
        <v>0.81483536999999995</v>
      </c>
      <c r="F18" s="3">
        <v>2.6831276000000002</v>
      </c>
      <c r="G18" s="8">
        <f t="shared" si="2"/>
        <v>22.316872400000001</v>
      </c>
      <c r="H18" s="12">
        <f t="shared" si="4"/>
        <v>0.78015655500000003</v>
      </c>
      <c r="I18" s="8">
        <f t="shared" si="5"/>
        <v>22.2222662</v>
      </c>
    </row>
    <row r="19" spans="1:9" x14ac:dyDescent="0.2">
      <c r="A19" s="18" t="s">
        <v>9</v>
      </c>
      <c r="B19" s="13">
        <v>1.4973456999999999</v>
      </c>
      <c r="C19" s="5">
        <v>49.373913000000002</v>
      </c>
      <c r="D19" s="7">
        <f t="shared" si="0"/>
        <v>24.373913000000002</v>
      </c>
      <c r="E19" s="13">
        <v>1.6862478000000001</v>
      </c>
      <c r="F19" s="5">
        <v>0.68453649999999999</v>
      </c>
      <c r="G19" s="7">
        <f t="shared" si="2"/>
        <v>24.3154635</v>
      </c>
      <c r="H19">
        <f t="shared" si="4"/>
        <v>1.5917967499999999</v>
      </c>
      <c r="I19" s="7">
        <f t="shared" si="5"/>
        <v>24.344688250000001</v>
      </c>
    </row>
    <row r="20" spans="1:9" x14ac:dyDescent="0.2">
      <c r="A20" s="17" t="s">
        <v>10</v>
      </c>
      <c r="B20" s="12">
        <v>0.12406445000000001</v>
      </c>
      <c r="C20" s="3">
        <v>49.375625999999997</v>
      </c>
      <c r="D20" s="8">
        <f t="shared" si="0"/>
        <v>24.375625999999997</v>
      </c>
      <c r="E20" s="12">
        <v>0.31304454999999998</v>
      </c>
      <c r="F20" s="3">
        <v>0.74867284000000001</v>
      </c>
      <c r="G20" s="8">
        <f t="shared" si="2"/>
        <v>24.251327159999999</v>
      </c>
      <c r="H20" s="12">
        <f t="shared" si="4"/>
        <v>0.21855449999999998</v>
      </c>
      <c r="I20" s="8">
        <f t="shared" si="5"/>
        <v>24.31347658</v>
      </c>
    </row>
    <row r="21" spans="1:9" x14ac:dyDescent="0.2">
      <c r="A21" s="17" t="s">
        <v>2</v>
      </c>
      <c r="B21" s="12">
        <v>-6.2421877000000001E-2</v>
      </c>
      <c r="C21" s="3">
        <v>50.000076</v>
      </c>
      <c r="D21" s="8">
        <f t="shared" si="0"/>
        <v>25.000076</v>
      </c>
      <c r="E21" s="12">
        <v>-0.18726561999999999</v>
      </c>
      <c r="F21" s="4">
        <v>2.3378978999999999E-4</v>
      </c>
      <c r="G21" s="8">
        <f t="shared" si="2"/>
        <v>24.999766210210002</v>
      </c>
      <c r="H21" s="22">
        <f t="shared" si="4"/>
        <v>-0.12484374849999999</v>
      </c>
      <c r="I21" s="23">
        <f t="shared" si="5"/>
        <v>24.999921105105003</v>
      </c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6AB-2DF6-5F4A-8694-28394B48673F}">
  <dimension ref="B3:R16"/>
  <sheetViews>
    <sheetView topLeftCell="C1" workbookViewId="0">
      <selection activeCell="Q9" sqref="Q9"/>
    </sheetView>
  </sheetViews>
  <sheetFormatPr baseColWidth="10" defaultRowHeight="16" x14ac:dyDescent="0.2"/>
  <cols>
    <col min="2" max="2" width="21.5" bestFit="1" customWidth="1"/>
    <col min="10" max="10" width="17.1640625" bestFit="1" customWidth="1"/>
    <col min="11" max="11" width="18.83203125" bestFit="1" customWidth="1"/>
  </cols>
  <sheetData>
    <row r="3" spans="2:18" x14ac:dyDescent="0.2">
      <c r="I3" t="s">
        <v>38</v>
      </c>
      <c r="J3">
        <f>AVERAGE(H16,J16)</f>
        <v>11.826354749999998</v>
      </c>
    </row>
    <row r="5" spans="2:18" x14ac:dyDescent="0.2">
      <c r="C5" t="s">
        <v>24</v>
      </c>
      <c r="F5" t="s">
        <v>23</v>
      </c>
    </row>
    <row r="6" spans="2:18" x14ac:dyDescent="0.2">
      <c r="B6" t="s">
        <v>3</v>
      </c>
      <c r="C6" t="s">
        <v>0</v>
      </c>
      <c r="D6" s="1" t="s">
        <v>1</v>
      </c>
      <c r="E6" s="6" t="s">
        <v>29</v>
      </c>
      <c r="F6" t="s">
        <v>0</v>
      </c>
      <c r="G6" s="1" t="s">
        <v>1</v>
      </c>
      <c r="H6" s="6" t="s">
        <v>29</v>
      </c>
      <c r="I6" s="20" t="s">
        <v>36</v>
      </c>
      <c r="J6" s="21" t="s">
        <v>37</v>
      </c>
      <c r="K6" s="19" t="s">
        <v>27</v>
      </c>
      <c r="L6" s="3" t="s">
        <v>52</v>
      </c>
      <c r="M6" s="3" t="s">
        <v>28</v>
      </c>
      <c r="N6" s="3" t="s">
        <v>6</v>
      </c>
      <c r="O6" s="3" t="s">
        <v>7</v>
      </c>
      <c r="P6" s="20" t="s">
        <v>38</v>
      </c>
      <c r="Q6" s="20" t="s">
        <v>95</v>
      </c>
      <c r="R6" t="s">
        <v>96</v>
      </c>
    </row>
    <row r="7" spans="2:18" x14ac:dyDescent="0.2">
      <c r="B7" t="s">
        <v>44</v>
      </c>
      <c r="C7">
        <v>-9.9578869999999995</v>
      </c>
      <c r="D7">
        <v>23.732780000000002</v>
      </c>
      <c r="E7">
        <f t="shared" ref="E7:E16" si="0">ABS(25-D7)</f>
        <v>1.2672199999999982</v>
      </c>
      <c r="F7">
        <v>-10.016645</v>
      </c>
      <c r="G7">
        <v>26.666687</v>
      </c>
      <c r="H7">
        <f t="shared" ref="H7:H16" si="1">ABS(25-G7)</f>
        <v>1.6666869999999996</v>
      </c>
      <c r="I7">
        <f>AVERAGE(C7,F7)</f>
        <v>-9.987266</v>
      </c>
      <c r="J7">
        <f>AVERAGE(E7,H7)</f>
        <v>1.4669534999999989</v>
      </c>
      <c r="K7" t="s">
        <v>41</v>
      </c>
      <c r="L7">
        <v>2</v>
      </c>
      <c r="M7">
        <f>AVERAGE(J7:J8)/J3</f>
        <v>0.12799472297243569</v>
      </c>
      <c r="N7">
        <f>I8-I7</f>
        <v>3.0897654499999998</v>
      </c>
      <c r="O7">
        <f>-ATAN2((J10-J8),(I10-I8))*180/PI()</f>
        <v>53.567150359355132</v>
      </c>
      <c r="P7">
        <f>(M8-M7)*$J$3</f>
        <v>0.99880825000000084</v>
      </c>
      <c r="Q7">
        <f>0</f>
        <v>0</v>
      </c>
      <c r="R7">
        <f>P7/COS(PI()*Q7/180)</f>
        <v>0.99880825000000084</v>
      </c>
    </row>
    <row r="8" spans="2:18" x14ac:dyDescent="0.2">
      <c r="B8" t="s">
        <v>45</v>
      </c>
      <c r="C8">
        <v>-6.9618707000000004</v>
      </c>
      <c r="D8">
        <v>23.541775000000001</v>
      </c>
      <c r="E8">
        <f t="shared" si="0"/>
        <v>1.4582249999999988</v>
      </c>
      <c r="F8">
        <v>-6.8331303999999999</v>
      </c>
      <c r="G8">
        <v>26.662711999999999</v>
      </c>
      <c r="H8">
        <f t="shared" si="1"/>
        <v>1.6627119999999991</v>
      </c>
      <c r="I8">
        <f t="shared" ref="I8:I16" si="2">AVERAGE(C8,F8)</f>
        <v>-6.8975005500000002</v>
      </c>
      <c r="J8">
        <f t="shared" ref="J8:J16" si="3">AVERAGE(E8,H8)</f>
        <v>1.5604684999999989</v>
      </c>
      <c r="K8" t="s">
        <v>42</v>
      </c>
      <c r="L8">
        <f>L7+1</f>
        <v>3</v>
      </c>
      <c r="M8">
        <f>AVERAGE(J9:J10)/J3</f>
        <v>0.21245086107365416</v>
      </c>
      <c r="N8">
        <f>I10-I9</f>
        <v>2.1847265</v>
      </c>
      <c r="O8">
        <f>-ATAN2((J12-J10),(I12-I10))*180/PI()</f>
        <v>35.5126389124841</v>
      </c>
      <c r="P8">
        <f t="shared" ref="P8:P9" si="4">(M9-M8)*$J$3</f>
        <v>6.6010357500000021</v>
      </c>
      <c r="Q8">
        <v>0</v>
      </c>
      <c r="R8">
        <f t="shared" ref="R8:R11" si="5">P8/COS(PI()*Q8/180)</f>
        <v>6.6010357500000021</v>
      </c>
    </row>
    <row r="9" spans="2:18" x14ac:dyDescent="0.2">
      <c r="B9" t="s">
        <v>46</v>
      </c>
      <c r="C9">
        <v>-10.396319999999999</v>
      </c>
      <c r="D9">
        <v>22.547312000000002</v>
      </c>
      <c r="E9">
        <f t="shared" si="0"/>
        <v>2.4526879999999984</v>
      </c>
      <c r="F9">
        <v>-10.390086</v>
      </c>
      <c r="G9">
        <v>27.541060999999999</v>
      </c>
      <c r="H9">
        <f t="shared" si="1"/>
        <v>2.5410609999999991</v>
      </c>
      <c r="I9">
        <f t="shared" si="2"/>
        <v>-10.393203</v>
      </c>
      <c r="J9">
        <f t="shared" si="3"/>
        <v>2.4968744999999988</v>
      </c>
      <c r="K9" t="s">
        <v>5</v>
      </c>
      <c r="L9">
        <f t="shared" ref="L9:L11" si="6">L8+1</f>
        <v>4</v>
      </c>
      <c r="M9">
        <f>AVERAGE(J11:J12)/J3</f>
        <v>0.77061403895397296</v>
      </c>
      <c r="N9">
        <f>I12-I11</f>
        <v>3.3707025000000002</v>
      </c>
      <c r="O9">
        <f>-ATAN2((J14-J12),(I14-I12))*180/PI()</f>
        <v>47.562429634463435</v>
      </c>
      <c r="P9">
        <f t="shared" si="4"/>
        <v>1.0143364999999986</v>
      </c>
      <c r="Q9">
        <v>30</v>
      </c>
      <c r="R9">
        <f t="shared" si="5"/>
        <v>1.1712549026477239</v>
      </c>
    </row>
    <row r="10" spans="2:18" x14ac:dyDescent="0.2">
      <c r="B10" t="s">
        <v>47</v>
      </c>
      <c r="C10">
        <v>-8.1492109999999993</v>
      </c>
      <c r="D10">
        <v>22.482084</v>
      </c>
      <c r="E10">
        <f t="shared" si="0"/>
        <v>2.5179159999999996</v>
      </c>
      <c r="F10">
        <v>-8.2677420000000001</v>
      </c>
      <c r="G10">
        <v>27.538412000000001</v>
      </c>
      <c r="H10">
        <f t="shared" si="1"/>
        <v>2.538412000000001</v>
      </c>
      <c r="I10">
        <f t="shared" si="2"/>
        <v>-8.2084764999999997</v>
      </c>
      <c r="J10">
        <f t="shared" si="3"/>
        <v>2.5281640000000003</v>
      </c>
      <c r="K10" t="s">
        <v>43</v>
      </c>
      <c r="L10">
        <f t="shared" si="6"/>
        <v>5</v>
      </c>
      <c r="M10">
        <f>AVERAGE(J13:J14)/J3</f>
        <v>0.85638319787422257</v>
      </c>
      <c r="N10">
        <f>I14-I13</f>
        <v>3.2771094999999999</v>
      </c>
      <c r="O10">
        <f>-ATAN2((J16-J14),(I16-I14))*180/PI()</f>
        <v>75.962304944651422</v>
      </c>
      <c r="P10">
        <f>(M11-M10)*$J$3</f>
        <v>1.6984632499999979</v>
      </c>
      <c r="Q10">
        <v>80</v>
      </c>
      <c r="R10">
        <f t="shared" si="5"/>
        <v>9.7810600308041895</v>
      </c>
    </row>
    <row r="11" spans="2:18" x14ac:dyDescent="0.2">
      <c r="B11" t="s">
        <v>48</v>
      </c>
      <c r="C11">
        <v>-16.334503000000002</v>
      </c>
      <c r="D11">
        <v>16.062840000000001</v>
      </c>
      <c r="E11">
        <f t="shared" si="0"/>
        <v>8.9371599999999987</v>
      </c>
      <c r="F11">
        <v>-16.311903000000001</v>
      </c>
      <c r="G11">
        <v>34.165184000000004</v>
      </c>
      <c r="H11">
        <f t="shared" si="1"/>
        <v>9.1651840000000036</v>
      </c>
      <c r="I11">
        <f t="shared" si="2"/>
        <v>-16.323202999999999</v>
      </c>
      <c r="J11">
        <f t="shared" si="3"/>
        <v>9.0511720000000011</v>
      </c>
      <c r="K11" t="s">
        <v>2</v>
      </c>
      <c r="L11">
        <f t="shared" si="6"/>
        <v>6</v>
      </c>
      <c r="M11">
        <v>1</v>
      </c>
      <c r="N11">
        <f>I16-I15</f>
        <v>1.4981259999999992</v>
      </c>
      <c r="O11">
        <v>0</v>
      </c>
      <c r="R11">
        <f t="shared" si="5"/>
        <v>0</v>
      </c>
    </row>
    <row r="12" spans="2:18" x14ac:dyDescent="0.2">
      <c r="B12" t="s">
        <v>49</v>
      </c>
      <c r="C12">
        <v>-13.026377999999999</v>
      </c>
      <c r="D12">
        <v>15.871444</v>
      </c>
      <c r="E12">
        <f t="shared" si="0"/>
        <v>9.1285559999999997</v>
      </c>
      <c r="F12">
        <v>-12.878622999999999</v>
      </c>
      <c r="G12">
        <v>34.223320000000001</v>
      </c>
      <c r="H12">
        <f t="shared" si="1"/>
        <v>9.2233200000000011</v>
      </c>
      <c r="I12">
        <f t="shared" si="2"/>
        <v>-12.952500499999999</v>
      </c>
      <c r="J12">
        <f t="shared" si="3"/>
        <v>9.1759380000000004</v>
      </c>
    </row>
    <row r="13" spans="2:18" x14ac:dyDescent="0.2">
      <c r="B13" t="s">
        <v>50</v>
      </c>
      <c r="C13">
        <v>-17.459499999999998</v>
      </c>
      <c r="D13">
        <v>14.940649000000001</v>
      </c>
      <c r="E13">
        <f t="shared" si="0"/>
        <v>10.059350999999999</v>
      </c>
      <c r="F13">
        <v>-17.184640000000002</v>
      </c>
      <c r="G13">
        <v>35.102603999999999</v>
      </c>
      <c r="H13">
        <f t="shared" si="1"/>
        <v>10.102603999999999</v>
      </c>
      <c r="I13">
        <f t="shared" si="2"/>
        <v>-17.32207</v>
      </c>
      <c r="J13">
        <f t="shared" si="3"/>
        <v>10.080977499999999</v>
      </c>
    </row>
    <row r="14" spans="2:18" x14ac:dyDescent="0.2">
      <c r="B14" t="s">
        <v>51</v>
      </c>
      <c r="C14">
        <v>-14.026452000000001</v>
      </c>
      <c r="D14">
        <v>14.811519000000001</v>
      </c>
      <c r="E14">
        <f t="shared" si="0"/>
        <v>10.188480999999999</v>
      </c>
      <c r="F14">
        <v>-14.063469</v>
      </c>
      <c r="G14">
        <v>35.16113</v>
      </c>
      <c r="H14">
        <f t="shared" si="1"/>
        <v>10.16113</v>
      </c>
      <c r="I14">
        <f t="shared" si="2"/>
        <v>-14.0449605</v>
      </c>
      <c r="J14">
        <f t="shared" si="3"/>
        <v>10.1748055</v>
      </c>
    </row>
    <row r="15" spans="2:18" x14ac:dyDescent="0.2">
      <c r="B15" t="s">
        <v>39</v>
      </c>
      <c r="C15">
        <v>-22.143166999999998</v>
      </c>
      <c r="D15">
        <v>13.323524000000001</v>
      </c>
      <c r="E15">
        <f t="shared" si="0"/>
        <v>11.676475999999999</v>
      </c>
      <c r="F15">
        <v>-21.926600000000001</v>
      </c>
      <c r="G15">
        <v>36.793914999999998</v>
      </c>
      <c r="H15">
        <f t="shared" si="1"/>
        <v>11.793914999999998</v>
      </c>
      <c r="I15">
        <f t="shared" si="2"/>
        <v>-22.034883499999999</v>
      </c>
      <c r="J15">
        <f t="shared" si="3"/>
        <v>11.7351955</v>
      </c>
    </row>
    <row r="16" spans="2:18" x14ac:dyDescent="0.2">
      <c r="B16" t="s">
        <v>40</v>
      </c>
      <c r="C16">
        <v>-20.395432</v>
      </c>
      <c r="D16">
        <v>13.258921000000001</v>
      </c>
      <c r="E16">
        <f t="shared" si="0"/>
        <v>11.741078999999999</v>
      </c>
      <c r="F16">
        <v>-20.678083000000001</v>
      </c>
      <c r="G16">
        <v>36.854779999999998</v>
      </c>
      <c r="H16">
        <f t="shared" si="1"/>
        <v>11.854779999999998</v>
      </c>
      <c r="I16">
        <f t="shared" si="2"/>
        <v>-20.5367575</v>
      </c>
      <c r="J16">
        <f t="shared" si="3"/>
        <v>11.797929499999999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AA71-2521-D84C-9D9E-50A237C3CCBB}">
  <dimension ref="B7:J34"/>
  <sheetViews>
    <sheetView workbookViewId="0">
      <selection activeCell="I45" sqref="I45"/>
    </sheetView>
  </sheetViews>
  <sheetFormatPr baseColWidth="10" defaultRowHeight="16" x14ac:dyDescent="0.2"/>
  <sheetData>
    <row r="7" spans="2:10" x14ac:dyDescent="0.2">
      <c r="B7" t="s">
        <v>2</v>
      </c>
      <c r="C7">
        <v>10.674046000000001</v>
      </c>
      <c r="D7">
        <v>10.763343000000001</v>
      </c>
      <c r="F7" t="s">
        <v>99</v>
      </c>
      <c r="H7" t="s">
        <v>105</v>
      </c>
      <c r="J7" t="s">
        <v>108</v>
      </c>
    </row>
    <row r="8" spans="2:10" x14ac:dyDescent="0.2">
      <c r="B8" t="s">
        <v>97</v>
      </c>
      <c r="C8">
        <v>22.041763</v>
      </c>
      <c r="D8">
        <v>16.590052</v>
      </c>
      <c r="F8">
        <f>SQRT((C8-C7)^2+(D8-D7)^2)</f>
        <v>12.774017675060966</v>
      </c>
      <c r="H8" t="s">
        <v>0</v>
      </c>
      <c r="I8">
        <f>Boom!B21+(Boom!G4-Boom!G5)</f>
        <v>0.82571899999999943</v>
      </c>
      <c r="J8">
        <f>Boom!B21+(Boom!G4-Boom!G8)</f>
        <v>21.019178149999998</v>
      </c>
    </row>
    <row r="9" spans="2:10" x14ac:dyDescent="0.2">
      <c r="B9" t="s">
        <v>98</v>
      </c>
      <c r="C9">
        <v>15.919193999999999</v>
      </c>
      <c r="D9">
        <v>14.644899000000001</v>
      </c>
      <c r="F9" t="s">
        <v>100</v>
      </c>
      <c r="H9" t="s">
        <v>1</v>
      </c>
      <c r="I9">
        <v>-8.6</v>
      </c>
    </row>
    <row r="10" spans="2:10" x14ac:dyDescent="0.2">
      <c r="B10" t="s">
        <v>98</v>
      </c>
      <c r="C10">
        <v>16.921614000000002</v>
      </c>
      <c r="D10">
        <v>12.708652000000001</v>
      </c>
      <c r="F10">
        <f>SQRT((C10-C9)^2+(D10-D9)^2)</f>
        <v>2.180343620030798</v>
      </c>
      <c r="H10" t="s">
        <v>104</v>
      </c>
      <c r="I10">
        <f>8.55+1.45</f>
        <v>10</v>
      </c>
    </row>
    <row r="12" spans="2:10" x14ac:dyDescent="0.2">
      <c r="E12" t="s">
        <v>102</v>
      </c>
      <c r="F12">
        <v>12.75</v>
      </c>
    </row>
    <row r="13" spans="2:10" x14ac:dyDescent="0.2">
      <c r="E13" t="s">
        <v>103</v>
      </c>
      <c r="F13">
        <f>F12/2</f>
        <v>6.375</v>
      </c>
    </row>
    <row r="16" spans="2:10" x14ac:dyDescent="0.2">
      <c r="B16" t="s">
        <v>0</v>
      </c>
      <c r="C16" t="s">
        <v>1</v>
      </c>
      <c r="D16" t="s">
        <v>52</v>
      </c>
      <c r="E16" t="s">
        <v>101</v>
      </c>
      <c r="F16" t="s">
        <v>6</v>
      </c>
      <c r="G16" t="s">
        <v>106</v>
      </c>
      <c r="H16" t="s">
        <v>107</v>
      </c>
    </row>
    <row r="17" spans="2:8" x14ac:dyDescent="0.2">
      <c r="B17">
        <v>1.2631945E-2</v>
      </c>
      <c r="C17">
        <v>-0.23563946999999999</v>
      </c>
      <c r="D17">
        <v>1</v>
      </c>
      <c r="E17">
        <v>1</v>
      </c>
      <c r="F17">
        <f>C18-C17</f>
        <v>0.37206929999999999</v>
      </c>
      <c r="G17">
        <f t="shared" ref="G17:G22" si="0">G18+1</f>
        <v>7</v>
      </c>
      <c r="H17">
        <f>F17/$F$13</f>
        <v>5.8363811764705884E-2</v>
      </c>
    </row>
    <row r="18" spans="2:8" x14ac:dyDescent="0.2">
      <c r="B18" s="24">
        <v>-1.3271385000000001E-4</v>
      </c>
      <c r="C18">
        <v>0.13642983</v>
      </c>
      <c r="D18">
        <v>2</v>
      </c>
      <c r="E18">
        <f>($F$13-AVERAGE(B19:B20))/$F$13</f>
        <v>0.92314898509803922</v>
      </c>
      <c r="F18">
        <f>C20-C19</f>
        <v>0.40927742</v>
      </c>
      <c r="G18">
        <f t="shared" si="0"/>
        <v>6</v>
      </c>
      <c r="H18">
        <f t="shared" ref="H18:H24" si="1">F18/$F$13</f>
        <v>6.4200379607843139E-2</v>
      </c>
    </row>
    <row r="19" spans="2:8" x14ac:dyDescent="0.2">
      <c r="B19">
        <v>0.49632564000000001</v>
      </c>
      <c r="C19">
        <v>-0.22276621999999999</v>
      </c>
      <c r="D19">
        <v>3</v>
      </c>
      <c r="E19">
        <f>(F13-AVERAGE(B21:B22))/F13</f>
        <v>0.79085243921568626</v>
      </c>
      <c r="F19">
        <f>C22-C21</f>
        <v>0.49609641000000004</v>
      </c>
      <c r="G19">
        <f t="shared" si="0"/>
        <v>5</v>
      </c>
      <c r="H19">
        <f t="shared" si="1"/>
        <v>7.7819044705882356E-2</v>
      </c>
    </row>
    <row r="20" spans="2:8" x14ac:dyDescent="0.2">
      <c r="B20">
        <v>0.48352479999999998</v>
      </c>
      <c r="C20">
        <v>0.18651119999999999</v>
      </c>
      <c r="D20">
        <v>4</v>
      </c>
      <c r="E20">
        <f>(F13-AVERAGE(B23:B24))/F13</f>
        <v>0.66147701176470586</v>
      </c>
      <c r="F20">
        <f>C26-C25</f>
        <v>0.81860313000000007</v>
      </c>
      <c r="G20">
        <f t="shared" si="0"/>
        <v>4</v>
      </c>
      <c r="H20">
        <f t="shared" si="1"/>
        <v>0.12840833411764707</v>
      </c>
    </row>
    <row r="21" spans="2:8" x14ac:dyDescent="0.2">
      <c r="B21">
        <v>1.3397583</v>
      </c>
      <c r="C21">
        <v>-0.27155665000000001</v>
      </c>
      <c r="D21">
        <v>5</v>
      </c>
      <c r="E21">
        <f>(F13-3.71)/F13</f>
        <v>0.4180392156862745</v>
      </c>
      <c r="F21">
        <f>C28-C27</f>
        <v>1.1286589</v>
      </c>
      <c r="G21">
        <f t="shared" si="0"/>
        <v>3</v>
      </c>
      <c r="H21">
        <f t="shared" si="1"/>
        <v>0.17704453333333334</v>
      </c>
    </row>
    <row r="22" spans="2:8" x14ac:dyDescent="0.2">
      <c r="B22">
        <v>1.3268731</v>
      </c>
      <c r="C22">
        <v>0.22453976</v>
      </c>
      <c r="D22">
        <v>6</v>
      </c>
      <c r="E22">
        <f>(F13-AVERAGE(B29:B30))/F13</f>
        <v>0.2782098823529412</v>
      </c>
      <c r="F22">
        <f>C30-C29</f>
        <v>1.5503390399999999</v>
      </c>
      <c r="G22">
        <f t="shared" si="0"/>
        <v>2</v>
      </c>
      <c r="H22">
        <f t="shared" si="1"/>
        <v>0.2431904376470588</v>
      </c>
    </row>
    <row r="23" spans="2:8" x14ac:dyDescent="0.2">
      <c r="B23">
        <v>2.1583736</v>
      </c>
      <c r="C23">
        <v>-0.30796849999999998</v>
      </c>
      <c r="D23">
        <v>7</v>
      </c>
      <c r="E23">
        <f>(F13-AVERAGE(B31:B32))/F13</f>
        <v>0.1945523607843137</v>
      </c>
      <c r="F23">
        <f>C32-C31</f>
        <v>1.7983932</v>
      </c>
      <c r="G23">
        <f>G24+1</f>
        <v>1</v>
      </c>
      <c r="H23">
        <f t="shared" si="1"/>
        <v>0.28210089411764705</v>
      </c>
    </row>
    <row r="24" spans="2:8" x14ac:dyDescent="0.2">
      <c r="B24">
        <v>2.1577945000000001</v>
      </c>
      <c r="C24">
        <v>0.28736168000000001</v>
      </c>
      <c r="D24">
        <v>8</v>
      </c>
      <c r="E24">
        <v>0</v>
      </c>
      <c r="F24">
        <f>C34-C33</f>
        <v>2.1704745000000001</v>
      </c>
      <c r="G24">
        <v>0</v>
      </c>
      <c r="H24">
        <f t="shared" si="1"/>
        <v>0.34046658823529413</v>
      </c>
    </row>
    <row r="25" spans="2:8" x14ac:dyDescent="0.2">
      <c r="B25">
        <v>2.9150596000000002</v>
      </c>
      <c r="C25">
        <v>-0.43125965999999999</v>
      </c>
    </row>
    <row r="26" spans="2:8" x14ac:dyDescent="0.2">
      <c r="B26">
        <v>2.9390687999999998</v>
      </c>
      <c r="C26">
        <v>0.38734347000000002</v>
      </c>
    </row>
    <row r="27" spans="2:8" x14ac:dyDescent="0.2">
      <c r="B27">
        <v>3.7089780000000001</v>
      </c>
      <c r="C27">
        <v>-0.5793201</v>
      </c>
    </row>
    <row r="28" spans="2:8" x14ac:dyDescent="0.2">
      <c r="B28">
        <v>3.7202828000000001</v>
      </c>
      <c r="C28">
        <v>0.54933880000000002</v>
      </c>
    </row>
    <row r="29" spans="2:8" x14ac:dyDescent="0.2">
      <c r="B29">
        <v>4.6021660000000004</v>
      </c>
      <c r="C29">
        <v>-0.7768948</v>
      </c>
    </row>
    <row r="30" spans="2:8" x14ac:dyDescent="0.2">
      <c r="B30">
        <v>4.6006580000000001</v>
      </c>
      <c r="C30">
        <v>0.77344424000000001</v>
      </c>
    </row>
    <row r="31" spans="2:8" x14ac:dyDescent="0.2">
      <c r="B31">
        <v>5.1356033999999999</v>
      </c>
      <c r="C31">
        <v>-0.90040310000000001</v>
      </c>
    </row>
    <row r="32" spans="2:8" x14ac:dyDescent="0.2">
      <c r="B32">
        <v>5.1338540000000004</v>
      </c>
      <c r="C32">
        <v>0.89799010000000001</v>
      </c>
    </row>
    <row r="33" spans="2:3" x14ac:dyDescent="0.2">
      <c r="B33">
        <v>6.3884344000000004</v>
      </c>
      <c r="C33">
        <v>-1.0604198</v>
      </c>
    </row>
    <row r="34" spans="2:3" x14ac:dyDescent="0.2">
      <c r="B34">
        <v>6.386323</v>
      </c>
      <c r="C34">
        <v>1.1100547000000001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4656-5D34-634E-A371-80724E31C853}">
  <dimension ref="B1:N43"/>
  <sheetViews>
    <sheetView workbookViewId="0">
      <selection activeCell="J19" sqref="J19"/>
    </sheetView>
  </sheetViews>
  <sheetFormatPr baseColWidth="10" defaultRowHeight="16" x14ac:dyDescent="0.2"/>
  <cols>
    <col min="9" max="9" width="12.1640625" bestFit="1" customWidth="1"/>
  </cols>
  <sheetData>
    <row r="1" spans="2:14" x14ac:dyDescent="0.2">
      <c r="D1" t="s">
        <v>0</v>
      </c>
      <c r="E1" t="s">
        <v>1</v>
      </c>
    </row>
    <row r="2" spans="2:14" x14ac:dyDescent="0.2">
      <c r="C2" t="s">
        <v>53</v>
      </c>
      <c r="D2">
        <f>I4-C33</f>
        <v>7.0354495000000004</v>
      </c>
      <c r="E2">
        <v>24.978895000000001</v>
      </c>
      <c r="H2" t="s">
        <v>59</v>
      </c>
      <c r="I2">
        <f>C4-C29</f>
        <v>28.116813499999999</v>
      </c>
    </row>
    <row r="3" spans="2:14" x14ac:dyDescent="0.2">
      <c r="C3" t="s">
        <v>0</v>
      </c>
      <c r="D3" t="s">
        <v>1</v>
      </c>
      <c r="F3" t="s">
        <v>0</v>
      </c>
      <c r="G3" t="s">
        <v>1</v>
      </c>
      <c r="H3" t="s">
        <v>52</v>
      </c>
      <c r="I3" t="s">
        <v>56</v>
      </c>
      <c r="J3" t="s">
        <v>57</v>
      </c>
      <c r="K3" t="s">
        <v>58</v>
      </c>
      <c r="L3" t="s">
        <v>0</v>
      </c>
      <c r="M3" t="s">
        <v>84</v>
      </c>
      <c r="N3" t="s">
        <v>86</v>
      </c>
    </row>
    <row r="4" spans="2:14" x14ac:dyDescent="0.2">
      <c r="B4" t="s">
        <v>54</v>
      </c>
      <c r="C4">
        <v>14.4324665</v>
      </c>
      <c r="D4">
        <v>24.946012</v>
      </c>
      <c r="F4">
        <v>-6.8314359999999998E-3</v>
      </c>
      <c r="G4">
        <v>2.9067759999999998</v>
      </c>
      <c r="H4" t="s">
        <v>54</v>
      </c>
      <c r="I4">
        <f>C4</f>
        <v>14.4324665</v>
      </c>
      <c r="J4">
        <v>0</v>
      </c>
      <c r="K4">
        <f>0</f>
        <v>0</v>
      </c>
      <c r="L4">
        <f>K4*$I$2</f>
        <v>0</v>
      </c>
      <c r="M4">
        <v>0</v>
      </c>
      <c r="N4">
        <v>0</v>
      </c>
    </row>
    <row r="5" spans="2:14" x14ac:dyDescent="0.2">
      <c r="B5">
        <v>1</v>
      </c>
      <c r="C5">
        <v>13.743892000000001</v>
      </c>
      <c r="D5">
        <v>24.200458999999999</v>
      </c>
      <c r="F5">
        <v>0.65480864000000005</v>
      </c>
      <c r="G5">
        <v>2.4789186000000001</v>
      </c>
      <c r="H5">
        <v>1</v>
      </c>
      <c r="I5">
        <f>AVERAGE(C5:C6)</f>
        <v>13.74680725</v>
      </c>
      <c r="J5">
        <f>D6-D5</f>
        <v>1.5585810000000002</v>
      </c>
      <c r="K5">
        <f>($I$4-I5)/$I$2</f>
        <v>2.4386093751342076E-2</v>
      </c>
      <c r="L5">
        <f>K5*$I$2</f>
        <v>0.6856592500000005</v>
      </c>
      <c r="M5">
        <f>G6-G5</f>
        <v>0.99102369999999995</v>
      </c>
      <c r="N5">
        <f>(G6+G5)/2-$G$4</f>
        <v>6.7654450000000033E-2</v>
      </c>
    </row>
    <row r="6" spans="2:14" x14ac:dyDescent="0.2">
      <c r="B6">
        <v>1</v>
      </c>
      <c r="C6">
        <v>13.749722500000001</v>
      </c>
      <c r="D6">
        <v>25.759039999999999</v>
      </c>
      <c r="F6">
        <v>0.68551130000000005</v>
      </c>
      <c r="G6">
        <v>3.4699423</v>
      </c>
      <c r="H6">
        <f>H5+1</f>
        <v>2</v>
      </c>
      <c r="I6">
        <f>AVERAGE(C7:C8)</f>
        <v>12.686972000000001</v>
      </c>
      <c r="J6">
        <f>D8-D7</f>
        <v>2.8054459999999999</v>
      </c>
      <c r="K6">
        <f>($I$4-I6)/$I$2</f>
        <v>6.208009666529244E-2</v>
      </c>
      <c r="L6">
        <f>K6*$I$2</f>
        <v>1.7454944999999995</v>
      </c>
      <c r="M6">
        <f>G8-G7</f>
        <v>1.9818150000000005</v>
      </c>
      <c r="N6">
        <f>(G8+G7)/2-$G$4</f>
        <v>0.26840550000000007</v>
      </c>
    </row>
    <row r="7" spans="2:14" x14ac:dyDescent="0.2">
      <c r="B7">
        <f>B5+1</f>
        <v>2</v>
      </c>
      <c r="C7">
        <v>12.681725</v>
      </c>
      <c r="D7">
        <v>23.580991999999998</v>
      </c>
      <c r="F7">
        <v>1.7785797999999999</v>
      </c>
      <c r="G7">
        <v>2.1842739999999998</v>
      </c>
      <c r="H7" t="s">
        <v>92</v>
      </c>
      <c r="M7">
        <v>2.3453173</v>
      </c>
      <c r="N7">
        <v>0.45124365000000033</v>
      </c>
    </row>
    <row r="8" spans="2:14" x14ac:dyDescent="0.2">
      <c r="B8">
        <f t="shared" ref="B8:B28" si="0">B6+1</f>
        <v>2</v>
      </c>
      <c r="C8">
        <v>12.692219</v>
      </c>
      <c r="D8">
        <v>26.386437999999998</v>
      </c>
      <c r="F8">
        <v>1.7408904999999999</v>
      </c>
      <c r="G8">
        <v>4.1660890000000004</v>
      </c>
      <c r="H8">
        <v>4</v>
      </c>
      <c r="I8">
        <f>AVERAGE(C9:C10)</f>
        <v>11.034875</v>
      </c>
      <c r="J8">
        <f>D10-D9</f>
        <v>4.1772320000000001</v>
      </c>
      <c r="K8">
        <f>($I$4-I8)/$I$2</f>
        <v>0.12083842644544343</v>
      </c>
      <c r="L8">
        <f>K8*$I$2</f>
        <v>3.3975915000000008</v>
      </c>
      <c r="M8">
        <f>G10-G9</f>
        <v>3.6995331999999999</v>
      </c>
      <c r="N8">
        <f>(G10+G9)/2-$G$4</f>
        <v>0.33831140000000026</v>
      </c>
    </row>
    <row r="9" spans="2:14" x14ac:dyDescent="0.2">
      <c r="B9">
        <f t="shared" si="0"/>
        <v>3</v>
      </c>
      <c r="C9">
        <v>11.058234000000001</v>
      </c>
      <c r="D9">
        <v>22.901278000000001</v>
      </c>
      <c r="F9">
        <v>3.3989886999999999</v>
      </c>
      <c r="G9">
        <v>1.3953207999999999</v>
      </c>
      <c r="H9">
        <f>H8+1</f>
        <v>5</v>
      </c>
      <c r="I9">
        <f>AVERAGE(C11:C12)</f>
        <v>9.133988500000001</v>
      </c>
      <c r="J9">
        <f>D12-D11</f>
        <v>4.4882489999999997</v>
      </c>
      <c r="K9">
        <f>($I$4-I9)/$I$2</f>
        <v>0.18844518067454549</v>
      </c>
      <c r="L9">
        <f>K9*$I$2</f>
        <v>5.2984779999999994</v>
      </c>
      <c r="M9">
        <f>G12-G11</f>
        <v>4.4922898999999994</v>
      </c>
      <c r="N9">
        <f>(G12+G11)/2-$G$4</f>
        <v>0.70608305000000016</v>
      </c>
    </row>
    <row r="10" spans="2:14" x14ac:dyDescent="0.2">
      <c r="B10">
        <f t="shared" si="0"/>
        <v>3</v>
      </c>
      <c r="C10">
        <v>11.011516</v>
      </c>
      <c r="D10">
        <v>27.078510000000001</v>
      </c>
      <c r="F10">
        <v>3.3902939999999999</v>
      </c>
      <c r="G10">
        <v>5.0948539999999998</v>
      </c>
      <c r="H10">
        <f>H9+1</f>
        <v>6</v>
      </c>
      <c r="I10">
        <f>AVERAGE(C13:C14)</f>
        <v>6.2028052500000008</v>
      </c>
      <c r="J10">
        <f>D14-D13</f>
        <v>4.9251170000000002</v>
      </c>
      <c r="K10">
        <f>($I$4-I10)/$I$2</f>
        <v>0.29269537424644509</v>
      </c>
      <c r="L10">
        <f>K10*$I$2</f>
        <v>8.2296612499999995</v>
      </c>
      <c r="M10">
        <f>G14-G13</f>
        <v>5.7804424999999995</v>
      </c>
      <c r="N10">
        <f>(G14+G13)/2-$G$4</f>
        <v>1.3902552500000001</v>
      </c>
    </row>
    <row r="11" spans="2:14" x14ac:dyDescent="0.2">
      <c r="B11">
        <f t="shared" si="0"/>
        <v>4</v>
      </c>
      <c r="C11">
        <v>9.06325</v>
      </c>
      <c r="D11">
        <v>22.908740999999999</v>
      </c>
      <c r="F11">
        <v>5.2818639999999997</v>
      </c>
      <c r="G11">
        <v>1.3667141</v>
      </c>
      <c r="H11" t="s">
        <v>93</v>
      </c>
      <c r="L11">
        <f>G40</f>
        <v>9.2126959999999993</v>
      </c>
      <c r="M11">
        <v>6.3752434999999998</v>
      </c>
      <c r="N11">
        <v>1.6237662500000001</v>
      </c>
    </row>
    <row r="12" spans="2:14" x14ac:dyDescent="0.2">
      <c r="B12">
        <f t="shared" si="0"/>
        <v>4</v>
      </c>
      <c r="C12">
        <v>9.2047270000000001</v>
      </c>
      <c r="D12">
        <v>27.396989999999999</v>
      </c>
      <c r="F12">
        <v>5.2713064999999997</v>
      </c>
      <c r="G12">
        <v>5.8590039999999997</v>
      </c>
      <c r="H12" t="s">
        <v>94</v>
      </c>
      <c r="L12">
        <f>G42</f>
        <v>13.8039255</v>
      </c>
      <c r="M12">
        <v>5.9793307999999996</v>
      </c>
      <c r="N12">
        <v>1.5026636</v>
      </c>
    </row>
    <row r="13" spans="2:14" x14ac:dyDescent="0.2">
      <c r="B13">
        <f t="shared" si="0"/>
        <v>5</v>
      </c>
      <c r="C13">
        <v>6.1935935000000004</v>
      </c>
      <c r="D13">
        <v>22.420722999999999</v>
      </c>
      <c r="F13">
        <v>8.2876580000000004</v>
      </c>
      <c r="G13">
        <v>1.4068099999999999</v>
      </c>
      <c r="H13">
        <v>9</v>
      </c>
      <c r="I13">
        <f>AVERAGE(C15:C16)</f>
        <v>-0.96667045000000007</v>
      </c>
      <c r="J13">
        <f>D16-D15</f>
        <v>4.6757449999999992</v>
      </c>
      <c r="K13">
        <f t="shared" ref="K13:K20" si="1">($I$4-I13)/$I$2</f>
        <v>0.54768428684139481</v>
      </c>
      <c r="L13">
        <f t="shared" ref="L13:L20" si="2">K13*$I$2</f>
        <v>15.399136950000001</v>
      </c>
      <c r="M13">
        <f>G16-G15</f>
        <v>5.7143796</v>
      </c>
      <c r="N13">
        <f>(G16+G15)/2-$G$4</f>
        <v>1.3740695000000001</v>
      </c>
    </row>
    <row r="14" spans="2:14" x14ac:dyDescent="0.2">
      <c r="B14">
        <f t="shared" si="0"/>
        <v>5</v>
      </c>
      <c r="C14">
        <v>6.2120170000000003</v>
      </c>
      <c r="D14">
        <v>27.345839999999999</v>
      </c>
      <c r="F14">
        <v>8.2410399999999999</v>
      </c>
      <c r="G14">
        <v>7.1872524999999996</v>
      </c>
      <c r="H14">
        <f t="shared" ref="H14:H19" si="3">H13+1</f>
        <v>10</v>
      </c>
      <c r="I14">
        <f>AVERAGE(C17:C18)</f>
        <v>-2.61841715</v>
      </c>
      <c r="J14">
        <f>D18-D17</f>
        <v>4.1144220000000011</v>
      </c>
      <c r="K14">
        <f t="shared" si="1"/>
        <v>0.60643015788400056</v>
      </c>
      <c r="L14">
        <f t="shared" si="2"/>
        <v>17.050883649999999</v>
      </c>
      <c r="M14">
        <f>G18-G17</f>
        <v>5.2189843000000007</v>
      </c>
      <c r="N14">
        <f>(G18+G17)/2-$G$4</f>
        <v>1.2952558500000002</v>
      </c>
    </row>
    <row r="15" spans="2:14" x14ac:dyDescent="0.2">
      <c r="B15">
        <f t="shared" si="0"/>
        <v>6</v>
      </c>
      <c r="C15">
        <v>-0.97541560000000005</v>
      </c>
      <c r="D15">
        <v>22.572227000000002</v>
      </c>
      <c r="F15">
        <v>15.4555025</v>
      </c>
      <c r="G15">
        <v>1.4236557000000001</v>
      </c>
      <c r="H15">
        <f t="shared" si="3"/>
        <v>11</v>
      </c>
      <c r="I15">
        <f>AVERAGE(C19:C20)</f>
        <v>-4.7382048499999998</v>
      </c>
      <c r="J15">
        <f>D20-D19</f>
        <v>3.4286460000000005</v>
      </c>
      <c r="K15">
        <f t="shared" si="1"/>
        <v>0.68182233203630982</v>
      </c>
      <c r="L15">
        <f t="shared" si="2"/>
        <v>19.170671349999999</v>
      </c>
      <c r="M15">
        <f>G20-G19</f>
        <v>4.1950062999999993</v>
      </c>
      <c r="N15">
        <f>(G20+G19)/2-$G$4</f>
        <v>1.6141013500000003</v>
      </c>
    </row>
    <row r="16" spans="2:14" x14ac:dyDescent="0.2">
      <c r="B16">
        <f t="shared" si="0"/>
        <v>6</v>
      </c>
      <c r="C16">
        <v>-0.95792529999999998</v>
      </c>
      <c r="D16">
        <v>27.247972000000001</v>
      </c>
      <c r="F16">
        <v>15.409041</v>
      </c>
      <c r="G16">
        <v>7.1380353000000003</v>
      </c>
      <c r="H16">
        <f t="shared" si="3"/>
        <v>12</v>
      </c>
      <c r="I16">
        <f>AVERAGE(C21:C22)</f>
        <v>-6.6086197499999999</v>
      </c>
      <c r="J16">
        <f>D22-D21</f>
        <v>2.8680249999999994</v>
      </c>
      <c r="K16">
        <f t="shared" si="1"/>
        <v>0.74834533614557708</v>
      </c>
      <c r="L16">
        <f t="shared" si="2"/>
        <v>21.041086249999999</v>
      </c>
      <c r="M16">
        <f>G22-G21</f>
        <v>3.2370138000000002</v>
      </c>
      <c r="N16">
        <f>(G22+G21)/2-$G$4</f>
        <v>1.9653186000000007</v>
      </c>
    </row>
    <row r="17" spans="2:14" x14ac:dyDescent="0.2">
      <c r="B17">
        <f t="shared" si="0"/>
        <v>7</v>
      </c>
      <c r="C17">
        <v>-2.6572844999999998</v>
      </c>
      <c r="D17">
        <v>22.952583000000001</v>
      </c>
      <c r="F17">
        <v>17.040628000000002</v>
      </c>
      <c r="G17">
        <v>1.5925396999999999</v>
      </c>
      <c r="H17">
        <f t="shared" si="3"/>
        <v>13</v>
      </c>
      <c r="I17">
        <f>AVERAGE(C23:C24)</f>
        <v>-8.5413774999999994</v>
      </c>
      <c r="J17">
        <f>D24-D23</f>
        <v>2.4311529999999983</v>
      </c>
      <c r="K17">
        <f t="shared" si="1"/>
        <v>0.81708562031753706</v>
      </c>
      <c r="L17">
        <f t="shared" si="2"/>
        <v>22.973844</v>
      </c>
      <c r="M17">
        <f>G24-G23</f>
        <v>2.4113028000000001</v>
      </c>
      <c r="N17">
        <f>(G24+G23)/2-$G$4</f>
        <v>2.2175966000000003</v>
      </c>
    </row>
    <row r="18" spans="2:14" x14ac:dyDescent="0.2">
      <c r="B18">
        <f t="shared" si="0"/>
        <v>7</v>
      </c>
      <c r="C18">
        <v>-2.5795498000000001</v>
      </c>
      <c r="D18">
        <v>27.067005000000002</v>
      </c>
      <c r="F18">
        <v>17.028362000000001</v>
      </c>
      <c r="G18">
        <v>6.8115240000000004</v>
      </c>
      <c r="H18">
        <f t="shared" si="3"/>
        <v>14</v>
      </c>
      <c r="I18">
        <f>AVERAGE(C25:C26)</f>
        <v>-10.7232755</v>
      </c>
      <c r="J18">
        <f>D26-D25</f>
        <v>1.7458449999999992</v>
      </c>
      <c r="K18">
        <f t="shared" si="1"/>
        <v>0.89468680368065179</v>
      </c>
      <c r="L18">
        <f t="shared" si="2"/>
        <v>25.155742</v>
      </c>
      <c r="M18">
        <f>G26-G25</f>
        <v>1.8168123999999999</v>
      </c>
      <c r="N18">
        <f>(G26+G25)/2-$G$4</f>
        <v>2.3217758000000002</v>
      </c>
    </row>
    <row r="19" spans="2:14" x14ac:dyDescent="0.2">
      <c r="B19">
        <f t="shared" si="0"/>
        <v>8</v>
      </c>
      <c r="C19">
        <v>-4.7757896999999998</v>
      </c>
      <c r="D19">
        <v>23.272227999999998</v>
      </c>
      <c r="F19">
        <v>19.185738000000001</v>
      </c>
      <c r="G19">
        <v>2.4233742</v>
      </c>
      <c r="H19">
        <f t="shared" si="3"/>
        <v>15</v>
      </c>
      <c r="I19">
        <f>AVERAGE(C27:C28)</f>
        <v>-12.188458499999999</v>
      </c>
      <c r="J19">
        <f>D28-D27</f>
        <v>1.4338960000000007</v>
      </c>
      <c r="K19">
        <f t="shared" si="1"/>
        <v>0.94679736734747699</v>
      </c>
      <c r="L19">
        <f t="shared" si="2"/>
        <v>26.620925</v>
      </c>
      <c r="M19">
        <f>G28-G27</f>
        <v>1.5196065000000001</v>
      </c>
      <c r="N19">
        <f>(G28+G27)/2-$G$4</f>
        <v>2.2093872499999998</v>
      </c>
    </row>
    <row r="20" spans="2:14" x14ac:dyDescent="0.2">
      <c r="B20">
        <f t="shared" si="0"/>
        <v>8</v>
      </c>
      <c r="C20">
        <v>-4.7006199999999998</v>
      </c>
      <c r="D20">
        <v>26.700873999999999</v>
      </c>
      <c r="F20">
        <v>19.175878999999998</v>
      </c>
      <c r="G20">
        <v>6.6183804999999998</v>
      </c>
      <c r="H20" t="s">
        <v>55</v>
      </c>
      <c r="I20">
        <f>C29</f>
        <v>-13.684347000000001</v>
      </c>
      <c r="J20">
        <f>0</f>
        <v>0</v>
      </c>
      <c r="K20">
        <f t="shared" si="1"/>
        <v>1</v>
      </c>
      <c r="L20">
        <f t="shared" si="2"/>
        <v>28.116813499999999</v>
      </c>
      <c r="M20">
        <v>0</v>
      </c>
      <c r="N20">
        <f>G29-$G$4</f>
        <v>2.0809097000000003</v>
      </c>
    </row>
    <row r="21" spans="2:14" x14ac:dyDescent="0.2">
      <c r="B21">
        <f t="shared" si="0"/>
        <v>9</v>
      </c>
      <c r="C21">
        <v>-6.5828119999999997</v>
      </c>
      <c r="D21">
        <v>23.528364</v>
      </c>
      <c r="F21">
        <v>21.066595</v>
      </c>
      <c r="G21">
        <v>3.2535877000000002</v>
      </c>
    </row>
    <row r="22" spans="2:14" x14ac:dyDescent="0.2">
      <c r="B22">
        <f t="shared" si="0"/>
        <v>9</v>
      </c>
      <c r="C22">
        <v>-6.6344275000000001</v>
      </c>
      <c r="D22">
        <v>26.396388999999999</v>
      </c>
      <c r="F22">
        <v>21.025956999999998</v>
      </c>
      <c r="G22">
        <v>6.4906015000000004</v>
      </c>
    </row>
    <row r="23" spans="2:14" x14ac:dyDescent="0.2">
      <c r="B23">
        <f t="shared" si="0"/>
        <v>10</v>
      </c>
      <c r="C23">
        <v>-8.5770970000000002</v>
      </c>
      <c r="D23">
        <v>23.722857000000001</v>
      </c>
      <c r="F23">
        <v>22.980872999999999</v>
      </c>
      <c r="G23">
        <v>3.9187211999999998</v>
      </c>
    </row>
    <row r="24" spans="2:14" x14ac:dyDescent="0.2">
      <c r="B24">
        <f t="shared" si="0"/>
        <v>10</v>
      </c>
      <c r="C24">
        <v>-8.5056580000000004</v>
      </c>
      <c r="D24">
        <v>26.15401</v>
      </c>
      <c r="F24">
        <v>22.975206</v>
      </c>
      <c r="G24">
        <v>6.3300239999999999</v>
      </c>
    </row>
    <row r="25" spans="2:14" x14ac:dyDescent="0.2">
      <c r="B25">
        <f t="shared" si="0"/>
        <v>11</v>
      </c>
      <c r="C25">
        <v>-10.695368999999999</v>
      </c>
      <c r="D25">
        <v>24.104845000000001</v>
      </c>
      <c r="F25">
        <v>25.126991</v>
      </c>
      <c r="G25">
        <v>4.3201456</v>
      </c>
    </row>
    <row r="26" spans="2:14" x14ac:dyDescent="0.2">
      <c r="B26">
        <f t="shared" si="0"/>
        <v>11</v>
      </c>
      <c r="C26">
        <v>-10.751182</v>
      </c>
      <c r="D26">
        <v>25.85069</v>
      </c>
      <c r="F26">
        <v>25.155754000000002</v>
      </c>
      <c r="G26">
        <v>6.1369579999999999</v>
      </c>
    </row>
    <row r="27" spans="2:14" x14ac:dyDescent="0.2">
      <c r="B27">
        <f t="shared" si="0"/>
        <v>12</v>
      </c>
      <c r="C27">
        <v>-12.191140000000001</v>
      </c>
      <c r="D27">
        <v>24.235128</v>
      </c>
      <c r="F27">
        <v>26.481207000000001</v>
      </c>
      <c r="G27">
        <v>4.3563599999999996</v>
      </c>
    </row>
    <row r="28" spans="2:14" x14ac:dyDescent="0.2">
      <c r="B28">
        <f t="shared" si="0"/>
        <v>12</v>
      </c>
      <c r="C28">
        <v>-12.185777</v>
      </c>
      <c r="D28">
        <v>25.669024</v>
      </c>
      <c r="F28">
        <v>26.543700000000001</v>
      </c>
      <c r="G28">
        <v>5.8759664999999996</v>
      </c>
    </row>
    <row r="29" spans="2:14" x14ac:dyDescent="0.2">
      <c r="B29" t="s">
        <v>55</v>
      </c>
      <c r="C29">
        <v>-13.684347000000001</v>
      </c>
      <c r="D29">
        <v>25.051188</v>
      </c>
      <c r="F29">
        <v>28.065246999999999</v>
      </c>
      <c r="G29">
        <v>4.9876857000000001</v>
      </c>
    </row>
    <row r="33" spans="2:12" x14ac:dyDescent="0.2">
      <c r="B33" t="s">
        <v>62</v>
      </c>
      <c r="C33">
        <v>7.397017</v>
      </c>
    </row>
    <row r="36" spans="2:12" x14ac:dyDescent="0.2">
      <c r="B36" t="s">
        <v>61</v>
      </c>
      <c r="C36">
        <f>D2-'Top View Wing'!H6</f>
        <v>11.4984188</v>
      </c>
    </row>
    <row r="38" spans="2:12" x14ac:dyDescent="0.2">
      <c r="G38">
        <v>2.2410214000000002</v>
      </c>
      <c r="H38">
        <v>2.1853609999999999</v>
      </c>
      <c r="J38" t="s">
        <v>91</v>
      </c>
      <c r="K38" t="s">
        <v>84</v>
      </c>
      <c r="L38" t="s">
        <v>86</v>
      </c>
    </row>
    <row r="39" spans="2:12" x14ac:dyDescent="0.2">
      <c r="G39">
        <v>2.2685412999999999</v>
      </c>
      <c r="H39">
        <v>4.5306782999999999</v>
      </c>
      <c r="K39">
        <f>H39-H38</f>
        <v>2.3453173</v>
      </c>
      <c r="L39">
        <f>(H38+H39)/2-G4</f>
        <v>0.45124365000000033</v>
      </c>
    </row>
    <row r="40" spans="2:12" x14ac:dyDescent="0.2">
      <c r="G40">
        <v>9.2126959999999993</v>
      </c>
      <c r="H40">
        <v>1.3429205</v>
      </c>
      <c r="K40">
        <f>H41-H40</f>
        <v>6.3752434999999998</v>
      </c>
      <c r="L40">
        <f>(H40+H41)/2-G4</f>
        <v>1.6237662500000001</v>
      </c>
    </row>
    <row r="41" spans="2:12" x14ac:dyDescent="0.2">
      <c r="C41">
        <v>25.003508</v>
      </c>
      <c r="G41">
        <v>9.2637769999999993</v>
      </c>
      <c r="H41">
        <v>7.7181639999999998</v>
      </c>
      <c r="K41">
        <f>H43-H42</f>
        <v>5.9793307999999996</v>
      </c>
      <c r="L41">
        <f>(H42+H43)/2-G4</f>
        <v>1.5026636</v>
      </c>
    </row>
    <row r="42" spans="2:12" x14ac:dyDescent="0.2">
      <c r="G42">
        <v>13.8039255</v>
      </c>
      <c r="H42">
        <v>1.4197742</v>
      </c>
    </row>
    <row r="43" spans="2:12" x14ac:dyDescent="0.2">
      <c r="G43">
        <v>14.054126999999999</v>
      </c>
      <c r="H43">
        <v>7.3991049999999996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0E7C-21FE-904C-B8C3-98881B61F538}">
  <dimension ref="A2:N23"/>
  <sheetViews>
    <sheetView workbookViewId="0">
      <selection activeCell="N8" sqref="N8"/>
    </sheetView>
  </sheetViews>
  <sheetFormatPr baseColWidth="10" defaultRowHeight="16" x14ac:dyDescent="0.2"/>
  <sheetData>
    <row r="2" spans="1:14" x14ac:dyDescent="0.2">
      <c r="D2" t="s">
        <v>134</v>
      </c>
      <c r="E2">
        <f>3/D7</f>
        <v>1.0089797855608533</v>
      </c>
      <c r="H2" t="s">
        <v>103</v>
      </c>
      <c r="I2">
        <v>3</v>
      </c>
    </row>
    <row r="6" spans="1:14" x14ac:dyDescent="0.2">
      <c r="A6" t="s">
        <v>3</v>
      </c>
      <c r="B6" t="s">
        <v>0</v>
      </c>
      <c r="C6" t="s">
        <v>1</v>
      </c>
      <c r="D6" t="s">
        <v>131</v>
      </c>
      <c r="E6" t="s">
        <v>132</v>
      </c>
      <c r="F6" t="s">
        <v>133</v>
      </c>
      <c r="H6" t="s">
        <v>52</v>
      </c>
      <c r="I6" t="s">
        <v>101</v>
      </c>
      <c r="J6" t="s">
        <v>6</v>
      </c>
      <c r="K6" t="s">
        <v>107</v>
      </c>
      <c r="L6" t="s">
        <v>135</v>
      </c>
      <c r="M6" t="s">
        <v>136</v>
      </c>
      <c r="N6" t="s">
        <v>137</v>
      </c>
    </row>
    <row r="7" spans="1:14" x14ac:dyDescent="0.2">
      <c r="A7" t="s">
        <v>2</v>
      </c>
      <c r="B7">
        <v>3.6948004000000001</v>
      </c>
      <c r="C7">
        <v>-0.13897080000000001</v>
      </c>
      <c r="D7">
        <f>B7-1.443/2</f>
        <v>2.9733004000000003</v>
      </c>
      <c r="E7">
        <f>D7*$E$2</f>
        <v>2.9999999999999996</v>
      </c>
      <c r="F7">
        <f>C7*$E$2</f>
        <v>-0.14021872798322024</v>
      </c>
      <c r="H7">
        <v>-1</v>
      </c>
      <c r="I7">
        <f>0</f>
        <v>0</v>
      </c>
      <c r="J7">
        <v>0</v>
      </c>
      <c r="K7">
        <v>0</v>
      </c>
      <c r="L7">
        <f>0.05</f>
        <v>0.05</v>
      </c>
      <c r="M7">
        <f>ATAN((L8-L7)/($I$2*(I8-I7)))*180/PI()</f>
        <v>4.6755484266927381</v>
      </c>
      <c r="N7">
        <v>0</v>
      </c>
    </row>
    <row r="8" spans="1:14" x14ac:dyDescent="0.2">
      <c r="A8" t="s">
        <v>129</v>
      </c>
      <c r="B8">
        <v>1.3567495000000001</v>
      </c>
      <c r="C8">
        <v>-0.105653435</v>
      </c>
      <c r="D8">
        <f t="shared" ref="D8:D23" si="0">B8-1.443/2</f>
        <v>0.63524950000000002</v>
      </c>
      <c r="E8">
        <f t="shared" ref="E8:E23" si="1">D8*$E$2</f>
        <v>0.64095390428763932</v>
      </c>
      <c r="F8">
        <f t="shared" ref="F8:F23" si="2">C8*$E$2</f>
        <v>-0.10660218019006756</v>
      </c>
      <c r="H8">
        <v>0</v>
      </c>
      <c r="I8">
        <f>AVERAGE(E8:E9)/I2</f>
        <v>0.21506373859836023</v>
      </c>
      <c r="J8">
        <f>C9-C8</f>
        <v>0.207506001</v>
      </c>
      <c r="K8">
        <f>J8/$I$2</f>
        <v>6.9168667000000003E-2</v>
      </c>
      <c r="L8">
        <f>F9</f>
        <v>0.10276718020150266</v>
      </c>
      <c r="M8">
        <f t="shared" ref="M8:M15" si="3">ATAN((L9-L8)/($I$2*(I9-I8)))*180/PI()</f>
        <v>10.125849417771304</v>
      </c>
      <c r="N8">
        <f>M8-M7</f>
        <v>5.4503009910785662</v>
      </c>
    </row>
    <row r="9" spans="1:14" x14ac:dyDescent="0.2">
      <c r="A9" t="s">
        <v>130</v>
      </c>
      <c r="B9">
        <v>1.3651487</v>
      </c>
      <c r="C9">
        <v>0.10185256600000001</v>
      </c>
      <c r="D9">
        <f t="shared" si="0"/>
        <v>0.64364869999999996</v>
      </c>
      <c r="E9">
        <f t="shared" si="1"/>
        <v>0.64942852730252199</v>
      </c>
      <c r="F9">
        <f t="shared" si="2"/>
        <v>0.10276718020150266</v>
      </c>
      <c r="H9">
        <v>1</v>
      </c>
      <c r="I9">
        <f>AVERAGE(E10:E11)/I2</f>
        <v>0.31659954372588783</v>
      </c>
      <c r="J9">
        <f>C11-C10</f>
        <v>0.30655443999999998</v>
      </c>
      <c r="K9">
        <f t="shared" ref="K9:K15" si="4">J9/$I$2</f>
        <v>0.10218481333333333</v>
      </c>
      <c r="L9">
        <f>F11</f>
        <v>0.15716782266601784</v>
      </c>
      <c r="M9">
        <f t="shared" si="3"/>
        <v>11.307618835490075</v>
      </c>
      <c r="N9">
        <f t="shared" ref="N9:N15" si="5">M9-M8</f>
        <v>1.1817694177187708</v>
      </c>
    </row>
    <row r="10" spans="1:14" x14ac:dyDescent="0.2">
      <c r="A10" t="s">
        <v>129</v>
      </c>
      <c r="B10">
        <v>1.6635034</v>
      </c>
      <c r="C10">
        <v>-0.15078538999999999</v>
      </c>
      <c r="D10">
        <f t="shared" si="0"/>
        <v>0.94200339999999994</v>
      </c>
      <c r="E10">
        <f t="shared" si="1"/>
        <v>0.95046238852959464</v>
      </c>
      <c r="F10">
        <f t="shared" si="2"/>
        <v>-0.15213941046790963</v>
      </c>
      <c r="H10">
        <v>2</v>
      </c>
      <c r="I10">
        <f>AVERAGE(E12:E13)/I2</f>
        <v>0.41238281876933786</v>
      </c>
      <c r="J10">
        <f>C13-C12</f>
        <v>0.37774757999999997</v>
      </c>
      <c r="K10">
        <f t="shared" si="4"/>
        <v>0.12591585999999999</v>
      </c>
      <c r="L10">
        <f>F13</f>
        <v>0.21462572029385252</v>
      </c>
      <c r="M10">
        <f t="shared" si="3"/>
        <v>10.405696385912266</v>
      </c>
      <c r="N10">
        <f t="shared" si="5"/>
        <v>-0.90192244957780865</v>
      </c>
    </row>
    <row r="11" spans="1:14" x14ac:dyDescent="0.2">
      <c r="A11" t="s">
        <v>130</v>
      </c>
      <c r="B11">
        <v>1.6621877</v>
      </c>
      <c r="C11">
        <v>0.15576904999999999</v>
      </c>
      <c r="D11">
        <f t="shared" si="0"/>
        <v>0.94068770000000002</v>
      </c>
      <c r="E11">
        <f t="shared" si="1"/>
        <v>0.94913487382573236</v>
      </c>
      <c r="F11">
        <f t="shared" si="2"/>
        <v>0.15716782266601784</v>
      </c>
      <c r="H11">
        <v>3</v>
      </c>
      <c r="I11">
        <f>AVERAGE(E14:E15)/I2</f>
        <v>0.52273954559048252</v>
      </c>
      <c r="J11">
        <f>C15-C14</f>
        <v>0.44589736999999996</v>
      </c>
      <c r="K11">
        <f t="shared" si="4"/>
        <v>0.14863245666666666</v>
      </c>
      <c r="L11">
        <f>F15</f>
        <v>0.27542249346887376</v>
      </c>
      <c r="M11">
        <f t="shared" si="3"/>
        <v>2.1982470067812945</v>
      </c>
      <c r="N11">
        <f t="shared" si="5"/>
        <v>-8.2074493791309724</v>
      </c>
    </row>
    <row r="12" spans="1:14" x14ac:dyDescent="0.2">
      <c r="A12" t="s">
        <v>129</v>
      </c>
      <c r="B12">
        <v>1.9515452</v>
      </c>
      <c r="C12">
        <v>-0.16503200000000001</v>
      </c>
      <c r="D12">
        <f t="shared" si="0"/>
        <v>1.2300451999999999</v>
      </c>
      <c r="E12">
        <f t="shared" si="1"/>
        <v>1.241090742126157</v>
      </c>
      <c r="F12">
        <f t="shared" si="2"/>
        <v>-0.16651395197067875</v>
      </c>
      <c r="H12">
        <v>4</v>
      </c>
      <c r="I12">
        <f>AVERAGE(E16:E17)/I2</f>
        <v>0.61437947877718635</v>
      </c>
      <c r="J12">
        <f>C17-C16</f>
        <v>0.45518689000000001</v>
      </c>
      <c r="K12">
        <f t="shared" si="4"/>
        <v>0.15172896333333333</v>
      </c>
      <c r="L12">
        <f>F17</f>
        <v>0.28597542313585261</v>
      </c>
      <c r="M12">
        <f t="shared" si="3"/>
        <v>-0.3858422864456279</v>
      </c>
      <c r="N12">
        <f t="shared" si="5"/>
        <v>-2.5840892932269224</v>
      </c>
    </row>
    <row r="13" spans="1:14" x14ac:dyDescent="0.2">
      <c r="A13" t="s">
        <v>130</v>
      </c>
      <c r="B13">
        <v>1.9437308</v>
      </c>
      <c r="C13">
        <v>0.21271557999999999</v>
      </c>
      <c r="D13">
        <f t="shared" si="0"/>
        <v>1.2222308</v>
      </c>
      <c r="E13">
        <f t="shared" si="1"/>
        <v>1.2332061704898702</v>
      </c>
      <c r="F13">
        <f t="shared" si="2"/>
        <v>0.21462572029385252</v>
      </c>
      <c r="H13">
        <v>5</v>
      </c>
      <c r="I13">
        <f>AVERAGE(E18:E19)/I2</f>
        <v>0.70862735564828883</v>
      </c>
      <c r="J13">
        <f>C19-C18</f>
        <v>0.44591065000000002</v>
      </c>
      <c r="K13">
        <f t="shared" si="4"/>
        <v>0.14863688333333333</v>
      </c>
      <c r="L13">
        <f>F19</f>
        <v>0.28407133702332932</v>
      </c>
      <c r="M13">
        <f t="shared" si="3"/>
        <v>-7.8409055131439631</v>
      </c>
      <c r="N13">
        <f t="shared" si="5"/>
        <v>-7.4550632266983357</v>
      </c>
    </row>
    <row r="14" spans="1:14" x14ac:dyDescent="0.2">
      <c r="A14" t="s">
        <v>129</v>
      </c>
      <c r="B14">
        <v>2.2767186000000001</v>
      </c>
      <c r="C14">
        <v>-0.1729261</v>
      </c>
      <c r="D14">
        <f t="shared" si="0"/>
        <v>1.5552186000000001</v>
      </c>
      <c r="E14">
        <f t="shared" si="1"/>
        <v>1.5691841295282507</v>
      </c>
      <c r="F14">
        <f t="shared" si="2"/>
        <v>-0.17447893929587469</v>
      </c>
      <c r="H14">
        <v>6</v>
      </c>
      <c r="I14">
        <f>AVERAGE(E20:E21)/I2</f>
        <v>0.88467519124539162</v>
      </c>
      <c r="J14">
        <f>C21-C20</f>
        <v>0.35918181999999998</v>
      </c>
      <c r="K14">
        <f t="shared" si="4"/>
        <v>0.11972727333333333</v>
      </c>
      <c r="L14">
        <f>F21</f>
        <v>0.2113405022916621</v>
      </c>
      <c r="M14">
        <f t="shared" si="3"/>
        <v>-12.512580180836563</v>
      </c>
      <c r="N14">
        <f t="shared" si="5"/>
        <v>-4.6716746676926002</v>
      </c>
    </row>
    <row r="15" spans="1:14" x14ac:dyDescent="0.2">
      <c r="A15" t="s">
        <v>130</v>
      </c>
      <c r="B15">
        <v>2.2748048000000001</v>
      </c>
      <c r="C15">
        <v>0.27297126999999999</v>
      </c>
      <c r="D15">
        <f t="shared" si="0"/>
        <v>1.5533048</v>
      </c>
      <c r="E15">
        <f t="shared" si="1"/>
        <v>1.5672531440146442</v>
      </c>
      <c r="F15">
        <f t="shared" si="2"/>
        <v>0.27542249346887376</v>
      </c>
      <c r="H15">
        <v>7</v>
      </c>
      <c r="I15">
        <v>1</v>
      </c>
      <c r="J15">
        <f>C23-C22</f>
        <v>0.27233335000000003</v>
      </c>
      <c r="K15">
        <f t="shared" si="4"/>
        <v>9.0777783333333348E-2</v>
      </c>
      <c r="L15">
        <f>F23</f>
        <v>0.13456011710084859</v>
      </c>
      <c r="M15">
        <f t="shared" si="3"/>
        <v>2.5681876085229098</v>
      </c>
      <c r="N15">
        <f t="shared" si="5"/>
        <v>15.080767789359474</v>
      </c>
    </row>
    <row r="16" spans="1:14" x14ac:dyDescent="0.2">
      <c r="A16" t="s">
        <v>129</v>
      </c>
      <c r="B16">
        <v>2.5492115000000002</v>
      </c>
      <c r="C16">
        <v>-0.17175661</v>
      </c>
      <c r="D16">
        <f t="shared" si="0"/>
        <v>1.8277115000000002</v>
      </c>
      <c r="E16">
        <f t="shared" si="1"/>
        <v>1.8441239573371058</v>
      </c>
      <c r="F16">
        <f t="shared" si="2"/>
        <v>-0.17329894752645911</v>
      </c>
    </row>
    <row r="17" spans="1:9" x14ac:dyDescent="0.2">
      <c r="A17" t="s">
        <v>130</v>
      </c>
      <c r="B17">
        <v>2.5472579999999998</v>
      </c>
      <c r="C17">
        <v>0.28343027999999998</v>
      </c>
      <c r="D17">
        <f t="shared" si="0"/>
        <v>1.8257579999999998</v>
      </c>
      <c r="E17">
        <f t="shared" si="1"/>
        <v>1.8421529153260121</v>
      </c>
      <c r="F17">
        <f t="shared" si="2"/>
        <v>0.28597542313585261</v>
      </c>
      <c r="H17" t="s">
        <v>0</v>
      </c>
      <c r="I17">
        <f>'Top View Fuselage'!L19</f>
        <v>26.620925</v>
      </c>
    </row>
    <row r="18" spans="1:9" x14ac:dyDescent="0.2">
      <c r="A18" t="s">
        <v>129</v>
      </c>
      <c r="B18">
        <v>2.8278705999999998</v>
      </c>
      <c r="C18">
        <v>-0.16436750999999999</v>
      </c>
      <c r="D18">
        <f t="shared" si="0"/>
        <v>2.1063706</v>
      </c>
      <c r="E18">
        <f t="shared" si="1"/>
        <v>2.1252853562996861</v>
      </c>
      <c r="F18">
        <f t="shared" si="2"/>
        <v>-0.16584349499297141</v>
      </c>
      <c r="H18" t="s">
        <v>1</v>
      </c>
      <c r="I18">
        <v>0</v>
      </c>
    </row>
    <row r="19" spans="1:9" x14ac:dyDescent="0.2">
      <c r="A19" t="s">
        <v>130</v>
      </c>
      <c r="B19">
        <v>2.8290533999999998</v>
      </c>
      <c r="C19">
        <v>0.28154314000000003</v>
      </c>
      <c r="D19">
        <f t="shared" si="0"/>
        <v>2.1075533999999996</v>
      </c>
      <c r="E19">
        <f t="shared" si="1"/>
        <v>2.1264787775900471</v>
      </c>
      <c r="F19">
        <f t="shared" si="2"/>
        <v>0.28407133702332932</v>
      </c>
      <c r="H19" t="s">
        <v>104</v>
      </c>
      <c r="I19">
        <f>'Top View Fuselage'!M4+'Top View Fuselage'!M19</f>
        <v>1.5196065000000001</v>
      </c>
    </row>
    <row r="20" spans="1:9" x14ac:dyDescent="0.2">
      <c r="A20" t="s">
        <v>129</v>
      </c>
      <c r="B20">
        <v>3.3542242</v>
      </c>
      <c r="C20">
        <v>-0.14972221999999999</v>
      </c>
      <c r="D20">
        <f t="shared" si="0"/>
        <v>2.6327242000000002</v>
      </c>
      <c r="E20">
        <f t="shared" si="1"/>
        <v>2.6563654987568692</v>
      </c>
      <c r="F20">
        <f t="shared" si="2"/>
        <v>-0.15106669342929491</v>
      </c>
    </row>
    <row r="21" spans="1:9" x14ac:dyDescent="0.2">
      <c r="A21" t="s">
        <v>130</v>
      </c>
      <c r="B21">
        <v>3.349586</v>
      </c>
      <c r="C21">
        <v>0.2094596</v>
      </c>
      <c r="D21">
        <f t="shared" si="0"/>
        <v>2.6280859999999997</v>
      </c>
      <c r="E21">
        <f t="shared" si="1"/>
        <v>2.6516856487154805</v>
      </c>
      <c r="F21">
        <f t="shared" si="2"/>
        <v>0.2113405022916621</v>
      </c>
    </row>
    <row r="22" spans="1:9" x14ac:dyDescent="0.2">
      <c r="A22" t="s">
        <v>128</v>
      </c>
      <c r="B22">
        <v>3.6948004000000001</v>
      </c>
      <c r="C22">
        <v>-0.13897080000000001</v>
      </c>
      <c r="D22">
        <f t="shared" si="0"/>
        <v>2.9733004000000003</v>
      </c>
      <c r="E22">
        <f t="shared" si="1"/>
        <v>2.9999999999999996</v>
      </c>
      <c r="F22">
        <f t="shared" si="2"/>
        <v>-0.14021872798322024</v>
      </c>
    </row>
    <row r="23" spans="1:9" x14ac:dyDescent="0.2">
      <c r="A23" t="s">
        <v>127</v>
      </c>
      <c r="B23">
        <v>3.6564727000000001</v>
      </c>
      <c r="C23">
        <v>0.13336255</v>
      </c>
      <c r="D23">
        <f t="shared" si="0"/>
        <v>2.9349727000000003</v>
      </c>
      <c r="E23">
        <f t="shared" si="1"/>
        <v>2.9613281254729591</v>
      </c>
      <c r="F23">
        <f t="shared" si="2"/>
        <v>0.13456011710084859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F3F1-C08A-E048-95B1-1B06C880B6AE}">
  <dimension ref="A2:I34"/>
  <sheetViews>
    <sheetView tabSelected="1" workbookViewId="0">
      <selection activeCell="J17" sqref="J17"/>
    </sheetView>
  </sheetViews>
  <sheetFormatPr baseColWidth="10" defaultRowHeight="16" x14ac:dyDescent="0.2"/>
  <cols>
    <col min="1" max="1" width="12.83203125" bestFit="1" customWidth="1"/>
    <col min="5" max="5" width="12" bestFit="1" customWidth="1"/>
    <col min="6" max="7" width="12.1640625" bestFit="1" customWidth="1"/>
  </cols>
  <sheetData>
    <row r="2" spans="1:9" x14ac:dyDescent="0.2">
      <c r="F2" t="s">
        <v>60</v>
      </c>
      <c r="G2">
        <f>B4-B17</f>
        <v>31.460467000000001</v>
      </c>
    </row>
    <row r="3" spans="1:9" x14ac:dyDescent="0.2">
      <c r="B3" t="s">
        <v>0</v>
      </c>
      <c r="C3" t="s">
        <v>1</v>
      </c>
      <c r="E3" t="s">
        <v>78</v>
      </c>
      <c r="F3" t="s">
        <v>27</v>
      </c>
      <c r="G3" t="s">
        <v>77</v>
      </c>
      <c r="H3" t="s">
        <v>76</v>
      </c>
      <c r="I3" t="s">
        <v>57</v>
      </c>
    </row>
    <row r="4" spans="1:9" x14ac:dyDescent="0.2">
      <c r="A4" t="s">
        <v>2</v>
      </c>
      <c r="B4">
        <v>17.164867000000001</v>
      </c>
      <c r="C4">
        <v>16.352692000000001</v>
      </c>
      <c r="E4" t="s">
        <v>2</v>
      </c>
      <c r="F4">
        <v>0</v>
      </c>
      <c r="G4">
        <f>B4</f>
        <v>17.164867000000001</v>
      </c>
      <c r="H4">
        <v>0</v>
      </c>
      <c r="I4">
        <v>0</v>
      </c>
    </row>
    <row r="5" spans="1:9" x14ac:dyDescent="0.2">
      <c r="A5" t="s">
        <v>63</v>
      </c>
      <c r="B5">
        <v>13.664142</v>
      </c>
      <c r="C5">
        <v>14.992518</v>
      </c>
      <c r="E5" t="s">
        <v>65</v>
      </c>
      <c r="F5">
        <f t="shared" ref="F5:F10" si="0">F4+1</f>
        <v>1</v>
      </c>
      <c r="G5">
        <f>AVERAGE(B5:B6)</f>
        <v>13.606747500000001</v>
      </c>
      <c r="H5">
        <f>($B$4-G5)/$G$2</f>
        <v>0.11309811453212058</v>
      </c>
      <c r="I5">
        <f>C6-C5</f>
        <v>2.6845759999999999</v>
      </c>
    </row>
    <row r="6" spans="1:9" x14ac:dyDescent="0.2">
      <c r="A6" t="s">
        <v>64</v>
      </c>
      <c r="B6">
        <v>13.549353</v>
      </c>
      <c r="C6">
        <v>17.677094</v>
      </c>
      <c r="E6" t="s">
        <v>79</v>
      </c>
      <c r="F6">
        <f t="shared" si="0"/>
        <v>2</v>
      </c>
      <c r="G6">
        <f>AVERAGE(B8:B9)</f>
        <v>9.98644</v>
      </c>
      <c r="H6">
        <f t="shared" ref="H6:H10" si="1">($B$4-G6)/$G$2</f>
        <v>0.22817293208012457</v>
      </c>
      <c r="I6">
        <f>C9-C8</f>
        <v>1.2484230000000007</v>
      </c>
    </row>
    <row r="7" spans="1:9" x14ac:dyDescent="0.2">
      <c r="A7" t="s">
        <v>65</v>
      </c>
      <c r="B7">
        <v>13.544677</v>
      </c>
      <c r="C7">
        <v>16.42867</v>
      </c>
      <c r="E7" t="s">
        <v>80</v>
      </c>
      <c r="F7">
        <f t="shared" si="0"/>
        <v>3</v>
      </c>
      <c r="G7">
        <f>AVERAGE(B10:B11)</f>
        <v>-2.7161360000000001</v>
      </c>
      <c r="H7">
        <f t="shared" si="1"/>
        <v>0.63193604214457466</v>
      </c>
      <c r="I7">
        <f>C11-C10</f>
        <v>1.4354510000000005</v>
      </c>
    </row>
    <row r="8" spans="1:9" x14ac:dyDescent="0.2">
      <c r="A8" t="s">
        <v>66</v>
      </c>
      <c r="B8">
        <v>9.984102</v>
      </c>
      <c r="C8">
        <v>15.755364999999999</v>
      </c>
      <c r="E8" t="s">
        <v>72</v>
      </c>
      <c r="F8">
        <f t="shared" si="0"/>
        <v>4</v>
      </c>
      <c r="G8">
        <f>AVERAGE(B12:B13)</f>
        <v>-6.5867116499999998</v>
      </c>
      <c r="H8">
        <f t="shared" si="1"/>
        <v>0.75496586398415499</v>
      </c>
      <c r="I8">
        <f>C13-C12</f>
        <v>2.5594979999999996</v>
      </c>
    </row>
    <row r="9" spans="1:9" x14ac:dyDescent="0.2">
      <c r="A9" t="s">
        <v>67</v>
      </c>
      <c r="B9">
        <v>9.9887779999999999</v>
      </c>
      <c r="C9">
        <v>17.003788</v>
      </c>
      <c r="E9" t="s">
        <v>81</v>
      </c>
      <c r="F9">
        <f t="shared" si="0"/>
        <v>5</v>
      </c>
      <c r="G9">
        <f>AVERAGE(B15:B16)</f>
        <v>-8.989573</v>
      </c>
      <c r="H9">
        <f t="shared" si="1"/>
        <v>0.83134303123980968</v>
      </c>
      <c r="I9">
        <f>C16-C15</f>
        <v>1.373265</v>
      </c>
    </row>
    <row r="10" spans="1:9" x14ac:dyDescent="0.2">
      <c r="A10" t="s">
        <v>68</v>
      </c>
      <c r="B10">
        <v>-2.750035</v>
      </c>
      <c r="C10">
        <v>15.740637</v>
      </c>
      <c r="E10" t="s">
        <v>73</v>
      </c>
      <c r="F10">
        <f t="shared" si="0"/>
        <v>6</v>
      </c>
      <c r="G10">
        <f>B17</f>
        <v>-14.2956</v>
      </c>
      <c r="H10">
        <f t="shared" si="1"/>
        <v>1</v>
      </c>
      <c r="I10">
        <v>0</v>
      </c>
    </row>
    <row r="11" spans="1:9" x14ac:dyDescent="0.2">
      <c r="A11" t="s">
        <v>69</v>
      </c>
      <c r="B11">
        <v>-2.6822370000000002</v>
      </c>
      <c r="C11">
        <v>17.176088</v>
      </c>
    </row>
    <row r="12" spans="1:9" x14ac:dyDescent="0.2">
      <c r="A12" t="s">
        <v>70</v>
      </c>
      <c r="B12">
        <v>-6.5602936999999999</v>
      </c>
      <c r="C12">
        <v>15.068265999999999</v>
      </c>
    </row>
    <row r="13" spans="1:9" x14ac:dyDescent="0.2">
      <c r="A13" t="s">
        <v>71</v>
      </c>
      <c r="B13">
        <v>-6.6131295999999997</v>
      </c>
      <c r="C13">
        <v>17.627763999999999</v>
      </c>
    </row>
    <row r="14" spans="1:9" x14ac:dyDescent="0.2">
      <c r="A14" t="s">
        <v>72</v>
      </c>
      <c r="B14">
        <v>-6.6797585000000002</v>
      </c>
      <c r="C14">
        <v>16.50442</v>
      </c>
    </row>
    <row r="15" spans="1:9" x14ac:dyDescent="0.2">
      <c r="A15" t="s">
        <v>74</v>
      </c>
      <c r="B15">
        <v>-8.9921450000000007</v>
      </c>
      <c r="C15">
        <v>15.764015000000001</v>
      </c>
    </row>
    <row r="16" spans="1:9" x14ac:dyDescent="0.2">
      <c r="A16" t="s">
        <v>75</v>
      </c>
      <c r="B16">
        <v>-8.9870009999999994</v>
      </c>
      <c r="C16">
        <v>17.137280000000001</v>
      </c>
    </row>
    <row r="17" spans="1:6" x14ac:dyDescent="0.2">
      <c r="A17" t="s">
        <v>73</v>
      </c>
      <c r="B17">
        <v>-14.2956</v>
      </c>
      <c r="C17">
        <v>16.408097999999999</v>
      </c>
    </row>
    <row r="21" spans="1:6" x14ac:dyDescent="0.2">
      <c r="A21" t="s">
        <v>82</v>
      </c>
      <c r="B21">
        <f>'Top View Fuselage'!C4-Boom!B4</f>
        <v>-2.7324005000000007</v>
      </c>
    </row>
    <row r="22" spans="1:6" x14ac:dyDescent="0.2">
      <c r="B22" t="s">
        <v>83</v>
      </c>
    </row>
    <row r="25" spans="1:6" x14ac:dyDescent="0.2">
      <c r="A25" t="s">
        <v>78</v>
      </c>
      <c r="B25" t="s">
        <v>0</v>
      </c>
      <c r="C25" t="s">
        <v>1</v>
      </c>
      <c r="E25" t="s">
        <v>84</v>
      </c>
    </row>
    <row r="26" spans="1:6" x14ac:dyDescent="0.2">
      <c r="A26" t="s">
        <v>2</v>
      </c>
      <c r="B26">
        <v>-2.4595910000000001</v>
      </c>
      <c r="C26">
        <v>5.6476990000000002</v>
      </c>
      <c r="E26" t="s">
        <v>86</v>
      </c>
      <c r="F26">
        <f>C28-C27</f>
        <v>1.3831192999999997</v>
      </c>
    </row>
    <row r="27" spans="1:6" x14ac:dyDescent="0.2">
      <c r="A27" t="s">
        <v>87</v>
      </c>
      <c r="B27">
        <v>5.6666870000000001E-3</v>
      </c>
      <c r="C27">
        <v>4.2613487000000001</v>
      </c>
      <c r="E27" t="s">
        <v>85</v>
      </c>
      <c r="F27">
        <f>C30-C29</f>
        <v>1.4574820000000006</v>
      </c>
    </row>
    <row r="28" spans="1:6" x14ac:dyDescent="0.2">
      <c r="A28" t="s">
        <v>88</v>
      </c>
      <c r="B28">
        <v>-2.9874377000000001E-2</v>
      </c>
      <c r="C28">
        <v>5.6444679999999998</v>
      </c>
      <c r="F28">
        <f>C32-C31</f>
        <v>1.7568222999999996</v>
      </c>
    </row>
    <row r="29" spans="1:6" x14ac:dyDescent="0.2">
      <c r="A29" t="s">
        <v>89</v>
      </c>
      <c r="B29">
        <v>4.7905379999999997</v>
      </c>
      <c r="C29">
        <v>4.4045069999999997</v>
      </c>
    </row>
    <row r="30" spans="1:6" x14ac:dyDescent="0.2">
      <c r="A30" t="s">
        <v>90</v>
      </c>
      <c r="B30">
        <v>5.054138</v>
      </c>
      <c r="C30">
        <v>5.8619890000000003</v>
      </c>
    </row>
    <row r="31" spans="1:6" x14ac:dyDescent="0.2">
      <c r="B31">
        <v>17.798915999999998</v>
      </c>
      <c r="C31">
        <v>4.4245890000000001</v>
      </c>
    </row>
    <row r="32" spans="1:6" x14ac:dyDescent="0.2">
      <c r="B32">
        <v>17.838633000000002</v>
      </c>
      <c r="C32">
        <v>6.1814112999999997</v>
      </c>
    </row>
    <row r="33" spans="2:3" x14ac:dyDescent="0.2">
      <c r="B33">
        <v>24.489882000000001</v>
      </c>
      <c r="C33">
        <v>4.3409310000000003</v>
      </c>
    </row>
    <row r="34" spans="2:3" x14ac:dyDescent="0.2">
      <c r="B34">
        <v>24.454440000000002</v>
      </c>
      <c r="C34">
        <v>5.7988105000000001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33BA-B632-FE45-9EA6-A6722F720ECB}">
  <dimension ref="A4:I25"/>
  <sheetViews>
    <sheetView workbookViewId="0">
      <selection activeCell="F26" sqref="F26"/>
    </sheetView>
  </sheetViews>
  <sheetFormatPr baseColWidth="10" defaultRowHeight="16" x14ac:dyDescent="0.2"/>
  <cols>
    <col min="1" max="1" width="23.5" bestFit="1" customWidth="1"/>
    <col min="5" max="5" width="12.6640625" bestFit="1" customWidth="1"/>
  </cols>
  <sheetData>
    <row r="4" spans="1:9" x14ac:dyDescent="0.2">
      <c r="B4" t="s">
        <v>109</v>
      </c>
      <c r="E4" t="s">
        <v>117</v>
      </c>
      <c r="F4">
        <f>B13-B6</f>
        <v>12.504071700000001</v>
      </c>
    </row>
    <row r="5" spans="1:9" x14ac:dyDescent="0.2">
      <c r="B5" t="s">
        <v>0</v>
      </c>
      <c r="C5" t="s">
        <v>1</v>
      </c>
      <c r="E5" t="s">
        <v>118</v>
      </c>
      <c r="F5">
        <f>C8-C7</f>
        <v>0.29746161799999998</v>
      </c>
      <c r="I5">
        <v>21.446383999999998</v>
      </c>
    </row>
    <row r="6" spans="1:9" x14ac:dyDescent="0.2">
      <c r="A6" t="s">
        <v>110</v>
      </c>
      <c r="B6">
        <v>4.4144683000000002</v>
      </c>
      <c r="C6">
        <v>0.39597339999999998</v>
      </c>
      <c r="E6" t="s">
        <v>119</v>
      </c>
      <c r="F6">
        <f>B6</f>
        <v>4.4144683000000002</v>
      </c>
      <c r="I6">
        <v>28.740648</v>
      </c>
    </row>
    <row r="7" spans="1:9" x14ac:dyDescent="0.2">
      <c r="A7" t="s">
        <v>111</v>
      </c>
      <c r="B7">
        <v>5.3254346999999997</v>
      </c>
      <c r="C7">
        <v>1.8795651999999999E-2</v>
      </c>
      <c r="E7" t="s">
        <v>121</v>
      </c>
      <c r="F7">
        <f>AVERAGE((I6-25),(25-I5))</f>
        <v>3.6471320000000009</v>
      </c>
    </row>
    <row r="8" spans="1:9" x14ac:dyDescent="0.2">
      <c r="A8" t="s">
        <v>112</v>
      </c>
      <c r="B8">
        <v>5.2582297000000002</v>
      </c>
      <c r="C8">
        <v>0.31625726999999998</v>
      </c>
      <c r="E8" t="s">
        <v>120</v>
      </c>
      <c r="F8">
        <f>C6</f>
        <v>0.39597339999999998</v>
      </c>
    </row>
    <row r="9" spans="1:9" x14ac:dyDescent="0.2">
      <c r="A9" t="s">
        <v>113</v>
      </c>
      <c r="B9">
        <v>6.2672606000000002</v>
      </c>
      <c r="C9">
        <v>0.2702021</v>
      </c>
      <c r="E9" t="s">
        <v>122</v>
      </c>
    </row>
    <row r="10" spans="1:9" x14ac:dyDescent="0.2">
      <c r="A10" t="s">
        <v>114</v>
      </c>
      <c r="B10">
        <v>6.5599356000000002</v>
      </c>
      <c r="C10">
        <v>1.6935738</v>
      </c>
    </row>
    <row r="11" spans="1:9" x14ac:dyDescent="0.2">
      <c r="A11" t="s">
        <v>115</v>
      </c>
      <c r="B11">
        <v>14.685475</v>
      </c>
      <c r="C11">
        <v>0.28337459999999998</v>
      </c>
    </row>
    <row r="12" spans="1:9" x14ac:dyDescent="0.2">
      <c r="A12" t="s">
        <v>116</v>
      </c>
      <c r="B12">
        <v>14.879035</v>
      </c>
      <c r="C12">
        <v>1.673319</v>
      </c>
    </row>
    <row r="13" spans="1:9" x14ac:dyDescent="0.2">
      <c r="A13" t="s">
        <v>2</v>
      </c>
      <c r="B13">
        <v>16.91854</v>
      </c>
      <c r="C13">
        <v>0.19202308000000001</v>
      </c>
      <c r="E13" t="s">
        <v>123</v>
      </c>
    </row>
    <row r="16" spans="1:9" x14ac:dyDescent="0.2">
      <c r="E16" t="s">
        <v>0</v>
      </c>
      <c r="F16">
        <f>B10</f>
        <v>6.5599356000000002</v>
      </c>
    </row>
    <row r="17" spans="5:6" x14ac:dyDescent="0.2">
      <c r="E17" t="s">
        <v>124</v>
      </c>
      <c r="F17">
        <f>'Top View Fuselage'!J10/2</f>
        <v>2.4625585000000001</v>
      </c>
    </row>
    <row r="18" spans="5:6" x14ac:dyDescent="0.2">
      <c r="E18" t="s">
        <v>104</v>
      </c>
    </row>
    <row r="19" spans="5:6" x14ac:dyDescent="0.2">
      <c r="E19" t="s">
        <v>125</v>
      </c>
      <c r="F19">
        <f>F7-'Top View Fuselage'!J10/2</f>
        <v>1.1845735000000008</v>
      </c>
    </row>
    <row r="20" spans="5:6" x14ac:dyDescent="0.2">
      <c r="E20" t="s">
        <v>6</v>
      </c>
      <c r="F20">
        <v>0.3</v>
      </c>
    </row>
    <row r="25" spans="5:6" x14ac:dyDescent="0.2">
      <c r="E25" t="s">
        <v>126</v>
      </c>
      <c r="F25">
        <f>B11</f>
        <v>14.685475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View Wing</vt:lpstr>
      <vt:lpstr>Tail Top View</vt:lpstr>
      <vt:lpstr>rotors</vt:lpstr>
      <vt:lpstr>Top View Fuselage</vt:lpstr>
      <vt:lpstr>Pusher</vt:lpstr>
      <vt:lpstr>Boom</vt:lpstr>
      <vt:lpstr>Skids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Botero</dc:creator>
  <cp:lastModifiedBy>Emilio Botero</cp:lastModifiedBy>
  <dcterms:created xsi:type="dcterms:W3CDTF">2022-09-29T01:25:09Z</dcterms:created>
  <dcterms:modified xsi:type="dcterms:W3CDTF">2022-10-05T00:27:07Z</dcterms:modified>
</cp:coreProperties>
</file>