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larke/Documents/LEADS/CODES/Sustainable_Aviation_Technology_Dashboard/Batteries/"/>
    </mc:Choice>
  </mc:AlternateContent>
  <xr:revisionPtr revIDLastSave="0" documentId="13_ncr:1_{092A1E71-4473-8449-A3C2-750EFAA33807}" xr6:coauthVersionLast="47" xr6:coauthVersionMax="47" xr10:uidLastSave="{00000000-0000-0000-0000-000000000000}"/>
  <bookViews>
    <workbookView xWindow="42520" yWindow="-6260" windowWidth="36280" windowHeight="21940" xr2:uid="{6DD6947E-B694-AD42-8AD7-3C14B6286A3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" l="1"/>
  <c r="O37" i="1"/>
  <c r="N37" i="1"/>
  <c r="O58" i="1"/>
  <c r="N58" i="1"/>
  <c r="O57" i="1"/>
  <c r="N57" i="1"/>
  <c r="O55" i="1"/>
  <c r="N55" i="1"/>
  <c r="O36" i="1"/>
  <c r="N36" i="1"/>
  <c r="O35" i="1"/>
  <c r="N35" i="1"/>
  <c r="P4" i="1"/>
  <c r="O4" i="1"/>
  <c r="P34" i="1"/>
  <c r="O34" i="1"/>
  <c r="N34" i="1"/>
  <c r="O33" i="1"/>
  <c r="N33" i="1"/>
  <c r="P91" i="1"/>
  <c r="O91" i="1"/>
  <c r="N91" i="1"/>
  <c r="P90" i="1"/>
  <c r="O90" i="1"/>
  <c r="N90" i="1"/>
  <c r="P89" i="1"/>
  <c r="P88" i="1"/>
  <c r="O88" i="1"/>
  <c r="N88" i="1"/>
  <c r="P87" i="1"/>
  <c r="O87" i="1"/>
  <c r="N87" i="1"/>
  <c r="P86" i="1"/>
  <c r="O86" i="1"/>
  <c r="N86" i="1"/>
  <c r="O85" i="1"/>
  <c r="N85" i="1"/>
  <c r="O54" i="1"/>
  <c r="N54" i="1"/>
  <c r="P32" i="1"/>
  <c r="O32" i="1"/>
  <c r="N32" i="1"/>
  <c r="O31" i="1"/>
  <c r="N31" i="1"/>
  <c r="P30" i="1"/>
  <c r="O53" i="1"/>
  <c r="N53" i="1"/>
  <c r="O38" i="1"/>
  <c r="N38" i="1"/>
  <c r="O52" i="1"/>
  <c r="N52" i="1"/>
  <c r="O29" i="1"/>
  <c r="N29" i="1"/>
  <c r="O28" i="1"/>
  <c r="N28" i="1"/>
  <c r="O27" i="1"/>
  <c r="N27" i="1"/>
  <c r="O26" i="1"/>
  <c r="N26" i="1"/>
  <c r="P84" i="1"/>
  <c r="O84" i="1"/>
  <c r="N84" i="1"/>
  <c r="P83" i="1"/>
  <c r="O83" i="1"/>
  <c r="N83" i="1"/>
  <c r="P82" i="1"/>
  <c r="O82" i="1"/>
  <c r="N82" i="1"/>
  <c r="P81" i="1"/>
  <c r="O81" i="1"/>
  <c r="N81" i="1"/>
  <c r="O80" i="1"/>
  <c r="N80" i="1"/>
  <c r="O79" i="1"/>
  <c r="N79" i="1"/>
  <c r="O78" i="1"/>
  <c r="N78" i="1"/>
  <c r="P25" i="1"/>
  <c r="O24" i="1"/>
  <c r="N24" i="1"/>
  <c r="P23" i="1"/>
  <c r="N77" i="1"/>
  <c r="O6" i="1"/>
  <c r="N6" i="1"/>
  <c r="P22" i="1"/>
  <c r="O22" i="1"/>
  <c r="N22" i="1"/>
  <c r="P21" i="1"/>
  <c r="O21" i="1"/>
  <c r="N21" i="1"/>
  <c r="O76" i="1"/>
  <c r="N76" i="1"/>
  <c r="O74" i="1"/>
  <c r="N74" i="1"/>
  <c r="P73" i="1"/>
  <c r="O73" i="1"/>
  <c r="N73" i="1"/>
  <c r="O72" i="1"/>
  <c r="N72" i="1"/>
  <c r="O71" i="1"/>
  <c r="N71" i="1"/>
  <c r="O70" i="1"/>
  <c r="N70" i="1"/>
  <c r="O51" i="1"/>
  <c r="N51" i="1"/>
  <c r="O20" i="1"/>
  <c r="N20" i="1"/>
  <c r="O19" i="1"/>
  <c r="N19" i="1"/>
  <c r="O18" i="1"/>
  <c r="N18" i="1"/>
  <c r="P69" i="1"/>
  <c r="P68" i="1"/>
  <c r="O68" i="1"/>
  <c r="N68" i="1"/>
  <c r="P67" i="1"/>
  <c r="O67" i="1"/>
  <c r="N67" i="1"/>
  <c r="O50" i="1"/>
  <c r="N50" i="1"/>
  <c r="N66" i="1"/>
  <c r="O65" i="1"/>
  <c r="N65" i="1"/>
  <c r="O49" i="1"/>
  <c r="N49" i="1"/>
  <c r="P63" i="1"/>
  <c r="O63" i="1"/>
  <c r="N63" i="1"/>
  <c r="P62" i="1"/>
  <c r="O62" i="1"/>
  <c r="N62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O114" i="1"/>
  <c r="N114" i="1"/>
  <c r="O113" i="1"/>
  <c r="N113" i="1"/>
  <c r="P112" i="1"/>
  <c r="O112" i="1"/>
  <c r="N112" i="1"/>
  <c r="O111" i="1"/>
  <c r="P17" i="1"/>
  <c r="O17" i="1"/>
  <c r="N17" i="1"/>
  <c r="P60" i="1"/>
  <c r="O60" i="1"/>
  <c r="N60" i="1"/>
  <c r="P48" i="1"/>
  <c r="O48" i="1"/>
  <c r="N48" i="1"/>
  <c r="P47" i="1"/>
  <c r="O47" i="1"/>
  <c r="N47" i="1"/>
  <c r="O46" i="1"/>
  <c r="N46" i="1"/>
  <c r="Q45" i="1"/>
  <c r="O45" i="1"/>
  <c r="N45" i="1"/>
  <c r="O44" i="1"/>
  <c r="N44" i="1"/>
  <c r="P43" i="1"/>
  <c r="O43" i="1"/>
  <c r="N43" i="1"/>
  <c r="O42" i="1"/>
  <c r="N42" i="1"/>
  <c r="O59" i="1"/>
  <c r="N59" i="1"/>
  <c r="O7" i="1"/>
  <c r="N7" i="1"/>
  <c r="O5" i="1"/>
  <c r="N5" i="1"/>
  <c r="O40" i="1"/>
  <c r="N40" i="1"/>
  <c r="O16" i="1"/>
  <c r="N16" i="1"/>
  <c r="P15" i="1"/>
  <c r="P14" i="1"/>
  <c r="O14" i="1"/>
  <c r="N14" i="1"/>
  <c r="P13" i="1"/>
  <c r="O12" i="1"/>
  <c r="N12" i="1"/>
  <c r="P11" i="1"/>
  <c r="P10" i="1"/>
  <c r="O10" i="1"/>
  <c r="N10" i="1"/>
  <c r="O41" i="1"/>
  <c r="N41" i="1"/>
  <c r="P108" i="1"/>
  <c r="O108" i="1"/>
  <c r="N108" i="1"/>
  <c r="P9" i="1"/>
  <c r="O9" i="1"/>
  <c r="N9" i="1"/>
  <c r="P107" i="1"/>
  <c r="O107" i="1"/>
  <c r="N107" i="1"/>
  <c r="P106" i="1"/>
  <c r="O106" i="1"/>
  <c r="N106" i="1"/>
  <c r="O105" i="1"/>
  <c r="N105" i="1"/>
  <c r="O104" i="1"/>
  <c r="N104" i="1"/>
  <c r="P103" i="1"/>
  <c r="O103" i="1"/>
  <c r="N103" i="1"/>
  <c r="O102" i="1"/>
  <c r="N102" i="1"/>
  <c r="P101" i="1"/>
  <c r="O101" i="1"/>
  <c r="N101" i="1"/>
  <c r="O100" i="1"/>
  <c r="N100" i="1"/>
  <c r="O99" i="1"/>
  <c r="N99" i="1"/>
  <c r="P98" i="1"/>
  <c r="O98" i="1"/>
  <c r="N98" i="1"/>
  <c r="O97" i="1"/>
  <c r="N97" i="1"/>
  <c r="O96" i="1"/>
  <c r="N96" i="1"/>
  <c r="P95" i="1"/>
  <c r="O95" i="1"/>
  <c r="N95" i="1"/>
  <c r="O94" i="1"/>
  <c r="N94" i="1"/>
  <c r="O93" i="1"/>
  <c r="N93" i="1"/>
  <c r="P8" i="1"/>
  <c r="O8" i="1"/>
  <c r="N8" i="1"/>
  <c r="P121" i="1"/>
  <c r="O121" i="1"/>
  <c r="N121" i="1"/>
  <c r="O92" i="1"/>
  <c r="N92" i="1"/>
</calcChain>
</file>

<file path=xl/sharedStrings.xml><?xml version="1.0" encoding="utf-8"?>
<sst xmlns="http://schemas.openxmlformats.org/spreadsheetml/2006/main" count="644" uniqueCount="334">
  <si>
    <t>Brand</t>
  </si>
  <si>
    <t>Model (Markings)</t>
  </si>
  <si>
    <t>Capacity (mAh)</t>
  </si>
  <si>
    <t>Discharge A (Max)</t>
  </si>
  <si>
    <t>Charging A (Max)</t>
  </si>
  <si>
    <t>Chemistry</t>
  </si>
  <si>
    <t>Data Sheet</t>
  </si>
  <si>
    <t>Data Sheet (Backup)</t>
  </si>
  <si>
    <t>Web</t>
  </si>
  <si>
    <t>Notes</t>
  </si>
  <si>
    <t>Note: Max values are only possible at ideal temperatures (5 to 45°C). Esp. low temperatures (-20 to 5°C) can drastically reduce performance. If only one value is given, consider it Max.</t>
  </si>
  <si>
    <t>Sanyo/Panasonic</t>
  </si>
  <si>
    <t>NCR18650BL</t>
  </si>
  <si>
    <t>3350 (2.5V)</t>
  </si>
  <si>
    <t>NCA (LiNiCoAlO2)</t>
  </si>
  <si>
    <t>YikLik (YLE)</t>
  </si>
  <si>
    <t>INR18650A220</t>
  </si>
  <si>
    <t>2200 (3V)</t>
  </si>
  <si>
    <t>2.2 (6.6 Pulse)</t>
  </si>
  <si>
    <t>1.1 (2.2)</t>
  </si>
  <si>
    <t>INR / NMC (LiNiMnCoO2)</t>
  </si>
  <si>
    <t>LG</t>
  </si>
  <si>
    <t>LGDBHE21865 / ICR18650HE2 /  IMR18650HE2</t>
  </si>
  <si>
    <t>2500 (2.5V)</t>
  </si>
  <si>
    <t>10 (20)</t>
  </si>
  <si>
    <t>1.25 (4)</t>
  </si>
  <si>
    <t>UR18650A</t>
  </si>
  <si>
    <t>2250 (2.75V)</t>
  </si>
  <si>
    <t>2.15 (4.3)</t>
  </si>
  <si>
    <t>UR18650W2</t>
  </si>
  <si>
    <t>1500 (2.75V)</t>
  </si>
  <si>
    <t>10 (15)</t>
  </si>
  <si>
    <t>0.7 (1.6)</t>
  </si>
  <si>
    <t>?</t>
  </si>
  <si>
    <t>NCR18650BF</t>
  </si>
  <si>
    <t>3.2 (? 6.7)</t>
  </si>
  <si>
    <t>UR18650FJ</t>
  </si>
  <si>
    <t>2200 (2.75V)</t>
  </si>
  <si>
    <t>2.1 (4.2)</t>
  </si>
  <si>
    <t>1.5 (2.1)</t>
  </si>
  <si>
    <t>Datasheet is for UR18650F</t>
  </si>
  <si>
    <t>UR18650S</t>
  </si>
  <si>
    <t>1100 (2.75V)</t>
  </si>
  <si>
    <t>2.2 (10)</t>
  </si>
  <si>
    <t>UR18650NSX</t>
  </si>
  <si>
    <t>2600 (2.5V)</t>
  </si>
  <si>
    <t>UR18650Y</t>
  </si>
  <si>
    <t>2000 (2.75V)</t>
  </si>
  <si>
    <t>1 (4)</t>
  </si>
  <si>
    <t>1.33 (2)</t>
  </si>
  <si>
    <t>UR18650FK</t>
  </si>
  <si>
    <t>2400 (2.5V)</t>
  </si>
  <si>
    <t>ICR / LCO (LiCoO2)</t>
  </si>
  <si>
    <t>UR18650FM</t>
  </si>
  <si>
    <t>2600 (2.75V)</t>
  </si>
  <si>
    <t>UR18650WX</t>
  </si>
  <si>
    <t>1500 (2.5V)</t>
  </si>
  <si>
    <t>10 (25)</t>
  </si>
  <si>
    <t>NCR18650GA</t>
  </si>
  <si>
    <t>3500 (2.5V)</t>
  </si>
  <si>
    <t>UR18650RX</t>
  </si>
  <si>
    <t>IMR / LMO (LiMn2O4)</t>
  </si>
  <si>
    <t>UR18650E</t>
  </si>
  <si>
    <t>1.44 (2.05)</t>
  </si>
  <si>
    <t>UR18650ZY</t>
  </si>
  <si>
    <t>2.6 (5)</t>
  </si>
  <si>
    <t>3.7V nominal</t>
  </si>
  <si>
    <t>UR18650ZL2</t>
  </si>
  <si>
    <t>2310 (2.5V)</t>
  </si>
  <si>
    <t>10 (The cell temperature must
not exceed 65℃.)</t>
  </si>
  <si>
    <t>LGDBHG21865/ INR18650HG2 / INR18650-HG2</t>
  </si>
  <si>
    <t>3000 (2.5V)</t>
  </si>
  <si>
    <t>1.5 (4)</t>
  </si>
  <si>
    <t>UR18650ZT / R1122</t>
  </si>
  <si>
    <t>2800 (2.75)</t>
  </si>
  <si>
    <t>Charges to 4.3V</t>
  </si>
  <si>
    <t>Panasonic</t>
  </si>
  <si>
    <t>CGR18650HG</t>
  </si>
  <si>
    <t>1800 (3V)</t>
  </si>
  <si>
    <t>1.8 (3.4)</t>
  </si>
  <si>
    <t>Fakes have capacity value on the wrapper and often a button top</t>
  </si>
  <si>
    <t>LGABC21865/ ICR18650C2</t>
  </si>
  <si>
    <t>2800 (3V)</t>
  </si>
  <si>
    <t>LGDAME11865/ ICR18650ME1</t>
  </si>
  <si>
    <t>? 2100</t>
  </si>
  <si>
    <t>? 4.2</t>
  </si>
  <si>
    <t>? 2.1</t>
  </si>
  <si>
    <t>? 3.65V nominal</t>
  </si>
  <si>
    <t>ICR18650S2 / LGDS218650</t>
  </si>
  <si>
    <t>LGCS218650</t>
  </si>
  <si>
    <t>? 2.2</t>
  </si>
  <si>
    <t>LGDBHE41865 / INR18650HE4</t>
  </si>
  <si>
    <t>NMC (LiNiMnCoO2)</t>
  </si>
  <si>
    <t>LGDAHB41865 / INR18650HB4</t>
  </si>
  <si>
    <t>30 (50 pulse)</t>
  </si>
  <si>
    <t>LGABC11865 / ICR18650C1</t>
  </si>
  <si>
    <t xml:space="preserve">2800 (3V)
</t>
  </si>
  <si>
    <t>1.35 (2.7)</t>
  </si>
  <si>
    <t>charges to 4.35V with average voltage of 3.75</t>
  </si>
  <si>
    <t>Moli Energy</t>
  </si>
  <si>
    <t>ICR-18650H</t>
  </si>
  <si>
    <t>2.2 (5)</t>
  </si>
  <si>
    <t>1.25 (2.2)</t>
  </si>
  <si>
    <t>GP Batteries</t>
  </si>
  <si>
    <t>GP18650CH</t>
  </si>
  <si>
    <t>2200 (2.75)</t>
  </si>
  <si>
    <t>HYB / OEM</t>
  </si>
  <si>
    <t>ICR18650NH MH28822</t>
  </si>
  <si>
    <t>2.2 (4.4)</t>
  </si>
  <si>
    <t>Samsung</t>
  </si>
  <si>
    <t>INR18650-15Q / INR18650-15L</t>
  </si>
  <si>
    <t>0.75 (4)</t>
  </si>
  <si>
    <t>Possibly identical to Teal color 15Q and 15R</t>
  </si>
  <si>
    <t>CGR18650A</t>
  </si>
  <si>
    <t>NCR18650B</t>
  </si>
  <si>
    <t>4.875 (6.5)</t>
  </si>
  <si>
    <t>CGR18650CG</t>
  </si>
  <si>
    <t>2250 (3V)</t>
  </si>
  <si>
    <t>NCR18650PD</t>
  </si>
  <si>
    <t>2900 (2.5V)</t>
  </si>
  <si>
    <t>NCR18650PF</t>
  </si>
  <si>
    <t>NCR18650G</t>
  </si>
  <si>
    <t>3550 (2.5V)</t>
  </si>
  <si>
    <t>NCR18650BE</t>
  </si>
  <si>
    <t>3100 (2.5V)</t>
  </si>
  <si>
    <t>3.6 (6.4)</t>
  </si>
  <si>
    <t>0.9 (1.5)</t>
  </si>
  <si>
    <t>ICR18650-30B</t>
  </si>
  <si>
    <t>3000 (2.75V)</t>
  </si>
  <si>
    <t>1.5 (2.9)</t>
  </si>
  <si>
    <t>charges to 4.35V. There is a 4.2V version (possibly the purple wrapper 30B) that measures to about 2500mAh (around 2800 for this one).</t>
  </si>
  <si>
    <t>LGDBMJ11865 / INR18650MJ1</t>
  </si>
  <si>
    <t>4 (10A)</t>
  </si>
  <si>
    <t>1.7 (3.4)</t>
  </si>
  <si>
    <t>Sony</t>
  </si>
  <si>
    <t>US18650V</t>
  </si>
  <si>
    <t>1600 (2.5V)</t>
  </si>
  <si>
    <t>? 20</t>
  </si>
  <si>
    <t>? 5</t>
  </si>
  <si>
    <t>US18650VT</t>
  </si>
  <si>
    <t>US18650V2</t>
  </si>
  <si>
    <t>2100 (2.5V)</t>
  </si>
  <si>
    <t>US18650V3</t>
  </si>
  <si>
    <t>2250 (2.5V)</t>
  </si>
  <si>
    <t>US18650VT3</t>
  </si>
  <si>
    <t>? 30</t>
  </si>
  <si>
    <t>? 1.5 (3)</t>
  </si>
  <si>
    <t>possibly industrial version of VTC3</t>
  </si>
  <si>
    <t>US18650VTC3</t>
  </si>
  <si>
    <t>10 (30)</t>
  </si>
  <si>
    <t>1.5 (3)</t>
  </si>
  <si>
    <t>US18650VTC4</t>
  </si>
  <si>
    <t>2 (4, 12 Pulse)</t>
  </si>
  <si>
    <t>US18650VTC5</t>
  </si>
  <si>
    <t>2600 (2V)</t>
  </si>
  <si>
    <t>20 (30)</t>
  </si>
  <si>
    <t>2.5 (6)</t>
  </si>
  <si>
    <t>US18650VTC5A</t>
  </si>
  <si>
    <t>30 (35)</t>
  </si>
  <si>
    <t>charges up to 4.25V</t>
  </si>
  <si>
    <t>US18650VTC6</t>
  </si>
  <si>
    <t>3120 (2V)</t>
  </si>
  <si>
    <t>15 (30)</t>
  </si>
  <si>
    <t>2 (5)</t>
  </si>
  <si>
    <t>US18650VC7</t>
  </si>
  <si>
    <t>3500 (2V)</t>
  </si>
  <si>
    <t>US18650NC1</t>
  </si>
  <si>
    <t>INR18650-13P</t>
  </si>
  <si>
    <t>1300 (2.5V)</t>
  </si>
  <si>
    <t>18 (31.5 Pulse?)</t>
  </si>
  <si>
    <t>NCA (LiNiCoAl)</t>
  </si>
  <si>
    <t>https://voltaplex.com/samsung-13p-18650-battery-inr18650-13p</t>
  </si>
  <si>
    <t>INR18650-25R</t>
  </si>
  <si>
    <t>10 (20, 100 Pulse)</t>
  </si>
  <si>
    <t>ICR18650-22F</t>
  </si>
  <si>
    <t>ICR18650-22FU</t>
  </si>
  <si>
    <t>? 4.4</t>
  </si>
  <si>
    <t>NCR18650A</t>
  </si>
  <si>
    <t>ICR18650-22E</t>
  </si>
  <si>
    <t>INR18650-13Q</t>
  </si>
  <si>
    <t>15 (30 Pulse)</t>
  </si>
  <si>
    <t>0.91 (4)</t>
  </si>
  <si>
    <t>CGR18650D</t>
  </si>
  <si>
    <t>2400 (3V)</t>
  </si>
  <si>
    <t>INR18650-20R</t>
  </si>
  <si>
    <t>2000 (2.5V)</t>
  </si>
  <si>
    <t>INR18650-20Q</t>
  </si>
  <si>
    <t>2000 (2.5)</t>
  </si>
  <si>
    <t>1 (? 3.6)</t>
  </si>
  <si>
    <t>INR18650-15R</t>
  </si>
  <si>
    <t>? 10 (18)</t>
  </si>
  <si>
    <t xml:space="preserve">Only chinese source. Teal color 15R,15Q and Green 15Q possibly identical. </t>
  </si>
  <si>
    <t>LGABE11865 / ICR18650E1</t>
  </si>
  <si>
    <t>3200 (2.5V)</t>
  </si>
  <si>
    <t>1.55 (4.6)</t>
  </si>
  <si>
    <t>LGDB118650 / ICR18650B1</t>
  </si>
  <si>
    <t>2600 (3V)</t>
  </si>
  <si>
    <t>1.275 (2.55)</t>
  </si>
  <si>
    <t>LGDAHB21865 / ICR18650HB2</t>
  </si>
  <si>
    <t>CGR18650AF</t>
  </si>
  <si>
    <t>2050 (3V)</t>
  </si>
  <si>
    <t>BAK</t>
  </si>
  <si>
    <t>18650C4</t>
  </si>
  <si>
    <t>? 1.1 (4.4)</t>
  </si>
  <si>
    <t>? 0.44 (2.2)</t>
  </si>
  <si>
    <t>ICR18650-20B</t>
  </si>
  <si>
    <t>2000 (? 2.75V)</t>
  </si>
  <si>
    <t>2 (? 4)</t>
  </si>
  <si>
    <t>Datasheet is for "ICR18650-20"</t>
  </si>
  <si>
    <t>ICR18650-20C</t>
  </si>
  <si>
    <t>ICR18650-20F</t>
  </si>
  <si>
    <t>INR18650-32E</t>
  </si>
  <si>
    <t>6.4 (9.6 not for continuous discharge)</t>
  </si>
  <si>
    <t>0.96 (3.2)</t>
  </si>
  <si>
    <t>Nominal Voltage 3.65V</t>
  </si>
  <si>
    <t>INR18650-15M</t>
  </si>
  <si>
    <t>Successor of INR18650-15L</t>
  </si>
  <si>
    <t>INR18650-15MM</t>
  </si>
  <si>
    <t>1500 (? 2.5V)</t>
  </si>
  <si>
    <t>? 23</t>
  </si>
  <si>
    <t>? 0.75 (1.5)</t>
  </si>
  <si>
    <t>INR18650-20S</t>
  </si>
  <si>
    <t>2000 (? 2.5V)</t>
  </si>
  <si>
    <t>INR18650MH1 / INR18650-MH1</t>
  </si>
  <si>
    <t>LGDBM361865 / INR18650-M36</t>
  </si>
  <si>
    <t>3600 (2.5V)</t>
  </si>
  <si>
    <t>datasheet states capacity of 12.5Wh, which would be 3440mAh</t>
  </si>
  <si>
    <t>ICR18650-26F</t>
  </si>
  <si>
    <t>0.5 (5.2)</t>
  </si>
  <si>
    <t>1.3 (2)</t>
  </si>
  <si>
    <t>4900 (2.5V)</t>
  </si>
  <si>
    <t>9.8 (14,7 not continuous)</t>
  </si>
  <si>
    <t>2.45 (4.9)</t>
  </si>
  <si>
    <t>Data Sheet Backup</t>
  </si>
  <si>
    <t>lygte-info.dk</t>
  </si>
  <si>
    <t>21700 Cell</t>
  </si>
  <si>
    <t>LGAAS31865</t>
  </si>
  <si>
    <t>? 2.4 (4.8 Pulse)</t>
  </si>
  <si>
    <t>? 1.2 (2.2)</t>
  </si>
  <si>
    <t>LGDAS31865 / ICR18650S3</t>
  </si>
  <si>
    <t>LGEAS318650 / ICR18650S3</t>
  </si>
  <si>
    <t>? 1.075 (4.3)</t>
  </si>
  <si>
    <t>? 1.075 (2.15)</t>
  </si>
  <si>
    <t>ICR18650-24E</t>
  </si>
  <si>
    <t>2400 (2.75V)</t>
  </si>
  <si>
    <t>1.2 (2.4)</t>
  </si>
  <si>
    <t>ICR18650-32A</t>
  </si>
  <si>
    <t>3200 (2.75V)</t>
  </si>
  <si>
    <t>1.6 (3.2)</t>
  </si>
  <si>
    <t>charges to 4.35V</t>
  </si>
  <si>
    <t>ICR18650-30A</t>
  </si>
  <si>
    <t>charges up to 4.3V</t>
  </si>
  <si>
    <t>INR18650-25S</t>
  </si>
  <si>
    <t>25 (35A With 80°Ctemperature cut)</t>
  </si>
  <si>
    <t>INR18650-29E</t>
  </si>
  <si>
    <t>2.75 (8.25, not continious)</t>
  </si>
  <si>
    <t>1.375 (2.75)</t>
  </si>
  <si>
    <t>NCO (LiNiCoO2)</t>
  </si>
  <si>
    <t>ICR18650-28A</t>
  </si>
  <si>
    <t>2800 (2.75V)</t>
  </si>
  <si>
    <t>1.4 (2.8)</t>
  </si>
  <si>
    <t>ICR18650-22P</t>
  </si>
  <si>
    <t>1.075 (2.15)</t>
  </si>
  <si>
    <t>LGABF1L1865 / INR18650F1L</t>
  </si>
  <si>
    <t>1.625 (4.875)</t>
  </si>
  <si>
    <t>0.975 (1.625)</t>
  </si>
  <si>
    <t>ICR18650MF1 / ICR18650-MF1</t>
  </si>
  <si>
    <t>2150 (2.75V)</t>
  </si>
  <si>
    <t>LG18650MF2 / INR18650MF2 / LGEBMF21865</t>
  </si>
  <si>
    <t>INR18650M26 / INR18650-M26 / LGEBM261865</t>
  </si>
  <si>
    <t>nominal 3.65V</t>
  </si>
  <si>
    <t>CGR18650CF</t>
  </si>
  <si>
    <t>0.675 (4.3)</t>
  </si>
  <si>
    <t>Lishen (LS)</t>
  </si>
  <si>
    <t>LR1865AH</t>
  </si>
  <si>
    <t>1.1 (4.4)</t>
  </si>
  <si>
    <t>CGR18650DA</t>
  </si>
  <si>
    <t>2450 (3V)</t>
  </si>
  <si>
    <t>INR18650-MG1 / LGEBMG11865</t>
  </si>
  <si>
    <t>2850 (2.5V)</t>
  </si>
  <si>
    <t>ICR18650B3 / LGDBB31865</t>
  </si>
  <si>
    <t>ICR18650HB6 / LGDAHB61865</t>
  </si>
  <si>
    <t>1500 (2V)</t>
  </si>
  <si>
    <t>CGR18650E</t>
  </si>
  <si>
    <t>2550 (3V)</t>
  </si>
  <si>
    <t>ICR18650-26C</t>
  </si>
  <si>
    <t>1.3 (2.6)</t>
  </si>
  <si>
    <t>ICR18650-26H</t>
  </si>
  <si>
    <t>ICR18650-26J / ICR18650-26JM</t>
  </si>
  <si>
    <t>? 1.3 (2.6)</t>
  </si>
  <si>
    <t>ICR18650-26FM</t>
  </si>
  <si>
    <t>? 5.2</t>
  </si>
  <si>
    <t>Likely Malaysian made version of ICR18650-26F</t>
  </si>
  <si>
    <t>INR18650-30Q</t>
  </si>
  <si>
    <t>INR18650-35E</t>
  </si>
  <si>
    <t>3450 (2.65V)</t>
  </si>
  <si>
    <t>8 (13)</t>
  </si>
  <si>
    <t>1 (2)</t>
  </si>
  <si>
    <t>LGDB218650 / ICR18650B2</t>
  </si>
  <si>
    <t>1.25 (2.5)</t>
  </si>
  <si>
    <t>LGABD11865 / ICR18650D1</t>
  </si>
  <si>
    <t>3000 (3V)</t>
  </si>
  <si>
    <t>1.45 (5.8)</t>
  </si>
  <si>
    <t>1.45 (2.9)</t>
  </si>
  <si>
    <t>C18650CC</t>
  </si>
  <si>
    <t>LGABB41865 / ICR18650B4</t>
  </si>
  <si>
    <t>1.25 (5)</t>
  </si>
  <si>
    <t>INR18650M29 / INR18650-M29</t>
  </si>
  <si>
    <t>6 (10, not for continuous discharge)</t>
  </si>
  <si>
    <t>nominal voltage 3.67V</t>
  </si>
  <si>
    <t>LR1865SF</t>
  </si>
  <si>
    <t>? 1.1</t>
  </si>
  <si>
    <t>CGR18650CH</t>
  </si>
  <si>
    <t>4.3 (? 10)</t>
  </si>
  <si>
    <t>1.5 (? 2.15)</t>
  </si>
  <si>
    <t>NCR18650D</t>
  </si>
  <si>
    <t>Only Chinese sources.</t>
  </si>
  <si>
    <t>NCR18650BD</t>
  </si>
  <si>
    <t>realistically 3000mAh</t>
  </si>
  <si>
    <t>NCR18650</t>
  </si>
  <si>
    <t>LGDAHB31865 /  LG 18650 HB3</t>
  </si>
  <si>
    <t>10 (22)</t>
  </si>
  <si>
    <t>nominal voltage 3.65V</t>
  </si>
  <si>
    <t>Name</t>
  </si>
  <si>
    <r>
      <t>INR</t>
    </r>
    <r>
      <rPr>
        <b/>
        <sz val="12"/>
        <color rgb="FFFF0000"/>
        <rFont val="Arial"/>
        <family val="2"/>
      </rPr>
      <t>21700</t>
    </r>
    <r>
      <rPr>
        <sz val="12"/>
        <color theme="1"/>
        <rFont val="Calibri"/>
        <family val="2"/>
        <scheme val="minor"/>
      </rPr>
      <t>-50E</t>
    </r>
  </si>
  <si>
    <t>Cell Mass</t>
  </si>
  <si>
    <t>Volumetric Energy Density (Wh/g)</t>
  </si>
  <si>
    <t>Gravimetric Energy Density (Wh/kg)</t>
  </si>
  <si>
    <t>Power Density (W/kg)</t>
  </si>
  <si>
    <t>Configuration (Cylindrical Cell/ Pouch/Prismatic)</t>
  </si>
  <si>
    <t>If not given, assume 5°C</t>
  </si>
  <si>
    <t xml:space="preserve">Minimum Operating Temperature (°C) </t>
  </si>
  <si>
    <t>Maximum Operating Temperature (°C)</t>
  </si>
  <si>
    <t>If not given, assume 45°C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</si>
</sst>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Verdana"/>
      <family val="2"/>
    </font>
    <font>
      <u/>
      <sz val="12"/>
      <color rgb="FF0000FF"/>
      <name val="Arial"/>
      <family val="2"/>
    </font>
    <font>
      <u/>
      <sz val="12"/>
      <color rgb="FF1155CC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ampfakkus.de/akku_liste-nach-marke.php?marke=Panasonic" TargetMode="External"/><Relationship Id="rId13" Type="http://schemas.openxmlformats.org/officeDocument/2006/relationships/hyperlink" Target="https://drive.google.com/file/d/1dI-03_QRjONkdrQUX1-qFIKVaF7mdz9G/view?usp=sharing" TargetMode="External"/><Relationship Id="rId18" Type="http://schemas.openxmlformats.org/officeDocument/2006/relationships/hyperlink" Target="https://drive.google.com/file/d/1uEkOrxPEm6d4UtXRR2XV9mvtHZHyv11g/view?usp=sharing" TargetMode="External"/><Relationship Id="rId3" Type="http://schemas.openxmlformats.org/officeDocument/2006/relationships/hyperlink" Target="http://www.dampfakkus.de/akku_liste-nach-marke.php?marke=Panasonic" TargetMode="External"/><Relationship Id="rId21" Type="http://schemas.openxmlformats.org/officeDocument/2006/relationships/hyperlink" Target="http://www.dampfakkus.de/akku_liste-nach-marke.php?marke=Panasonic" TargetMode="External"/><Relationship Id="rId7" Type="http://schemas.openxmlformats.org/officeDocument/2006/relationships/hyperlink" Target="http://www.dampfakkus.de/akku_liste-nach-marke.php?marke=Panasonic" TargetMode="External"/><Relationship Id="rId12" Type="http://schemas.openxmlformats.org/officeDocument/2006/relationships/hyperlink" Target="http://www.dampfakkus.de/akku_liste-nach-marke.php?marke=Panasonic" TargetMode="External"/><Relationship Id="rId17" Type="http://schemas.openxmlformats.org/officeDocument/2006/relationships/hyperlink" Target="http://www.plsbattery.com/datasheets/LG-INR18650-MG1-2850mah-10A-18650-High-Drain-Battery.pdf" TargetMode="External"/><Relationship Id="rId2" Type="http://schemas.openxmlformats.org/officeDocument/2006/relationships/hyperlink" Target="http://www.dampfakkus.de/akku_liste-nach-marke.php?marke=Panasonic" TargetMode="External"/><Relationship Id="rId16" Type="http://schemas.openxmlformats.org/officeDocument/2006/relationships/hyperlink" Target="http://www.dampfakkus.de/akku_liste-nach-marke.php?marke=Panasonic" TargetMode="External"/><Relationship Id="rId20" Type="http://schemas.openxmlformats.org/officeDocument/2006/relationships/hyperlink" Target="http://www.dampfakkus.de/akku_liste-nach-marke.php?marke=Lishen%20(LS)" TargetMode="External"/><Relationship Id="rId1" Type="http://schemas.openxmlformats.org/officeDocument/2006/relationships/hyperlink" Target="http://www.dampfakkus.de/akku_liste-nach-marke.php?marke=Panasonic" TargetMode="External"/><Relationship Id="rId6" Type="http://schemas.openxmlformats.org/officeDocument/2006/relationships/hyperlink" Target="http://www.dampfakkus.de/akku_liste-nach-marke.php?marke=Panasonic" TargetMode="External"/><Relationship Id="rId11" Type="http://schemas.openxmlformats.org/officeDocument/2006/relationships/hyperlink" Target="http://www.dampfakkus.de/akku_liste-nach-marke.php?marke=Panasonic" TargetMode="External"/><Relationship Id="rId5" Type="http://schemas.openxmlformats.org/officeDocument/2006/relationships/hyperlink" Target="http://www.dampfakkus.de/akku_liste-nach-marke.php?marke=Panasonic" TargetMode="External"/><Relationship Id="rId15" Type="http://schemas.openxmlformats.org/officeDocument/2006/relationships/hyperlink" Target="http://www.dampfakkus.de/akku_liste-nach-marke.php?marke=Panasonic" TargetMode="External"/><Relationship Id="rId23" Type="http://schemas.openxmlformats.org/officeDocument/2006/relationships/hyperlink" Target="http://www.dampfakkus.de/akku_liste-nach-marke.php?marke=Panasonic" TargetMode="External"/><Relationship Id="rId10" Type="http://schemas.openxmlformats.org/officeDocument/2006/relationships/hyperlink" Target="http://www.dampfakkus.de/akku_liste-nach-marke.php?marke=Panasonic" TargetMode="External"/><Relationship Id="rId19" Type="http://schemas.openxmlformats.org/officeDocument/2006/relationships/hyperlink" Target="http://www.dampfakkus.de/akku_liste-nach-marke.php?marke=Panasonic" TargetMode="External"/><Relationship Id="rId4" Type="http://schemas.openxmlformats.org/officeDocument/2006/relationships/hyperlink" Target="http://www.dampfakkus.de/akku_liste-nach-marke.php?marke=Panasonic" TargetMode="External"/><Relationship Id="rId9" Type="http://schemas.openxmlformats.org/officeDocument/2006/relationships/hyperlink" Target="https://voltaplex.com/samsung-13p-18650-battery-inr18650-13p" TargetMode="External"/><Relationship Id="rId14" Type="http://schemas.openxmlformats.org/officeDocument/2006/relationships/hyperlink" Target="https://lygte-info.dk/review/batteries2012/Samsung%20INR21700-50E%205000mAh%20(Cyan)%20UK.html" TargetMode="External"/><Relationship Id="rId22" Type="http://schemas.openxmlformats.org/officeDocument/2006/relationships/hyperlink" Target="http://www.dampfakkus.de/akku_liste-nach-marke.php?marke=Panason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B428-CDA4-E94B-8595-1F1757DF15FC}">
  <dimension ref="A1:Q121"/>
  <sheetViews>
    <sheetView tabSelected="1" workbookViewId="0">
      <pane ySplit="1" topLeftCell="A2" activePane="bottomLeft" state="frozen"/>
      <selection pane="bottomLeft" activeCell="M2" sqref="L2:M2"/>
    </sheetView>
  </sheetViews>
  <sheetFormatPr baseColWidth="10" defaultRowHeight="16" x14ac:dyDescent="0.2"/>
  <cols>
    <col min="1" max="17" width="18.1640625" style="4" customWidth="1"/>
    <col min="18" max="16384" width="10.83203125" style="4"/>
  </cols>
  <sheetData>
    <row r="1" spans="1:17" ht="51" x14ac:dyDescent="0.2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329</v>
      </c>
      <c r="H1" s="2" t="s">
        <v>325</v>
      </c>
      <c r="I1" s="2" t="s">
        <v>327</v>
      </c>
      <c r="J1" s="2" t="s">
        <v>326</v>
      </c>
      <c r="K1" s="2" t="s">
        <v>328</v>
      </c>
      <c r="L1" s="2" t="s">
        <v>331</v>
      </c>
      <c r="M1" s="2" t="s">
        <v>332</v>
      </c>
      <c r="N1" s="3" t="s">
        <v>6</v>
      </c>
      <c r="O1" s="2" t="s">
        <v>7</v>
      </c>
      <c r="P1" s="2" t="s">
        <v>8</v>
      </c>
      <c r="Q1" s="2" t="s">
        <v>9</v>
      </c>
    </row>
    <row r="2" spans="1:17" ht="40" customHeight="1" x14ac:dyDescent="0.2">
      <c r="A2" s="5"/>
      <c r="B2" s="5"/>
      <c r="C2" s="6"/>
      <c r="D2" s="1"/>
      <c r="E2" s="7"/>
      <c r="F2" s="8"/>
      <c r="G2" s="8"/>
      <c r="H2" s="8"/>
      <c r="I2" s="8"/>
      <c r="J2" s="8"/>
      <c r="K2" s="8"/>
      <c r="L2" s="8" t="s">
        <v>330</v>
      </c>
      <c r="M2" s="8" t="s">
        <v>333</v>
      </c>
      <c r="N2" s="6"/>
      <c r="O2" s="5"/>
      <c r="P2" s="5"/>
      <c r="Q2" s="5"/>
    </row>
    <row r="3" spans="1:17" ht="43" customHeight="1" x14ac:dyDescent="0.2">
      <c r="A3" s="16" t="s">
        <v>201</v>
      </c>
      <c r="B3" s="9" t="s">
        <v>202</v>
      </c>
      <c r="C3" s="10">
        <v>2200</v>
      </c>
      <c r="D3" s="9" t="s">
        <v>203</v>
      </c>
      <c r="E3" s="9" t="s">
        <v>204</v>
      </c>
      <c r="F3" s="9" t="s">
        <v>52</v>
      </c>
      <c r="G3" s="9"/>
      <c r="H3" s="9"/>
      <c r="I3" s="9"/>
      <c r="J3" s="9"/>
      <c r="K3" s="9"/>
      <c r="L3" s="9"/>
      <c r="M3" s="9"/>
      <c r="N3" s="10"/>
      <c r="O3" s="9"/>
      <c r="P3" s="9"/>
      <c r="Q3" s="9"/>
    </row>
    <row r="4" spans="1:17" ht="43" customHeight="1" x14ac:dyDescent="0.2">
      <c r="A4" s="9" t="s">
        <v>201</v>
      </c>
      <c r="B4" s="10" t="s">
        <v>304</v>
      </c>
      <c r="C4" s="10" t="s">
        <v>196</v>
      </c>
      <c r="D4" s="9">
        <v>5.2</v>
      </c>
      <c r="E4" s="10">
        <v>2.6</v>
      </c>
      <c r="F4" s="9" t="s">
        <v>52</v>
      </c>
      <c r="G4" s="9"/>
      <c r="H4" s="9"/>
      <c r="I4" s="9"/>
      <c r="J4" s="9"/>
      <c r="K4" s="9"/>
      <c r="L4" s="9"/>
      <c r="M4" s="9"/>
      <c r="O4" s="12" t="str">
        <f>HYPERLINK("https://drive.google.com/open?id=0B_pDil2dkRPTWUlkd3ZHZkZYc1U","Data Sheet Backup")</f>
        <v>Data Sheet Backup</v>
      </c>
      <c r="P4" s="12" t="str">
        <f>HYPERLINK("http://www.dampfakkus.de/akkutest.php?id=181","Discharge Curve")</f>
        <v>Discharge Curve</v>
      </c>
      <c r="Q4" s="9"/>
    </row>
    <row r="5" spans="1:17" ht="43" customHeight="1" x14ac:dyDescent="0.2">
      <c r="A5" s="9" t="s">
        <v>103</v>
      </c>
      <c r="B5" s="10" t="s">
        <v>104</v>
      </c>
      <c r="C5" s="10" t="s">
        <v>105</v>
      </c>
      <c r="D5" s="9">
        <v>6.6</v>
      </c>
      <c r="E5" s="10">
        <v>2.2000000000000002</v>
      </c>
      <c r="F5" s="9" t="s">
        <v>33</v>
      </c>
      <c r="G5" s="9"/>
      <c r="H5" s="9"/>
      <c r="I5" s="9"/>
      <c r="J5" s="9"/>
      <c r="K5" s="9"/>
      <c r="L5" s="9"/>
      <c r="M5" s="9"/>
      <c r="N5" s="11" t="str">
        <f>HYPERLINK("https://www.nkon.nl/sk/k/GP%20Product%20Spec%20-%20GP18650CH%20-%20R0.pdf","Data Sheet")</f>
        <v>Data Sheet</v>
      </c>
      <c r="O5" s="12" t="str">
        <f>HYPERLINK("https://drive.google.com/open?id=0B_pDil2dkRPTQmFDVVRHeE9MSEE","Data Sheet Backup")</f>
        <v>Data Sheet Backup</v>
      </c>
      <c r="P5" s="9"/>
      <c r="Q5" s="9"/>
    </row>
    <row r="6" spans="1:17" ht="43" customHeight="1" x14ac:dyDescent="0.2">
      <c r="A6" s="9" t="s">
        <v>103</v>
      </c>
      <c r="B6" s="9" t="s">
        <v>227</v>
      </c>
      <c r="C6" s="10" t="s">
        <v>54</v>
      </c>
      <c r="D6" s="9" t="s">
        <v>228</v>
      </c>
      <c r="E6" s="10" t="s">
        <v>229</v>
      </c>
      <c r="F6" s="9" t="s">
        <v>33</v>
      </c>
      <c r="G6" s="9"/>
      <c r="H6" s="9"/>
      <c r="I6" s="9"/>
      <c r="J6" s="9"/>
      <c r="K6" s="9"/>
      <c r="L6" s="9"/>
      <c r="M6" s="9"/>
      <c r="N6" s="11" t="str">
        <f>HYPERLINK("http://www.tme.eu/de/Document/d5caa5bfe138538981c74706bcadb3c3/ACCU-18650-2.6_GP.pdf","Data Sheet")</f>
        <v>Data Sheet</v>
      </c>
      <c r="O6" s="12" t="str">
        <f>HYPERLINK("https://drive.google.com/open?id=0B_pDil2dkRPTWnVIOFE0Yy13bE0","Data Sheet Backup")</f>
        <v>Data Sheet Backup</v>
      </c>
      <c r="P6" s="9"/>
      <c r="Q6" s="9"/>
    </row>
    <row r="7" spans="1:17" ht="43" customHeight="1" x14ac:dyDescent="0.2">
      <c r="A7" s="9" t="s">
        <v>106</v>
      </c>
      <c r="B7" s="9" t="s">
        <v>107</v>
      </c>
      <c r="C7" s="10" t="s">
        <v>105</v>
      </c>
      <c r="D7" s="9" t="s">
        <v>108</v>
      </c>
      <c r="E7" s="10" t="s">
        <v>19</v>
      </c>
      <c r="F7" s="9" t="s">
        <v>33</v>
      </c>
      <c r="G7" s="9"/>
      <c r="H7" s="9"/>
      <c r="I7" s="9"/>
      <c r="J7" s="9"/>
      <c r="K7" s="9"/>
      <c r="L7" s="9"/>
      <c r="M7" s="9"/>
      <c r="N7" s="11" t="str">
        <f>HYPERLINK("https://www.nkon.nl/sk/k/GP%20Product%20Spec%20-%20GP18650CH%20-%20R0.pdf","Data Sheet")</f>
        <v>Data Sheet</v>
      </c>
      <c r="O7" s="12" t="str">
        <f>HYPERLINK("https://drive.google.com/open?id=0B_pDil2dkRPTRy1wOEdEX1ZBVEE","Data Sheet Backup")</f>
        <v>Data Sheet Backup</v>
      </c>
      <c r="P7" s="9"/>
      <c r="Q7" s="9"/>
    </row>
    <row r="8" spans="1:17" ht="43" customHeight="1" x14ac:dyDescent="0.2">
      <c r="A8" s="9" t="s">
        <v>21</v>
      </c>
      <c r="B8" s="9" t="s">
        <v>22</v>
      </c>
      <c r="C8" s="10" t="s">
        <v>23</v>
      </c>
      <c r="D8" s="9" t="s">
        <v>24</v>
      </c>
      <c r="E8" s="10" t="s">
        <v>25</v>
      </c>
      <c r="F8" s="9" t="s">
        <v>20</v>
      </c>
      <c r="G8" s="9"/>
      <c r="H8" s="9"/>
      <c r="I8" s="9"/>
      <c r="J8" s="9"/>
      <c r="K8" s="9"/>
      <c r="L8" s="9"/>
      <c r="M8" s="9"/>
      <c r="N8" s="11" t="str">
        <f>HYPERLINK("https://www.powerstream.com/p/LG-ICR18650HE2-REV0.pdf","Data Sheet")</f>
        <v>Data Sheet</v>
      </c>
      <c r="O8" s="12" t="str">
        <f>HYPERLINK("https://drive.google.com/open?id=0B_pDil2dkRPTM25VRjdTLTlhSUk","Data Sheet Backup")</f>
        <v>Data Sheet Backup</v>
      </c>
      <c r="P8" s="12" t="str">
        <f>HYPERLINK("http://lygte-info.dk/review/batteries2012/Keeppower%20IMR18650%202500mAh%20%28Black%29%202014%20UK.html","lygte-info.dk")</f>
        <v>lygte-info.dk</v>
      </c>
      <c r="Q8" s="9"/>
    </row>
    <row r="9" spans="1:17" ht="43" customHeight="1" x14ac:dyDescent="0.2">
      <c r="A9" s="9" t="s">
        <v>21</v>
      </c>
      <c r="B9" s="9" t="s">
        <v>70</v>
      </c>
      <c r="C9" s="10" t="s">
        <v>71</v>
      </c>
      <c r="D9" s="9" t="s">
        <v>24</v>
      </c>
      <c r="E9" s="10" t="s">
        <v>72</v>
      </c>
      <c r="F9" s="9" t="s">
        <v>20</v>
      </c>
      <c r="G9" s="9"/>
      <c r="H9" s="9"/>
      <c r="I9" s="9"/>
      <c r="J9" s="9"/>
      <c r="K9" s="9"/>
      <c r="L9" s="9"/>
      <c r="M9" s="9"/>
      <c r="N9" s="11" t="str">
        <f>HYPERLINK("https://www.nkon.nl/sk/k/hg2.pdf","Data Sheet")</f>
        <v>Data Sheet</v>
      </c>
      <c r="O9" s="12" t="str">
        <f>HYPERLINK("https://drive.google.com/open?id=0B_pDil2dkRPTcl8xWTJ1b3hmWHc","Data Sheet Backup")</f>
        <v>Data Sheet Backup</v>
      </c>
      <c r="P9" s="12" t="str">
        <f>HYPERLINK("https://batterybro.com/blogs/18650-wholesale-battery-reviews/57179459-lg-hg2-review-20a-3000mah","BatteryBro Review")</f>
        <v>BatteryBro Review</v>
      </c>
      <c r="Q9" s="9"/>
    </row>
    <row r="10" spans="1:17" ht="43" customHeight="1" x14ac:dyDescent="0.2">
      <c r="A10" s="9" t="s">
        <v>21</v>
      </c>
      <c r="B10" s="9" t="s">
        <v>81</v>
      </c>
      <c r="C10" s="10" t="s">
        <v>82</v>
      </c>
      <c r="D10" s="9">
        <v>5.4</v>
      </c>
      <c r="E10" s="10">
        <v>2.7</v>
      </c>
      <c r="F10" s="9" t="s">
        <v>52</v>
      </c>
      <c r="G10" s="9"/>
      <c r="H10" s="9"/>
      <c r="I10" s="9"/>
      <c r="J10" s="9"/>
      <c r="K10" s="9"/>
      <c r="L10" s="9"/>
      <c r="M10" s="9"/>
      <c r="N10" s="11" t="str">
        <f>HYPERLINK("http://www.batteryspace.com/prod-specs/5702_5.pdf","Data Sheet")</f>
        <v>Data Sheet</v>
      </c>
      <c r="O10" s="12" t="str">
        <f>HYPERLINK("https://drive.google.com/open?id=0B_pDil2dkRPTREVQck1fTHBLaVE","Data Sheet Backup")</f>
        <v>Data Sheet Backup</v>
      </c>
      <c r="P10" s="12" t="str">
        <f>HYPERLINK("http://lygte-info.dk/review/batteries2012/LG%2018650%20C2%202800mAh%20%28Orange%29%20UK.html","lygte-info Test results")</f>
        <v>lygte-info Test results</v>
      </c>
      <c r="Q10" s="9" t="s">
        <v>75</v>
      </c>
    </row>
    <row r="11" spans="1:17" ht="43" customHeight="1" x14ac:dyDescent="0.2">
      <c r="A11" s="9" t="s">
        <v>21</v>
      </c>
      <c r="B11" s="9" t="s">
        <v>83</v>
      </c>
      <c r="C11" s="10" t="s">
        <v>84</v>
      </c>
      <c r="D11" s="9" t="s">
        <v>85</v>
      </c>
      <c r="E11" s="10" t="s">
        <v>86</v>
      </c>
      <c r="F11" s="9" t="s">
        <v>33</v>
      </c>
      <c r="G11" s="9"/>
      <c r="H11" s="9"/>
      <c r="I11" s="9"/>
      <c r="J11" s="9"/>
      <c r="K11" s="9"/>
      <c r="L11" s="9"/>
      <c r="M11" s="9"/>
      <c r="N11" s="10" t="s">
        <v>33</v>
      </c>
      <c r="O11" s="9" t="s">
        <v>33</v>
      </c>
      <c r="P11" s="12" t="str">
        <f>HYPERLINK("https://lygte-info.dk/review/batteries2012/LG%2018650%20ME1%202100mAh%20(Orange)%20UK.html","lygte-info Test results")</f>
        <v>lygte-info Test results</v>
      </c>
      <c r="Q11" s="9" t="s">
        <v>87</v>
      </c>
    </row>
    <row r="12" spans="1:17" ht="43" customHeight="1" x14ac:dyDescent="0.2">
      <c r="A12" s="9" t="s">
        <v>21</v>
      </c>
      <c r="B12" s="9" t="s">
        <v>88</v>
      </c>
      <c r="C12" s="10" t="s">
        <v>17</v>
      </c>
      <c r="D12" s="9">
        <v>4.3</v>
      </c>
      <c r="E12" s="10">
        <v>1.075</v>
      </c>
      <c r="F12" s="9" t="s">
        <v>52</v>
      </c>
      <c r="G12" s="9"/>
      <c r="H12" s="9"/>
      <c r="I12" s="9"/>
      <c r="J12" s="9"/>
      <c r="K12" s="9"/>
      <c r="L12" s="9"/>
      <c r="M12" s="9"/>
      <c r="N12" s="11" t="str">
        <f>HYPERLINK("http://www.monstercells.com/pdf/li-ion/2200-18650.pdf","Data Sheet")</f>
        <v>Data Sheet</v>
      </c>
      <c r="O12" s="12" t="str">
        <f>HYPERLINK("https://drive.google.com/open?id=0B_pDil2dkRPTUGFxUkJRNUFqeEE","Data Sheet Backup")</f>
        <v>Data Sheet Backup</v>
      </c>
      <c r="P12" s="9"/>
      <c r="Q12" s="9"/>
    </row>
    <row r="13" spans="1:17" ht="43" customHeight="1" x14ac:dyDescent="0.2">
      <c r="A13" s="9" t="s">
        <v>21</v>
      </c>
      <c r="B13" s="9" t="s">
        <v>89</v>
      </c>
      <c r="C13" s="10">
        <v>2200</v>
      </c>
      <c r="D13" s="9" t="s">
        <v>90</v>
      </c>
      <c r="E13" s="10" t="s">
        <v>90</v>
      </c>
      <c r="F13" s="9" t="s">
        <v>33</v>
      </c>
      <c r="G13" s="9"/>
      <c r="H13" s="9"/>
      <c r="I13" s="9"/>
      <c r="J13" s="9"/>
      <c r="K13" s="9"/>
      <c r="L13" s="9"/>
      <c r="M13" s="9"/>
      <c r="N13" s="10"/>
      <c r="O13" s="9"/>
      <c r="P13" s="12" t="str">
        <f>HYPERLINK("http://grenergy.bossgoo.com/lithium-ion-batteries/lg-brand-18650-li-ion-battery-cell-3-7v-2200mah-odm-oem-high-quality-with-1-year-gurantee-12755310.html","Chinese source")</f>
        <v>Chinese source</v>
      </c>
      <c r="Q13" s="9"/>
    </row>
    <row r="14" spans="1:17" ht="43" customHeight="1" x14ac:dyDescent="0.2">
      <c r="A14" s="9" t="s">
        <v>21</v>
      </c>
      <c r="B14" s="9" t="s">
        <v>91</v>
      </c>
      <c r="C14" s="10" t="s">
        <v>23</v>
      </c>
      <c r="D14" s="9" t="s">
        <v>24</v>
      </c>
      <c r="E14" s="10" t="s">
        <v>25</v>
      </c>
      <c r="F14" s="9" t="s">
        <v>92</v>
      </c>
      <c r="G14" s="9"/>
      <c r="H14" s="9"/>
      <c r="I14" s="9"/>
      <c r="J14" s="9"/>
      <c r="K14" s="9"/>
      <c r="L14" s="9"/>
      <c r="M14" s="9"/>
      <c r="N14" s="11" t="str">
        <f>HYPERLINK("https://cdn.shopify.com/s/files/1/0674/3651/files/LG18650_HE4.PDF?828","Data Sheet")</f>
        <v>Data Sheet</v>
      </c>
      <c r="O14" s="12" t="str">
        <f>HYPERLINK("https://drive.google.com/open?id=0B_pDil2dkRPTZThJMk55bTNtSG8","Data Sheet Backup")</f>
        <v>Data Sheet Backup</v>
      </c>
      <c r="P14" s="12" t="str">
        <f>HYPERLINK("http://lygte-info.dk/review/batteries2012/LG%2018650%20HE4%202500mAh%20(Yellow)%20UK.html","lygte-info.dk")</f>
        <v>lygte-info.dk</v>
      </c>
      <c r="Q14" s="9"/>
    </row>
    <row r="15" spans="1:17" ht="43" customHeight="1" x14ac:dyDescent="0.2">
      <c r="A15" s="9" t="s">
        <v>21</v>
      </c>
      <c r="B15" s="9" t="s">
        <v>93</v>
      </c>
      <c r="C15" s="10" t="s">
        <v>56</v>
      </c>
      <c r="D15" s="9" t="s">
        <v>94</v>
      </c>
      <c r="E15" s="10">
        <v>4</v>
      </c>
      <c r="F15" s="9" t="s">
        <v>92</v>
      </c>
      <c r="G15" s="9"/>
      <c r="H15" s="9"/>
      <c r="I15" s="9"/>
      <c r="J15" s="9"/>
      <c r="K15" s="9"/>
      <c r="L15" s="9"/>
      <c r="M15" s="9"/>
      <c r="N15" s="10"/>
      <c r="O15" s="9"/>
      <c r="P15" s="12" t="str">
        <f>HYPERLINK("https://www.e-cigarette-forum.com/forum/threads/lg-hb4-mustard-30a-1500mah-18650-bench-test-results-a-great-30a-battery-better-than-brown-hb4.735938/","e-cigarette-forum.com test results")</f>
        <v>e-cigarette-forum.com test results</v>
      </c>
      <c r="Q15" s="9"/>
    </row>
    <row r="16" spans="1:17" ht="43" customHeight="1" x14ac:dyDescent="0.2">
      <c r="A16" s="9" t="s">
        <v>21</v>
      </c>
      <c r="B16" s="9" t="s">
        <v>95</v>
      </c>
      <c r="C16" s="10" t="s">
        <v>96</v>
      </c>
      <c r="D16" s="9">
        <v>4.05</v>
      </c>
      <c r="E16" s="10" t="s">
        <v>97</v>
      </c>
      <c r="F16" s="9" t="s">
        <v>52</v>
      </c>
      <c r="G16" s="9"/>
      <c r="H16" s="9"/>
      <c r="I16" s="9"/>
      <c r="J16" s="9"/>
      <c r="K16" s="9"/>
      <c r="L16" s="9"/>
      <c r="M16" s="9"/>
      <c r="N16" s="11" t="str">
        <f>HYPERLINK("www.meircell.co.il/files/LG%20ICR18650C1.pdf","Data Sheet")</f>
        <v>Data Sheet</v>
      </c>
      <c r="O16" s="12" t="str">
        <f>HYPERLINK("https://drive.google.com/open?id=0B_pDil2dkRPTQjJVZmhENmEzTjQ","Data Sheet Backup")</f>
        <v>Data Sheet Backup</v>
      </c>
      <c r="P16" s="9"/>
      <c r="Q16" s="9" t="s">
        <v>98</v>
      </c>
    </row>
    <row r="17" spans="1:17" ht="43" customHeight="1" x14ac:dyDescent="0.2">
      <c r="A17" s="9" t="s">
        <v>21</v>
      </c>
      <c r="B17" s="9" t="s">
        <v>131</v>
      </c>
      <c r="C17" s="10" t="s">
        <v>59</v>
      </c>
      <c r="D17" s="9" t="s">
        <v>132</v>
      </c>
      <c r="E17" s="10" t="s">
        <v>133</v>
      </c>
      <c r="F17" s="9" t="s">
        <v>14</v>
      </c>
      <c r="G17" s="9"/>
      <c r="H17" s="9"/>
      <c r="I17" s="9"/>
      <c r="J17" s="9"/>
      <c r="K17" s="9"/>
      <c r="L17" s="9"/>
      <c r="M17" s="9"/>
      <c r="N17" s="11" t="str">
        <f>HYPERLINK("https://www.nkon.nl/sk/k/Specification%20INR18650MJ1%2022.08.2014.pdf","Data Sheet")</f>
        <v>Data Sheet</v>
      </c>
      <c r="O17" s="12" t="str">
        <f>HYPERLINK("https://drive.google.com/open?id=0B_pDil2dkRPTeDRRUzlvSk9yZFk","Data Sheet Backup")</f>
        <v>Data Sheet Backup</v>
      </c>
      <c r="P17" s="12" t="str">
        <f>HYPERLINK("http://lygte-info.dk/review/batteries2012/LG%2018650%20MJ1%203500mAh%20%28Green%29%20UK.html","lygte-info.dk")</f>
        <v>lygte-info.dk</v>
      </c>
      <c r="Q17" s="9"/>
    </row>
    <row r="18" spans="1:17" ht="43" customHeight="1" x14ac:dyDescent="0.2">
      <c r="A18" s="9" t="s">
        <v>21</v>
      </c>
      <c r="B18" s="9" t="s">
        <v>192</v>
      </c>
      <c r="C18" s="10" t="s">
        <v>193</v>
      </c>
      <c r="D18" s="9" t="s">
        <v>194</v>
      </c>
      <c r="E18" s="10">
        <v>1.55</v>
      </c>
      <c r="F18" s="9" t="s">
        <v>14</v>
      </c>
      <c r="G18" s="9"/>
      <c r="H18" s="9"/>
      <c r="I18" s="9"/>
      <c r="J18" s="9"/>
      <c r="K18" s="9"/>
      <c r="L18" s="9"/>
      <c r="M18" s="9"/>
      <c r="N18" s="11" t="str">
        <f>HYPERLINK("http://keeppower.com.ua/download/lg18650e1.pdf","Data Sheet")</f>
        <v>Data Sheet</v>
      </c>
      <c r="O18" s="12" t="str">
        <f>HYPERLINK("https://drive.google.com/open?id=0B_pDil2dkRPTYTNxMUZWT3RPUm8","Data Sheet Backup")</f>
        <v>Data Sheet Backup</v>
      </c>
      <c r="P18" s="9"/>
      <c r="Q18" s="9"/>
    </row>
    <row r="19" spans="1:17" ht="43" customHeight="1" x14ac:dyDescent="0.2">
      <c r="A19" s="9" t="s">
        <v>21</v>
      </c>
      <c r="B19" s="9" t="s">
        <v>195</v>
      </c>
      <c r="C19" s="10" t="s">
        <v>196</v>
      </c>
      <c r="D19" s="9">
        <v>5.0999999999999996</v>
      </c>
      <c r="E19" s="10" t="s">
        <v>197</v>
      </c>
      <c r="F19" s="9" t="s">
        <v>33</v>
      </c>
      <c r="G19" s="9"/>
      <c r="H19" s="9"/>
      <c r="I19" s="9"/>
      <c r="J19" s="9"/>
      <c r="K19" s="9"/>
      <c r="L19" s="9"/>
      <c r="M19" s="9"/>
      <c r="N19" s="11" t="str">
        <f>HYPERLINK("http://d112tss1dzpest.cloudfront.net/wp-content/blogs.dir/26/files/2014/12/LG-ICR18650B1.pdf?323d81","Data Sheet")</f>
        <v>Data Sheet</v>
      </c>
      <c r="O19" s="12" t="str">
        <f>HYPERLINK("https://drive.google.com/open?id=0B_pDil2dkRPTdmxHTzdvUlZPeU0","Data Sheet Backup")</f>
        <v>Data Sheet Backup</v>
      </c>
      <c r="P19" s="9"/>
      <c r="Q19" s="9"/>
    </row>
    <row r="20" spans="1:17" ht="43" customHeight="1" x14ac:dyDescent="0.2">
      <c r="A20" s="9" t="s">
        <v>21</v>
      </c>
      <c r="B20" s="9" t="s">
        <v>198</v>
      </c>
      <c r="C20" s="10" t="s">
        <v>56</v>
      </c>
      <c r="D20" s="9" t="s">
        <v>149</v>
      </c>
      <c r="E20" s="10" t="s">
        <v>111</v>
      </c>
      <c r="F20" s="9" t="s">
        <v>20</v>
      </c>
      <c r="G20" s="9"/>
      <c r="H20" s="9"/>
      <c r="I20" s="9"/>
      <c r="J20" s="9"/>
      <c r="K20" s="9"/>
      <c r="L20" s="9"/>
      <c r="M20" s="9"/>
      <c r="N20" s="11" t="str">
        <f>HYPERLINK("http://akkuplus.de/mediafiles/Datenblatt/LG/ICR18650HB2.pdf","Data Sheet")</f>
        <v>Data Sheet</v>
      </c>
      <c r="O20" s="12" t="str">
        <f>HYPERLINK("https://drive.google.com/open?id=0B_pDil2dkRPTZmh6V2JCcmJYVU0","Data Sheet Backup")</f>
        <v>Data Sheet Backup</v>
      </c>
      <c r="P20" s="9"/>
      <c r="Q20" s="9"/>
    </row>
    <row r="21" spans="1:17" ht="43" customHeight="1" x14ac:dyDescent="0.2">
      <c r="A21" s="9" t="s">
        <v>21</v>
      </c>
      <c r="B21" s="9" t="s">
        <v>223</v>
      </c>
      <c r="C21" s="10" t="s">
        <v>193</v>
      </c>
      <c r="D21" s="9">
        <v>10</v>
      </c>
      <c r="E21" s="10">
        <v>3.1</v>
      </c>
      <c r="F21" s="9" t="s">
        <v>20</v>
      </c>
      <c r="G21" s="9"/>
      <c r="H21" s="9"/>
      <c r="I21" s="9"/>
      <c r="J21" s="9"/>
      <c r="K21" s="9"/>
      <c r="L21" s="9"/>
      <c r="M21" s="9"/>
      <c r="N21" s="11" t="str">
        <f>HYPERLINK("http://tinkbox.ph/sites/tinkbox.ph/files/downloads/Li-ion%20INR18650%20MH1%203200mAh_data%20sheet.pdf","Data Sheet")</f>
        <v>Data Sheet</v>
      </c>
      <c r="O21" s="12" t="str">
        <f>HYPERLINK("https://drive.google.com/open?id=0B_pDil2dkRPTcG00ODhPZFhfNGM","Data Sheet Backup")</f>
        <v>Data Sheet Backup</v>
      </c>
      <c r="P21" s="12" t="str">
        <f>HYPERLINK("http://lygte-info.dk/review/batteries2012/LG%2018650%20MH1%203200mAh%20%28Cyan%29%20UK.html","lygte-info.dk")</f>
        <v>lygte-info.dk</v>
      </c>
      <c r="Q21" s="9"/>
    </row>
    <row r="22" spans="1:17" ht="43" customHeight="1" x14ac:dyDescent="0.2">
      <c r="A22" s="9" t="s">
        <v>21</v>
      </c>
      <c r="B22" s="9" t="s">
        <v>224</v>
      </c>
      <c r="C22" s="10" t="s">
        <v>225</v>
      </c>
      <c r="D22" s="9">
        <v>5</v>
      </c>
      <c r="E22" s="9">
        <v>2.33</v>
      </c>
      <c r="F22" s="9" t="s">
        <v>33</v>
      </c>
      <c r="G22" s="9"/>
      <c r="H22" s="9"/>
      <c r="I22" s="9"/>
      <c r="J22" s="9"/>
      <c r="K22" s="9"/>
      <c r="L22" s="9"/>
      <c r="M22" s="9"/>
      <c r="N22" s="11" t="str">
        <f>HYPERLINK("https://www.nkon.nl/sk/k/Specification%20INR18650MJ1%2022.08.2014.pdf","Data Sheet")</f>
        <v>Data Sheet</v>
      </c>
      <c r="O22" s="12" t="str">
        <f>HYPERLINK("https://drive.google.com/open?id=1vcWc0vAZufnAjmWIKw_on4XPZiZ7tUTw","Data Sheet Backup")</f>
        <v>Data Sheet Backup</v>
      </c>
      <c r="P22" s="12" t="str">
        <f>HYPERLINK("https://lygte-info.dk/review/batteries2012/LG%2018650%20M36%203600mAh%20(Cyan)%20UK.html","lygte-info.dk")</f>
        <v>lygte-info.dk</v>
      </c>
      <c r="Q22" s="9" t="s">
        <v>226</v>
      </c>
    </row>
    <row r="23" spans="1:17" ht="43" customHeight="1" x14ac:dyDescent="0.2">
      <c r="A23" s="9" t="s">
        <v>21</v>
      </c>
      <c r="B23" s="9" t="s">
        <v>236</v>
      </c>
      <c r="C23" s="10">
        <v>2200</v>
      </c>
      <c r="D23" s="9" t="s">
        <v>237</v>
      </c>
      <c r="E23" s="10" t="s">
        <v>238</v>
      </c>
      <c r="F23" s="9" t="s">
        <v>33</v>
      </c>
      <c r="G23" s="9"/>
      <c r="H23" s="9"/>
      <c r="I23" s="9"/>
      <c r="J23" s="9"/>
      <c r="K23" s="9"/>
      <c r="L23" s="9"/>
      <c r="M23" s="9"/>
      <c r="N23" s="10"/>
      <c r="O23" s="9"/>
      <c r="P23" s="12" t="str">
        <f>HYPERLINK("http://www.cl-rd.cn/product/1916322243-221851973/Original_LG_Brand_LGAAS31865_icr18650_LG_S3_2200mAh_lg_18650_2200mah_3_7v_lithium_ion_battery.html","Alibaba Source")</f>
        <v>Alibaba Source</v>
      </c>
      <c r="Q23" s="9"/>
    </row>
    <row r="24" spans="1:17" ht="43" customHeight="1" x14ac:dyDescent="0.2">
      <c r="A24" s="9" t="s">
        <v>21</v>
      </c>
      <c r="B24" s="9" t="s">
        <v>239</v>
      </c>
      <c r="C24" s="10">
        <v>2200</v>
      </c>
      <c r="D24" s="9">
        <v>3.2</v>
      </c>
      <c r="E24" s="10">
        <v>1.075</v>
      </c>
      <c r="F24" s="9" t="s">
        <v>20</v>
      </c>
      <c r="G24" s="9"/>
      <c r="H24" s="9"/>
      <c r="I24" s="9"/>
      <c r="J24" s="9"/>
      <c r="K24" s="9"/>
      <c r="L24" s="9"/>
      <c r="M24" s="9"/>
      <c r="N24" s="11" t="str">
        <f>HYPERLINK("http://www.meircell.co.il/files/LG%20ICR18650S3.pdf","Data Sheet")</f>
        <v>Data Sheet</v>
      </c>
      <c r="O24" s="12" t="str">
        <f>HYPERLINK("https://drive.google.com/open?id=0B_pDil2dkRPTTXIxRi1kenRKY2s","Data Sheet Backup")</f>
        <v>Data Sheet Backup</v>
      </c>
      <c r="P24" s="9"/>
      <c r="Q24" s="9"/>
    </row>
    <row r="25" spans="1:17" ht="43" customHeight="1" x14ac:dyDescent="0.2">
      <c r="A25" s="9" t="s">
        <v>21</v>
      </c>
      <c r="B25" s="9" t="s">
        <v>240</v>
      </c>
      <c r="C25" s="10">
        <v>2200</v>
      </c>
      <c r="D25" s="9" t="s">
        <v>241</v>
      </c>
      <c r="E25" s="9" t="s">
        <v>242</v>
      </c>
      <c r="F25" s="9" t="s">
        <v>33</v>
      </c>
      <c r="G25" s="9"/>
      <c r="H25" s="9"/>
      <c r="I25" s="9"/>
      <c r="J25" s="9"/>
      <c r="K25" s="9"/>
      <c r="L25" s="9"/>
      <c r="M25" s="9"/>
      <c r="N25" s="10"/>
      <c r="O25" s="9"/>
      <c r="P25" s="12" t="str">
        <f>HYPERLINK("https://www.alibaba.com/product-detail/Blue-LGEAS31865-2200mah-18650-li-ion_60484241468.html","Alibaba Source")</f>
        <v>Alibaba Source</v>
      </c>
      <c r="Q25" s="9"/>
    </row>
    <row r="26" spans="1:17" ht="43" customHeight="1" x14ac:dyDescent="0.2">
      <c r="A26" s="9" t="s">
        <v>21</v>
      </c>
      <c r="B26" s="9" t="s">
        <v>263</v>
      </c>
      <c r="C26" s="10" t="s">
        <v>13</v>
      </c>
      <c r="D26" s="9" t="s">
        <v>264</v>
      </c>
      <c r="E26" s="10" t="s">
        <v>265</v>
      </c>
      <c r="F26" s="9" t="s">
        <v>33</v>
      </c>
      <c r="G26" s="9"/>
      <c r="H26" s="9"/>
      <c r="I26" s="9"/>
      <c r="J26" s="9"/>
      <c r="K26" s="9"/>
      <c r="L26" s="9"/>
      <c r="M26" s="9"/>
      <c r="N26" s="11" t="str">
        <f>HYPERLINK("http://keeppower.com.ua/download/2015-11/150304_PS_LGC_INR18650_F1L_v1.pdf","Data Sheet")</f>
        <v>Data Sheet</v>
      </c>
      <c r="O26" s="12" t="str">
        <f>HYPERLINK("https://drive.google.com/open?id=0B_pDil2dkRPTQnVyYjNCOUZDWWc","Data Sheet Backup")</f>
        <v>Data Sheet Backup</v>
      </c>
      <c r="P26" s="9"/>
      <c r="Q26" s="9"/>
    </row>
    <row r="27" spans="1:17" ht="43" customHeight="1" x14ac:dyDescent="0.2">
      <c r="A27" s="9" t="s">
        <v>21</v>
      </c>
      <c r="B27" s="9" t="s">
        <v>266</v>
      </c>
      <c r="C27" s="10" t="s">
        <v>267</v>
      </c>
      <c r="D27" s="9">
        <v>10</v>
      </c>
      <c r="E27" s="10">
        <v>2.1</v>
      </c>
      <c r="F27" s="9" t="s">
        <v>33</v>
      </c>
      <c r="G27" s="9"/>
      <c r="H27" s="9"/>
      <c r="I27" s="9"/>
      <c r="J27" s="9"/>
      <c r="K27" s="9"/>
      <c r="L27" s="9"/>
      <c r="M27" s="9"/>
      <c r="N27" s="11" t="str">
        <f>HYPERLINK("https://www.imrbatteries.com/content/lg_MF1.pdf","Data Sheet")</f>
        <v>Data Sheet</v>
      </c>
      <c r="O27" s="12" t="str">
        <f>HYPERLINK("https://drive.google.com/open?id=0B_pDil2dkRPTX29iQ08xdnp0RFU","Data Sheet Backup")</f>
        <v>Data Sheet Backup</v>
      </c>
      <c r="P27" s="9"/>
      <c r="Q27" s="9"/>
    </row>
    <row r="28" spans="1:17" ht="43" customHeight="1" x14ac:dyDescent="0.2">
      <c r="A28" s="9" t="s">
        <v>21</v>
      </c>
      <c r="B28" s="9" t="s">
        <v>268</v>
      </c>
      <c r="C28" s="10" t="s">
        <v>37</v>
      </c>
      <c r="D28" s="9">
        <v>10</v>
      </c>
      <c r="E28" s="10">
        <v>2.1</v>
      </c>
      <c r="F28" s="9" t="s">
        <v>33</v>
      </c>
      <c r="G28" s="9"/>
      <c r="H28" s="9"/>
      <c r="I28" s="9"/>
      <c r="J28" s="9"/>
      <c r="K28" s="9"/>
      <c r="L28" s="9"/>
      <c r="M28" s="9"/>
      <c r="N28" s="11" t="str">
        <f>HYPERLINK("http://queenbattery.com.cn/index.php?controller=attachment&amp;id_attachment=60","Data Sheet")</f>
        <v>Data Sheet</v>
      </c>
      <c r="O28" s="12" t="str">
        <f>HYPERLINK("https://drive.google.com/open?id=1DrZet3lPirwJK4Cd6W6ENc9F4vPrfOr2","Data Sheet Backup")</f>
        <v>Data Sheet Backup</v>
      </c>
      <c r="P28" s="9"/>
      <c r="Q28" s="9"/>
    </row>
    <row r="29" spans="1:17" ht="43" customHeight="1" x14ac:dyDescent="0.2">
      <c r="A29" s="9" t="s">
        <v>21</v>
      </c>
      <c r="B29" s="9" t="s">
        <v>269</v>
      </c>
      <c r="C29" s="10" t="s">
        <v>54</v>
      </c>
      <c r="D29" s="9">
        <v>10</v>
      </c>
      <c r="E29" s="10">
        <v>2.5</v>
      </c>
      <c r="F29" s="9" t="s">
        <v>33</v>
      </c>
      <c r="G29" s="9"/>
      <c r="H29" s="9"/>
      <c r="I29" s="9"/>
      <c r="J29" s="9"/>
      <c r="K29" s="9"/>
      <c r="L29" s="9"/>
      <c r="M29" s="9"/>
      <c r="N29" s="11" t="str">
        <f>HYPERLINK("http://www.batteryspace.com/prod-specs/11609.pdf","Data Sheet")</f>
        <v>Data Sheet</v>
      </c>
      <c r="O29" s="12" t="str">
        <f>HYPERLINK("https://drive.google.com/open?id=1xkJPemfUehEc1QvmwpeiPDoe0yCcVqLk","Data Sheet Backup")</f>
        <v>Data Sheet Backup</v>
      </c>
      <c r="P29" s="9"/>
      <c r="Q29" s="9" t="s">
        <v>270</v>
      </c>
    </row>
    <row r="30" spans="1:17" ht="43" customHeight="1" x14ac:dyDescent="0.2">
      <c r="A30" s="9" t="s">
        <v>21</v>
      </c>
      <c r="B30" s="9" t="s">
        <v>278</v>
      </c>
      <c r="C30" s="10" t="s">
        <v>279</v>
      </c>
      <c r="D30" s="9">
        <v>10</v>
      </c>
      <c r="E30" s="10">
        <v>2.85</v>
      </c>
      <c r="F30" s="9"/>
      <c r="G30" s="9"/>
      <c r="H30" s="9"/>
      <c r="I30" s="9"/>
      <c r="J30" s="9"/>
      <c r="K30" s="9"/>
      <c r="L30" s="9"/>
      <c r="M30" s="9"/>
      <c r="N30" s="18" t="s">
        <v>6</v>
      </c>
      <c r="O30" s="13" t="s">
        <v>233</v>
      </c>
      <c r="P30" s="12" t="str">
        <f>HYPERLINK("https://lygte-info.dk/review/batteries2012/LG%2018650%20MG1%202850mAh%20(Purple)%20UK.html","lygte-info.dk")</f>
        <v>lygte-info.dk</v>
      </c>
      <c r="Q30" s="9"/>
    </row>
    <row r="31" spans="1:17" ht="43" customHeight="1" x14ac:dyDescent="0.2">
      <c r="A31" s="9" t="s">
        <v>21</v>
      </c>
      <c r="B31" s="9" t="s">
        <v>280</v>
      </c>
      <c r="C31" s="10" t="s">
        <v>196</v>
      </c>
      <c r="D31" s="9">
        <v>3.75</v>
      </c>
      <c r="E31" s="10">
        <v>1.25</v>
      </c>
      <c r="F31" s="9" t="s">
        <v>33</v>
      </c>
      <c r="G31" s="9"/>
      <c r="H31" s="9"/>
      <c r="I31" s="9"/>
      <c r="J31" s="9"/>
      <c r="K31" s="9"/>
      <c r="L31" s="9"/>
      <c r="M31" s="9"/>
      <c r="N31" s="11" t="str">
        <f>HYPERLINK("http://www.datasheetspdf.com/datasheet/download.php?id=923683","Data Sheet")</f>
        <v>Data Sheet</v>
      </c>
      <c r="O31" s="12" t="str">
        <f>HYPERLINK("https://drive.google.com/open?id=0B_pDil2dkRPTTDlVNUcyRjZHWm8","Data Sheet Backup")</f>
        <v>Data Sheet Backup</v>
      </c>
      <c r="P31" s="9"/>
      <c r="Q31" s="9"/>
    </row>
    <row r="32" spans="1:17" ht="43" customHeight="1" x14ac:dyDescent="0.2">
      <c r="A32" s="9" t="s">
        <v>21</v>
      </c>
      <c r="B32" s="9" t="s">
        <v>281</v>
      </c>
      <c r="C32" s="10" t="s">
        <v>282</v>
      </c>
      <c r="D32" s="9">
        <v>30</v>
      </c>
      <c r="E32" s="10">
        <v>4</v>
      </c>
      <c r="F32" s="9" t="s">
        <v>92</v>
      </c>
      <c r="G32" s="9"/>
      <c r="H32" s="9"/>
      <c r="I32" s="9"/>
      <c r="J32" s="9"/>
      <c r="K32" s="9"/>
      <c r="L32" s="9"/>
      <c r="M32" s="9"/>
      <c r="N32" s="11" t="str">
        <f>HYPERLINK("http://m.sc30power.com/uploads/201611406/PDF/HB6.pdf","Data Sheet")</f>
        <v>Data Sheet</v>
      </c>
      <c r="O32" s="12" t="str">
        <f>HYPERLINK("https://drive.google.com/open?id=0B_pDil2dkRPTNTZqRG9ZN1B3bUU","Data Sheet Backup")</f>
        <v>Data Sheet Backup</v>
      </c>
      <c r="P32" s="12" t="str">
        <f>HYPERLINK("https://www.e-cigarette-forum.com/forum/threads/lg-hb6-30a-1500mah-18650-bench-test-results-better-than-sx30-at-25a.682205/","e-cigarette-forum.com test results")</f>
        <v>e-cigarette-forum.com test results</v>
      </c>
      <c r="Q32" s="9" t="s">
        <v>270</v>
      </c>
    </row>
    <row r="33" spans="1:17" ht="43" customHeight="1" x14ac:dyDescent="0.2">
      <c r="A33" s="9" t="s">
        <v>21</v>
      </c>
      <c r="B33" s="9" t="s">
        <v>298</v>
      </c>
      <c r="C33" s="10" t="s">
        <v>196</v>
      </c>
      <c r="D33" s="9">
        <v>3.75</v>
      </c>
      <c r="E33" s="10" t="s">
        <v>299</v>
      </c>
      <c r="F33" s="9" t="s">
        <v>33</v>
      </c>
      <c r="G33" s="9"/>
      <c r="H33" s="9"/>
      <c r="I33" s="9"/>
      <c r="J33" s="9"/>
      <c r="K33" s="9"/>
      <c r="L33" s="9"/>
      <c r="M33" s="9"/>
      <c r="N33" s="11" t="str">
        <f>HYPERLINK("www.meircell.co.il/files/LG%20ICR18650B2.pdf","Data Sheet")</f>
        <v>Data Sheet</v>
      </c>
      <c r="O33" s="12" t="str">
        <f>HYPERLINK("https://drive.google.com/open?id=0B_pDil2dkRPTYmt4Y2U4NlJqYlU","Data Sheet Backup")</f>
        <v>Data Sheet Backup</v>
      </c>
      <c r="P33" s="9"/>
      <c r="Q33" s="9"/>
    </row>
    <row r="34" spans="1:17" ht="43" customHeight="1" x14ac:dyDescent="0.2">
      <c r="A34" s="9" t="s">
        <v>21</v>
      </c>
      <c r="B34" s="9" t="s">
        <v>300</v>
      </c>
      <c r="C34" s="10" t="s">
        <v>301</v>
      </c>
      <c r="D34" s="9" t="s">
        <v>302</v>
      </c>
      <c r="E34" s="10" t="s">
        <v>303</v>
      </c>
      <c r="F34" s="9" t="s">
        <v>14</v>
      </c>
      <c r="G34" s="9"/>
      <c r="H34" s="9"/>
      <c r="I34" s="9"/>
      <c r="J34" s="9"/>
      <c r="K34" s="9"/>
      <c r="L34" s="9"/>
      <c r="M34" s="9"/>
      <c r="N34" s="11" t="str">
        <f>HYPERLINK("http://keeppower.com.ua/download/2015-01/datasheet_LG-ICR18650D1.pdf","Data Sheet")</f>
        <v>Data Sheet</v>
      </c>
      <c r="O34" s="12" t="str">
        <f>HYPERLINK("https://drive.google.com/open?id=0B_pDil2dkRPTZU5mLWdEdjEyMjg","Data Sheet Backup")</f>
        <v>Data Sheet Backup</v>
      </c>
      <c r="P34" s="12" t="str">
        <f>HYPERLINK("http://lygte-info.dk/review/batteries2012/LG%2018650%20D1%203000mAh%20%28Pink%29%20UK.html","lygte-info.dk")</f>
        <v>lygte-info.dk</v>
      </c>
      <c r="Q34" s="9" t="s">
        <v>249</v>
      </c>
    </row>
    <row r="35" spans="1:17" ht="43" customHeight="1" x14ac:dyDescent="0.2">
      <c r="A35" s="9" t="s">
        <v>21</v>
      </c>
      <c r="B35" s="9" t="s">
        <v>305</v>
      </c>
      <c r="C35" s="10">
        <v>2600</v>
      </c>
      <c r="D35" s="9" t="s">
        <v>306</v>
      </c>
      <c r="E35" s="10" t="s">
        <v>299</v>
      </c>
      <c r="F35" s="9" t="s">
        <v>52</v>
      </c>
      <c r="G35" s="9"/>
      <c r="H35" s="9"/>
      <c r="I35" s="9"/>
      <c r="J35" s="9"/>
      <c r="K35" s="9"/>
      <c r="L35" s="9"/>
      <c r="M35" s="9"/>
      <c r="N35" s="11" t="str">
        <f>HYPERLINK("http://www.batteryspace.com/prod-specs/5457_B4.pdf","Data Sheet")</f>
        <v>Data Sheet</v>
      </c>
      <c r="O35" s="12" t="str">
        <f>HYPERLINK("https://drive.google.com/open?id=0B_pDil2dkRPTV19wS0tWWV85X00","Data Sheet Backup")</f>
        <v>Data Sheet Backup</v>
      </c>
      <c r="P35" s="9"/>
      <c r="Q35" s="9"/>
    </row>
    <row r="36" spans="1:17" ht="43" customHeight="1" x14ac:dyDescent="0.2">
      <c r="A36" s="9" t="s">
        <v>21</v>
      </c>
      <c r="B36" s="9" t="s">
        <v>307</v>
      </c>
      <c r="C36" s="10" t="s">
        <v>279</v>
      </c>
      <c r="D36" s="9" t="s">
        <v>308</v>
      </c>
      <c r="E36" s="10">
        <v>1.375</v>
      </c>
      <c r="F36" s="9"/>
      <c r="G36" s="9"/>
      <c r="H36" s="9"/>
      <c r="I36" s="9"/>
      <c r="J36" s="9"/>
      <c r="K36" s="9"/>
      <c r="L36" s="9"/>
      <c r="M36" s="9"/>
      <c r="N36" s="11" t="str">
        <f>HYPERLINK("http://akkuplus.de/mediafiles/Datenblatt/LG/LG_INR18650M29.pdf","Data Sheet")</f>
        <v>Data Sheet</v>
      </c>
      <c r="O36" s="12" t="str">
        <f>HYPERLINK("https://drive.google.com/file/d/1RWuUJaIKpn3I4nQ9WuqFXTwWooNrz62v/view?usp=sharing","Data Sheet Backup")</f>
        <v>Data Sheet Backup</v>
      </c>
      <c r="P36" s="9"/>
      <c r="Q36" s="9" t="s">
        <v>309</v>
      </c>
    </row>
    <row r="37" spans="1:17" ht="43" customHeight="1" x14ac:dyDescent="0.2">
      <c r="A37" s="9" t="s">
        <v>21</v>
      </c>
      <c r="B37" s="9" t="s">
        <v>320</v>
      </c>
      <c r="C37" s="10" t="s">
        <v>56</v>
      </c>
      <c r="D37" s="9" t="s">
        <v>321</v>
      </c>
      <c r="E37" s="10">
        <v>4</v>
      </c>
      <c r="F37" s="9" t="s">
        <v>33</v>
      </c>
      <c r="G37" s="9"/>
      <c r="H37" s="9"/>
      <c r="I37" s="9"/>
      <c r="J37" s="9"/>
      <c r="K37" s="9"/>
      <c r="L37" s="9"/>
      <c r="M37" s="9"/>
      <c r="N37" s="11" t="str">
        <f>HYPERLINK("http://www.devon-company.com/spec/LG%2018650-HB3.pdf","Data Sheet")</f>
        <v>Data Sheet</v>
      </c>
      <c r="O37" s="12" t="str">
        <f>HYPERLINK("https://drive.google.com/open?id=1NSHh7pq0mITjYmhjNA-_v4wWBKiUwy0v","Data Sheet Backup")</f>
        <v>Data Sheet Backup</v>
      </c>
      <c r="P37" s="12" t="str">
        <f>HYPERLINK("https://lygte-info.dk/review/batteries2012/LG%2018650%20HB3%201500mAh%20(Gray)%20UK.html","lygte-info.dk")</f>
        <v>lygte-info.dk</v>
      </c>
      <c r="Q37" s="9" t="s">
        <v>322</v>
      </c>
    </row>
    <row r="38" spans="1:17" ht="43" customHeight="1" x14ac:dyDescent="0.2">
      <c r="A38" s="9" t="s">
        <v>273</v>
      </c>
      <c r="B38" s="9" t="s">
        <v>274</v>
      </c>
      <c r="C38" s="10" t="s">
        <v>17</v>
      </c>
      <c r="D38" s="9" t="s">
        <v>275</v>
      </c>
      <c r="E38" s="9" t="s">
        <v>19</v>
      </c>
      <c r="F38" s="9" t="s">
        <v>33</v>
      </c>
      <c r="G38" s="9"/>
      <c r="H38" s="9"/>
      <c r="I38" s="9"/>
      <c r="J38" s="9"/>
      <c r="K38" s="9"/>
      <c r="L38" s="9"/>
      <c r="M38" s="9"/>
      <c r="N38" s="11" t="str">
        <f>HYPERLINK("http://www.tysonicbattery.com/baotongusa/products/datasheets/li-ion/TY-LR18650-2200.pdf","Data Sheet")</f>
        <v>Data Sheet</v>
      </c>
      <c r="O38" s="12" t="str">
        <f>HYPERLINK("https://drive.google.com/open?id=0B_pDil2dkRPTV2hBVVFvY1Nkelk","Data Sheet Backup")</f>
        <v>Data Sheet Backup</v>
      </c>
      <c r="P38" s="9"/>
      <c r="Q38" s="9"/>
    </row>
    <row r="39" spans="1:17" ht="43" customHeight="1" x14ac:dyDescent="0.2">
      <c r="A39" s="10" t="s">
        <v>273</v>
      </c>
      <c r="B39" s="10" t="s">
        <v>310</v>
      </c>
      <c r="C39" s="10">
        <v>2200</v>
      </c>
      <c r="D39" s="9" t="s">
        <v>90</v>
      </c>
      <c r="E39" s="10" t="s">
        <v>311</v>
      </c>
      <c r="F39" s="9" t="s">
        <v>52</v>
      </c>
      <c r="G39" s="9"/>
      <c r="H39" s="9"/>
      <c r="I39" s="9"/>
      <c r="J39" s="9"/>
      <c r="K39" s="9"/>
      <c r="L39" s="9"/>
      <c r="M39" s="9"/>
      <c r="N39" s="10"/>
      <c r="O39" s="9"/>
      <c r="P39" s="9"/>
      <c r="Q39" s="9"/>
    </row>
    <row r="40" spans="1:17" ht="43" customHeight="1" x14ac:dyDescent="0.2">
      <c r="A40" s="9" t="s">
        <v>99</v>
      </c>
      <c r="B40" s="9" t="s">
        <v>100</v>
      </c>
      <c r="C40" s="10" t="s">
        <v>17</v>
      </c>
      <c r="D40" s="9" t="s">
        <v>101</v>
      </c>
      <c r="E40" s="10" t="s">
        <v>102</v>
      </c>
      <c r="F40" s="9" t="s">
        <v>33</v>
      </c>
      <c r="G40" s="9"/>
      <c r="H40" s="9"/>
      <c r="I40" s="9"/>
      <c r="J40" s="9"/>
      <c r="K40" s="9"/>
      <c r="L40" s="9"/>
      <c r="M40" s="9"/>
      <c r="N40" s="11" t="str">
        <f>HYPERLINK("http://www.houseofbatteries.com/documents/ICR18650H.pdf","Data Sheet")</f>
        <v>Data Sheet</v>
      </c>
      <c r="O40" s="12" t="str">
        <f>HYPERLINK("https://drive.google.com/open?id=0B_pDil2dkRPTa1hsMThhd0d5b0E","Data Sheet Backup")</f>
        <v>Data Sheet Backup</v>
      </c>
      <c r="P40" s="9"/>
      <c r="Q40" s="9"/>
    </row>
    <row r="41" spans="1:17" ht="43" customHeight="1" x14ac:dyDescent="0.2">
      <c r="A41" s="9" t="s">
        <v>76</v>
      </c>
      <c r="B41" s="9" t="s">
        <v>77</v>
      </c>
      <c r="C41" s="10" t="s">
        <v>78</v>
      </c>
      <c r="D41" s="9" t="s">
        <v>79</v>
      </c>
      <c r="E41" s="10">
        <v>1.19</v>
      </c>
      <c r="F41" s="9" t="s">
        <v>33</v>
      </c>
      <c r="G41" s="9"/>
      <c r="H41" s="9"/>
      <c r="I41" s="9"/>
      <c r="J41" s="9"/>
      <c r="K41" s="9"/>
      <c r="L41" s="9"/>
      <c r="M41" s="9"/>
      <c r="N41" s="11" t="str">
        <f>HYPERLINK("http://minami373373.web.fc2.com/PC_AB5900/CGR18650HG.pdf","Data Sheet")</f>
        <v>Data Sheet</v>
      </c>
      <c r="O41" s="12" t="str">
        <f>HYPERLINK("https://drive.google.com/open?id=0B_pDil2dkRPTVFlOaldGb1hDZjQ","Data Sheet Backup")</f>
        <v>Data Sheet Backup</v>
      </c>
      <c r="P41" s="9"/>
      <c r="Q41" s="9" t="s">
        <v>80</v>
      </c>
    </row>
    <row r="42" spans="1:17" ht="43" customHeight="1" x14ac:dyDescent="0.2">
      <c r="A42" s="9" t="s">
        <v>76</v>
      </c>
      <c r="B42" s="9" t="s">
        <v>113</v>
      </c>
      <c r="C42" s="10">
        <v>2000</v>
      </c>
      <c r="D42" s="9">
        <v>3.8</v>
      </c>
      <c r="E42" s="10">
        <v>1.33</v>
      </c>
      <c r="F42" s="9" t="s">
        <v>33</v>
      </c>
      <c r="G42" s="9"/>
      <c r="H42" s="9"/>
      <c r="I42" s="9"/>
      <c r="J42" s="9"/>
      <c r="K42" s="9"/>
      <c r="L42" s="9"/>
      <c r="M42" s="9"/>
      <c r="N42" s="11" t="str">
        <f>HYPERLINK("http://home.roboticlab.eu/_media/et/projects/tudengid11/panasonic_liion_cgr18650a.pdf","Data Sheet")</f>
        <v>Data Sheet</v>
      </c>
      <c r="O42" s="12" t="str">
        <f>HYPERLINK("https://drive.google.com/open?id=0B_pDil2dkRPTMW5uNjBILTRYZGM","Data Sheet Backup")</f>
        <v>Data Sheet Backup</v>
      </c>
      <c r="P42" s="9"/>
    </row>
    <row r="43" spans="1:17" ht="43" customHeight="1" x14ac:dyDescent="0.2">
      <c r="A43" s="9" t="s">
        <v>76</v>
      </c>
      <c r="B43" s="9" t="s">
        <v>114</v>
      </c>
      <c r="C43" s="10" t="s">
        <v>13</v>
      </c>
      <c r="D43" s="9" t="s">
        <v>115</v>
      </c>
      <c r="E43" s="10">
        <v>1.625</v>
      </c>
      <c r="F43" s="9" t="s">
        <v>14</v>
      </c>
      <c r="G43" s="9"/>
      <c r="H43" s="9"/>
      <c r="I43" s="9"/>
      <c r="J43" s="9"/>
      <c r="K43" s="9"/>
      <c r="L43" s="9"/>
      <c r="M43" s="9"/>
      <c r="N43" s="11" t="str">
        <f>HYPERLINK("http://www.batteryonestop.com/baotongusa/products/datasheets/li-ion/SANYO-NCR18650B-3400mAh.pdf","Data Sheet")</f>
        <v>Data Sheet</v>
      </c>
      <c r="O43" s="12" t="str">
        <f>HYPERLINK("https://drive.google.com/open?id=0B_pDil2dkRPTdGpCcEhnaXFoSnM","Data Sheet Backup")</f>
        <v>Data Sheet Backup</v>
      </c>
      <c r="P43" s="12" t="str">
        <f>HYPERLINK("http://lygte-info.dk/review/batteries2012/Panasonic%20NCR18650B%203400mAh%20(Green)%20UK.html","lygte-info.dk")</f>
        <v>lygte-info.dk</v>
      </c>
      <c r="Q43" s="9"/>
    </row>
    <row r="44" spans="1:17" ht="43" customHeight="1" x14ac:dyDescent="0.2">
      <c r="A44" s="9" t="s">
        <v>76</v>
      </c>
      <c r="B44" s="10" t="s">
        <v>116</v>
      </c>
      <c r="C44" s="10" t="s">
        <v>117</v>
      </c>
      <c r="D44" s="9">
        <v>4.3</v>
      </c>
      <c r="E44" s="10">
        <v>1.5</v>
      </c>
      <c r="F44" s="9" t="s">
        <v>92</v>
      </c>
      <c r="G44" s="9"/>
      <c r="H44" s="9"/>
      <c r="I44" s="9"/>
      <c r="J44" s="9"/>
      <c r="K44" s="9"/>
      <c r="L44" s="9"/>
      <c r="M44" s="9"/>
      <c r="N44" s="11" t="str">
        <f>HYPERLINK("http://www.meircell.co.il/files/Panasonic%20CGR18650CG.pdf","Data Sheet")</f>
        <v>Data Sheet</v>
      </c>
      <c r="O44" s="12" t="str">
        <f>HYPERLINK("https://drive.google.com/open?id=0B_pDil2dkRPTQWJtb05zaWI5emM","Data Sheet Backup")</f>
        <v>Data Sheet Backup</v>
      </c>
      <c r="P44" s="9"/>
      <c r="Q44" s="9"/>
    </row>
    <row r="45" spans="1:17" ht="43" customHeight="1" x14ac:dyDescent="0.2">
      <c r="A45" s="9" t="s">
        <v>76</v>
      </c>
      <c r="B45" s="9" t="s">
        <v>118</v>
      </c>
      <c r="C45" s="10" t="s">
        <v>119</v>
      </c>
      <c r="D45" s="9">
        <v>10</v>
      </c>
      <c r="E45" s="10">
        <v>1.34</v>
      </c>
      <c r="F45" s="9" t="s">
        <v>14</v>
      </c>
      <c r="G45" s="9"/>
      <c r="H45" s="9"/>
      <c r="I45" s="9"/>
      <c r="J45" s="9"/>
      <c r="K45" s="9"/>
      <c r="L45" s="9"/>
      <c r="M45" s="9"/>
      <c r="N45" s="11" t="str">
        <f>HYPERLINK("http://e-motion.lt/wp-content/uploads/2013/04/NCR18650PD-1.pdf","Data Sheet")</f>
        <v>Data Sheet</v>
      </c>
      <c r="O45" s="12" t="str">
        <f>HYPERLINK("https://drive.google.com/open?id=0B_pDil2dkRPTVTdlRm1fZmE0dUE","Data Sheet Backup")</f>
        <v>Data Sheet Backup</v>
      </c>
      <c r="P45" s="9"/>
      <c r="Q45" s="12" t="str">
        <f>HYPERLINK("http://www.rc-electronic.com/downloads/pdf/infos/datasheet_LiIo_Panasonic.pdf","Virtually identical to NCR18650PF")</f>
        <v>Virtually identical to NCR18650PF</v>
      </c>
    </row>
    <row r="46" spans="1:17" ht="43" customHeight="1" x14ac:dyDescent="0.2">
      <c r="A46" s="9" t="s">
        <v>76</v>
      </c>
      <c r="B46" s="10" t="s">
        <v>120</v>
      </c>
      <c r="C46" s="10" t="s">
        <v>119</v>
      </c>
      <c r="D46" s="9">
        <v>10</v>
      </c>
      <c r="E46" s="10">
        <v>1.34</v>
      </c>
      <c r="F46" s="9" t="s">
        <v>14</v>
      </c>
      <c r="G46" s="9"/>
      <c r="H46" s="9"/>
      <c r="I46" s="9"/>
      <c r="J46" s="9"/>
      <c r="K46" s="9"/>
      <c r="L46" s="9"/>
      <c r="M46" s="9"/>
      <c r="N46" s="11" t="str">
        <f>HYPERLINK("http://www.omnitron.cz/download/datasheet/NCR-18650PF.pdf","Data Sheet")</f>
        <v>Data Sheet</v>
      </c>
      <c r="O46" s="12" t="str">
        <f>HYPERLINK("https://drive.google.com/open?id=0B_pDil2dkRPTaTk2aUZlczJIU2c","Data Sheet Backup")</f>
        <v>Data Sheet Backup</v>
      </c>
      <c r="P46" s="9"/>
      <c r="Q46" s="9"/>
    </row>
    <row r="47" spans="1:17" ht="43" customHeight="1" x14ac:dyDescent="0.2">
      <c r="A47" s="9" t="s">
        <v>76</v>
      </c>
      <c r="B47" s="9" t="s">
        <v>121</v>
      </c>
      <c r="C47" s="10" t="s">
        <v>122</v>
      </c>
      <c r="D47" s="9">
        <v>5</v>
      </c>
      <c r="E47" s="10" t="s">
        <v>33</v>
      </c>
      <c r="F47" s="9"/>
      <c r="G47" s="9"/>
      <c r="H47" s="9"/>
      <c r="I47" s="9"/>
      <c r="J47" s="9"/>
      <c r="K47" s="9"/>
      <c r="L47" s="9"/>
      <c r="M47" s="9"/>
      <c r="N47" s="11" t="str">
        <f>HYPERLINK("https://www.imrbatteries.com/content/panasonic_ncr18650g.pdf","Data Sheet")</f>
        <v>Data Sheet</v>
      </c>
      <c r="O47" s="12" t="str">
        <f>HYPERLINK("https://drive.google.com/file/d/1rjU2FczN4RCg58V_8ijdVowArd1pVn3t/view?usp=sharing","Data Sheet Backup")</f>
        <v>Data Sheet Backup</v>
      </c>
      <c r="P47" s="12" t="str">
        <f>HYPERLINK("https://lygte-info.dk/review/batteries2012/Panasonic%20NCR18650G%203600mAh%20(Green)%20UK.html","lygte-info.dk")</f>
        <v>lygte-info.dk</v>
      </c>
      <c r="Q47" s="9"/>
    </row>
    <row r="48" spans="1:17" ht="43" customHeight="1" x14ac:dyDescent="0.2">
      <c r="A48" s="9" t="s">
        <v>76</v>
      </c>
      <c r="B48" s="9" t="s">
        <v>123</v>
      </c>
      <c r="C48" s="10" t="s">
        <v>124</v>
      </c>
      <c r="D48" s="9" t="s">
        <v>125</v>
      </c>
      <c r="E48" s="10" t="s">
        <v>126</v>
      </c>
      <c r="F48" s="9" t="s">
        <v>14</v>
      </c>
      <c r="G48" s="9"/>
      <c r="H48" s="9"/>
      <c r="I48" s="9"/>
      <c r="J48" s="9"/>
      <c r="K48" s="9"/>
      <c r="L48" s="9"/>
      <c r="M48" s="9"/>
      <c r="N48" s="11" t="str">
        <f>HYPERLINK("http://keeppower.com.ua/download/2015-07/NCR18650BE.pdf","Data Sheet")</f>
        <v>Data Sheet</v>
      </c>
      <c r="O48" s="12" t="str">
        <f>HYPERLINK("https://drive.google.com/open?id=0B_pDil2dkRPTcGctTmR3MmN1Sjg","Data Sheet Backup")</f>
        <v>Data Sheet Backup</v>
      </c>
      <c r="P48" s="12" t="str">
        <f>HYPERLINK("https://batterybro.com/blogs/18650-wholesale-battery-reviews/32496579-comparing-panasonic-18650-bd-vs-panasonic-18650-be","NCR18650DB vs. NCR18650BE")</f>
        <v>NCR18650DB vs. NCR18650BE</v>
      </c>
      <c r="Q48" s="9"/>
    </row>
    <row r="49" spans="1:17" ht="43" customHeight="1" x14ac:dyDescent="0.2">
      <c r="A49" s="9" t="s">
        <v>76</v>
      </c>
      <c r="B49" s="9" t="s">
        <v>177</v>
      </c>
      <c r="C49" s="10" t="s">
        <v>124</v>
      </c>
      <c r="D49" s="9">
        <v>5.8</v>
      </c>
      <c r="E49" s="10">
        <v>1.4750000000000001</v>
      </c>
      <c r="F49" s="9" t="s">
        <v>14</v>
      </c>
      <c r="G49" s="9"/>
      <c r="H49" s="9"/>
      <c r="I49" s="9"/>
      <c r="J49" s="9"/>
      <c r="K49" s="9"/>
      <c r="L49" s="9"/>
      <c r="M49" s="9"/>
      <c r="N49" s="11" t="str">
        <f>HYPERLINK("http://www.meircell.co.il/files/NCR18650A%20datasheet.pdf","Data Sheet")</f>
        <v>Data Sheet</v>
      </c>
      <c r="O49" s="12" t="str">
        <f>HYPERLINK("https://drive.google.com/open?id=0B_pDil2dkRPTNXBwVjZaT3FVWDA","Data Sheet Backup")</f>
        <v>Data Sheet Backup</v>
      </c>
      <c r="P49" s="9"/>
      <c r="Q49" s="9"/>
    </row>
    <row r="50" spans="1:17" ht="43" customHeight="1" x14ac:dyDescent="0.2">
      <c r="A50" s="9" t="s">
        <v>76</v>
      </c>
      <c r="B50" s="9" t="s">
        <v>182</v>
      </c>
      <c r="C50" s="10" t="s">
        <v>183</v>
      </c>
      <c r="D50" s="14">
        <v>4.5</v>
      </c>
      <c r="E50" s="15">
        <v>1.645</v>
      </c>
      <c r="F50" s="9" t="s">
        <v>52</v>
      </c>
      <c r="G50" s="9"/>
      <c r="H50" s="9"/>
      <c r="I50" s="9"/>
      <c r="J50" s="9"/>
      <c r="K50" s="9"/>
      <c r="L50" s="9"/>
      <c r="M50" s="9"/>
      <c r="N50" s="11" t="str">
        <f>HYPERLINK("http://www.rosebatteries.com/pdfs/Panasonic%20CGR18650D.pdf","Data Sheet")</f>
        <v>Data Sheet</v>
      </c>
      <c r="O50" s="12" t="str">
        <f>HYPERLINK("https://drive.google.com/open?id=0B_pDil2dkRPTcTczSVNWdFJBMjQ","Data Sheet Backup")</f>
        <v>Data Sheet Backup</v>
      </c>
      <c r="P50" s="9"/>
      <c r="Q50" s="9"/>
    </row>
    <row r="51" spans="1:17" ht="43" customHeight="1" x14ac:dyDescent="0.2">
      <c r="A51" s="9" t="s">
        <v>76</v>
      </c>
      <c r="B51" s="9" t="s">
        <v>199</v>
      </c>
      <c r="C51" s="10" t="s">
        <v>200</v>
      </c>
      <c r="D51" s="9">
        <v>3.9</v>
      </c>
      <c r="E51" s="10">
        <v>1.365</v>
      </c>
      <c r="F51" s="9" t="s">
        <v>33</v>
      </c>
      <c r="G51" s="9"/>
      <c r="H51" s="9"/>
      <c r="I51" s="9"/>
      <c r="J51" s="9"/>
      <c r="K51" s="9"/>
      <c r="L51" s="9"/>
      <c r="M51" s="9"/>
      <c r="N51" s="11" t="str">
        <f>HYPERLINK("http://www.houseofbatteries.com/documents/CGR18650AF.pdf","Data Sheet")</f>
        <v>Data Sheet</v>
      </c>
      <c r="O51" s="12" t="str">
        <f>HYPERLINK("https://drive.google.com/open?id=0B_pDil2dkRPTNXZxTkpoR252d0E","Data Sheet Backup")</f>
        <v>Data Sheet Backup</v>
      </c>
      <c r="P51" s="9"/>
      <c r="Q51" s="9"/>
    </row>
    <row r="52" spans="1:17" ht="43" customHeight="1" x14ac:dyDescent="0.2">
      <c r="A52" s="9" t="s">
        <v>76</v>
      </c>
      <c r="B52" s="9" t="s">
        <v>271</v>
      </c>
      <c r="C52" s="10" t="s">
        <v>117</v>
      </c>
      <c r="D52" s="9" t="s">
        <v>272</v>
      </c>
      <c r="E52" s="10">
        <v>1.575</v>
      </c>
      <c r="F52" s="9" t="s">
        <v>33</v>
      </c>
      <c r="G52" s="9"/>
      <c r="H52" s="9"/>
      <c r="I52" s="9"/>
      <c r="J52" s="9"/>
      <c r="K52" s="9"/>
      <c r="L52" s="9"/>
      <c r="M52" s="9"/>
      <c r="N52" s="11" t="str">
        <f>HYPERLINK("http://www.houseofbatteries.com/documents/CGR18650CF.pdf","Data Sheet")</f>
        <v>Data Sheet</v>
      </c>
      <c r="O52" s="12" t="str">
        <f>HYPERLINK("https://drive.google.com/open?id=0B_pDil2dkRPTN1VaakFWX0dsWVU","Data Sheet Backup")</f>
        <v>Data Sheet Backup</v>
      </c>
      <c r="P52" s="9"/>
      <c r="Q52" s="9"/>
    </row>
    <row r="53" spans="1:17" ht="43" customHeight="1" x14ac:dyDescent="0.2">
      <c r="A53" s="9" t="s">
        <v>76</v>
      </c>
      <c r="B53" s="9" t="s">
        <v>276</v>
      </c>
      <c r="C53" s="10" t="s">
        <v>277</v>
      </c>
      <c r="D53" s="9">
        <v>4.66</v>
      </c>
      <c r="E53" s="10">
        <v>1.63</v>
      </c>
      <c r="F53" s="9" t="s">
        <v>52</v>
      </c>
      <c r="G53" s="9"/>
      <c r="H53" s="9"/>
      <c r="I53" s="9"/>
      <c r="J53" s="9"/>
      <c r="K53" s="9"/>
      <c r="L53" s="9"/>
      <c r="M53" s="9"/>
      <c r="N53" s="11" t="str">
        <f>HYPERLINK("http://www.dipmicro.com/?datasheet=CGR18650DA.pdf","Data Sheet")</f>
        <v>Data Sheet</v>
      </c>
      <c r="O53" s="12" t="str">
        <f>HYPERLINK("https://drive.google.com/open?id=0B_pDil2dkRPTWDdIblRSZThIblE","Data Sheet Backup")</f>
        <v>Data Sheet Backup</v>
      </c>
      <c r="P53" s="9"/>
      <c r="Q53" s="9"/>
    </row>
    <row r="54" spans="1:17" ht="43" customHeight="1" x14ac:dyDescent="0.2">
      <c r="A54" s="9" t="s">
        <v>76</v>
      </c>
      <c r="B54" s="9" t="s">
        <v>283</v>
      </c>
      <c r="C54" s="10" t="s">
        <v>284</v>
      </c>
      <c r="D54" s="9">
        <v>4.9000000000000004</v>
      </c>
      <c r="E54" s="10">
        <v>1.7150000000000001</v>
      </c>
      <c r="F54" s="9" t="s">
        <v>52</v>
      </c>
      <c r="G54" s="9"/>
      <c r="H54" s="9"/>
      <c r="I54" s="9"/>
      <c r="J54" s="9"/>
      <c r="K54" s="9"/>
      <c r="L54" s="9"/>
      <c r="M54" s="9"/>
      <c r="N54" s="11" t="str">
        <f>HYPERLINK("http://www.meircell.co.il/files/Panasonic%20CGR18650E.pdf","Data Sheet")</f>
        <v>Data Sheet</v>
      </c>
      <c r="O54" s="12" t="str">
        <f>HYPERLINK("https://drive.google.com/open?id=0B_pDil2dkRPTVGxjdTQ2YTdIVVk","Data Sheet Backup")</f>
        <v>Data Sheet Backup</v>
      </c>
      <c r="P54" s="9"/>
      <c r="Q54" s="9"/>
    </row>
    <row r="55" spans="1:17" ht="43" customHeight="1" x14ac:dyDescent="0.2">
      <c r="A55" s="9" t="s">
        <v>76</v>
      </c>
      <c r="B55" s="9" t="s">
        <v>312</v>
      </c>
      <c r="C55" s="10" t="s">
        <v>143</v>
      </c>
      <c r="D55" s="9" t="s">
        <v>313</v>
      </c>
      <c r="E55" s="10" t="s">
        <v>314</v>
      </c>
      <c r="F55" s="9" t="s">
        <v>20</v>
      </c>
      <c r="G55" s="9"/>
      <c r="H55" s="9"/>
      <c r="I55" s="9"/>
      <c r="J55" s="9"/>
      <c r="K55" s="9"/>
      <c r="L55" s="9"/>
      <c r="M55" s="9"/>
      <c r="N55" s="11" t="str">
        <f>HYPERLINK("http://www.bto.pl/pdf/04444/cgr18650ch.pdf","Data Sheet")</f>
        <v>Data Sheet</v>
      </c>
      <c r="O55" s="12" t="str">
        <f>HYPERLINK("https://drive.google.com/open?id=0B_pDil2dkRPTVUJOYTdKTFZ4R0k","Data Sheet Backup")</f>
        <v>Data Sheet Backup</v>
      </c>
      <c r="P55" s="9"/>
      <c r="Q55" s="9"/>
    </row>
    <row r="56" spans="1:17" ht="43" customHeight="1" x14ac:dyDescent="0.2">
      <c r="A56" s="9" t="s">
        <v>76</v>
      </c>
      <c r="B56" s="9" t="s">
        <v>315</v>
      </c>
      <c r="C56" s="10">
        <v>2700</v>
      </c>
      <c r="D56" s="9">
        <v>5</v>
      </c>
      <c r="E56" s="10" t="s">
        <v>97</v>
      </c>
      <c r="F56" s="9" t="s">
        <v>33</v>
      </c>
      <c r="G56" s="9"/>
      <c r="H56" s="9"/>
      <c r="I56" s="9"/>
      <c r="J56" s="9"/>
      <c r="K56" s="9"/>
      <c r="L56" s="9"/>
      <c r="M56" s="9"/>
      <c r="O56" s="9"/>
      <c r="P56" s="9"/>
      <c r="Q56" s="9" t="s">
        <v>316</v>
      </c>
    </row>
    <row r="57" spans="1:17" ht="43" customHeight="1" x14ac:dyDescent="0.2">
      <c r="A57" s="19" t="s">
        <v>76</v>
      </c>
      <c r="B57" s="16" t="s">
        <v>317</v>
      </c>
      <c r="C57" s="10" t="s">
        <v>193</v>
      </c>
      <c r="D57" s="9">
        <v>10</v>
      </c>
      <c r="E57" s="10">
        <v>1.5</v>
      </c>
      <c r="F57" s="9" t="s">
        <v>14</v>
      </c>
      <c r="G57" s="9"/>
      <c r="H57" s="9"/>
      <c r="I57" s="9"/>
      <c r="J57" s="9"/>
      <c r="K57" s="9"/>
      <c r="L57" s="9"/>
      <c r="M57" s="9"/>
      <c r="N57" s="11" t="str">
        <f>HYPERLINK("https://keeppower.com.ua/download/file02_NCR18650BD.pdf","Data Sheet")</f>
        <v>Data Sheet</v>
      </c>
      <c r="O57" s="12" t="str">
        <f>HYPERLINK("https://drive.google.com/open?id=13vgSDyzUo7IuimCTqYMTDOYq040ci_pF","Data Sheet Backup")</f>
        <v>Data Sheet Backup</v>
      </c>
      <c r="P57" s="9"/>
      <c r="Q57" s="9" t="s">
        <v>318</v>
      </c>
    </row>
    <row r="58" spans="1:17" ht="43" customHeight="1" x14ac:dyDescent="0.2">
      <c r="A58" s="9" t="s">
        <v>76</v>
      </c>
      <c r="B58" s="9" t="s">
        <v>319</v>
      </c>
      <c r="C58" s="10" t="s">
        <v>119</v>
      </c>
      <c r="D58" s="9">
        <v>5.8</v>
      </c>
      <c r="E58" s="10">
        <v>1.925</v>
      </c>
      <c r="F58" s="9" t="s">
        <v>14</v>
      </c>
      <c r="G58" s="9"/>
      <c r="H58" s="9"/>
      <c r="I58" s="9"/>
      <c r="J58" s="9"/>
      <c r="K58" s="9"/>
      <c r="L58" s="9"/>
      <c r="M58" s="9"/>
      <c r="N58" s="11" t="str">
        <f>HYPERLINK("https://engineering.tamu.edu/media/4247819/ds-battery-panasonic-18650ncr.pdf","Data Sheet")</f>
        <v>Data Sheet</v>
      </c>
      <c r="O58" s="12" t="str">
        <f>HYPERLINK("https://drive.google.com/open?id=0B_pDil2dkRPTRGVUMWZMcE5XSW8","Data Sheet Backup")</f>
        <v>Data Sheet Backup</v>
      </c>
      <c r="P58" s="9"/>
      <c r="Q58" s="9"/>
    </row>
    <row r="59" spans="1:17" ht="43" customHeight="1" x14ac:dyDescent="0.2">
      <c r="A59" s="9" t="s">
        <v>109</v>
      </c>
      <c r="B59" s="9" t="s">
        <v>110</v>
      </c>
      <c r="C59" s="10" t="s">
        <v>56</v>
      </c>
      <c r="D59" s="9">
        <v>18</v>
      </c>
      <c r="E59" s="10" t="s">
        <v>111</v>
      </c>
      <c r="F59" s="9" t="s">
        <v>61</v>
      </c>
      <c r="G59" s="9"/>
      <c r="H59" s="9"/>
      <c r="I59" s="9"/>
      <c r="J59" s="9"/>
      <c r="K59" s="9"/>
      <c r="L59" s="9"/>
      <c r="M59" s="9"/>
      <c r="N59" s="11" t="str">
        <f>HYPERLINK("http://akkuplus.de/mediafiles/Datenblatt/Samsung/Samsung_INR18650-15Q.pdf","Data Sheet")</f>
        <v>Data Sheet</v>
      </c>
      <c r="O59" s="12" t="str">
        <f>HYPERLINK("https://drive.google.com/open?id=0B_pDil2dkRPTeGQwbGdqSkpBN3M","Data Sheet Backup")</f>
        <v>Data Sheet Backup</v>
      </c>
      <c r="P59" s="9"/>
      <c r="Q59" s="9" t="s">
        <v>112</v>
      </c>
    </row>
    <row r="60" spans="1:17" ht="43" customHeight="1" x14ac:dyDescent="0.2">
      <c r="A60" s="9" t="s">
        <v>109</v>
      </c>
      <c r="B60" s="9" t="s">
        <v>127</v>
      </c>
      <c r="C60" s="10" t="s">
        <v>128</v>
      </c>
      <c r="D60" s="9">
        <v>5.9</v>
      </c>
      <c r="E60" s="10" t="s">
        <v>129</v>
      </c>
      <c r="F60" s="9" t="s">
        <v>14</v>
      </c>
      <c r="G60" s="9"/>
      <c r="H60" s="9"/>
      <c r="I60" s="9"/>
      <c r="J60" s="9"/>
      <c r="K60" s="9"/>
      <c r="L60" s="9"/>
      <c r="M60" s="9"/>
      <c r="N60" s="11" t="str">
        <f>HYPERLINK("http://gamma.spb.ru/media/pdf/liion-lipolymer-lifepo4-akkumulyatory/ICR18650-30B.pdf","Data Sheet")</f>
        <v>Data Sheet</v>
      </c>
      <c r="O60" s="12" t="str">
        <f>HYPERLINK("https://drive.google.com/open?id=0B_pDil2dkRPTeE51MGgxZW9qTWc","Data Sheet Backup")</f>
        <v>Data Sheet Backup</v>
      </c>
      <c r="P60" s="12" t="str">
        <f>HYPERLINK("http://lygte-info.dk/review/batteries2012/Samsung%20ICR18650-30B%203000mAh%20%28Green%29%20UK.html","lygte-info.dk")</f>
        <v>lygte-info.dk</v>
      </c>
      <c r="Q60" s="9" t="s">
        <v>130</v>
      </c>
    </row>
    <row r="61" spans="1:17" ht="43" customHeight="1" x14ac:dyDescent="0.2">
      <c r="A61" s="9" t="s">
        <v>109</v>
      </c>
      <c r="B61" s="9" t="s">
        <v>167</v>
      </c>
      <c r="C61" s="10" t="s">
        <v>168</v>
      </c>
      <c r="D61" s="9" t="s">
        <v>169</v>
      </c>
      <c r="E61" s="10">
        <v>1.3</v>
      </c>
      <c r="F61" s="9" t="s">
        <v>170</v>
      </c>
      <c r="G61" s="9"/>
      <c r="H61" s="9"/>
      <c r="I61" s="9"/>
      <c r="J61" s="9"/>
      <c r="K61" s="9"/>
      <c r="L61" s="9"/>
      <c r="M61" s="9"/>
      <c r="N61" s="10"/>
      <c r="O61" s="9"/>
      <c r="P61" s="9"/>
      <c r="Q61" s="12" t="s">
        <v>171</v>
      </c>
    </row>
    <row r="62" spans="1:17" ht="43" customHeight="1" x14ac:dyDescent="0.2">
      <c r="A62" s="9" t="s">
        <v>109</v>
      </c>
      <c r="B62" s="9" t="s">
        <v>172</v>
      </c>
      <c r="C62" s="10" t="s">
        <v>23</v>
      </c>
      <c r="D62" s="10" t="s">
        <v>173</v>
      </c>
      <c r="E62" s="10" t="s">
        <v>25</v>
      </c>
      <c r="F62" s="9" t="s">
        <v>20</v>
      </c>
      <c r="G62" s="9"/>
      <c r="H62" s="9"/>
      <c r="I62" s="9"/>
      <c r="J62" s="9"/>
      <c r="K62" s="9"/>
      <c r="L62" s="9"/>
      <c r="M62" s="9"/>
      <c r="N62" s="11" t="str">
        <f>HYPERLINK("https://www.powerstream.com/p/INR18650-25R-datasheet.pdf","Data Sheet")</f>
        <v>Data Sheet</v>
      </c>
      <c r="O62" s="12" t="str">
        <f>HYPERLINK("https://drive.google.com/open?id=0B_pDil2dkRPTUW1ocVRwOWxzSWM","Data Sheet Backup")</f>
        <v>Data Sheet Backup</v>
      </c>
      <c r="P62" s="12" t="str">
        <f>HYPERLINK("http://lygte-info.dk/review/batteries2012/Samsung%20INR18650-25R%202500mAh%20(Green)%20UK.html","lygte-info.dk")</f>
        <v>lygte-info.dk</v>
      </c>
      <c r="Q62" s="9"/>
    </row>
    <row r="63" spans="1:17" ht="43" customHeight="1" x14ac:dyDescent="0.2">
      <c r="A63" s="9" t="s">
        <v>109</v>
      </c>
      <c r="B63" s="10" t="s">
        <v>174</v>
      </c>
      <c r="C63" s="10" t="s">
        <v>37</v>
      </c>
      <c r="D63" s="9">
        <v>4.4000000000000004</v>
      </c>
      <c r="E63" s="10" t="s">
        <v>19</v>
      </c>
      <c r="F63" s="9" t="s">
        <v>14</v>
      </c>
      <c r="G63" s="9"/>
      <c r="H63" s="9"/>
      <c r="I63" s="9"/>
      <c r="J63" s="9"/>
      <c r="K63" s="9"/>
      <c r="L63" s="9"/>
      <c r="M63" s="9"/>
      <c r="N63" s="11" t="str">
        <f>HYPERLINK("http://www.tme.eu/de/Document/71b610093f14a53a8417944008628183/ICR18650-22F.pdf","Data Sheet")</f>
        <v>Data Sheet</v>
      </c>
      <c r="O63" s="12" t="str">
        <f>HYPERLINK("https://drive.google.com/open?id=0B_pDil2dkRPTQmdYdl9hQ05vM0E","Data Sheet Backup")</f>
        <v>Data Sheet Backup</v>
      </c>
      <c r="P63" s="12" t="str">
        <f>HYPERLINK("http://lygte-info.dk/review/batteries2012/Samsung%20ICR18650-22F%202200mAh%20(Green)%20UK.html","lygte-info.dk")</f>
        <v>lygte-info.dk</v>
      </c>
      <c r="Q63" s="9"/>
    </row>
    <row r="64" spans="1:17" ht="43" customHeight="1" x14ac:dyDescent="0.2">
      <c r="A64" s="9" t="s">
        <v>109</v>
      </c>
      <c r="B64" s="10" t="s">
        <v>175</v>
      </c>
      <c r="C64" s="10" t="s">
        <v>37</v>
      </c>
      <c r="D64" s="9" t="s">
        <v>176</v>
      </c>
      <c r="E64" s="10" t="s">
        <v>90</v>
      </c>
      <c r="F64" s="9" t="s">
        <v>33</v>
      </c>
      <c r="G64" s="9"/>
      <c r="H64" s="9"/>
      <c r="I64" s="9"/>
      <c r="J64" s="9"/>
      <c r="K64" s="9"/>
      <c r="L64" s="9"/>
      <c r="M64" s="9"/>
      <c r="N64" s="10"/>
      <c r="O64" s="9"/>
      <c r="P64" s="9"/>
      <c r="Q64" s="9"/>
    </row>
    <row r="65" spans="1:17" ht="43" customHeight="1" x14ac:dyDescent="0.2">
      <c r="A65" s="9" t="s">
        <v>109</v>
      </c>
      <c r="B65" s="9" t="s">
        <v>178</v>
      </c>
      <c r="C65" s="10" t="s">
        <v>37</v>
      </c>
      <c r="D65" s="9">
        <v>4.4000000000000004</v>
      </c>
      <c r="E65" s="10" t="s">
        <v>19</v>
      </c>
      <c r="F65" s="9" t="s">
        <v>20</v>
      </c>
      <c r="G65" s="9"/>
      <c r="H65" s="9"/>
      <c r="I65" s="9"/>
      <c r="J65" s="9"/>
      <c r="K65" s="9"/>
      <c r="L65" s="9"/>
      <c r="M65" s="9"/>
      <c r="N65" s="11" t="str">
        <f>HYPERLINK("http://www.meircell.co.il/files/Samsung%20ICR18650-22E.pdf","Data Sheet")</f>
        <v>Data Sheet</v>
      </c>
      <c r="O65" s="12" t="str">
        <f>HYPERLINK("https://drive.google.com/open?id=0B_pDil2dkRPTVXFiOHpHNFVqWjg","Data Sheet Backup")</f>
        <v>Data Sheet Backup</v>
      </c>
      <c r="P65" s="9"/>
      <c r="Q65" s="9"/>
    </row>
    <row r="66" spans="1:17" ht="43" customHeight="1" x14ac:dyDescent="0.2">
      <c r="A66" s="9" t="s">
        <v>109</v>
      </c>
      <c r="B66" s="9" t="s">
        <v>179</v>
      </c>
      <c r="C66" s="10" t="s">
        <v>168</v>
      </c>
      <c r="D66" s="9" t="s">
        <v>180</v>
      </c>
      <c r="E66" s="10" t="s">
        <v>181</v>
      </c>
      <c r="F66" s="9" t="s">
        <v>33</v>
      </c>
      <c r="G66" s="9"/>
      <c r="H66" s="9"/>
      <c r="I66" s="9"/>
      <c r="J66" s="9"/>
      <c r="K66" s="9"/>
      <c r="L66" s="9"/>
      <c r="M66" s="9"/>
      <c r="N66" s="11" t="str">
        <f>HYPERLINK("http://www.al-ko.com/shop/media/uploads/Specification_INR18650_13Q_100326.pdf","Data Sheet")</f>
        <v>Data Sheet</v>
      </c>
      <c r="O66" s="9"/>
      <c r="P66" s="9"/>
      <c r="Q66" s="9"/>
    </row>
    <row r="67" spans="1:17" ht="43" customHeight="1" x14ac:dyDescent="0.2">
      <c r="A67" s="9" t="s">
        <v>109</v>
      </c>
      <c r="B67" s="9" t="s">
        <v>184</v>
      </c>
      <c r="C67" s="10" t="s">
        <v>185</v>
      </c>
      <c r="D67" s="9">
        <v>20</v>
      </c>
      <c r="E67" s="10" t="s">
        <v>48</v>
      </c>
      <c r="F67" s="9" t="s">
        <v>61</v>
      </c>
      <c r="G67" s="9"/>
      <c r="H67" s="9"/>
      <c r="I67" s="9"/>
      <c r="J67" s="9"/>
      <c r="K67" s="9"/>
      <c r="L67" s="9"/>
      <c r="M67" s="9"/>
      <c r="N67" s="11" t="str">
        <f>HYPERLINK("http://www.avacom.cz/Datasheety/Samsung/INR18650-20R.pdf","Data Sheet")</f>
        <v>Data Sheet</v>
      </c>
      <c r="O67" s="12" t="str">
        <f>HYPERLINK("https://drive.google.com/open?id=0B_pDil2dkRPTdmhGWWViMHBzVG8","Data Sheet Backup")</f>
        <v>Data Sheet Backup</v>
      </c>
      <c r="P67" s="12" t="str">
        <f>HYPERLINK("http://lygte-info.dk/review/batteries2012/Samsung%20INR18650-20R%202000mAh%20(Green)%20UK.html","lygte-info.dk")</f>
        <v>lygte-info.dk</v>
      </c>
      <c r="Q67" s="9"/>
    </row>
    <row r="68" spans="1:17" ht="43" customHeight="1" x14ac:dyDescent="0.2">
      <c r="A68" s="9" t="s">
        <v>109</v>
      </c>
      <c r="B68" s="9" t="s">
        <v>186</v>
      </c>
      <c r="C68" s="10" t="s">
        <v>187</v>
      </c>
      <c r="D68" s="9">
        <v>15</v>
      </c>
      <c r="E68" s="10" t="s">
        <v>188</v>
      </c>
      <c r="F68" s="9" t="s">
        <v>61</v>
      </c>
      <c r="G68" s="9"/>
      <c r="H68" s="9"/>
      <c r="I68" s="9"/>
      <c r="J68" s="9"/>
      <c r="K68" s="9"/>
      <c r="L68" s="9"/>
      <c r="M68" s="9"/>
      <c r="N68" s="11" t="str">
        <f>HYPERLINK("http://gamma.spb.ru/media/pdf/liion-lipolymer-lifepo4-akkumulyatory/INR18650_20Q.pdf","Data Sheet")</f>
        <v>Data Sheet</v>
      </c>
      <c r="O68" s="12" t="str">
        <f>HYPERLINK("https://drive.google.com/open?id=0B_pDil2dkRPTZWFpZWdDdHlxaEk","Data Sheet Backup")</f>
        <v>Data Sheet Backup</v>
      </c>
      <c r="P68" s="12" t="str">
        <f>HYPERLINK("http://lygte-info.dk/review/batteries2012/Samsung%20INR18650-20Q%202000mAh%20(green)%20UK.html","lygte-info.dk")</f>
        <v>lygte-info.dk</v>
      </c>
      <c r="Q68" s="9"/>
    </row>
    <row r="69" spans="1:17" ht="43" customHeight="1" x14ac:dyDescent="0.2">
      <c r="A69" s="9" t="s">
        <v>109</v>
      </c>
      <c r="B69" s="9" t="s">
        <v>189</v>
      </c>
      <c r="C69" s="10" t="s">
        <v>56</v>
      </c>
      <c r="D69" s="9" t="s">
        <v>190</v>
      </c>
      <c r="E69" s="10" t="s">
        <v>111</v>
      </c>
      <c r="F69" s="9" t="s">
        <v>33</v>
      </c>
      <c r="G69" s="9"/>
      <c r="H69" s="9"/>
      <c r="I69" s="9"/>
      <c r="J69" s="9"/>
      <c r="K69" s="9"/>
      <c r="L69" s="9"/>
      <c r="M69" s="9"/>
      <c r="N69" s="10"/>
      <c r="O69" s="9"/>
      <c r="P69" s="12" t="str">
        <f>HYPERLINK("https://www.alibaba.com/product-detail/Flat-top-INR18650-15R-18650-3_60298875935.html","Alibaba Source")</f>
        <v>Alibaba Source</v>
      </c>
      <c r="Q69" s="9" t="s">
        <v>191</v>
      </c>
    </row>
    <row r="70" spans="1:17" ht="43" customHeight="1" x14ac:dyDescent="0.2">
      <c r="A70" s="9" t="s">
        <v>109</v>
      </c>
      <c r="B70" s="9" t="s">
        <v>205</v>
      </c>
      <c r="C70" s="10" t="s">
        <v>206</v>
      </c>
      <c r="D70" s="9" t="s">
        <v>207</v>
      </c>
      <c r="E70" s="10" t="s">
        <v>33</v>
      </c>
      <c r="F70" s="9" t="s">
        <v>52</v>
      </c>
      <c r="G70" s="9"/>
      <c r="H70" s="9"/>
      <c r="I70" s="9"/>
      <c r="J70" s="9"/>
      <c r="K70" s="9"/>
      <c r="L70" s="9"/>
      <c r="M70" s="9"/>
      <c r="N70" s="11" t="str">
        <f>HYPERLINK("http://www.houseofbatteries.com/documents/ICR18650-20.pdf","Data Sheet")</f>
        <v>Data Sheet</v>
      </c>
      <c r="O70" s="12" t="str">
        <f>HYPERLINK("https://drive.google.com/open?id=0B_pDil2dkRPTclBCT2YyUDhlS0E","Data Sheet Backup")</f>
        <v>Data Sheet Backup</v>
      </c>
      <c r="P70" s="9"/>
      <c r="Q70" s="9" t="s">
        <v>208</v>
      </c>
    </row>
    <row r="71" spans="1:17" ht="43" customHeight="1" x14ac:dyDescent="0.2">
      <c r="A71" s="9" t="s">
        <v>109</v>
      </c>
      <c r="B71" s="9" t="s">
        <v>209</v>
      </c>
      <c r="C71" s="10" t="s">
        <v>206</v>
      </c>
      <c r="D71" s="9" t="s">
        <v>207</v>
      </c>
      <c r="E71" s="10" t="s">
        <v>33</v>
      </c>
      <c r="F71" s="9" t="s">
        <v>52</v>
      </c>
      <c r="G71" s="9"/>
      <c r="H71" s="9"/>
      <c r="I71" s="9"/>
      <c r="J71" s="9"/>
      <c r="K71" s="9"/>
      <c r="L71" s="9"/>
      <c r="M71" s="9"/>
      <c r="N71" s="11" t="str">
        <f>HYPERLINK("http://www.houseofbatteries.com/documents/ICR18650-20.pdf","Data Sheet")</f>
        <v>Data Sheet</v>
      </c>
      <c r="O71" s="12" t="str">
        <f>HYPERLINK("https://drive.google.com/open?id=0B_pDil2dkRPTclBCT2YyUDhlS0E","Data Sheet Backup")</f>
        <v>Data Sheet Backup</v>
      </c>
      <c r="P71" s="9"/>
      <c r="Q71" s="9" t="s">
        <v>208</v>
      </c>
    </row>
    <row r="72" spans="1:17" ht="43" customHeight="1" x14ac:dyDescent="0.2">
      <c r="A72" s="9" t="s">
        <v>109</v>
      </c>
      <c r="B72" s="9" t="s">
        <v>210</v>
      </c>
      <c r="C72" s="10" t="s">
        <v>206</v>
      </c>
      <c r="D72" s="9" t="s">
        <v>207</v>
      </c>
      <c r="E72" s="10" t="s">
        <v>33</v>
      </c>
      <c r="F72" s="9" t="s">
        <v>52</v>
      </c>
      <c r="G72" s="9"/>
      <c r="H72" s="9"/>
      <c r="I72" s="9"/>
      <c r="J72" s="9"/>
      <c r="K72" s="9"/>
      <c r="L72" s="9"/>
      <c r="M72" s="9"/>
      <c r="N72" s="11" t="str">
        <f>HYPERLINK("http://www.houseofbatteries.com/documents/ICR18650-20.pdf","Data Sheet")</f>
        <v>Data Sheet</v>
      </c>
      <c r="O72" s="12" t="str">
        <f>HYPERLINK("https://drive.google.com/open?id=0B_pDil2dkRPTclBCT2YyUDhlS0E","Data Sheet Backup")</f>
        <v>Data Sheet Backup</v>
      </c>
      <c r="P72" s="9"/>
      <c r="Q72" s="9" t="s">
        <v>208</v>
      </c>
    </row>
    <row r="73" spans="1:17" ht="43" customHeight="1" x14ac:dyDescent="0.2">
      <c r="A73" s="9" t="s">
        <v>109</v>
      </c>
      <c r="B73" s="9" t="s">
        <v>211</v>
      </c>
      <c r="C73" s="10" t="s">
        <v>193</v>
      </c>
      <c r="D73" s="9" t="s">
        <v>212</v>
      </c>
      <c r="E73" s="10" t="s">
        <v>213</v>
      </c>
      <c r="F73" s="9"/>
      <c r="G73" s="9"/>
      <c r="H73" s="9"/>
      <c r="I73" s="9"/>
      <c r="J73" s="9"/>
      <c r="K73" s="9"/>
      <c r="L73" s="9"/>
      <c r="M73" s="9"/>
      <c r="N73" s="11" t="str">
        <f>HYPERLINK("http://www.cleon.ru/specification/samsung-INR18650-32E.pdf","Data Sheet")</f>
        <v>Data Sheet</v>
      </c>
      <c r="O73" s="12" t="str">
        <f>HYPERLINK("https://drive.google.com/file/d/1Erj58TMCGsdvKAC3TdFLft3SPxMJ8fGn/view?usp=sharing","Data Sheet Backup")</f>
        <v>Data Sheet Backup</v>
      </c>
      <c r="P73" s="12" t="str">
        <f>HYPERLINK("https://lygte-info.dk/review/batteries2012/Samsung%20INR18650-32E%203200mAh%20(Cyan)%20UK.html","lygte-info.dk")</f>
        <v>lygte-info.dk</v>
      </c>
      <c r="Q73" s="9" t="s">
        <v>214</v>
      </c>
    </row>
    <row r="74" spans="1:17" ht="43" customHeight="1" x14ac:dyDescent="0.2">
      <c r="A74" s="9" t="s">
        <v>109</v>
      </c>
      <c r="B74" s="9" t="s">
        <v>215</v>
      </c>
      <c r="C74" s="10" t="s">
        <v>56</v>
      </c>
      <c r="D74" s="9">
        <v>23</v>
      </c>
      <c r="E74" s="10" t="s">
        <v>111</v>
      </c>
      <c r="F74" s="9" t="s">
        <v>33</v>
      </c>
      <c r="G74" s="9"/>
      <c r="H74" s="9"/>
      <c r="I74" s="9"/>
      <c r="J74" s="9"/>
      <c r="K74" s="9"/>
      <c r="L74" s="9"/>
      <c r="M74" s="9"/>
      <c r="N74" s="11" t="str">
        <f>HYPERLINK("http://gamma.spb.ru/media/pdf/liion-lipolymer-lifepo4-akkumulyatory/INR18650-15M.pdf","Data Sheet")</f>
        <v>Data Sheet</v>
      </c>
      <c r="O74" s="12" t="str">
        <f>HYPERLINK("https://drive.google.com/open?id=0B_pDil2dkRPTanVHWW54Y2V1RnM","Data Sheet Backup")</f>
        <v>Data Sheet Backup</v>
      </c>
      <c r="P74" s="9"/>
      <c r="Q74" s="9" t="s">
        <v>216</v>
      </c>
    </row>
    <row r="75" spans="1:17" ht="43" customHeight="1" x14ac:dyDescent="0.2">
      <c r="A75" s="9" t="s">
        <v>109</v>
      </c>
      <c r="B75" s="9" t="s">
        <v>217</v>
      </c>
      <c r="C75" s="10" t="s">
        <v>218</v>
      </c>
      <c r="D75" s="9" t="s">
        <v>219</v>
      </c>
      <c r="E75" s="10" t="s">
        <v>220</v>
      </c>
      <c r="F75" s="9" t="s">
        <v>33</v>
      </c>
      <c r="G75" s="9"/>
      <c r="H75" s="9"/>
      <c r="I75" s="9"/>
      <c r="J75" s="9"/>
      <c r="K75" s="9"/>
      <c r="L75" s="9"/>
      <c r="M75" s="9"/>
      <c r="N75" s="10"/>
      <c r="O75" s="9"/>
      <c r="P75" s="9"/>
      <c r="Q75" s="9"/>
    </row>
    <row r="76" spans="1:17" ht="43" customHeight="1" x14ac:dyDescent="0.2">
      <c r="A76" s="9" t="s">
        <v>109</v>
      </c>
      <c r="B76" s="9" t="s">
        <v>221</v>
      </c>
      <c r="C76" s="10" t="s">
        <v>222</v>
      </c>
      <c r="D76" s="9">
        <v>30</v>
      </c>
      <c r="E76" s="10">
        <v>4</v>
      </c>
      <c r="F76" s="9" t="s">
        <v>33</v>
      </c>
      <c r="G76" s="9"/>
      <c r="H76" s="9"/>
      <c r="I76" s="9"/>
      <c r="J76" s="9"/>
      <c r="K76" s="9"/>
      <c r="L76" s="9"/>
      <c r="M76" s="9"/>
      <c r="N76" s="11" t="str">
        <f>HYPERLINK("https://sep.yimg.com/ty/cdn/theshorelinemarket/SAMSUNG-INR18650-20S-DataSheet.pdf","Data Sheet")</f>
        <v>Data Sheet</v>
      </c>
      <c r="O76" s="12" t="str">
        <f>HYPERLINK("https://drive.google.com/open?id=1YNgT5C30wyvanO8JLoO1XV4IAoyAGlzP","Data Sheet Backup")</f>
        <v>Data Sheet Backup</v>
      </c>
      <c r="P76" s="9"/>
      <c r="Q76" s="9"/>
    </row>
    <row r="77" spans="1:17" ht="43" customHeight="1" x14ac:dyDescent="0.2">
      <c r="A77" s="9" t="s">
        <v>109</v>
      </c>
      <c r="B77" s="9" t="s">
        <v>324</v>
      </c>
      <c r="C77" s="10" t="s">
        <v>230</v>
      </c>
      <c r="D77" s="9" t="s">
        <v>231</v>
      </c>
      <c r="E77" s="10" t="s">
        <v>232</v>
      </c>
      <c r="F77" s="9"/>
      <c r="G77" s="9"/>
      <c r="H77" s="9"/>
      <c r="I77" s="9"/>
      <c r="J77" s="9"/>
      <c r="K77" s="9"/>
      <c r="L77" s="9"/>
      <c r="M77" s="9"/>
      <c r="N77" s="11" t="str">
        <f>HYPERLINK("https://batteryservice.bg/wp-content/uploads/2018/12/INR21700-50E.pdf","Data Sheet")</f>
        <v>Data Sheet</v>
      </c>
      <c r="O77" s="13" t="s">
        <v>233</v>
      </c>
      <c r="P77" s="13" t="s">
        <v>234</v>
      </c>
      <c r="Q77" s="17" t="s">
        <v>235</v>
      </c>
    </row>
    <row r="78" spans="1:17" ht="43" customHeight="1" x14ac:dyDescent="0.2">
      <c r="A78" s="9" t="s">
        <v>109</v>
      </c>
      <c r="B78" s="9" t="s">
        <v>243</v>
      </c>
      <c r="C78" s="10" t="s">
        <v>244</v>
      </c>
      <c r="D78" s="9">
        <v>4.8</v>
      </c>
      <c r="E78" s="10" t="s">
        <v>245</v>
      </c>
      <c r="F78" s="9" t="s">
        <v>33</v>
      </c>
      <c r="G78" s="9"/>
      <c r="H78" s="9"/>
      <c r="I78" s="9"/>
      <c r="J78" s="9"/>
      <c r="K78" s="9"/>
      <c r="L78" s="9"/>
      <c r="M78" s="9"/>
      <c r="N78" s="11" t="e">
        <f>HYPERLINK("https://www.google.de/url?sa=t&amp;rct=j&amp;q=&amp;esrc=s&amp;source=web&amp;cd=1&amp;ved=0ahUKEwi76p3l59_QAhVEWhQKHexEDzwQFggdMAA&amp;url=https%3A%2F%2Feshop.fulgurbattman.cz%2Fpriloha.php%3Fak%3D13210&amp;usg=AFQjCNFwfMmQ7UdiW6Z-HXqBJNMXqCd2Lg&amp;sig2=y_dt3fSNXIUYstaWJxhAPw&amp;bvm=bv.13978"&amp;"2543,d.d24&amp;cad=rja","Data Sheet")</f>
        <v>#VALUE!</v>
      </c>
      <c r="O78" s="12" t="str">
        <f>HYPERLINK("https://drive.google.com/open?id=0B_pDil2dkRPTakNKU1lZdHA2V1U","Data Sheet Backup")</f>
        <v>Data Sheet Backup</v>
      </c>
      <c r="P78" s="9"/>
      <c r="Q78" s="9"/>
    </row>
    <row r="79" spans="1:17" ht="43" customHeight="1" x14ac:dyDescent="0.2">
      <c r="A79" s="9" t="s">
        <v>109</v>
      </c>
      <c r="B79" s="9" t="s">
        <v>246</v>
      </c>
      <c r="C79" s="10" t="s">
        <v>247</v>
      </c>
      <c r="D79" s="9">
        <v>6.4</v>
      </c>
      <c r="E79" s="10" t="s">
        <v>248</v>
      </c>
      <c r="F79" s="9" t="s">
        <v>14</v>
      </c>
      <c r="G79" s="9"/>
      <c r="H79" s="9"/>
      <c r="I79" s="9"/>
      <c r="J79" s="9"/>
      <c r="K79" s="9"/>
      <c r="L79" s="9"/>
      <c r="M79" s="9"/>
      <c r="N79" s="11" t="str">
        <f>HYPERLINK("http://gamma.spb.ru/media/pdf/liion-lipolymer-lifepo4-akkumulyatory/ICR18650-32A.pdf","Data Sheet")</f>
        <v>Data Sheet</v>
      </c>
      <c r="O79" s="12" t="str">
        <f>HYPERLINK("https://drive.google.com/open?id=0B_pDil2dkRPTYmEwc3YteWdCaDA","Data Sheet Backup")</f>
        <v>Data Sheet Backup</v>
      </c>
      <c r="P79" s="9"/>
      <c r="Q79" s="9" t="s">
        <v>249</v>
      </c>
    </row>
    <row r="80" spans="1:17" ht="43" customHeight="1" x14ac:dyDescent="0.2">
      <c r="A80" s="9" t="s">
        <v>109</v>
      </c>
      <c r="B80" s="9" t="s">
        <v>250</v>
      </c>
      <c r="C80" s="10" t="s">
        <v>128</v>
      </c>
      <c r="D80" s="9">
        <v>6</v>
      </c>
      <c r="E80" s="10" t="s">
        <v>150</v>
      </c>
      <c r="F80" s="9" t="s">
        <v>52</v>
      </c>
      <c r="G80" s="9"/>
      <c r="H80" s="9"/>
      <c r="I80" s="9"/>
      <c r="J80" s="9"/>
      <c r="K80" s="9"/>
      <c r="L80" s="9"/>
      <c r="M80" s="9"/>
      <c r="N80" s="11" t="str">
        <f>HYPERLINK("http://www.meircell.co.il/files/Samsung%20ICR18650-30A.pdf","Data Sheet")</f>
        <v>Data Sheet</v>
      </c>
      <c r="O80" s="12" t="str">
        <f>HYPERLINK("https://drive.google.com/open?id=0B_pDil2dkRPTY1E4RUlIZlppNlE","Data Sheet Backup")</f>
        <v>Data Sheet Backup</v>
      </c>
      <c r="P80" s="9"/>
      <c r="Q80" s="9" t="s">
        <v>251</v>
      </c>
    </row>
    <row r="81" spans="1:17" ht="43" customHeight="1" x14ac:dyDescent="0.2">
      <c r="A81" s="9" t="s">
        <v>109</v>
      </c>
      <c r="B81" s="9" t="s">
        <v>252</v>
      </c>
      <c r="C81" s="10" t="s">
        <v>23</v>
      </c>
      <c r="D81" s="9" t="s">
        <v>253</v>
      </c>
      <c r="E81" s="10">
        <v>4</v>
      </c>
      <c r="F81" s="9" t="s">
        <v>20</v>
      </c>
      <c r="G81" s="9"/>
      <c r="H81" s="9"/>
      <c r="I81" s="9"/>
      <c r="J81" s="9"/>
      <c r="K81" s="9"/>
      <c r="L81" s="9"/>
      <c r="M81" s="9"/>
      <c r="N81" s="11" t="str">
        <f>HYPERLINK("https://www.vapcelltech.com/uploads/file1/20180614/5b223de2600b6.pdf","Data Sheet")</f>
        <v>Data Sheet</v>
      </c>
      <c r="O81" s="12" t="str">
        <f>HYPERLINK("https://drive.google.com/file/d/1UB6m7SizpIxeYwihbR5hSvb65GIypGFQ/view?usp=sharing","Data Sheet Backup")</f>
        <v>Data Sheet Backup</v>
      </c>
      <c r="P81" s="12" t="str">
        <f>HYPERLINK("https://lygte-info.dk/review/batteries2012/Samsung%20INR18650-25S%202500mAh%20%28Purple%29%20UK.html","lygte-info.dk")</f>
        <v>lygte-info.dk</v>
      </c>
      <c r="Q81" s="9"/>
    </row>
    <row r="82" spans="1:17" ht="43" customHeight="1" x14ac:dyDescent="0.2">
      <c r="A82" s="9" t="s">
        <v>109</v>
      </c>
      <c r="B82" s="9" t="s">
        <v>254</v>
      </c>
      <c r="C82" s="10" t="s">
        <v>119</v>
      </c>
      <c r="D82" s="9" t="s">
        <v>255</v>
      </c>
      <c r="E82" s="10" t="s">
        <v>256</v>
      </c>
      <c r="F82" s="9" t="s">
        <v>257</v>
      </c>
      <c r="G82" s="9"/>
      <c r="H82" s="9"/>
      <c r="I82" s="9"/>
      <c r="J82" s="9"/>
      <c r="K82" s="9"/>
      <c r="L82" s="9"/>
      <c r="M82" s="9"/>
      <c r="N82" s="11" t="str">
        <f>HYPERLINK("https://www.akkuparts24.de/mediafiles//Datenblaetter/Samsung/Samsung%20INR18650-29E.pdf","Data Sheet")</f>
        <v>Data Sheet</v>
      </c>
      <c r="O82" s="12" t="str">
        <f>HYPERLINK("https://drive.google.com/open?id=0B_pDil2dkRPTM2pSYVlVX095Y1k","Data Sheet Backup")</f>
        <v>Data Sheet Backup</v>
      </c>
      <c r="P82" s="12" t="str">
        <f>HYPERLINK("http://lygte-info.dk/review/batteries2012/Samsung%20INR18650-29E%202900mAh%20(Blue)%20UK.html","lygte-info.dk")</f>
        <v>lygte-info.dk</v>
      </c>
      <c r="Q82" s="9" t="s">
        <v>227</v>
      </c>
    </row>
    <row r="83" spans="1:17" ht="43" customHeight="1" x14ac:dyDescent="0.2">
      <c r="A83" s="9" t="s">
        <v>109</v>
      </c>
      <c r="B83" s="9" t="s">
        <v>258</v>
      </c>
      <c r="C83" s="10" t="s">
        <v>259</v>
      </c>
      <c r="D83" s="9">
        <v>5.6</v>
      </c>
      <c r="E83" s="10" t="s">
        <v>260</v>
      </c>
      <c r="F83" s="9" t="s">
        <v>52</v>
      </c>
      <c r="G83" s="9"/>
      <c r="H83" s="9"/>
      <c r="I83" s="9"/>
      <c r="J83" s="9"/>
      <c r="K83" s="9"/>
      <c r="L83" s="9"/>
      <c r="M83" s="9"/>
      <c r="N83" s="11" t="str">
        <f>HYPERLINK("http://www.meircell.co.il/files/Samsung%20ICR18650-28A.pdf","Data Sheet")</f>
        <v>Data Sheet</v>
      </c>
      <c r="O83" s="12" t="str">
        <f>HYPERLINK("https://drive.google.com/open?id=0B_pDil2dkRPTS3pSc2xKVFRqa3c","Data Sheet Backup")</f>
        <v>Data Sheet Backup</v>
      </c>
      <c r="P83" s="12" t="str">
        <f>HYPERLINK("http://lygte-info.dk/review/batteries2012/Samsung%20ICR18650-28A%202800mAh%20(Purple)%20UK.html","lygte-info.dk")</f>
        <v>lygte-info.dk</v>
      </c>
      <c r="Q83" s="9"/>
    </row>
    <row r="84" spans="1:17" ht="43" customHeight="1" x14ac:dyDescent="0.2">
      <c r="A84" s="9" t="s">
        <v>109</v>
      </c>
      <c r="B84" s="9" t="s">
        <v>261</v>
      </c>
      <c r="C84" s="10" t="s">
        <v>37</v>
      </c>
      <c r="D84" s="9">
        <v>10</v>
      </c>
      <c r="E84" s="10" t="s">
        <v>262</v>
      </c>
      <c r="F84" s="9" t="s">
        <v>20</v>
      </c>
      <c r="G84" s="9"/>
      <c r="H84" s="9"/>
      <c r="I84" s="9"/>
      <c r="J84" s="9"/>
      <c r="K84" s="9"/>
      <c r="L84" s="9"/>
      <c r="M84" s="9"/>
      <c r="N84" s="11" t="str">
        <f>HYPERLINK("http://www.tme.eu/de/Document/cf2b91a94627173083963b831db6ea62/ACCU-18650-2.2P-HV.pdf","Data Sheet")</f>
        <v>Data Sheet</v>
      </c>
      <c r="O84" s="12" t="str">
        <f>HYPERLINK("https://drive.google.com/open?id=0B_pDil2dkRPTdHZLbVgyVG54cDg","Data Sheet Backup")</f>
        <v>Data Sheet Backup</v>
      </c>
      <c r="P84" s="12" t="str">
        <f>HYPERLINK("http://lygte-info.dk/review/batteries2012/Samsung%20ICR18650-22P%202200mAh%20(Blue)%20UK.html","lygte-info.dk")</f>
        <v>lygte-info.dk</v>
      </c>
      <c r="Q84" s="9"/>
    </row>
    <row r="85" spans="1:17" ht="43" customHeight="1" x14ac:dyDescent="0.2">
      <c r="A85" s="9" t="s">
        <v>109</v>
      </c>
      <c r="B85" s="9" t="s">
        <v>285</v>
      </c>
      <c r="C85" s="10" t="s">
        <v>54</v>
      </c>
      <c r="D85" s="9">
        <v>5.2</v>
      </c>
      <c r="E85" s="10" t="s">
        <v>286</v>
      </c>
      <c r="F85" s="9" t="s">
        <v>33</v>
      </c>
      <c r="G85" s="9"/>
      <c r="H85" s="9"/>
      <c r="I85" s="9"/>
      <c r="J85" s="9"/>
      <c r="K85" s="9"/>
      <c r="L85" s="9"/>
      <c r="M85" s="9"/>
      <c r="N85" s="11" t="str">
        <f>HYPERLINK("http://www.datasheetframe.com/download.php?id=917877","Data Sheet")</f>
        <v>Data Sheet</v>
      </c>
      <c r="O85" s="12" t="str">
        <f>HYPERLINK("https://drive.google.com/open?id=0B_pDil2dkRPTNkpjdDJjemdIOTg","Data Sheet Backup")</f>
        <v>Data Sheet Backup</v>
      </c>
      <c r="P85" s="9"/>
      <c r="Q85" s="9"/>
    </row>
    <row r="86" spans="1:17" ht="43" customHeight="1" x14ac:dyDescent="0.2">
      <c r="A86" s="9" t="s">
        <v>109</v>
      </c>
      <c r="B86" s="9" t="s">
        <v>227</v>
      </c>
      <c r="C86" s="10" t="s">
        <v>54</v>
      </c>
      <c r="D86" s="9">
        <v>5.2</v>
      </c>
      <c r="E86" s="10" t="s">
        <v>286</v>
      </c>
      <c r="F86" s="9" t="s">
        <v>20</v>
      </c>
      <c r="G86" s="9"/>
      <c r="H86" s="9"/>
      <c r="I86" s="9"/>
      <c r="J86" s="9"/>
      <c r="K86" s="9"/>
      <c r="L86" s="9"/>
      <c r="M86" s="9"/>
      <c r="N86" s="11" t="str">
        <f>HYPERLINK("http://gamma.spb.ru/media/pdf/liion-lipolymer-lifepo4-akkumulyatory/ICR18650-26F.pdf","Data Sheet")</f>
        <v>Data Sheet</v>
      </c>
      <c r="O86" s="12" t="str">
        <f>HYPERLINK("https://drive.google.com/open?id=0B_pDil2dkRPTWnVIOFE0Yy13bE0","Data Sheet Backup")</f>
        <v>Data Sheet Backup</v>
      </c>
      <c r="P86" s="12" t="str">
        <f>HYPERLINK("http://lygte-info.dk/review/batteries2012/Samsung%20ICR18650-26F%202600mAh%20(Pink)%20UK.html","lygte-info.dk")</f>
        <v>lygte-info.dk</v>
      </c>
      <c r="Q86" s="9"/>
    </row>
    <row r="87" spans="1:17" ht="43" customHeight="1" x14ac:dyDescent="0.2">
      <c r="A87" s="9" t="s">
        <v>109</v>
      </c>
      <c r="B87" s="9" t="s">
        <v>287</v>
      </c>
      <c r="C87" s="10" t="s">
        <v>54</v>
      </c>
      <c r="D87" s="9">
        <v>5.2</v>
      </c>
      <c r="E87" s="10" t="s">
        <v>286</v>
      </c>
      <c r="F87" s="9" t="s">
        <v>20</v>
      </c>
      <c r="G87" s="9"/>
      <c r="H87" s="9"/>
      <c r="I87" s="9"/>
      <c r="J87" s="9"/>
      <c r="K87" s="9"/>
      <c r="L87" s="9"/>
      <c r="M87" s="9"/>
      <c r="N87" s="11" t="str">
        <f>HYPERLINK("http://sonatest.com/application/files/6814/7636/5499/Samsung_ICR18650-26H_Falcon.pdf","Data Sheet")</f>
        <v>Data Sheet</v>
      </c>
      <c r="O87" s="12" t="str">
        <f>HYPERLINK("https://drive.google.com/open?id=0B_pDil2dkRPTVE5nSksxcjFTMWc","Data Sheet Backup")</f>
        <v>Data Sheet Backup</v>
      </c>
      <c r="P87" s="12" t="str">
        <f>HYPERLINK("http://lygte-info.dk/review/batteries2012/Samsung%20ICR18650-26H%202600mAh%20%28Pink%29%20UK.html","lygte-info.dk")</f>
        <v>lygte-info.dk</v>
      </c>
      <c r="Q87" s="9"/>
    </row>
    <row r="88" spans="1:17" ht="43" customHeight="1" x14ac:dyDescent="0.2">
      <c r="A88" s="9" t="s">
        <v>109</v>
      </c>
      <c r="B88" s="9" t="s">
        <v>288</v>
      </c>
      <c r="C88" s="10" t="s">
        <v>54</v>
      </c>
      <c r="D88" s="9">
        <v>5.2</v>
      </c>
      <c r="E88" s="10" t="s">
        <v>289</v>
      </c>
      <c r="F88" s="9" t="s">
        <v>20</v>
      </c>
      <c r="G88" s="9"/>
      <c r="H88" s="9"/>
      <c r="I88" s="9"/>
      <c r="J88" s="9"/>
      <c r="K88" s="9"/>
      <c r="L88" s="9"/>
      <c r="M88" s="9"/>
      <c r="N88" s="11" t="str">
        <f>HYPERLINK("http://www.hurt.com.pl/prods/bat/_li_ion/ICR18650-26J","Data Sheet")</f>
        <v>Data Sheet</v>
      </c>
      <c r="O88" s="12" t="str">
        <f>HYPERLINK("https://drive.google.com/open?id=0B_pDil2dkRPTNVo3MmhneHhpN1E","Data Sheet Backup")</f>
        <v>Data Sheet Backup</v>
      </c>
      <c r="P88" s="12" t="str">
        <f>HYPERLINK("http://lygte-info.dk/review/batteries2012/Samsung%20ICR18650-26J%202600mAh%20%28Pink%29%20UK.html","lygte-info.dk")</f>
        <v>lygte-info.dk</v>
      </c>
      <c r="Q88" s="9"/>
    </row>
    <row r="89" spans="1:17" ht="43" customHeight="1" x14ac:dyDescent="0.2">
      <c r="A89" s="9" t="s">
        <v>109</v>
      </c>
      <c r="B89" s="9" t="s">
        <v>290</v>
      </c>
      <c r="C89" s="10" t="s">
        <v>54</v>
      </c>
      <c r="D89" s="9" t="s">
        <v>291</v>
      </c>
      <c r="E89" s="10" t="s">
        <v>289</v>
      </c>
      <c r="F89" s="9" t="s">
        <v>20</v>
      </c>
      <c r="G89" s="9"/>
      <c r="H89" s="9"/>
      <c r="I89" s="9"/>
      <c r="J89" s="9"/>
      <c r="K89" s="9"/>
      <c r="L89" s="9"/>
      <c r="M89" s="9"/>
      <c r="N89" s="10"/>
      <c r="O89" s="9"/>
      <c r="P89" s="12" t="str">
        <f>HYPERLINK("https://batterybro.com/products/samsung-26fm-icr1865026fm-2600mah-5-2a","batterybro.com")</f>
        <v>batterybro.com</v>
      </c>
      <c r="Q89" s="9" t="s">
        <v>292</v>
      </c>
    </row>
    <row r="90" spans="1:17" ht="43" customHeight="1" x14ac:dyDescent="0.2">
      <c r="A90" s="9" t="s">
        <v>109</v>
      </c>
      <c r="B90" s="9" t="s">
        <v>293</v>
      </c>
      <c r="C90" s="10" t="s">
        <v>71</v>
      </c>
      <c r="D90" s="9">
        <v>15</v>
      </c>
      <c r="E90" s="10" t="s">
        <v>72</v>
      </c>
      <c r="F90" s="9" t="s">
        <v>14</v>
      </c>
      <c r="G90" s="9"/>
      <c r="H90" s="9"/>
      <c r="I90" s="9"/>
      <c r="J90" s="9"/>
      <c r="K90" s="9"/>
      <c r="L90" s="9"/>
      <c r="M90" s="9"/>
      <c r="N90" s="11" t="str">
        <f>HYPERLINK("https://eu.nkon.nl/sk/k/30q.pdf","Data Sheet")</f>
        <v>Data Sheet</v>
      </c>
      <c r="O90" s="12" t="str">
        <f>HYPERLINK("https://drive.google.com/open?id=0B_pDil2dkRPTbWxHcTZnaHBBMnc","Data Sheet Backup")</f>
        <v>Data Sheet Backup</v>
      </c>
      <c r="P90" s="12" t="str">
        <f>HYPERLINK("http://lygte-info.dk/review/batteries2012/Samsung%20INR18650-30Q%203000mAh%20%28Pink%29%20UK.html","lygte-info.dk")</f>
        <v>lygte-info.dk</v>
      </c>
      <c r="Q90" s="9"/>
    </row>
    <row r="91" spans="1:17" ht="43" customHeight="1" x14ac:dyDescent="0.2">
      <c r="A91" s="9" t="s">
        <v>109</v>
      </c>
      <c r="B91" s="9" t="s">
        <v>294</v>
      </c>
      <c r="C91" s="10" t="s">
        <v>295</v>
      </c>
      <c r="D91" s="9" t="s">
        <v>296</v>
      </c>
      <c r="E91" s="10" t="s">
        <v>297</v>
      </c>
      <c r="F91" s="9" t="s">
        <v>20</v>
      </c>
      <c r="G91" s="9"/>
      <c r="H91" s="9"/>
      <c r="I91" s="9"/>
      <c r="J91" s="9"/>
      <c r="K91" s="9"/>
      <c r="L91" s="9"/>
      <c r="M91" s="9"/>
      <c r="N91" s="11" t="str">
        <f>HYPERLINK("https://www.imrbatteries.com/content/samsung_35E.pdf","Data Sheet")</f>
        <v>Data Sheet</v>
      </c>
      <c r="O91" s="12" t="str">
        <f>HYPERLINK("https://drive.google.com/open?id=0B_pDil2dkRPTeHN2TENObU9GWXM","Data Sheet Backup")</f>
        <v>Data Sheet Backup</v>
      </c>
      <c r="P91" s="12" t="str">
        <f>HYPERLINK("http://lygte-info.dk/review/batteries2012/Samsung%20INR18650-35E%203500mAh%20%28Pink%29%20UK.html","lygte-info.dk")</f>
        <v>lygte-info.dk</v>
      </c>
      <c r="Q91" s="9"/>
    </row>
    <row r="92" spans="1:17" ht="43" customHeight="1" x14ac:dyDescent="0.2">
      <c r="A92" s="9" t="s">
        <v>11</v>
      </c>
      <c r="B92" s="10" t="s">
        <v>12</v>
      </c>
      <c r="C92" s="10" t="s">
        <v>13</v>
      </c>
      <c r="D92" s="9">
        <v>7</v>
      </c>
      <c r="E92" s="10">
        <v>1.62</v>
      </c>
      <c r="F92" s="9" t="s">
        <v>14</v>
      </c>
      <c r="G92" s="9"/>
      <c r="H92" s="9"/>
      <c r="I92" s="9"/>
      <c r="J92" s="9"/>
      <c r="K92" s="9"/>
      <c r="L92" s="9"/>
      <c r="M92" s="9"/>
      <c r="N92" s="11" t="str">
        <f>HYPERLINK("https://voltaplex.com/media/whitepapers/specification-sheet/Sanyo_BL_Specification_Sheet.pdf","Data Sheet")</f>
        <v>Data Sheet</v>
      </c>
      <c r="O92" s="12" t="str">
        <f>HYPERLINK("https://drive.google.com/file/d/0B_pDil2dkRPTajV2aVVRbW1JRTQ/view?usp=sharing","Data Sheet Backup")</f>
        <v>Data Sheet Backup</v>
      </c>
      <c r="P92" s="13"/>
      <c r="Q92" s="9"/>
    </row>
    <row r="93" spans="1:17" ht="43" customHeight="1" x14ac:dyDescent="0.2">
      <c r="A93" s="9" t="s">
        <v>11</v>
      </c>
      <c r="B93" s="9" t="s">
        <v>26</v>
      </c>
      <c r="C93" s="10" t="s">
        <v>27</v>
      </c>
      <c r="D93" s="9" t="s">
        <v>28</v>
      </c>
      <c r="E93" s="10">
        <v>1.5</v>
      </c>
      <c r="F93" s="9" t="s">
        <v>20</v>
      </c>
      <c r="G93" s="9"/>
      <c r="H93" s="9"/>
      <c r="I93" s="9"/>
      <c r="J93" s="9"/>
      <c r="K93" s="9"/>
      <c r="L93" s="9"/>
      <c r="M93" s="9"/>
      <c r="N93" s="11" t="str">
        <f>HYPERLINK("http://industrial.panasonic.com/cdbs/www-data/pdf2/ACA4000/ACA4000CE285.pdf","Data Sheet")</f>
        <v>Data Sheet</v>
      </c>
      <c r="O93" s="12" t="str">
        <f>HYPERLINK("https://drive.google.com/open?id=0B_pDil2dkRPTbjlidHVSY09JYzQ","Data Sheet Backup")</f>
        <v>Data Sheet Backup</v>
      </c>
      <c r="P93" s="9"/>
      <c r="Q93" s="9"/>
    </row>
    <row r="94" spans="1:17" ht="43" customHeight="1" x14ac:dyDescent="0.2">
      <c r="A94" s="9" t="s">
        <v>11</v>
      </c>
      <c r="B94" s="9" t="s">
        <v>29</v>
      </c>
      <c r="C94" s="10" t="s">
        <v>30</v>
      </c>
      <c r="D94" s="9" t="s">
        <v>31</v>
      </c>
      <c r="E94" s="10" t="s">
        <v>32</v>
      </c>
      <c r="F94" s="9" t="s">
        <v>33</v>
      </c>
      <c r="G94" s="9"/>
      <c r="H94" s="9"/>
      <c r="I94" s="9"/>
      <c r="J94" s="9"/>
      <c r="K94" s="9"/>
      <c r="L94" s="9"/>
      <c r="M94" s="9"/>
      <c r="N94" s="11" t="str">
        <f>HYPERLINK("http://www.datasheet.jp/download.php?id=1006973","Data Sheet")</f>
        <v>Data Sheet</v>
      </c>
      <c r="O94" s="12" t="str">
        <f>HYPERLINK("https://drive.google.com/open?id=0B_pDil2dkRPTRGMzMk5qSV9NVVE","Data Sheet Backup")</f>
        <v>Data Sheet Backup</v>
      </c>
      <c r="P94" s="9"/>
      <c r="Q94" s="9"/>
    </row>
    <row r="95" spans="1:17" ht="43" customHeight="1" x14ac:dyDescent="0.2">
      <c r="A95" s="9" t="s">
        <v>11</v>
      </c>
      <c r="B95" s="10" t="s">
        <v>34</v>
      </c>
      <c r="C95" s="10" t="s">
        <v>13</v>
      </c>
      <c r="D95" s="9" t="s">
        <v>35</v>
      </c>
      <c r="E95" s="10">
        <v>1.625</v>
      </c>
      <c r="F95" s="9" t="s">
        <v>14</v>
      </c>
      <c r="G95" s="9"/>
      <c r="H95" s="9"/>
      <c r="I95" s="9"/>
      <c r="J95" s="9"/>
      <c r="K95" s="9"/>
      <c r="L95" s="9"/>
      <c r="M95" s="9"/>
      <c r="N95" s="11" t="str">
        <f>HYPERLINK("http://www.all-battery.com/datasheet/NCR18650BF_Datasheet.pdf","Data Sheet")</f>
        <v>Data Sheet</v>
      </c>
      <c r="O95" s="12" t="str">
        <f>HYPERLINK("https://drive.google.com/open?id=0B_pDil2dkRPTbnJleGo4MVZjYk0","Data Sheet Backup")</f>
        <v>Data Sheet Backup</v>
      </c>
      <c r="P95" s="12" t="str">
        <f>HYPERLINK("https://www.akkuteile.de/tpl/download/NCR-18650BF.pdf","NCR18650B vs. NCR18650BF")</f>
        <v>NCR18650B vs. NCR18650BF</v>
      </c>
      <c r="Q95" s="9"/>
    </row>
    <row r="96" spans="1:17" ht="43" customHeight="1" x14ac:dyDescent="0.2">
      <c r="A96" s="9" t="s">
        <v>11</v>
      </c>
      <c r="B96" s="9" t="s">
        <v>36</v>
      </c>
      <c r="C96" s="10" t="s">
        <v>37</v>
      </c>
      <c r="D96" s="9" t="s">
        <v>38</v>
      </c>
      <c r="E96" s="10" t="s">
        <v>39</v>
      </c>
      <c r="F96" s="9" t="s">
        <v>33</v>
      </c>
      <c r="G96" s="9"/>
      <c r="H96" s="9"/>
      <c r="I96" s="9"/>
      <c r="J96" s="9"/>
      <c r="K96" s="9"/>
      <c r="L96" s="9"/>
      <c r="M96" s="9"/>
      <c r="N96" s="11" t="str">
        <f>HYPERLINK("http://www.houseofbatteries.com/documents/UR18650F.pdf","Data Sheet")</f>
        <v>Data Sheet</v>
      </c>
      <c r="O96" s="12" t="str">
        <f>HYPERLINK("https://drive.google.com/open?id=0B_pDil2dkRPTR2UxYU90SVJWeFE","Data Sheet Backup")</f>
        <v>Data Sheet Backup</v>
      </c>
      <c r="P96" s="9"/>
      <c r="Q96" s="9" t="s">
        <v>40</v>
      </c>
    </row>
    <row r="97" spans="1:17" ht="43" customHeight="1" x14ac:dyDescent="0.2">
      <c r="A97" s="9" t="s">
        <v>11</v>
      </c>
      <c r="B97" s="9" t="s">
        <v>41</v>
      </c>
      <c r="C97" s="10" t="s">
        <v>42</v>
      </c>
      <c r="D97" s="9" t="s">
        <v>43</v>
      </c>
      <c r="E97" s="10">
        <v>0.77</v>
      </c>
      <c r="F97" s="9" t="s">
        <v>33</v>
      </c>
      <c r="G97" s="9"/>
      <c r="H97" s="9"/>
      <c r="I97" s="9"/>
      <c r="J97" s="9"/>
      <c r="K97" s="9"/>
      <c r="L97" s="9"/>
      <c r="M97" s="9"/>
      <c r="N97" s="11" t="str">
        <f>HYPERLINK("https://na.industrial.panasonic.com/sites/default/pidsa/files/ur18650s2.pdf","Data Sheet")</f>
        <v>Data Sheet</v>
      </c>
      <c r="O97" s="12" t="str">
        <f>HYPERLINK("https://drive.google.com/open?id=0B_pDil2dkRPTRUI5Tm42eFlZYmM","Data Sheet Backup")</f>
        <v>Data Sheet Backup</v>
      </c>
      <c r="P97" s="9"/>
      <c r="Q97" s="9"/>
    </row>
    <row r="98" spans="1:17" ht="43" customHeight="1" x14ac:dyDescent="0.2">
      <c r="A98" s="9" t="s">
        <v>11</v>
      </c>
      <c r="B98" s="9" t="s">
        <v>44</v>
      </c>
      <c r="C98" s="10" t="s">
        <v>45</v>
      </c>
      <c r="D98" s="9">
        <v>20</v>
      </c>
      <c r="E98" s="10">
        <v>1.75</v>
      </c>
      <c r="F98" s="9"/>
      <c r="G98" s="9"/>
      <c r="H98" s="9"/>
      <c r="I98" s="9"/>
      <c r="J98" s="9"/>
      <c r="K98" s="9"/>
      <c r="L98" s="9"/>
      <c r="M98" s="9"/>
      <c r="N98" s="11" t="str">
        <f>HYPERLINK("http://www.hurt.com.pl/prods/bat/_li_ion/UR18650NSX-2.pdf","Data Sheet")</f>
        <v>Data Sheet</v>
      </c>
      <c r="O98" s="12" t="str">
        <f>HYPERLINK("https://drive.google.com/open?id=0B_pDil2dkRPTQ0NTaWVPYXY2Ylk","Data Sheet Backup")</f>
        <v>Data Sheet Backup</v>
      </c>
      <c r="P98" s="12" t="str">
        <f>HYPERLINK("http://lygte-info.dk/review/batteries2012/Sanyo%20UR18650NSX%202600mAh%20%28Red%29%20UK.html","lygte-info.dk")</f>
        <v>lygte-info.dk</v>
      </c>
      <c r="Q98" s="9"/>
    </row>
    <row r="99" spans="1:17" ht="43" customHeight="1" x14ac:dyDescent="0.2">
      <c r="A99" s="9" t="s">
        <v>11</v>
      </c>
      <c r="B99" s="9" t="s">
        <v>46</v>
      </c>
      <c r="C99" s="10" t="s">
        <v>47</v>
      </c>
      <c r="D99" s="9" t="s">
        <v>48</v>
      </c>
      <c r="E99" s="10" t="s">
        <v>49</v>
      </c>
      <c r="F99" s="9" t="s">
        <v>20</v>
      </c>
      <c r="G99" s="9"/>
      <c r="H99" s="9"/>
      <c r="I99" s="9"/>
      <c r="J99" s="9"/>
      <c r="K99" s="9"/>
      <c r="L99" s="9"/>
      <c r="M99" s="9"/>
      <c r="N99" s="11" t="str">
        <f>HYPERLINK("https://na.industrial.panasonic.com/sites/default/pidsa/files/ur18650y.pdf","Data Sheet")</f>
        <v>Data Sheet</v>
      </c>
      <c r="O99" s="12" t="str">
        <f>HYPERLINK("https://drive.google.com/open?id=0B_pDil2dkRPTd3AwS25nNU5ZVGM","Data Sheet Backup")</f>
        <v>Data Sheet Backup</v>
      </c>
      <c r="P99" s="9"/>
      <c r="Q99" s="9"/>
    </row>
    <row r="100" spans="1:17" ht="43" customHeight="1" x14ac:dyDescent="0.2">
      <c r="A100" s="9" t="s">
        <v>11</v>
      </c>
      <c r="B100" s="9" t="s">
        <v>50</v>
      </c>
      <c r="C100" s="10" t="s">
        <v>51</v>
      </c>
      <c r="D100" s="9">
        <v>4.5999999999999996</v>
      </c>
      <c r="E100" s="10">
        <v>2.2999999999999998</v>
      </c>
      <c r="F100" s="9" t="s">
        <v>52</v>
      </c>
      <c r="G100" s="9"/>
      <c r="H100" s="9"/>
      <c r="I100" s="9"/>
      <c r="J100" s="9"/>
      <c r="K100" s="9"/>
      <c r="L100" s="9"/>
      <c r="M100" s="9"/>
      <c r="N100" s="11" t="str">
        <f>HYPERLINK("http://www.houseofbatteries.com/documents/UR18650F.pdf","Data Sheet")</f>
        <v>Data Sheet</v>
      </c>
      <c r="O100" s="12" t="str">
        <f>HYPERLINK("https://drive.google.com/open?id=0B_pDil2dkRPTR2UxYU90SVJWeFE","Data Sheet Backup")</f>
        <v>Data Sheet Backup</v>
      </c>
      <c r="P100" s="9"/>
      <c r="Q100" s="9" t="s">
        <v>40</v>
      </c>
    </row>
    <row r="101" spans="1:17" ht="43" customHeight="1" x14ac:dyDescent="0.2">
      <c r="A101" s="9" t="s">
        <v>11</v>
      </c>
      <c r="B101" s="9" t="s">
        <v>53</v>
      </c>
      <c r="C101" s="10" t="s">
        <v>54</v>
      </c>
      <c r="D101" s="9">
        <v>5</v>
      </c>
      <c r="E101" s="10">
        <v>1.75</v>
      </c>
      <c r="F101" s="9" t="s">
        <v>52</v>
      </c>
      <c r="G101" s="9"/>
      <c r="H101" s="9"/>
      <c r="I101" s="9"/>
      <c r="J101" s="9"/>
      <c r="K101" s="9"/>
      <c r="L101" s="9"/>
      <c r="M101" s="9"/>
      <c r="N101" s="11" t="str">
        <f>HYPERLINK("http://www.houseofbatteries.com/documents/UR18650F.pdf","Data Sheet")</f>
        <v>Data Sheet</v>
      </c>
      <c r="O101" s="12" t="str">
        <f>HYPERLINK("https://drive.google.com/open?id=0B_pDil2dkRPTR2UxYU90SVJWeFE","Data Sheet Backup")</f>
        <v>Data Sheet Backup</v>
      </c>
      <c r="P101" s="12" t="str">
        <f>HYPERLINK("http://lygte-info.dk/review/batteries2012/Sanyo%2018650%202600mAh%20(Red)%20UK.html","lygte-info.dk")</f>
        <v>lygte-info.dk</v>
      </c>
      <c r="Q101" s="9" t="s">
        <v>40</v>
      </c>
    </row>
    <row r="102" spans="1:17" ht="43" customHeight="1" x14ac:dyDescent="0.2">
      <c r="A102" s="9" t="s">
        <v>11</v>
      </c>
      <c r="B102" s="9" t="s">
        <v>55</v>
      </c>
      <c r="C102" s="10" t="s">
        <v>56</v>
      </c>
      <c r="D102" s="9" t="s">
        <v>57</v>
      </c>
      <c r="E102" s="10">
        <v>1.05</v>
      </c>
      <c r="F102" s="9" t="s">
        <v>33</v>
      </c>
      <c r="G102" s="9"/>
      <c r="H102" s="9"/>
      <c r="I102" s="9"/>
      <c r="J102" s="9"/>
      <c r="K102" s="9"/>
      <c r="L102" s="9"/>
      <c r="M102" s="9"/>
      <c r="N102" s="11" t="str">
        <f>HYPERLINK("https://na.industrial.panasonic.com/sites/default/pidsa/files/ur18650wx4.pdf","Data Sheet")</f>
        <v>Data Sheet</v>
      </c>
      <c r="O102" s="12" t="str">
        <f>HYPERLINK("https://drive.google.com/open?id=0B_pDil2dkRPTdFJTRGIxWjdsU1k","Data Sheet Backup")</f>
        <v>Data Sheet Backup</v>
      </c>
      <c r="P102" s="9"/>
      <c r="Q102" s="9"/>
    </row>
    <row r="103" spans="1:17" ht="43" customHeight="1" x14ac:dyDescent="0.2">
      <c r="A103" s="9" t="s">
        <v>11</v>
      </c>
      <c r="B103" s="10" t="s">
        <v>58</v>
      </c>
      <c r="C103" s="10" t="s">
        <v>59</v>
      </c>
      <c r="D103" s="9">
        <v>10</v>
      </c>
      <c r="E103" s="10">
        <v>1.675</v>
      </c>
      <c r="F103" s="9" t="s">
        <v>14</v>
      </c>
      <c r="G103" s="9"/>
      <c r="H103" s="9"/>
      <c r="I103" s="9"/>
      <c r="J103" s="9"/>
      <c r="K103" s="9"/>
      <c r="L103" s="9"/>
      <c r="M103" s="9"/>
      <c r="N103" s="11" t="str">
        <f>HYPERLINK("https://cdn.shopify.com/s/files/1/0674/3651/files/panasonic-ncr18650-ga-spec-sheet.pdf?6594479572025043155","Data Sheet")</f>
        <v>Data Sheet</v>
      </c>
      <c r="O103" s="12" t="str">
        <f>HYPERLINK("https://drive.google.com/open?id=0B_pDil2dkRPTSHVCOGdIRUZKa1E","Data Sheet Backup")</f>
        <v>Data Sheet Backup</v>
      </c>
      <c r="P103" s="12" t="str">
        <f>HYPERLINK("http://lygte-info.dk/review/batteries2012/Sanyo%20NCR18650GA%203500mAh%20(Red)%20UK.html","lygte-info.dk")</f>
        <v>lygte-info.dk</v>
      </c>
      <c r="Q103" s="9"/>
    </row>
    <row r="104" spans="1:17" ht="43" customHeight="1" x14ac:dyDescent="0.2">
      <c r="A104" s="9" t="s">
        <v>11</v>
      </c>
      <c r="B104" s="9" t="s">
        <v>60</v>
      </c>
      <c r="C104" s="10">
        <v>2000</v>
      </c>
      <c r="D104" s="9">
        <v>22</v>
      </c>
      <c r="E104" s="10">
        <v>1.37</v>
      </c>
      <c r="F104" s="9" t="s">
        <v>61</v>
      </c>
      <c r="G104" s="9"/>
      <c r="H104" s="9"/>
      <c r="I104" s="9"/>
      <c r="J104" s="9"/>
      <c r="K104" s="9"/>
      <c r="L104" s="9"/>
      <c r="M104" s="9"/>
      <c r="N104" s="11" t="str">
        <f>HYPERLINK("https://www.akkuparts24.de/mediafiles//Datenblaetter/Panasonic/Panasonic%20UR18650RX.pdf","Data Sheet")</f>
        <v>Data Sheet</v>
      </c>
      <c r="O104" s="12" t="str">
        <f>HYPERLINK("https://drive.google.com/open?id=0B_pDil2dkRPTRkxLNkF6Sm0zMEk","Data Sheet Backup")</f>
        <v>Data Sheet Backup</v>
      </c>
      <c r="P104" s="9"/>
      <c r="Q104" s="9"/>
    </row>
    <row r="105" spans="1:17" ht="43" customHeight="1" x14ac:dyDescent="0.2">
      <c r="A105" s="9" t="s">
        <v>11</v>
      </c>
      <c r="B105" s="9" t="s">
        <v>62</v>
      </c>
      <c r="C105" s="10">
        <v>2000</v>
      </c>
      <c r="D105" s="9">
        <v>10</v>
      </c>
      <c r="E105" s="10" t="s">
        <v>63</v>
      </c>
      <c r="F105" s="9" t="s">
        <v>20</v>
      </c>
      <c r="G105" s="9"/>
      <c r="H105" s="9"/>
      <c r="I105" s="9"/>
      <c r="J105" s="9"/>
      <c r="K105" s="9"/>
      <c r="L105" s="9"/>
      <c r="M105" s="9"/>
      <c r="N105" s="11" t="str">
        <f>HYPERLINK("http://www.simpower.co.nz/images/products/pdf/UR18650E.pdf","Data Sheet")</f>
        <v>Data Sheet</v>
      </c>
      <c r="O105" s="12" t="str">
        <f>HYPERLINK("https://drive.google.com/open?id=0B_pDil2dkRPTazhBYWlBRVFnSTg","Data Sheet Backup")</f>
        <v>Data Sheet Backup</v>
      </c>
      <c r="P105" s="9"/>
      <c r="Q105" s="9"/>
    </row>
    <row r="106" spans="1:17" ht="43" customHeight="1" x14ac:dyDescent="0.2">
      <c r="A106" s="9" t="s">
        <v>11</v>
      </c>
      <c r="B106" s="9" t="s">
        <v>64</v>
      </c>
      <c r="C106" s="10" t="s">
        <v>54</v>
      </c>
      <c r="D106" s="9" t="s">
        <v>65</v>
      </c>
      <c r="E106" s="10">
        <v>1.75</v>
      </c>
      <c r="F106" s="9" t="s">
        <v>52</v>
      </c>
      <c r="G106" s="9"/>
      <c r="H106" s="9"/>
      <c r="I106" s="9"/>
      <c r="J106" s="9"/>
      <c r="K106" s="9"/>
      <c r="L106" s="9"/>
      <c r="M106" s="9"/>
      <c r="N106" s="11" t="str">
        <f>HYPERLINK("https://na.industrial.panasonic.com/sites/default/pidsa/files/ur18650zy.pdf","Data Sheet")</f>
        <v>Data Sheet</v>
      </c>
      <c r="O106" s="12" t="str">
        <f>HYPERLINK("https://drive.google.com/open?id=0B_pDil2dkRPTSldSQWhSWHg3MkE","Data Sheet Backup")</f>
        <v>Data Sheet Backup</v>
      </c>
      <c r="P106" s="12" t="str">
        <f>HYPERLINK("http://lygte-info.dk/review/batteries2012/Sanyo%20UR18650ZY%202600mAh%20(Red)%20UK.html","lygte-info.dk")</f>
        <v>lygte-info.dk</v>
      </c>
      <c r="Q106" s="9" t="s">
        <v>66</v>
      </c>
    </row>
    <row r="107" spans="1:17" ht="43" customHeight="1" x14ac:dyDescent="0.2">
      <c r="A107" s="9" t="s">
        <v>11</v>
      </c>
      <c r="B107" s="9" t="s">
        <v>67</v>
      </c>
      <c r="C107" s="10" t="s">
        <v>68</v>
      </c>
      <c r="D107" s="9" t="s">
        <v>69</v>
      </c>
      <c r="E107" s="10">
        <v>1.155</v>
      </c>
      <c r="F107" s="9"/>
      <c r="G107" s="9"/>
      <c r="H107" s="9"/>
      <c r="I107" s="9"/>
      <c r="J107" s="9"/>
      <c r="K107" s="9"/>
      <c r="L107" s="9"/>
      <c r="M107" s="9"/>
      <c r="N107" s="11" t="str">
        <f>HYPERLINK("http://queenbattery.com.cn/index.php?controller=attachment&amp;id_attachment=136","Data Sheet")</f>
        <v>Data Sheet</v>
      </c>
      <c r="O107" s="12" t="str">
        <f>HYPERLINK("https://drive.google.com/file/d/1uFG5bpeBiPpob5VHm6mkiqwsW8PjhH9y/view?usp=sharing","Data Sheet Backup")</f>
        <v>Data Sheet Backup</v>
      </c>
      <c r="P107" s="12" t="str">
        <f>HYPERLINK("https://lygte-info.dk/review/batteries2012/Sanyo%20UR18650ZL2%202310mAh%20(Red)%20UK.html","lygte-info.dk")</f>
        <v>lygte-info.dk</v>
      </c>
      <c r="Q107" s="9"/>
    </row>
    <row r="108" spans="1:17" ht="43" customHeight="1" x14ac:dyDescent="0.2">
      <c r="A108" s="9" t="s">
        <v>11</v>
      </c>
      <c r="B108" s="9" t="s">
        <v>73</v>
      </c>
      <c r="C108" s="10" t="s">
        <v>74</v>
      </c>
      <c r="D108" s="9" t="s">
        <v>33</v>
      </c>
      <c r="E108" s="10">
        <v>1.9</v>
      </c>
      <c r="F108" s="9" t="s">
        <v>33</v>
      </c>
      <c r="G108" s="9"/>
      <c r="H108" s="9"/>
      <c r="I108" s="9"/>
      <c r="J108" s="9"/>
      <c r="K108" s="9"/>
      <c r="L108" s="9"/>
      <c r="M108" s="9"/>
      <c r="N108" s="11" t="str">
        <f>HYPERLINK("https://na.industrial.panasonic.com/sites/default/pidsa/files/ur18650zt_0.pdf","Data Sheet")</f>
        <v>Data Sheet</v>
      </c>
      <c r="O108" s="12" t="str">
        <f>HYPERLINK("https://drive.google.com/open?id=0B_pDil2dkRPTUVZXdF90SUg1bjA","Data Sheet Backup")</f>
        <v>Data Sheet Backup</v>
      </c>
      <c r="P108" s="12" t="str">
        <f>HYPERLINK("http://lygte-info.dk/review/batteries2012/Sanyo%20UR18650ZT%202800mAh%20(Orange)%20UK.html","lygte-info.dk")</f>
        <v>lygte-info.dk</v>
      </c>
      <c r="Q108" s="9" t="s">
        <v>75</v>
      </c>
    </row>
    <row r="109" spans="1:17" ht="43" customHeight="1" x14ac:dyDescent="0.2">
      <c r="A109" s="9" t="s">
        <v>134</v>
      </c>
      <c r="B109" s="9" t="s">
        <v>135</v>
      </c>
      <c r="C109" s="10" t="s">
        <v>136</v>
      </c>
      <c r="D109" s="9" t="s">
        <v>137</v>
      </c>
      <c r="E109" s="10" t="s">
        <v>138</v>
      </c>
      <c r="F109" s="9" t="s">
        <v>61</v>
      </c>
      <c r="G109" s="9"/>
      <c r="H109" s="9"/>
      <c r="I109" s="9"/>
      <c r="J109" s="9"/>
      <c r="K109" s="9"/>
      <c r="L109" s="9"/>
      <c r="M109" s="9"/>
      <c r="N109" s="10"/>
      <c r="O109" s="9"/>
      <c r="P109" s="9"/>
      <c r="Q109" s="9"/>
    </row>
    <row r="110" spans="1:17" ht="43" customHeight="1" x14ac:dyDescent="0.2">
      <c r="A110" s="9" t="s">
        <v>134</v>
      </c>
      <c r="B110" s="9" t="s">
        <v>139</v>
      </c>
      <c r="C110" s="10">
        <v>1300</v>
      </c>
      <c r="D110" s="9">
        <v>10</v>
      </c>
      <c r="E110" s="10">
        <v>1.2</v>
      </c>
      <c r="F110" s="9" t="s">
        <v>33</v>
      </c>
      <c r="G110" s="9"/>
      <c r="H110" s="9"/>
      <c r="I110" s="9"/>
      <c r="J110" s="9"/>
      <c r="K110" s="9"/>
      <c r="L110" s="9"/>
      <c r="M110" s="9"/>
      <c r="N110" s="10"/>
      <c r="O110" s="9"/>
      <c r="P110" s="9"/>
      <c r="Q110" s="9"/>
    </row>
    <row r="111" spans="1:17" ht="43" customHeight="1" x14ac:dyDescent="0.2">
      <c r="A111" s="9" t="s">
        <v>134</v>
      </c>
      <c r="B111" s="9" t="s">
        <v>140</v>
      </c>
      <c r="C111" s="10" t="s">
        <v>141</v>
      </c>
      <c r="D111" s="9">
        <v>10</v>
      </c>
      <c r="E111" s="10">
        <v>2</v>
      </c>
      <c r="F111" s="9" t="s">
        <v>61</v>
      </c>
      <c r="G111" s="9"/>
      <c r="H111" s="9"/>
      <c r="I111" s="9"/>
      <c r="J111" s="9"/>
      <c r="K111" s="9"/>
      <c r="L111" s="9"/>
      <c r="M111" s="9"/>
      <c r="N111" s="10"/>
      <c r="O111" s="12" t="str">
        <f>HYPERLINK("https://drive.google.com/open?id=0B_pDil2dkRPTWTVVaVF1enpRWTA","Data Sheet Backup")</f>
        <v>Data Sheet Backup</v>
      </c>
      <c r="P111" s="9"/>
      <c r="Q111" s="9"/>
    </row>
    <row r="112" spans="1:17" ht="43" customHeight="1" x14ac:dyDescent="0.2">
      <c r="A112" s="9" t="s">
        <v>134</v>
      </c>
      <c r="B112" s="9" t="s">
        <v>142</v>
      </c>
      <c r="C112" s="10" t="s">
        <v>143</v>
      </c>
      <c r="D112" s="9">
        <v>10</v>
      </c>
      <c r="E112" s="10">
        <v>2.15</v>
      </c>
      <c r="F112" s="9" t="s">
        <v>20</v>
      </c>
      <c r="G112" s="9"/>
      <c r="H112" s="9"/>
      <c r="I112" s="9"/>
      <c r="J112" s="9"/>
      <c r="K112" s="9"/>
      <c r="L112" s="9"/>
      <c r="M112" s="9"/>
      <c r="N112" s="11" t="str">
        <f>HYPERLINK("http://www.batteryspace.com/prod-specs/9091_specification.pdf","Data Sheet")</f>
        <v>Data Sheet</v>
      </c>
      <c r="O112" s="12" t="str">
        <f>HYPERLINK("https://drive.google.com/open?id=0B_pDil2dkRPTakczeXVFQVdYZGM","Data Sheet Backup")</f>
        <v>Data Sheet Backup</v>
      </c>
      <c r="P112" s="12" t="str">
        <f>HYPERLINK("http://lygte-info.dk/review/batteries2012/Sony%20US18650V3%202250mAh%20(Green)%20UK.html","lygte-info.dk")</f>
        <v>lygte-info.dk</v>
      </c>
      <c r="Q112" s="9"/>
    </row>
    <row r="113" spans="1:17" ht="43" customHeight="1" x14ac:dyDescent="0.2">
      <c r="A113" s="9" t="s">
        <v>134</v>
      </c>
      <c r="B113" s="9" t="s">
        <v>144</v>
      </c>
      <c r="C113" s="10" t="s">
        <v>136</v>
      </c>
      <c r="D113" s="9" t="s">
        <v>145</v>
      </c>
      <c r="E113" s="10" t="s">
        <v>146</v>
      </c>
      <c r="F113" s="9" t="s">
        <v>20</v>
      </c>
      <c r="G113" s="9"/>
      <c r="H113" s="9"/>
      <c r="I113" s="9"/>
      <c r="J113" s="9"/>
      <c r="K113" s="9"/>
      <c r="L113" s="9"/>
      <c r="M113" s="9"/>
      <c r="N113" s="11" t="str">
        <f>HYPERLINK("http://www.avacom.cz/Datasheety/Sony/US18650VTC3.pdf","Data Sheet")</f>
        <v>Data Sheet</v>
      </c>
      <c r="O113" s="12" t="str">
        <f>HYPERLINK("https://drive.google.com/open?id=0B_pDil2dkRPTNXFEbXg5Wjh6R1k","Data Sheet Backup")</f>
        <v>Data Sheet Backup</v>
      </c>
      <c r="P113" s="9"/>
      <c r="Q113" s="9" t="s">
        <v>147</v>
      </c>
    </row>
    <row r="114" spans="1:17" ht="43" customHeight="1" x14ac:dyDescent="0.2">
      <c r="A114" s="9" t="s">
        <v>134</v>
      </c>
      <c r="B114" s="9" t="s">
        <v>148</v>
      </c>
      <c r="C114" s="10" t="s">
        <v>136</v>
      </c>
      <c r="D114" s="9" t="s">
        <v>149</v>
      </c>
      <c r="E114" s="10" t="s">
        <v>150</v>
      </c>
      <c r="F114" s="9" t="s">
        <v>20</v>
      </c>
      <c r="G114" s="9"/>
      <c r="H114" s="9"/>
      <c r="I114" s="9"/>
      <c r="J114" s="9"/>
      <c r="K114" s="9"/>
      <c r="L114" s="9"/>
      <c r="M114" s="9"/>
      <c r="N114" s="11" t="str">
        <f>HYPERLINK("http://keeppower.com.ua/download/file01_US18650VTC3.pdf","Data Sheet")</f>
        <v>Data Sheet</v>
      </c>
      <c r="O114" s="12" t="str">
        <f>HYPERLINK("https://drive.google.com/open?id=0B_pDil2dkRPTRk5CQ2RXTWVSajQ","Data Sheet Backup")</f>
        <v>Data Sheet Backup</v>
      </c>
      <c r="P114" s="9"/>
      <c r="Q114" s="9"/>
    </row>
    <row r="115" spans="1:17" ht="43" customHeight="1" x14ac:dyDescent="0.2">
      <c r="A115" s="9" t="s">
        <v>134</v>
      </c>
      <c r="B115" s="9" t="s">
        <v>151</v>
      </c>
      <c r="C115" s="10" t="s">
        <v>141</v>
      </c>
      <c r="D115" s="9" t="s">
        <v>149</v>
      </c>
      <c r="E115" s="10" t="s">
        <v>152</v>
      </c>
      <c r="F115" s="9" t="s">
        <v>20</v>
      </c>
      <c r="G115" s="9"/>
      <c r="H115" s="9"/>
      <c r="I115" s="9"/>
      <c r="J115" s="9"/>
      <c r="K115" s="9"/>
      <c r="L115" s="9"/>
      <c r="M115" s="9"/>
      <c r="N115" s="11" t="str">
        <f>HYPERLINK("https://docs.google.com/file/d/0Bx9io5ZhKnhhRDFZSlFKd3dSZG8/edit","Data Sheet")</f>
        <v>Data Sheet</v>
      </c>
      <c r="O115" s="12" t="str">
        <f>HYPERLINK("https://drive.google.com/open?id=0B_pDil2dkRPTSXRHUjRBS1Bnckk","Data Sheet Backup")</f>
        <v>Data Sheet Backup</v>
      </c>
      <c r="P115" s="12" t="str">
        <f>HYPERLINK("http://lygte-info.dk/review/batteries2012/Basen%2018650%202100mAh%20BS186E%20%28Black%29%20UK.html","lygte-info.dk")</f>
        <v>lygte-info.dk</v>
      </c>
      <c r="Q115" s="9"/>
    </row>
    <row r="116" spans="1:17" ht="43" customHeight="1" x14ac:dyDescent="0.2">
      <c r="A116" s="9" t="s">
        <v>134</v>
      </c>
      <c r="B116" s="9" t="s">
        <v>153</v>
      </c>
      <c r="C116" s="10" t="s">
        <v>154</v>
      </c>
      <c r="D116" s="9" t="s">
        <v>155</v>
      </c>
      <c r="E116" s="10" t="s">
        <v>156</v>
      </c>
      <c r="F116" s="9" t="s">
        <v>20</v>
      </c>
      <c r="G116" s="9"/>
      <c r="H116" s="9"/>
      <c r="I116" s="9"/>
      <c r="J116" s="9"/>
      <c r="K116" s="9"/>
      <c r="L116" s="9"/>
      <c r="M116" s="9"/>
      <c r="N116" s="11" t="str">
        <f>HYPERLINK("https://www.nkon.nl/sk/k/vtc5.pdf","Data Sheet")</f>
        <v>Data Sheet</v>
      </c>
      <c r="O116" s="12" t="str">
        <f>HYPERLINK("https://drive.google.com/open?id=0B_pDil2dkRPTYlliWG1tcEVXRGs","Data Sheet Backup")</f>
        <v>Data Sheet Backup</v>
      </c>
      <c r="P116" s="12" t="str">
        <f>HYPERLINK("http://lygte-info.dk/review/batteries2012/Sony%20US18650VTC5%202600mAh%20%28Green%29%20UK.html","lygte-info.dk")</f>
        <v>lygte-info.dk</v>
      </c>
      <c r="Q116" s="9"/>
    </row>
    <row r="117" spans="1:17" ht="43" customHeight="1" x14ac:dyDescent="0.2">
      <c r="A117" s="9" t="s">
        <v>134</v>
      </c>
      <c r="B117" s="9" t="s">
        <v>157</v>
      </c>
      <c r="C117" s="10" t="s">
        <v>154</v>
      </c>
      <c r="D117" s="9" t="s">
        <v>158</v>
      </c>
      <c r="E117" s="10" t="s">
        <v>156</v>
      </c>
      <c r="F117" s="9" t="s">
        <v>20</v>
      </c>
      <c r="G117" s="9"/>
      <c r="H117" s="9"/>
      <c r="I117" s="9"/>
      <c r="J117" s="9"/>
      <c r="K117" s="9"/>
      <c r="L117" s="9"/>
      <c r="M117" s="9"/>
      <c r="N117" s="11" t="str">
        <f>HYPERLINK("https://www.imrbatteries.com/content/sony_us18650vtc5a.pdf","Data Sheet")</f>
        <v>Data Sheet</v>
      </c>
      <c r="O117" s="12" t="str">
        <f>HYPERLINK("https://drive.google.com/open?id=0B_pDil2dkRPTbUNXWGtsUl96NjQ","Data Sheet Backup")</f>
        <v>Data Sheet Backup</v>
      </c>
      <c r="P117" s="12" t="str">
        <f>HYPERLINK("http://lygte-info.dk/review/batteries2012/Sony%20US18650VTC5A%202600mAh%20(Green)%20UK.html","lygte-info.dk")</f>
        <v>lygte-info.dk</v>
      </c>
      <c r="Q117" s="9" t="s">
        <v>159</v>
      </c>
    </row>
    <row r="118" spans="1:17" ht="43" customHeight="1" x14ac:dyDescent="0.2">
      <c r="A118" s="9" t="s">
        <v>134</v>
      </c>
      <c r="B118" s="9" t="s">
        <v>160</v>
      </c>
      <c r="C118" s="10" t="s">
        <v>161</v>
      </c>
      <c r="D118" s="9" t="s">
        <v>162</v>
      </c>
      <c r="E118" s="10" t="s">
        <v>163</v>
      </c>
      <c r="F118" s="9" t="s">
        <v>20</v>
      </c>
      <c r="G118" s="9"/>
      <c r="H118" s="9"/>
      <c r="I118" s="9"/>
      <c r="J118" s="9"/>
      <c r="K118" s="9"/>
      <c r="L118" s="9"/>
      <c r="M118" s="9"/>
      <c r="N118" s="11" t="str">
        <f>HYPERLINK("https://www.akkuparts24.de/mediafiles//Datenblaetter/Sony/US18650VTC6.pdf","Data Sheet")</f>
        <v>Data Sheet</v>
      </c>
      <c r="O118" s="12" t="str">
        <f>HYPERLINK("https://drive.google.com/open?id=0B_pDil2dkRPTblg2bVNNcDNnWjQ","Data Sheet Backup")</f>
        <v>Data Sheet Backup</v>
      </c>
      <c r="P118" s="12" t="str">
        <f>HYPERLINK("http://lygte-info.dk/review/batteries2012/Sony%20US18650VTC6%203000mAh%20(Green)%20UK.html","lygte-info.dk")</f>
        <v>lygte-info.dk</v>
      </c>
      <c r="Q118" s="9" t="s">
        <v>159</v>
      </c>
    </row>
    <row r="119" spans="1:17" ht="43" customHeight="1" x14ac:dyDescent="0.2">
      <c r="A119" s="9" t="s">
        <v>134</v>
      </c>
      <c r="B119" s="9" t="s">
        <v>164</v>
      </c>
      <c r="C119" s="10" t="s">
        <v>165</v>
      </c>
      <c r="D119" s="9">
        <v>8</v>
      </c>
      <c r="E119" s="10">
        <v>1</v>
      </c>
      <c r="F119" s="9"/>
      <c r="G119" s="9"/>
      <c r="H119" s="9"/>
      <c r="I119" s="9"/>
      <c r="J119" s="9"/>
      <c r="K119" s="9"/>
      <c r="L119" s="9"/>
      <c r="M119" s="9"/>
      <c r="N119" s="11" t="str">
        <f>HYPERLINK("https://voltaplex.com/media/whitepapers/specification-sheet/Sony_VC7_Specification_Sheet.pdf","Data Sheet")</f>
        <v>Data Sheet</v>
      </c>
      <c r="O119" s="12" t="str">
        <f>HYPERLINK("https://drive.google.com/open?id=1ZjGqZdJaifOhKWc2AVeZwsEBfY1uq1HI","Data Sheet Backup")</f>
        <v>Data Sheet Backup</v>
      </c>
      <c r="P119" s="12" t="str">
        <f>HYPERLINK("http://lygte-info.dk/review/batteries2012/Sony%20US18650VTC6%203000mAh%20(Green)%20UK.html","lygte-info.dk")</f>
        <v>lygte-info.dk</v>
      </c>
      <c r="Q119" s="9"/>
    </row>
    <row r="120" spans="1:17" ht="43" customHeight="1" x14ac:dyDescent="0.2">
      <c r="A120" s="9" t="s">
        <v>134</v>
      </c>
      <c r="B120" s="9" t="s">
        <v>166</v>
      </c>
      <c r="C120" s="10" t="s">
        <v>119</v>
      </c>
      <c r="D120" s="9">
        <v>8</v>
      </c>
      <c r="E120" s="10">
        <v>3</v>
      </c>
      <c r="F120" s="9" t="s">
        <v>20</v>
      </c>
      <c r="G120" s="9"/>
      <c r="H120" s="9"/>
      <c r="I120" s="9"/>
      <c r="J120" s="9"/>
      <c r="K120" s="9"/>
      <c r="L120" s="9"/>
      <c r="M120" s="9"/>
      <c r="N120" s="11" t="str">
        <f>HYPERLINK("https://www.akkuparts24.de/mediafiles//Datenblaetter/Sony/US18650NC1.pdf","Data Sheet")</f>
        <v>Data Sheet</v>
      </c>
      <c r="O120" s="12" t="str">
        <f>HYPERLINK("https://drive.google.com/open?id=0B_pDil2dkRPTSllqdW1weEt1M1U","Data Sheet Backup")</f>
        <v>Data Sheet Backup</v>
      </c>
      <c r="P120" s="12" t="str">
        <f>HYPERLINK("https://lygte-info.dk/review/batteries2012/Sony%20US18650VC7%203400mAh%20%28Green%29%20UK.html","lygte-info.dk")</f>
        <v>lygte-info.dk</v>
      </c>
      <c r="Q120" s="9"/>
    </row>
    <row r="121" spans="1:17" ht="43" customHeight="1" x14ac:dyDescent="0.2">
      <c r="A121" s="9" t="s">
        <v>15</v>
      </c>
      <c r="B121" s="9" t="s">
        <v>16</v>
      </c>
      <c r="C121" s="10" t="s">
        <v>17</v>
      </c>
      <c r="D121" s="10" t="s">
        <v>18</v>
      </c>
      <c r="E121" s="10" t="s">
        <v>19</v>
      </c>
      <c r="F121" s="9" t="s">
        <v>20</v>
      </c>
      <c r="G121" s="9"/>
      <c r="H121" s="9"/>
      <c r="I121" s="9"/>
      <c r="J121" s="9"/>
      <c r="K121" s="9"/>
      <c r="L121" s="9"/>
      <c r="M121" s="9"/>
      <c r="N121" s="11" t="str">
        <f>HYPERLINK("http://www.mountainprophet.de/wp-content/uploads/2012/05/YLE_INR18650A220.pdf","Data Sheet")</f>
        <v>Data Sheet</v>
      </c>
      <c r="O121" s="12" t="str">
        <f>HYPERLINK("https://drive.google.com/open?id=0B_pDil2dkRPTYkl6eFdtMldEbDA","Data Sheet Backup")</f>
        <v>Data Sheet Backup</v>
      </c>
      <c r="P121" s="12" t="str">
        <f>HYPERLINK("http://www.yiklik.com/index.php/products/detail/14515","YikLik Product Page")</f>
        <v>YikLik Product Page</v>
      </c>
      <c r="Q121" s="9"/>
    </row>
  </sheetData>
  <sortState xmlns:xlrd2="http://schemas.microsoft.com/office/spreadsheetml/2017/richdata2" ref="A3:Q149">
    <sortCondition ref="A1:A149"/>
  </sortState>
  <mergeCells count="1">
    <mergeCell ref="D2:E2"/>
  </mergeCells>
  <hyperlinks>
    <hyperlink ref="A41" r:id="rId1" xr:uid="{8431A529-22C7-5746-B205-BC13BBD69828}"/>
    <hyperlink ref="A42" r:id="rId2" xr:uid="{827C1BC8-5138-3544-9938-23A7DA34188F}"/>
    <hyperlink ref="A43" r:id="rId3" xr:uid="{6149A4E3-ED66-BC4D-8A8F-969B58E8001C}"/>
    <hyperlink ref="A44" r:id="rId4" xr:uid="{B500CB18-3435-A74D-8EC3-47758709E07D}"/>
    <hyperlink ref="A45" r:id="rId5" xr:uid="{A07FB605-C0CA-5249-B3C6-58D56AEDAE8B}"/>
    <hyperlink ref="A46" r:id="rId6" xr:uid="{619A0EA8-DD19-0B4C-B897-BB71114CD5D6}"/>
    <hyperlink ref="A47" r:id="rId7" xr:uid="{37D4FB21-1A0F-A54F-AB0C-BF5599A80522}"/>
    <hyperlink ref="A48" r:id="rId8" xr:uid="{FF910CB2-87FC-EA42-80B5-7CFEBC41320F}"/>
    <hyperlink ref="Q61" r:id="rId9" xr:uid="{193892A6-A5AF-984C-8FC1-6394EE3AEBAE}"/>
    <hyperlink ref="A49" r:id="rId10" xr:uid="{F2406B82-9DB4-F14E-823A-05440987F39A}"/>
    <hyperlink ref="A50" r:id="rId11" xr:uid="{A08423AC-CD7E-9944-ABE2-86B1F69E4FBF}"/>
    <hyperlink ref="A51" r:id="rId12" xr:uid="{9DCC9F0E-95ED-5B47-B13C-63FCFD32AF6A}"/>
    <hyperlink ref="O77" r:id="rId13" xr:uid="{3813D5DA-8916-F745-86DE-E6C97C8B544C}"/>
    <hyperlink ref="P77" r:id="rId14" xr:uid="{31EABC4D-7C13-704C-BC57-880F7582258A}"/>
    <hyperlink ref="A52" r:id="rId15" xr:uid="{120911A9-0CD1-734E-B4F8-2E13EBBE4B69}"/>
    <hyperlink ref="A53" r:id="rId16" xr:uid="{5F70EAD4-6276-154B-8FB1-126EFD254167}"/>
    <hyperlink ref="N30" r:id="rId17" xr:uid="{B842BE5D-992B-B84A-9335-B35EEC083619}"/>
    <hyperlink ref="O30" r:id="rId18" xr:uid="{1C22E5CA-E666-B040-A45C-A919C0D9844B}"/>
    <hyperlink ref="A54" r:id="rId19" xr:uid="{A30522F6-306A-BE45-BAC5-ED6DE9E941DD}"/>
    <hyperlink ref="A39" r:id="rId20" xr:uid="{A686C4C2-2873-4841-B773-E9EBEF172A95}"/>
    <hyperlink ref="A55" r:id="rId21" xr:uid="{257795B8-53C2-0C42-95C2-55BF6EA51785}"/>
    <hyperlink ref="A56" r:id="rId22" xr:uid="{52A49465-2AB7-9842-8862-59F8AFCAAF1E}"/>
    <hyperlink ref="A58" r:id="rId23" xr:uid="{71FAB199-6F96-1B43-BA91-176C360397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876C-D582-7C44-B8BF-73E5FCB418A7}">
  <dimension ref="A1:J1"/>
  <sheetViews>
    <sheetView workbookViewId="0">
      <selection sqref="A1:J1"/>
    </sheetView>
  </sheetViews>
  <sheetFormatPr baseColWidth="10" defaultRowHeight="16" x14ac:dyDescent="0.2"/>
  <sheetData>
    <row r="1" spans="1:10" ht="17" x14ac:dyDescent="0.2">
      <c r="A1" s="5" t="s">
        <v>323</v>
      </c>
      <c r="B1" s="5"/>
      <c r="C1" s="6"/>
      <c r="D1" s="1" t="s">
        <v>10</v>
      </c>
      <c r="E1" s="7"/>
      <c r="F1" s="8"/>
      <c r="G1" s="6"/>
      <c r="H1" s="5"/>
      <c r="I1" s="5"/>
      <c r="J1" s="5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Matthew</dc:creator>
  <cp:lastModifiedBy>Clarke, Matthew</cp:lastModifiedBy>
  <dcterms:created xsi:type="dcterms:W3CDTF">2024-01-29T19:36:51Z</dcterms:created>
  <dcterms:modified xsi:type="dcterms:W3CDTF">2024-01-29T20:45:44Z</dcterms:modified>
</cp:coreProperties>
</file>