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2\Studi Independen\lateral pile\"/>
    </mc:Choice>
  </mc:AlternateContent>
  <xr:revisionPtr revIDLastSave="0" documentId="13_ncr:1_{4DB9D487-F56A-4460-8AD0-08EC1FF942EE}" xr6:coauthVersionLast="45" xr6:coauthVersionMax="45" xr10:uidLastSave="{00000000-0000-0000-0000-000000000000}"/>
  <bookViews>
    <workbookView xWindow="-110" yWindow="-110" windowWidth="19420" windowHeight="10420" xr2:uid="{F469CFE8-230F-487D-9DEE-6EA72EBFF68B}"/>
  </bookViews>
  <sheets>
    <sheet name="Sheet1" sheetId="1" r:id="rId1"/>
    <sheet name="Sheet5" sheetId="5" r:id="rId2"/>
    <sheet name="Sheet3" sheetId="3" r:id="rId3"/>
    <sheet name="Sheet2" sheetId="2" r:id="rId4"/>
    <sheet name="Sheet4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1" l="1"/>
  <c r="E44" i="1" s="1"/>
  <c r="R21" i="1"/>
  <c r="T21" i="1" s="1"/>
  <c r="V21" i="1" s="1"/>
  <c r="L13" i="4"/>
  <c r="M13" i="4" s="1"/>
  <c r="O13" i="4" s="1"/>
  <c r="N13" i="4"/>
  <c r="P4" i="4"/>
  <c r="P5" i="4"/>
  <c r="P6" i="4"/>
  <c r="P7" i="4"/>
  <c r="P8" i="4"/>
  <c r="P9" i="4"/>
  <c r="P10" i="4"/>
  <c r="P11" i="4"/>
  <c r="P12" i="4"/>
  <c r="L5" i="4"/>
  <c r="N5" i="4"/>
  <c r="M5" i="4"/>
  <c r="O5" i="4" s="1"/>
  <c r="L6" i="4" s="1"/>
  <c r="N4" i="4"/>
  <c r="M4" i="4"/>
  <c r="O4" i="4" s="1"/>
  <c r="L4" i="4"/>
  <c r="P3" i="4"/>
  <c r="O3" i="4"/>
  <c r="N3" i="4"/>
  <c r="M3" i="4"/>
  <c r="I4" i="4"/>
  <c r="I5" i="4" s="1"/>
  <c r="I6" i="4" s="1"/>
  <c r="I3" i="4"/>
  <c r="H3" i="4"/>
  <c r="J3" i="4" s="1"/>
  <c r="H2" i="4"/>
  <c r="G3" i="4"/>
  <c r="A4" i="4"/>
  <c r="C4" i="4" s="1"/>
  <c r="D4" i="4"/>
  <c r="D5" i="4"/>
  <c r="D6" i="4"/>
  <c r="D7" i="4"/>
  <c r="D8" i="4"/>
  <c r="D9" i="4"/>
  <c r="D10" i="4"/>
  <c r="D11" i="4"/>
  <c r="D12" i="4"/>
  <c r="C3" i="4"/>
  <c r="E3" i="4" s="1"/>
  <c r="B3" i="4"/>
  <c r="D3" i="4"/>
  <c r="S21" i="1" l="1"/>
  <c r="U21" i="1"/>
  <c r="G4" i="4"/>
  <c r="H4" i="4" s="1"/>
  <c r="J4" i="4" s="1"/>
  <c r="A5" i="4"/>
  <c r="B4" i="4"/>
  <c r="E4" i="4" s="1"/>
  <c r="P13" i="4"/>
  <c r="L14" i="4"/>
  <c r="M6" i="4"/>
  <c r="N6" i="4"/>
  <c r="I7" i="4"/>
  <c r="I8" i="4" s="1"/>
  <c r="I9" i="4" s="1"/>
  <c r="I10" i="4" s="1"/>
  <c r="Q13" i="1"/>
  <c r="Q14" i="1" s="1"/>
  <c r="Q15" i="1" s="1"/>
  <c r="Q16" i="1" s="1"/>
  <c r="S22" i="1" l="1"/>
  <c r="S23" i="1" s="1"/>
  <c r="S24" i="1" s="1"/>
  <c r="S25" i="1" s="1"/>
  <c r="W21" i="1"/>
  <c r="X21" i="1" s="1"/>
  <c r="R22" i="1" s="1"/>
  <c r="T22" i="1"/>
  <c r="A6" i="4"/>
  <c r="B5" i="4"/>
  <c r="C5" i="4"/>
  <c r="G5" i="4"/>
  <c r="H5" i="4" s="1"/>
  <c r="J5" i="4" s="1"/>
  <c r="M14" i="4"/>
  <c r="O14" i="4" s="1"/>
  <c r="N14" i="4"/>
  <c r="O6" i="4"/>
  <c r="L7" i="4" s="1"/>
  <c r="I11" i="4"/>
  <c r="C4" i="3"/>
  <c r="C5" i="3"/>
  <c r="C6" i="3"/>
  <c r="C7" i="3"/>
  <c r="C8" i="3"/>
  <c r="C3" i="3"/>
  <c r="B5" i="3"/>
  <c r="B6" i="3" s="1"/>
  <c r="B7" i="3" s="1"/>
  <c r="B8" i="3" s="1"/>
  <c r="B4" i="3"/>
  <c r="B37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B17" i="1"/>
  <c r="C17" i="1"/>
  <c r="D17" i="1" s="1"/>
  <c r="B18" i="1"/>
  <c r="C18" i="1" s="1"/>
  <c r="B19" i="1"/>
  <c r="C19" i="1"/>
  <c r="B20" i="1"/>
  <c r="C20" i="1"/>
  <c r="D20" i="1" s="1"/>
  <c r="B21" i="1"/>
  <c r="C21" i="1"/>
  <c r="D21" i="1" s="1"/>
  <c r="B22" i="1"/>
  <c r="C22" i="1" s="1"/>
  <c r="B23" i="1"/>
  <c r="C23" i="1"/>
  <c r="B24" i="1"/>
  <c r="C24" i="1"/>
  <c r="D24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V22" i="1" l="1"/>
  <c r="W22" i="1"/>
  <c r="X22" i="1" s="1"/>
  <c r="R23" i="1" s="1"/>
  <c r="T23" i="1" s="1"/>
  <c r="U22" i="1"/>
  <c r="E5" i="4"/>
  <c r="C6" i="4"/>
  <c r="A7" i="4"/>
  <c r="B6" i="4"/>
  <c r="E6" i="4" s="1"/>
  <c r="G6" i="4"/>
  <c r="H6" i="4" s="1"/>
  <c r="J6" i="4" s="1"/>
  <c r="L15" i="4"/>
  <c r="P14" i="4"/>
  <c r="N7" i="4"/>
  <c r="M7" i="4"/>
  <c r="O7" i="4"/>
  <c r="L8" i="4" s="1"/>
  <c r="I12" i="4"/>
  <c r="D23" i="1"/>
  <c r="D19" i="1"/>
  <c r="D22" i="1"/>
  <c r="D18" i="1"/>
  <c r="E7" i="2"/>
  <c r="A4" i="2"/>
  <c r="A5" i="2"/>
  <c r="D5" i="2" s="1"/>
  <c r="E5" i="2" s="1"/>
  <c r="A6" i="2"/>
  <c r="D6" i="2" s="1"/>
  <c r="E6" i="2" s="1"/>
  <c r="A7" i="2"/>
  <c r="A8" i="2" s="1"/>
  <c r="A3" i="2"/>
  <c r="H2" i="2"/>
  <c r="G2" i="2"/>
  <c r="C3" i="2"/>
  <c r="C4" i="2"/>
  <c r="C5" i="2"/>
  <c r="C6" i="2"/>
  <c r="C2" i="2"/>
  <c r="B3" i="2"/>
  <c r="B4" i="2"/>
  <c r="B5" i="2"/>
  <c r="B6" i="2"/>
  <c r="B7" i="2"/>
  <c r="B2" i="2"/>
  <c r="F8" i="2"/>
  <c r="F9" i="2" s="1"/>
  <c r="F10" i="2" s="1"/>
  <c r="F11" i="2" s="1"/>
  <c r="F12" i="2" s="1"/>
  <c r="F6" i="2"/>
  <c r="F5" i="2" s="1"/>
  <c r="F4" i="2" s="1"/>
  <c r="F3" i="2" s="1"/>
  <c r="F2" i="2" s="1"/>
  <c r="D3" i="2"/>
  <c r="E3" i="2" s="1"/>
  <c r="D4" i="2"/>
  <c r="E4" i="2" s="1"/>
  <c r="D2" i="2"/>
  <c r="E2" i="2" s="1"/>
  <c r="W23" i="1" l="1"/>
  <c r="V23" i="1"/>
  <c r="U23" i="1"/>
  <c r="X23" i="1"/>
  <c r="R24" i="1" s="1"/>
  <c r="T24" i="1" s="1"/>
  <c r="C7" i="4"/>
  <c r="G7" i="4"/>
  <c r="H7" i="4" s="1"/>
  <c r="J7" i="4" s="1"/>
  <c r="A8" i="4"/>
  <c r="B7" i="4"/>
  <c r="N15" i="4"/>
  <c r="M15" i="4"/>
  <c r="O15" i="4" s="1"/>
  <c r="N8" i="4"/>
  <c r="M8" i="4"/>
  <c r="O8" i="4" s="1"/>
  <c r="L9" i="4" s="1"/>
  <c r="B8" i="2"/>
  <c r="A9" i="2"/>
  <c r="C8" i="2"/>
  <c r="D8" i="2"/>
  <c r="E8" i="2" s="1"/>
  <c r="D7" i="2"/>
  <c r="C7" i="2"/>
  <c r="I10" i="2"/>
  <c r="I5" i="2"/>
  <c r="I12" i="2"/>
  <c r="I6" i="2"/>
  <c r="I9" i="2"/>
  <c r="I8" i="2"/>
  <c r="I11" i="2"/>
  <c r="I7" i="2"/>
  <c r="I3" i="2"/>
  <c r="B5" i="1"/>
  <c r="B14" i="1" s="1"/>
  <c r="W24" i="1" l="1"/>
  <c r="V24" i="1"/>
  <c r="X24" i="1"/>
  <c r="R25" i="1" s="1"/>
  <c r="T25" i="1" s="1"/>
  <c r="U24" i="1"/>
  <c r="A9" i="4"/>
  <c r="G8" i="4"/>
  <c r="H8" i="4" s="1"/>
  <c r="J8" i="4" s="1"/>
  <c r="B8" i="4"/>
  <c r="C8" i="4"/>
  <c r="E8" i="4" s="1"/>
  <c r="E7" i="4"/>
  <c r="L16" i="4"/>
  <c r="P15" i="4"/>
  <c r="M9" i="4"/>
  <c r="N9" i="4"/>
  <c r="D9" i="2"/>
  <c r="E9" i="2" s="1"/>
  <c r="B9" i="2"/>
  <c r="A10" i="2"/>
  <c r="C9" i="2"/>
  <c r="I4" i="2"/>
  <c r="I2" i="2"/>
  <c r="C14" i="1"/>
  <c r="D14" i="1" s="1"/>
  <c r="B11" i="1"/>
  <c r="B15" i="1"/>
  <c r="B8" i="1"/>
  <c r="B12" i="1"/>
  <c r="B16" i="1"/>
  <c r="B9" i="1"/>
  <c r="B13" i="1"/>
  <c r="B10" i="1"/>
  <c r="C16" i="1"/>
  <c r="W25" i="1" l="1"/>
  <c r="V25" i="1"/>
  <c r="U25" i="1"/>
  <c r="X25" i="1"/>
  <c r="G9" i="4"/>
  <c r="H9" i="4" s="1"/>
  <c r="J9" i="4" s="1"/>
  <c r="B9" i="4"/>
  <c r="C9" i="4"/>
  <c r="A10" i="4"/>
  <c r="M16" i="4"/>
  <c r="N16" i="4"/>
  <c r="O16" i="4" s="1"/>
  <c r="O9" i="4"/>
  <c r="L10" i="4" s="1"/>
  <c r="D10" i="2"/>
  <c r="E10" i="2" s="1"/>
  <c r="B10" i="2"/>
  <c r="A11" i="2"/>
  <c r="C10" i="2"/>
  <c r="C10" i="1"/>
  <c r="D10" i="1" s="1"/>
  <c r="C13" i="1"/>
  <c r="D13" i="1" s="1"/>
  <c r="N8" i="1"/>
  <c r="C8" i="1"/>
  <c r="D8" i="1" s="1"/>
  <c r="N9" i="1"/>
  <c r="C9" i="1"/>
  <c r="D9" i="1" s="1"/>
  <c r="C15" i="1"/>
  <c r="D15" i="1" s="1"/>
  <c r="D16" i="1"/>
  <c r="C11" i="1"/>
  <c r="D11" i="1" s="1"/>
  <c r="C12" i="1"/>
  <c r="D12" i="1" s="1"/>
  <c r="G10" i="4" l="1"/>
  <c r="H10" i="4" s="1"/>
  <c r="J10" i="4" s="1"/>
  <c r="B10" i="4"/>
  <c r="E10" i="4" s="1"/>
  <c r="C10" i="4"/>
  <c r="A11" i="4"/>
  <c r="E9" i="4"/>
  <c r="L17" i="4"/>
  <c r="P16" i="4"/>
  <c r="N10" i="4"/>
  <c r="M10" i="4"/>
  <c r="O10" i="4" s="1"/>
  <c r="L11" i="4" s="1"/>
  <c r="D26" i="1"/>
  <c r="F26" i="1" s="1"/>
  <c r="L39" i="1" s="1"/>
  <c r="D27" i="1"/>
  <c r="F27" i="1" s="1"/>
  <c r="Q11" i="1"/>
  <c r="Q10" i="1" s="1"/>
  <c r="Q9" i="1" s="1"/>
  <c r="Q8" i="1" s="1"/>
  <c r="A12" i="2"/>
  <c r="C11" i="2"/>
  <c r="D11" i="2"/>
  <c r="E11" i="2" s="1"/>
  <c r="B11" i="2"/>
  <c r="M39" i="1" l="1"/>
  <c r="N39" i="1"/>
  <c r="G11" i="4"/>
  <c r="H11" i="4" s="1"/>
  <c r="J11" i="4" s="1"/>
  <c r="C11" i="4"/>
  <c r="A12" i="4"/>
  <c r="B11" i="4"/>
  <c r="E11" i="4" s="1"/>
  <c r="N17" i="4"/>
  <c r="M17" i="4"/>
  <c r="O17" i="4" s="1"/>
  <c r="M11" i="4"/>
  <c r="N11" i="4"/>
  <c r="O11" i="4"/>
  <c r="L12" i="4" s="1"/>
  <c r="B38" i="1"/>
  <c r="O17" i="1"/>
  <c r="P17" i="1" s="1"/>
  <c r="O15" i="1"/>
  <c r="P15" i="1" s="1"/>
  <c r="O23" i="1"/>
  <c r="P23" i="1" s="1"/>
  <c r="O13" i="1"/>
  <c r="P13" i="1" s="1"/>
  <c r="O21" i="1"/>
  <c r="P21" i="1" s="1"/>
  <c r="O11" i="1"/>
  <c r="O19" i="1"/>
  <c r="P19" i="1" s="1"/>
  <c r="O22" i="1"/>
  <c r="P22" i="1" s="1"/>
  <c r="O20" i="1"/>
  <c r="P20" i="1" s="1"/>
  <c r="O14" i="1"/>
  <c r="P14" i="1" s="1"/>
  <c r="O12" i="1"/>
  <c r="P12" i="1" s="1"/>
  <c r="O24" i="1"/>
  <c r="P24" i="1" s="1"/>
  <c r="O18" i="1"/>
  <c r="P18" i="1" s="1"/>
  <c r="O16" i="1"/>
  <c r="P16" i="1" s="1"/>
  <c r="O10" i="1"/>
  <c r="P10" i="1" s="1"/>
  <c r="R8" i="1"/>
  <c r="S8" i="1" s="1"/>
  <c r="B12" i="2"/>
  <c r="C12" i="2"/>
  <c r="D12" i="2"/>
  <c r="E12" i="2" s="1"/>
  <c r="O9" i="1"/>
  <c r="P9" i="1" s="1"/>
  <c r="O8" i="1"/>
  <c r="P8" i="1" s="1"/>
  <c r="P11" i="1"/>
  <c r="B40" i="1" l="1"/>
  <c r="B41" i="1" s="1"/>
  <c r="C38" i="1"/>
  <c r="O39" i="1"/>
  <c r="K40" i="1"/>
  <c r="G12" i="4"/>
  <c r="H12" i="4" s="1"/>
  <c r="J12" i="4" s="1"/>
  <c r="C12" i="4"/>
  <c r="B12" i="4"/>
  <c r="E12" i="4" s="1"/>
  <c r="L18" i="4"/>
  <c r="P17" i="4"/>
  <c r="N12" i="4"/>
  <c r="M12" i="4"/>
  <c r="O12" i="4" s="1"/>
  <c r="T10" i="1"/>
  <c r="T13" i="1"/>
  <c r="T14" i="1"/>
  <c r="T8" i="1"/>
  <c r="T12" i="1"/>
  <c r="T15" i="1"/>
  <c r="T16" i="1"/>
  <c r="T9" i="1"/>
  <c r="T11" i="1"/>
  <c r="L40" i="1" l="1"/>
  <c r="M40" i="1" s="1"/>
  <c r="N40" i="1" s="1"/>
  <c r="K41" i="1" s="1"/>
  <c r="B42" i="1"/>
  <c r="B43" i="1" s="1"/>
  <c r="D38" i="1"/>
  <c r="M18" i="4"/>
  <c r="O18" i="4" s="1"/>
  <c r="N18" i="4"/>
  <c r="O40" i="1" l="1"/>
  <c r="E38" i="1"/>
  <c r="B44" i="1"/>
  <c r="L41" i="1"/>
  <c r="M41" i="1" s="1"/>
  <c r="N41" i="1" s="1"/>
  <c r="K42" i="1" s="1"/>
  <c r="L19" i="4"/>
  <c r="P18" i="4"/>
  <c r="O41" i="1" l="1"/>
  <c r="L42" i="1"/>
  <c r="M42" i="1" s="1"/>
  <c r="B45" i="1"/>
  <c r="B46" i="1" s="1"/>
  <c r="N19" i="4"/>
  <c r="M19" i="4"/>
  <c r="O19" i="4"/>
  <c r="L20" i="4" s="1"/>
  <c r="N42" i="1" l="1"/>
  <c r="B47" i="1"/>
  <c r="B48" i="1" s="1"/>
  <c r="K43" i="1"/>
  <c r="L43" i="1" s="1"/>
  <c r="M43" i="1" s="1"/>
  <c r="N43" i="1" s="1"/>
  <c r="K44" i="1" s="1"/>
  <c r="O42" i="1"/>
  <c r="M20" i="4"/>
  <c r="N20" i="4"/>
  <c r="O20" i="4"/>
  <c r="L21" i="4" s="1"/>
  <c r="P19" i="4"/>
  <c r="O43" i="1" l="1"/>
  <c r="H40" i="1"/>
  <c r="B49" i="1"/>
  <c r="N21" i="4"/>
  <c r="M21" i="4"/>
  <c r="O21" i="4"/>
  <c r="L22" i="4" s="1"/>
  <c r="P20" i="4"/>
  <c r="L44" i="1"/>
  <c r="M44" i="1" s="1"/>
  <c r="B50" i="1" l="1"/>
  <c r="N44" i="1"/>
  <c r="O44" i="1" s="1"/>
  <c r="N22" i="4"/>
  <c r="M22" i="4"/>
  <c r="O22" i="4" s="1"/>
  <c r="P21" i="4"/>
  <c r="K45" i="1"/>
  <c r="L45" i="1" s="1"/>
  <c r="M45" i="1" s="1"/>
  <c r="N45" i="1" s="1"/>
  <c r="O45" i="1" s="1"/>
  <c r="B51" i="1" l="1"/>
  <c r="E40" i="1"/>
  <c r="L23" i="4"/>
  <c r="P22" i="4"/>
  <c r="E42" i="1" l="1"/>
  <c r="E41" i="1"/>
  <c r="N23" i="4"/>
  <c r="M23" i="4"/>
  <c r="O23" i="4" s="1"/>
  <c r="H41" i="1" l="1"/>
  <c r="H42" i="1" s="1"/>
  <c r="I42" i="1" s="1"/>
  <c r="H43" i="1"/>
  <c r="L24" i="4"/>
  <c r="P23" i="4"/>
  <c r="I43" i="1" l="1"/>
  <c r="H44" i="1"/>
  <c r="I44" i="1" s="1"/>
  <c r="M24" i="4"/>
  <c r="N24" i="4"/>
  <c r="O24" i="4" s="1"/>
  <c r="L25" i="4" l="1"/>
  <c r="P24" i="4"/>
  <c r="M25" i="4" l="1"/>
  <c r="O25" i="4" s="1"/>
  <c r="P25" i="4" s="1"/>
  <c r="N25" i="4"/>
</calcChain>
</file>

<file path=xl/sharedStrings.xml><?xml version="1.0" encoding="utf-8"?>
<sst xmlns="http://schemas.openxmlformats.org/spreadsheetml/2006/main" count="79" uniqueCount="57">
  <si>
    <t>d</t>
  </si>
  <si>
    <t>cu</t>
  </si>
  <si>
    <t>Pu2</t>
  </si>
  <si>
    <t>i</t>
  </si>
  <si>
    <t>e50</t>
  </si>
  <si>
    <t>y50</t>
  </si>
  <si>
    <t>y</t>
  </si>
  <si>
    <t>p</t>
  </si>
  <si>
    <t>y/p</t>
  </si>
  <si>
    <t>m</t>
  </si>
  <si>
    <t>n</t>
  </si>
  <si>
    <t>pult</t>
  </si>
  <si>
    <t>Ei</t>
  </si>
  <si>
    <t>Et</t>
  </si>
  <si>
    <t>x</t>
  </si>
  <si>
    <t>y1</t>
  </si>
  <si>
    <t>x1</t>
  </si>
  <si>
    <t>fx</t>
  </si>
  <si>
    <t>y=x^3</t>
  </si>
  <si>
    <t>m=3x^2</t>
  </si>
  <si>
    <t>dx</t>
  </si>
  <si>
    <t>E</t>
  </si>
  <si>
    <t>I</t>
  </si>
  <si>
    <t>Am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</si>
  <si>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</si>
  <si>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</si>
  <si>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</si>
  <si>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</si>
  <si>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</si>
  <si>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</si>
  <si>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</si>
  <si>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</si>
  <si>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</si>
  <si>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</si>
  <si>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</si>
  <si>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</si>
  <si>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D1</t>
  </si>
  <si>
    <t>D2</t>
  </si>
  <si>
    <t>D3</t>
  </si>
  <si>
    <t>v5</t>
  </si>
  <si>
    <t>C1</t>
  </si>
  <si>
    <t>v6</t>
  </si>
  <si>
    <t>v7</t>
  </si>
  <si>
    <t>f(y)</t>
  </si>
  <si>
    <t>f'(y)</t>
  </si>
  <si>
    <t>yn</t>
  </si>
  <si>
    <t>dy</t>
  </si>
  <si>
    <t>a</t>
  </si>
  <si>
    <t>b</t>
  </si>
  <si>
    <t>c</t>
  </si>
  <si>
    <t>2a</t>
  </si>
  <si>
    <t>y'</t>
  </si>
  <si>
    <t>xn</t>
  </si>
  <si>
    <t>Pext</t>
  </si>
  <si>
    <t>Pint</t>
  </si>
  <si>
    <t>dp</t>
  </si>
  <si>
    <t>y+dy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</si>
</sst>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E+00"/>
    <numFmt numFmtId="165" formatCode="0.00000000"/>
    <numFmt numFmtId="169" formatCode="0.00000"/>
    <numFmt numFmtId="173" formatCode="0.0000000000"/>
  </numFmts>
  <fonts count="2" x14ac:knownFonts="1">
    <font>
      <sz val="11"/>
      <color theme="1"/>
      <name val="Calibri"/>
      <family val="2"/>
      <scheme val="minor"/>
    </font>
    <font>
      <sz val="7"/>
      <color rgb="FFD4D4D4"/>
      <name val="Fira Cod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2" borderId="0" xfId="0" applyFill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69" fontId="0" fillId="0" borderId="0" xfId="0" applyNumberFormat="1"/>
    <xf numFmtId="173" fontId="0" fillId="0" borderId="0" xfId="0" applyNumberFormat="1"/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522849813306594"/>
                  <c:y val="9.40886699507389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Sheet1!$B$9:$B$24</c:f>
              <c:numCache>
                <c:formatCode>General</c:formatCode>
                <c:ptCount val="16"/>
                <c:pt idx="0">
                  <c:v>1.2500000000000001E-2</c:v>
                </c:pt>
                <c:pt idx="1">
                  <c:v>2.5000000000000001E-2</c:v>
                </c:pt>
                <c:pt idx="2">
                  <c:v>3.7500000000000006E-2</c:v>
                </c:pt>
                <c:pt idx="3">
                  <c:v>0.05</c:v>
                </c:pt>
                <c:pt idx="4">
                  <c:v>6.25E-2</c:v>
                </c:pt>
                <c:pt idx="5">
                  <c:v>7.5000000000000011E-2</c:v>
                </c:pt>
                <c:pt idx="6">
                  <c:v>8.7500000000000008E-2</c:v>
                </c:pt>
                <c:pt idx="7">
                  <c:v>0.1</c:v>
                </c:pt>
                <c:pt idx="8">
                  <c:v>0.1125</c:v>
                </c:pt>
                <c:pt idx="9">
                  <c:v>0.125</c:v>
                </c:pt>
                <c:pt idx="10">
                  <c:v>0.13750000000000001</c:v>
                </c:pt>
                <c:pt idx="11">
                  <c:v>0.15000000000000002</c:v>
                </c:pt>
                <c:pt idx="12">
                  <c:v>0.16250000000000001</c:v>
                </c:pt>
                <c:pt idx="13">
                  <c:v>0.17500000000000002</c:v>
                </c:pt>
                <c:pt idx="14">
                  <c:v>0.1875</c:v>
                </c:pt>
                <c:pt idx="15">
                  <c:v>0.2</c:v>
                </c:pt>
              </c:numCache>
            </c:numRef>
          </c:xVal>
          <c:yVal>
            <c:numRef>
              <c:f>Sheet1!$D$9:$D$24</c:f>
              <c:numCache>
                <c:formatCode>General</c:formatCode>
                <c:ptCount val="16"/>
                <c:pt idx="0">
                  <c:v>2.7998245553219401E-4</c:v>
                </c:pt>
                <c:pt idx="1">
                  <c:v>4.4444444444444447E-4</c:v>
                </c:pt>
                <c:pt idx="2">
                  <c:v>5.8238697649086609E-4</c:v>
                </c:pt>
                <c:pt idx="3">
                  <c:v>7.0551157865253315E-4</c:v>
                </c:pt>
                <c:pt idx="4">
                  <c:v>8.186736663645303E-4</c:v>
                </c:pt>
                <c:pt idx="5">
                  <c:v>9.244816991341798E-4</c:v>
                </c:pt>
                <c:pt idx="6">
                  <c:v>1.0245413982352103E-3</c:v>
                </c:pt>
                <c:pt idx="7">
                  <c:v>1.1199298221287763E-3</c:v>
                </c:pt>
                <c:pt idx="8">
                  <c:v>1.2114137285547599E-3</c:v>
                </c:pt>
                <c:pt idx="9">
                  <c:v>1.2995634392057186E-3</c:v>
                </c:pt>
                <c:pt idx="10">
                  <c:v>1.3848177076377229E-3</c:v>
                </c:pt>
                <c:pt idx="11">
                  <c:v>1.4675232217309453E-3</c:v>
                </c:pt>
                <c:pt idx="12">
                  <c:v>1.5479599484183593E-3</c:v>
                </c:pt>
                <c:pt idx="13">
                  <c:v>1.6263580933435432E-3</c:v>
                </c:pt>
                <c:pt idx="14">
                  <c:v>1.7029098497634513E-3</c:v>
                </c:pt>
                <c:pt idx="15">
                  <c:v>1.7777777777777781E-3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B-412B-BB7A-6588C41E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65352"/>
        <c:axId val="320575192"/>
      </c:scatterChart>
      <c:valAx>
        <c:axId val="32056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75192"/>
        <c:crosses val="autoZero"/>
        <c:crossBetween val="midCat"/>
      </c:valAx>
      <c:valAx>
        <c:axId val="32057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6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Sheet1!$N$8:$N$24</c:f>
              <c:numCache>
                <c:formatCode>General</c:formatCode>
                <c:ptCount val="17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</c:numCache>
            </c:numRef>
          </c:xVal>
          <c:yVal>
            <c:numRef>
              <c:f>Sheet1!$O$8:$O$24</c:f>
              <c:numCache>
                <c:formatCode>General</c:formatCode>
                <c:ptCount val="17"/>
                <c:pt idx="0">
                  <c:v>0</c:v>
                </c:pt>
                <c:pt idx="1">
                  <c:v>31.58323074890561</c:v>
                </c:pt>
                <c:pt idx="2">
                  <c:v>50.779155902204934</c:v>
                </c:pt>
                <c:pt idx="3">
                  <c:v>63.680602296548486</c:v>
                </c:pt>
                <c:pt idx="4">
                  <c:v>72.94747489675153</c:v>
                </c:pt>
                <c:pt idx="5">
                  <c:v>79.926030177828679</c:v>
                </c:pt>
                <c:pt idx="6">
                  <c:v>85.370717342124763</c:v>
                </c:pt>
                <c:pt idx="7">
                  <c:v>89.737172818126382</c:v>
                </c:pt>
                <c:pt idx="8">
                  <c:v>93.316829221179148</c:v>
                </c:pt>
                <c:pt idx="9">
                  <c:v>96.304772151444382</c:v>
                </c:pt>
                <c:pt idx="10">
                  <c:v>98.836515857466821</c:v>
                </c:pt>
                <c:pt idx="11">
                  <c:v>101.00912889296902</c:v>
                </c:pt>
                <c:pt idx="12">
                  <c:v>102.89396507812299</c:v>
                </c:pt>
                <c:pt idx="13">
                  <c:v>104.54464979391953</c:v>
                </c:pt>
                <c:pt idx="14">
                  <c:v>106.00226395160587</c:v>
                </c:pt>
                <c:pt idx="15">
                  <c:v>107.29880945178881</c:v>
                </c:pt>
                <c:pt idx="16">
                  <c:v>108.4595859771635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D1-4AB8-B7F6-6B90B0820E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Sheet1!$B$8:$B$24</c:f>
              <c:numCache>
                <c:formatCode>General</c:formatCode>
                <c:ptCount val="17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0">
                  <c:v>0</c:v>
                </c:pt>
                <c:pt idx="1">
                  <c:v>44.645654586605616</c:v>
                </c:pt>
                <c:pt idx="2">
                  <c:v>56.25</c:v>
                </c:pt>
                <c:pt idx="3">
                  <c:v>64.390176143624913</c:v>
                </c:pt>
                <c:pt idx="4">
                  <c:v>70.870559056586615</c:v>
                </c:pt>
                <c:pt idx="5">
                  <c:v>76.34299546673175</c:v>
                </c:pt>
                <c:pt idx="6">
                  <c:v>81.126538329791714</c:v>
                </c:pt>
                <c:pt idx="7">
                  <c:v>85.404064834003009</c:v>
                </c:pt>
                <c:pt idx="8">
                  <c:v>89.291309173211218</c:v>
                </c:pt>
                <c:pt idx="9">
                  <c:v>92.866703875161377</c:v>
                </c:pt>
                <c:pt idx="10">
                  <c:v>96.186147000564191</c:v>
                </c:pt>
                <c:pt idx="11">
                  <c:v>99.291046931045514</c:v>
                </c:pt>
                <c:pt idx="12">
                  <c:v>102.21303334680786</c:v>
                </c:pt>
                <c:pt idx="13">
                  <c:v>104.9768762854851</c:v>
                </c:pt>
                <c:pt idx="14">
                  <c:v>107.60237903094688</c:v>
                </c:pt>
                <c:pt idx="15">
                  <c:v>110.10565240787429</c:v>
                </c:pt>
                <c:pt idx="16">
                  <c:v>112.49999999999999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D1-4AB8-B7F6-6B90B0820E0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Sheet1!$Q$8:$Q$16</c:f>
              <c:numCache>
                <c:formatCode>General</c:formatCode>
                <c:ptCount val="9"/>
                <c:pt idx="0">
                  <c:v>-5.0000000000000001E-3</c:v>
                </c:pt>
                <c:pt idx="1">
                  <c:v>-2.5000000000000001E-3</c:v>
                </c:pt>
                <c:pt idx="2">
                  <c:v>0</c:v>
                </c:pt>
                <c:pt idx="3">
                  <c:v>2.5000000000000001E-3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2.5000000000000001E-2</c:v>
                </c:pt>
              </c:numCache>
            </c:numRef>
          </c:xVal>
          <c:yVal>
            <c:numRef>
              <c:f>Sheet1!$T$8:$T$16</c:f>
              <c:numCache>
                <c:formatCode>General</c:formatCode>
                <c:ptCount val="9"/>
                <c:pt idx="0">
                  <c:v>-11.416023630933434</c:v>
                </c:pt>
                <c:pt idx="1">
                  <c:v>-4.8621579552440402</c:v>
                </c:pt>
                <c:pt idx="2">
                  <c:v>1.6917077204453523</c:v>
                </c:pt>
                <c:pt idx="3">
                  <c:v>8.2455733961347448</c:v>
                </c:pt>
                <c:pt idx="4">
                  <c:v>14.799439071824139</c:v>
                </c:pt>
                <c:pt idx="5">
                  <c:v>27.907170423202928</c:v>
                </c:pt>
                <c:pt idx="6">
                  <c:v>41.014901774581709</c:v>
                </c:pt>
                <c:pt idx="7">
                  <c:v>54.122633125960498</c:v>
                </c:pt>
                <c:pt idx="8">
                  <c:v>67.230364477339293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0A-4558-9450-6E0F8BDC327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Sheet1!$Q$12</c:f>
              <c:numCache>
                <c:formatCode>General</c:formatCode>
                <c:ptCount val="1"/>
                <c:pt idx="0">
                  <c:v>5.0000000000000001E-3</c:v>
                </c:pt>
              </c:numCache>
            </c:numRef>
          </c:xVal>
          <c:yVal>
            <c:numRef>
              <c:f>Sheet1!$S$19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70-4AF7-B246-FDDCD8B8EDA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Sheet1!$R$25</c:f>
              <c:numCache>
                <c:formatCode>General</c:formatCode>
                <c:ptCount val="1"/>
                <c:pt idx="0">
                  <c:v>-4.4284557999975651E-3</c:v>
                </c:pt>
              </c:numCache>
            </c:numRef>
          </c:xVal>
          <c:yVal>
            <c:numRef>
              <c:f>Sheet1!$T$25</c:f>
              <c:numCache>
                <c:formatCode>General</c:formatCode>
                <c:ptCount val="1"/>
                <c:pt idx="0">
                  <c:v>-16.709483126909603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70-4AF7-B246-FDDCD8B8E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83616"/>
        <c:axId val="503688208"/>
      </c:scatterChart>
      <c:valAx>
        <c:axId val="5036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8208"/>
        <c:crosses val="autoZero"/>
        <c:crossBetween val="midCat"/>
      </c:valAx>
      <c:valAx>
        <c:axId val="5036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Sheet3!$C$3:$C$8</c:f>
              <c:numCache>
                <c:formatCode>General</c:formatCode>
                <c:ptCount val="6"/>
                <c:pt idx="0">
                  <c:v>1.85537514048256</c:v>
                </c:pt>
                <c:pt idx="1">
                  <c:v>1.0440035506965399</c:v>
                </c:pt>
                <c:pt idx="2">
                  <c:v>0.30407351727426296</c:v>
                </c:pt>
                <c:pt idx="3">
                  <c:v>-3.3666992476433398E-3</c:v>
                </c:pt>
                <c:pt idx="4">
                  <c:v>-6.672952798374221E-2</c:v>
                </c:pt>
                <c:pt idx="5">
                  <c:v>-6.8343774236038907E-2</c:v>
                </c:pt>
              </c:numCache>
            </c:numRef>
          </c:xVal>
          <c:yVal>
            <c:numRef>
              <c:f>Sheet3!$B$3:$B$8</c:f>
              <c:numCache>
                <c:formatCode>General</c:formatCode>
                <c:ptCount val="6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7.1999999999999993</c:v>
                </c:pt>
                <c:pt idx="4">
                  <c:v>9.6</c:v>
                </c:pt>
                <c:pt idx="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4C-4862-AEE6-D73126E4E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14040"/>
        <c:axId val="429414368"/>
      </c:scatterChart>
      <c:valAx>
        <c:axId val="4294140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14368"/>
        <c:crosses val="autoZero"/>
        <c:crossBetween val="midCat"/>
      </c:valAx>
      <c:valAx>
        <c:axId val="4294143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1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-125</c:v>
                </c:pt>
                <c:pt idx="1">
                  <c:v>-64</c:v>
                </c:pt>
                <c:pt idx="2">
                  <c:v>-27</c:v>
                </c:pt>
                <c:pt idx="3">
                  <c:v>-8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8</c:v>
                </c:pt>
                <c:pt idx="8">
                  <c:v>27</c:v>
                </c:pt>
                <c:pt idx="9">
                  <c:v>64</c:v>
                </c:pt>
                <c:pt idx="10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6C-48B3-9902-84CDDBF3816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Sheet2!$F$2:$F$12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</c:numCache>
            </c:numRef>
          </c:xVal>
          <c:yVal>
            <c:numRef>
              <c:f>Sheet2!$I$2:$I$12</c:f>
              <c:numCache>
                <c:formatCode>General</c:formatCode>
                <c:ptCount val="11"/>
                <c:pt idx="0">
                  <c:v>-40.5</c:v>
                </c:pt>
                <c:pt idx="1">
                  <c:v>-27</c:v>
                </c:pt>
                <c:pt idx="2">
                  <c:v>-13.5</c:v>
                </c:pt>
                <c:pt idx="3">
                  <c:v>0</c:v>
                </c:pt>
                <c:pt idx="4">
                  <c:v>13.5</c:v>
                </c:pt>
                <c:pt idx="5">
                  <c:v>27</c:v>
                </c:pt>
                <c:pt idx="6">
                  <c:v>40.5</c:v>
                </c:pt>
                <c:pt idx="7">
                  <c:v>54</c:v>
                </c:pt>
                <c:pt idx="8">
                  <c:v>67.5</c:v>
                </c:pt>
                <c:pt idx="9">
                  <c:v>81</c:v>
                </c:pt>
                <c:pt idx="10">
                  <c:v>94.5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6C-48B3-9902-84CDDBF38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06504"/>
        <c:axId val="513203224"/>
      </c:scatterChart>
      <c:valAx>
        <c:axId val="51320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03224"/>
        <c:crosses val="autoZero"/>
        <c:crossBetween val="midCat"/>
      </c:valAx>
      <c:valAx>
        <c:axId val="5132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0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Sheet4!$A$3:$A$12</c:f>
              <c:numCache>
                <c:formatCode>General</c:formatCode>
                <c:ptCount val="10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xVal>
          <c:yVal>
            <c:numRef>
              <c:f>Sheet4!$E$3:$E$12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16</c:v>
                </c:pt>
                <c:pt idx="6">
                  <c:v>25</c:v>
                </c:pt>
                <c:pt idx="7">
                  <c:v>36</c:v>
                </c:pt>
                <c:pt idx="8">
                  <c:v>49</c:v>
                </c:pt>
                <c:pt idx="9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3-411F-9A2F-88DADBDE8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73504"/>
        <c:axId val="438473832"/>
      </c:scatterChart>
      <c:valAx>
        <c:axId val="4384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73832"/>
        <c:crosses val="autoZero"/>
        <c:crossBetween val="midCat"/>
      </c:valAx>
      <c:valAx>
        <c:axId val="43847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1</xdr:rowOff>
    </xdr:from>
    <xdr:to>
      <xdr:col>12</xdr:col>
      <xdr:colOff>0</xdr:colOff>
      <xdr:row>15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AFA53-4B38-4E8D-AFF4-88BC3E499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</xdr:row>
      <xdr:rowOff>1</xdr:rowOff>
    </xdr:from>
    <xdr:to>
      <xdr:col>27</xdr:col>
      <xdr:colOff>0</xdr:colOff>
      <xdr:row>16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39B8F-F48C-41F6-9F76-9DC97CE81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17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4D9BD-95C6-4E61-9C71-5C1988171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</xdr:rowOff>
    </xdr:from>
    <xdr:to>
      <xdr:col>18</xdr:col>
      <xdr:colOff>0</xdr:colOff>
      <xdr:row>15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B20D6-C5F3-4DEF-A62D-22AF513CF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23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1F2EF-8D68-471E-985E-27FA32CCB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AFFF-F5B0-401C-B8AA-215AFADF0ACC}">
  <dimension ref="A1:X51"/>
  <sheetViews>
    <sheetView tabSelected="1" topLeftCell="A34" workbookViewId="0">
      <selection activeCell="E40" sqref="E40"/>
    </sheetView>
  </sheetViews>
  <sheetFormatPr defaultRowHeight="14.5" x14ac:dyDescent="0.35"/>
  <cols>
    <col min="2" max="2" width="11.36328125" bestFit="1" customWidth="1"/>
    <col min="3" max="3" width="10.36328125" bestFit="1" customWidth="1"/>
    <col min="4" max="4" width="11.81640625" bestFit="1" customWidth="1"/>
    <col min="5" max="5" width="11.36328125" bestFit="1" customWidth="1"/>
    <col min="8" max="8" width="11.6328125" bestFit="1" customWidth="1"/>
    <col min="9" max="9" width="11.36328125" bestFit="1" customWidth="1"/>
    <col min="11" max="11" width="13.08984375" bestFit="1" customWidth="1"/>
    <col min="12" max="12" width="9.54296875" customWidth="1"/>
    <col min="14" max="14" width="9" bestFit="1" customWidth="1"/>
  </cols>
  <sheetData>
    <row r="1" spans="1:20" x14ac:dyDescent="0.35">
      <c r="A1" t="s">
        <v>0</v>
      </c>
      <c r="B1">
        <v>0.5</v>
      </c>
    </row>
    <row r="2" spans="1:20" x14ac:dyDescent="0.35">
      <c r="A2" t="s">
        <v>1</v>
      </c>
      <c r="B2">
        <v>25</v>
      </c>
    </row>
    <row r="3" spans="1:20" x14ac:dyDescent="0.35">
      <c r="A3" t="s">
        <v>2</v>
      </c>
      <c r="B3">
        <v>112.5</v>
      </c>
    </row>
    <row r="4" spans="1:20" x14ac:dyDescent="0.35">
      <c r="A4" t="s">
        <v>4</v>
      </c>
      <c r="B4">
        <v>0.02</v>
      </c>
    </row>
    <row r="5" spans="1:20" x14ac:dyDescent="0.35">
      <c r="A5" t="s">
        <v>5</v>
      </c>
      <c r="B5">
        <f>2.5*B4*B1</f>
        <v>2.5000000000000001E-2</v>
      </c>
    </row>
    <row r="7" spans="1:20" x14ac:dyDescent="0.35">
      <c r="A7" t="s">
        <v>3</v>
      </c>
      <c r="B7" t="s">
        <v>6</v>
      </c>
      <c r="C7" t="s">
        <v>7</v>
      </c>
      <c r="D7" t="s">
        <v>8</v>
      </c>
      <c r="N7" t="s">
        <v>6</v>
      </c>
      <c r="O7" t="s">
        <v>7</v>
      </c>
      <c r="P7" t="s">
        <v>13</v>
      </c>
      <c r="Q7" t="s">
        <v>6</v>
      </c>
      <c r="R7" t="s">
        <v>7</v>
      </c>
      <c r="S7" t="s">
        <v>13</v>
      </c>
      <c r="T7" t="s">
        <v>7</v>
      </c>
    </row>
    <row r="8" spans="1:20" x14ac:dyDescent="0.35">
      <c r="A8">
        <v>0</v>
      </c>
      <c r="B8">
        <f>A8*$B$5</f>
        <v>0</v>
      </c>
      <c r="C8">
        <f>0.5*$B$3*(B8/$B$5)^(1/3)</f>
        <v>0</v>
      </c>
      <c r="D8" t="e">
        <f>B8/C8</f>
        <v>#DIV/0!</v>
      </c>
      <c r="N8">
        <f>B8</f>
        <v>0</v>
      </c>
      <c r="O8">
        <f>N8/((N8/$F$26)+(1/$F$27))</f>
        <v>0</v>
      </c>
      <c r="P8">
        <f t="shared" ref="P8:P16" si="0">$F$27*(1-O8/$F$26)^2</f>
        <v>3341.8963353654049</v>
      </c>
      <c r="Q8">
        <f t="shared" ref="Q8:Q10" si="1">Q9-0.0025</f>
        <v>-5.0000000000000001E-3</v>
      </c>
      <c r="R8">
        <f>Q12/((Q12/F26)+(1/F27))</f>
        <v>14.799439071824139</v>
      </c>
      <c r="S8">
        <f>F27*(1-R8/F26)^2</f>
        <v>2621.5462702757573</v>
      </c>
      <c r="T8">
        <f>$S$8*(Q8-$Q$12)+$R$8</f>
        <v>-11.416023630933434</v>
      </c>
    </row>
    <row r="9" spans="1:20" x14ac:dyDescent="0.35">
      <c r="A9">
        <f>A8+0.5</f>
        <v>0.5</v>
      </c>
      <c r="B9">
        <f t="shared" ref="B9:B16" si="2">A9*$B$5</f>
        <v>1.2500000000000001E-2</v>
      </c>
      <c r="C9">
        <f t="shared" ref="C9:C16" si="3">0.5*$B$3*(B9/$B$5)^(1/3)</f>
        <v>44.645654586605616</v>
      </c>
      <c r="D9">
        <f t="shared" ref="D9:D16" si="4">B9/C9</f>
        <v>2.7998245553219401E-4</v>
      </c>
      <c r="N9">
        <f t="shared" ref="N9" si="5">B9</f>
        <v>1.2500000000000001E-2</v>
      </c>
      <c r="O9">
        <f>N9/((N9/$F$26)+(1/$F$27))</f>
        <v>31.58323074890561</v>
      </c>
      <c r="P9">
        <f t="shared" si="0"/>
        <v>1910.2935376806402</v>
      </c>
      <c r="Q9">
        <f t="shared" si="1"/>
        <v>-2.5000000000000001E-3</v>
      </c>
      <c r="T9">
        <f t="shared" ref="T9:T16" si="6">$S$8*(Q9-$Q$12)+$R$8</f>
        <v>-4.8621579552440402</v>
      </c>
    </row>
    <row r="10" spans="1:20" x14ac:dyDescent="0.35">
      <c r="A10">
        <f t="shared" ref="A10:A24" si="7">A9+0.5</f>
        <v>1</v>
      </c>
      <c r="B10">
        <f t="shared" si="2"/>
        <v>2.5000000000000001E-2</v>
      </c>
      <c r="C10">
        <f t="shared" si="3"/>
        <v>56.25</v>
      </c>
      <c r="D10">
        <f t="shared" si="4"/>
        <v>4.4444444444444447E-4</v>
      </c>
      <c r="N10">
        <f t="shared" ref="N10:N24" si="8">B10</f>
        <v>2.5000000000000001E-2</v>
      </c>
      <c r="O10">
        <f t="shared" ref="O10:O24" si="9">N10/((N10/$F$26)+(1/$F$27))</f>
        <v>50.779155902204934</v>
      </c>
      <c r="P10">
        <f t="shared" si="0"/>
        <v>1234.5195256254399</v>
      </c>
      <c r="Q10">
        <f t="shared" si="1"/>
        <v>0</v>
      </c>
      <c r="T10">
        <f t="shared" si="6"/>
        <v>1.6917077204453523</v>
      </c>
    </row>
    <row r="11" spans="1:20" x14ac:dyDescent="0.35">
      <c r="A11">
        <f t="shared" si="7"/>
        <v>1.5</v>
      </c>
      <c r="B11">
        <f t="shared" si="2"/>
        <v>3.7500000000000006E-2</v>
      </c>
      <c r="C11">
        <f t="shared" si="3"/>
        <v>64.390176143624913</v>
      </c>
      <c r="D11">
        <f t="shared" si="4"/>
        <v>5.8238697649086609E-4</v>
      </c>
      <c r="N11">
        <f t="shared" si="8"/>
        <v>3.7500000000000006E-2</v>
      </c>
      <c r="O11">
        <f t="shared" si="9"/>
        <v>63.680602296548486</v>
      </c>
      <c r="P11">
        <f t="shared" si="0"/>
        <v>862.89671399363226</v>
      </c>
      <c r="Q11">
        <f>Q12-0.0025</f>
        <v>2.5000000000000001E-3</v>
      </c>
      <c r="T11">
        <f t="shared" si="6"/>
        <v>8.2455733961347448</v>
      </c>
    </row>
    <row r="12" spans="1:20" x14ac:dyDescent="0.35">
      <c r="A12">
        <f t="shared" si="7"/>
        <v>2</v>
      </c>
      <c r="B12">
        <f t="shared" si="2"/>
        <v>0.05</v>
      </c>
      <c r="C12">
        <f t="shared" si="3"/>
        <v>70.870559056586615</v>
      </c>
      <c r="D12">
        <f t="shared" si="4"/>
        <v>7.0551157865253315E-4</v>
      </c>
      <c r="N12">
        <f t="shared" si="8"/>
        <v>0.05</v>
      </c>
      <c r="O12">
        <f t="shared" si="9"/>
        <v>72.94747489675153</v>
      </c>
      <c r="P12">
        <f t="shared" si="0"/>
        <v>636.92389706999734</v>
      </c>
      <c r="Q12" s="2">
        <v>5.0000000000000001E-3</v>
      </c>
      <c r="T12">
        <f t="shared" si="6"/>
        <v>14.799439071824139</v>
      </c>
    </row>
    <row r="13" spans="1:20" x14ac:dyDescent="0.35">
      <c r="A13">
        <f t="shared" si="7"/>
        <v>2.5</v>
      </c>
      <c r="B13">
        <f t="shared" si="2"/>
        <v>6.25E-2</v>
      </c>
      <c r="C13">
        <f t="shared" si="3"/>
        <v>76.34299546673175</v>
      </c>
      <c r="D13">
        <f t="shared" si="4"/>
        <v>8.186736663645303E-4</v>
      </c>
      <c r="N13">
        <f t="shared" si="8"/>
        <v>6.25E-2</v>
      </c>
      <c r="O13">
        <f t="shared" si="9"/>
        <v>79.926030177828679</v>
      </c>
      <c r="P13">
        <f t="shared" si="0"/>
        <v>489.35437628345994</v>
      </c>
      <c r="Q13">
        <f>Q12+0.005</f>
        <v>0.01</v>
      </c>
      <c r="T13">
        <f t="shared" si="6"/>
        <v>27.907170423202928</v>
      </c>
    </row>
    <row r="14" spans="1:20" x14ac:dyDescent="0.35">
      <c r="A14">
        <f t="shared" si="7"/>
        <v>3</v>
      </c>
      <c r="B14">
        <f t="shared" si="2"/>
        <v>7.5000000000000011E-2</v>
      </c>
      <c r="C14">
        <f t="shared" si="3"/>
        <v>81.126538329791714</v>
      </c>
      <c r="D14">
        <f t="shared" si="4"/>
        <v>9.244816991341798E-4</v>
      </c>
      <c r="N14">
        <f t="shared" si="8"/>
        <v>7.5000000000000011E-2</v>
      </c>
      <c r="O14">
        <f t="shared" si="9"/>
        <v>85.370717342124763</v>
      </c>
      <c r="P14">
        <f t="shared" si="0"/>
        <v>387.70585576458353</v>
      </c>
      <c r="Q14">
        <f t="shared" ref="Q14:Q16" si="10">Q13+0.005</f>
        <v>1.4999999999999999E-2</v>
      </c>
      <c r="T14">
        <f t="shared" si="6"/>
        <v>41.014901774581709</v>
      </c>
    </row>
    <row r="15" spans="1:20" x14ac:dyDescent="0.35">
      <c r="A15">
        <f t="shared" si="7"/>
        <v>3.5</v>
      </c>
      <c r="B15">
        <f t="shared" si="2"/>
        <v>8.7500000000000008E-2</v>
      </c>
      <c r="C15">
        <f t="shared" si="3"/>
        <v>85.404064834003009</v>
      </c>
      <c r="D15">
        <f t="shared" si="4"/>
        <v>1.0245413982352103E-3</v>
      </c>
      <c r="N15">
        <f t="shared" si="8"/>
        <v>8.7500000000000008E-2</v>
      </c>
      <c r="O15">
        <f t="shared" si="9"/>
        <v>89.737172818126382</v>
      </c>
      <c r="P15">
        <f t="shared" si="0"/>
        <v>314.72822011510033</v>
      </c>
      <c r="Q15">
        <f t="shared" si="10"/>
        <v>0.02</v>
      </c>
      <c r="T15">
        <f t="shared" si="6"/>
        <v>54.122633125960498</v>
      </c>
    </row>
    <row r="16" spans="1:20" x14ac:dyDescent="0.35">
      <c r="A16">
        <f t="shared" si="7"/>
        <v>4</v>
      </c>
      <c r="B16">
        <f t="shared" si="2"/>
        <v>0.1</v>
      </c>
      <c r="C16">
        <f t="shared" si="3"/>
        <v>89.291309173211218</v>
      </c>
      <c r="D16">
        <f t="shared" si="4"/>
        <v>1.1199298221287763E-3</v>
      </c>
      <c r="N16">
        <f t="shared" si="8"/>
        <v>0.1</v>
      </c>
      <c r="O16">
        <f t="shared" si="9"/>
        <v>93.316829221179148</v>
      </c>
      <c r="P16">
        <f t="shared" si="0"/>
        <v>260.5715360989069</v>
      </c>
      <c r="Q16">
        <f t="shared" si="10"/>
        <v>2.5000000000000001E-2</v>
      </c>
      <c r="T16">
        <f t="shared" si="6"/>
        <v>67.230364477339293</v>
      </c>
    </row>
    <row r="17" spans="1:24" x14ac:dyDescent="0.35">
      <c r="A17">
        <f t="shared" si="7"/>
        <v>4.5</v>
      </c>
      <c r="B17">
        <f t="shared" ref="B17:B24" si="11">A17*$B$5</f>
        <v>0.1125</v>
      </c>
      <c r="C17">
        <f t="shared" ref="C17:C24" si="12">0.5*$B$3*(B17/$B$5)^(1/3)</f>
        <v>92.866703875161377</v>
      </c>
      <c r="D17">
        <f t="shared" ref="D17:D24" si="13">B17/C17</f>
        <v>1.2114137285547599E-3</v>
      </c>
      <c r="N17">
        <f t="shared" si="8"/>
        <v>0.1125</v>
      </c>
      <c r="O17">
        <f t="shared" si="9"/>
        <v>96.304772151444382</v>
      </c>
      <c r="P17">
        <f t="shared" ref="P17:P24" si="14">$F$27*(1-O17/$F$26)^2</f>
        <v>219.27928032497101</v>
      </c>
    </row>
    <row r="18" spans="1:24" x14ac:dyDescent="0.35">
      <c r="A18">
        <f t="shared" si="7"/>
        <v>5</v>
      </c>
      <c r="B18">
        <f t="shared" si="11"/>
        <v>0.125</v>
      </c>
      <c r="C18">
        <f t="shared" si="12"/>
        <v>96.186147000564191</v>
      </c>
      <c r="D18">
        <f t="shared" si="13"/>
        <v>1.2995634392057186E-3</v>
      </c>
      <c r="N18">
        <f t="shared" si="8"/>
        <v>0.125</v>
      </c>
      <c r="O18">
        <f t="shared" si="9"/>
        <v>98.836515857466821</v>
      </c>
      <c r="P18">
        <f t="shared" si="14"/>
        <v>187.07762801074779</v>
      </c>
    </row>
    <row r="19" spans="1:24" x14ac:dyDescent="0.35">
      <c r="A19">
        <f t="shared" si="7"/>
        <v>5.5</v>
      </c>
      <c r="B19">
        <f t="shared" si="11"/>
        <v>0.13750000000000001</v>
      </c>
      <c r="C19">
        <f t="shared" si="12"/>
        <v>99.291046931045514</v>
      </c>
      <c r="D19">
        <f t="shared" si="13"/>
        <v>1.3848177076377229E-3</v>
      </c>
      <c r="N19">
        <f t="shared" si="8"/>
        <v>0.13750000000000001</v>
      </c>
      <c r="O19">
        <f t="shared" si="9"/>
        <v>101.00912889296902</v>
      </c>
      <c r="P19">
        <f t="shared" si="14"/>
        <v>161.48153947773139</v>
      </c>
    </row>
    <row r="20" spans="1:24" x14ac:dyDescent="0.35">
      <c r="A20">
        <f t="shared" si="7"/>
        <v>6</v>
      </c>
      <c r="B20">
        <f t="shared" si="11"/>
        <v>0.15000000000000002</v>
      </c>
      <c r="C20">
        <f t="shared" si="12"/>
        <v>102.21303334680786</v>
      </c>
      <c r="D20">
        <f t="shared" si="13"/>
        <v>1.4675232217309453E-3</v>
      </c>
      <c r="N20">
        <f t="shared" si="8"/>
        <v>0.15000000000000002</v>
      </c>
      <c r="O20">
        <f t="shared" si="9"/>
        <v>102.89396507812299</v>
      </c>
      <c r="P20">
        <f t="shared" si="14"/>
        <v>140.80053807188537</v>
      </c>
      <c r="R20" t="s">
        <v>6</v>
      </c>
      <c r="S20" t="s">
        <v>53</v>
      </c>
      <c r="T20" t="s">
        <v>54</v>
      </c>
      <c r="U20" t="s">
        <v>55</v>
      </c>
      <c r="V20" t="s">
        <v>13</v>
      </c>
      <c r="W20" t="s">
        <v>46</v>
      </c>
      <c r="X20" t="s">
        <v>56</v>
      </c>
    </row>
    <row r="21" spans="1:24" x14ac:dyDescent="0.35">
      <c r="A21">
        <f t="shared" si="7"/>
        <v>6.5</v>
      </c>
      <c r="B21">
        <f t="shared" si="11"/>
        <v>0.16250000000000001</v>
      </c>
      <c r="C21">
        <f t="shared" si="12"/>
        <v>104.9768762854851</v>
      </c>
      <c r="D21">
        <f t="shared" si="13"/>
        <v>1.5479599484183593E-3</v>
      </c>
      <c r="N21">
        <f t="shared" si="8"/>
        <v>0.16250000000000001</v>
      </c>
      <c r="O21">
        <f t="shared" si="9"/>
        <v>104.54464979391953</v>
      </c>
      <c r="P21">
        <f t="shared" si="14"/>
        <v>123.85225537468222</v>
      </c>
      <c r="R21">
        <f>-Q12</f>
        <v>-5.0000000000000001E-3</v>
      </c>
      <c r="S21">
        <f>R21*$P$8</f>
        <v>-16.709481676827025</v>
      </c>
      <c r="T21">
        <f>R21/((R21/$F$26)+(1/$F$27))</f>
        <v>-19.185611726236989</v>
      </c>
      <c r="U21">
        <f>S21-T21</f>
        <v>2.4761300494099636</v>
      </c>
      <c r="V21">
        <f>$F$27*(1-T21/$F$26)^2</f>
        <v>4405.7344737436342</v>
      </c>
      <c r="W21">
        <f>(S21-T21)/$V$21</f>
        <v>5.6202434898577761E-4</v>
      </c>
      <c r="X21">
        <f>R21+W21</f>
        <v>-4.4379756510142228E-3</v>
      </c>
    </row>
    <row r="22" spans="1:24" x14ac:dyDescent="0.35">
      <c r="A22">
        <f t="shared" si="7"/>
        <v>7</v>
      </c>
      <c r="B22">
        <f t="shared" si="11"/>
        <v>0.17500000000000002</v>
      </c>
      <c r="C22">
        <f t="shared" si="12"/>
        <v>107.60237903094688</v>
      </c>
      <c r="D22">
        <f t="shared" si="13"/>
        <v>1.6263580933435432E-3</v>
      </c>
      <c r="N22">
        <f t="shared" si="8"/>
        <v>0.17500000000000002</v>
      </c>
      <c r="O22">
        <f t="shared" si="9"/>
        <v>106.00226395160587</v>
      </c>
      <c r="P22">
        <f t="shared" si="14"/>
        <v>109.78960187737128</v>
      </c>
      <c r="R22">
        <f>X21</f>
        <v>-4.4379756510142228E-3</v>
      </c>
      <c r="S22">
        <f>S21</f>
        <v>-16.709481676827025</v>
      </c>
      <c r="T22">
        <f>R22/((R22/$F$26)+(1/$F$27))</f>
        <v>-16.750050705894992</v>
      </c>
      <c r="U22">
        <f>S22-T22</f>
        <v>4.0569029067967222E-2</v>
      </c>
      <c r="V22">
        <f t="shared" ref="V22:V25" si="15">$F$27*(1-T22/$F$26)^2</f>
        <v>4262.5496216361062</v>
      </c>
      <c r="W22">
        <f t="shared" ref="W22:W25" si="16">(S22-T22)/$V$21</f>
        <v>9.2082328859675843E-6</v>
      </c>
      <c r="X22">
        <f>R22+W22</f>
        <v>-4.4287674181282552E-3</v>
      </c>
    </row>
    <row r="23" spans="1:24" x14ac:dyDescent="0.35">
      <c r="A23">
        <f t="shared" si="7"/>
        <v>7.5</v>
      </c>
      <c r="B23">
        <f t="shared" si="11"/>
        <v>0.1875</v>
      </c>
      <c r="C23">
        <f t="shared" si="12"/>
        <v>110.10565240787429</v>
      </c>
      <c r="D23">
        <f t="shared" si="13"/>
        <v>1.7029098497634513E-3</v>
      </c>
      <c r="N23">
        <f t="shared" si="8"/>
        <v>0.1875</v>
      </c>
      <c r="O23">
        <f t="shared" si="9"/>
        <v>107.29880945178881</v>
      </c>
      <c r="P23">
        <f t="shared" si="14"/>
        <v>97.99282731621696</v>
      </c>
      <c r="R23">
        <f>X22</f>
        <v>-4.4287674181282552E-3</v>
      </c>
      <c r="S23">
        <f t="shared" ref="S23:S25" si="17">S22</f>
        <v>-16.709481676827025</v>
      </c>
      <c r="T23">
        <f t="shared" ref="T23:T25" si="18">R23/((R23/$F$26)+(1/$F$27))</f>
        <v>-16.710810689761971</v>
      </c>
      <c r="U23">
        <f t="shared" ref="U23:U25" si="19">S23-T23</f>
        <v>1.3290129349456947E-3</v>
      </c>
      <c r="V23">
        <f t="shared" si="15"/>
        <v>4260.2620909618199</v>
      </c>
      <c r="W23">
        <f t="shared" si="16"/>
        <v>3.0165525018951218E-7</v>
      </c>
      <c r="X23">
        <f>R23+W23</f>
        <v>-4.4284657628780658E-3</v>
      </c>
    </row>
    <row r="24" spans="1:24" x14ac:dyDescent="0.35">
      <c r="A24">
        <f t="shared" si="7"/>
        <v>8</v>
      </c>
      <c r="B24">
        <f t="shared" si="11"/>
        <v>0.2</v>
      </c>
      <c r="C24">
        <f t="shared" si="12"/>
        <v>112.49999999999999</v>
      </c>
      <c r="D24">
        <f t="shared" si="13"/>
        <v>1.7777777777777781E-3</v>
      </c>
      <c r="N24">
        <f t="shared" si="8"/>
        <v>0.2</v>
      </c>
      <c r="O24">
        <f t="shared" si="9"/>
        <v>108.4595859771635</v>
      </c>
      <c r="P24">
        <f t="shared" si="14"/>
        <v>88.000050045324684</v>
      </c>
      <c r="R24">
        <f>X23</f>
        <v>-4.4284657628780658E-3</v>
      </c>
      <c r="S24">
        <f t="shared" si="17"/>
        <v>-16.709481676827025</v>
      </c>
      <c r="T24">
        <f t="shared" si="18"/>
        <v>-16.709525570633105</v>
      </c>
      <c r="U24">
        <f t="shared" si="19"/>
        <v>4.3893806079609021E-5</v>
      </c>
      <c r="V24">
        <f t="shared" si="15"/>
        <v>4260.1871842140445</v>
      </c>
      <c r="W24">
        <f t="shared" si="16"/>
        <v>9.962880500674304E-9</v>
      </c>
      <c r="X24">
        <f>R24+W24</f>
        <v>-4.4284557999975651E-3</v>
      </c>
    </row>
    <row r="25" spans="1:24" x14ac:dyDescent="0.35">
      <c r="R25">
        <f>X24</f>
        <v>-4.4284557999975651E-3</v>
      </c>
      <c r="S25">
        <f t="shared" si="17"/>
        <v>-16.709481676827025</v>
      </c>
      <c r="T25">
        <f t="shared" si="18"/>
        <v>-16.709483126909603</v>
      </c>
      <c r="U25">
        <f t="shared" si="19"/>
        <v>1.4500825784580229E-6</v>
      </c>
      <c r="V25">
        <f t="shared" si="15"/>
        <v>4260.1847102746387</v>
      </c>
      <c r="W25">
        <f t="shared" si="16"/>
        <v>3.2913526384758744E-10</v>
      </c>
      <c r="X25">
        <f>R25+W25</f>
        <v>-4.428455470862301E-3</v>
      </c>
    </row>
    <row r="26" spans="1:24" x14ac:dyDescent="0.35">
      <c r="C26" t="s">
        <v>9</v>
      </c>
      <c r="D26">
        <f>SLOPE(D9:D24,B9:B24)</f>
        <v>7.7238676088850428E-3</v>
      </c>
      <c r="E26" t="s">
        <v>11</v>
      </c>
      <c r="F26" s="1">
        <f>1/D26</f>
        <v>129.46881674274996</v>
      </c>
    </row>
    <row r="27" spans="1:24" x14ac:dyDescent="0.35">
      <c r="C27" t="s">
        <v>10</v>
      </c>
      <c r="D27">
        <f>INTERCEPT(D9:D24,B9:B24)</f>
        <v>2.9923130451940227E-4</v>
      </c>
      <c r="E27" t="s">
        <v>12</v>
      </c>
      <c r="F27" s="1">
        <f>1/D27</f>
        <v>3341.8963353654049</v>
      </c>
    </row>
    <row r="33" spans="1:15" x14ac:dyDescent="0.35">
      <c r="B33" s="3"/>
    </row>
    <row r="34" spans="1:15" x14ac:dyDescent="0.35">
      <c r="A34" t="s">
        <v>20</v>
      </c>
      <c r="B34">
        <v>0.12</v>
      </c>
    </row>
    <row r="35" spans="1:15" x14ac:dyDescent="0.35">
      <c r="A35" t="s">
        <v>21</v>
      </c>
      <c r="B35" s="3">
        <v>20000000</v>
      </c>
    </row>
    <row r="36" spans="1:15" x14ac:dyDescent="0.35">
      <c r="A36" t="s">
        <v>0</v>
      </c>
      <c r="B36">
        <v>0.5</v>
      </c>
    </row>
    <row r="37" spans="1:15" x14ac:dyDescent="0.35">
      <c r="A37" t="s">
        <v>22</v>
      </c>
      <c r="B37" s="3">
        <f>(1/64)*PI()*(B36^4)</f>
        <v>3.0679615757712823E-3</v>
      </c>
    </row>
    <row r="38" spans="1:15" x14ac:dyDescent="0.35">
      <c r="A38" t="s">
        <v>23</v>
      </c>
      <c r="B38" s="6">
        <f>F27*(B34^4)/(B35*B37)</f>
        <v>1.1293746792235444E-5</v>
      </c>
      <c r="C38" s="5">
        <f>B38</f>
        <v>1.1293746792235444E-5</v>
      </c>
      <c r="D38" s="5">
        <f>C38</f>
        <v>1.1293746792235444E-5</v>
      </c>
      <c r="E38" s="5">
        <f>D38</f>
        <v>1.1293746792235444E-5</v>
      </c>
      <c r="F38">
        <v>1.2769463039754101</v>
      </c>
      <c r="G38">
        <v>0.60233316225255595</v>
      </c>
      <c r="K38" t="s">
        <v>6</v>
      </c>
      <c r="L38" t="s">
        <v>43</v>
      </c>
      <c r="M38" t="s">
        <v>44</v>
      </c>
      <c r="N38" t="s">
        <v>45</v>
      </c>
      <c r="O38" t="s">
        <v>46</v>
      </c>
    </row>
    <row r="39" spans="1:15" x14ac:dyDescent="0.35">
      <c r="K39" s="8">
        <v>1.8499999999999999E-2</v>
      </c>
      <c r="L39" s="7">
        <f>K39/((K39/$F$26)+(1/$F$27))</f>
        <v>41.843573067775054</v>
      </c>
      <c r="M39" s="1">
        <f>$F$27*(1-(L39/$F$26))^2</f>
        <v>1530.809306176654</v>
      </c>
      <c r="N39" s="3">
        <f>K39-(L39/M39)</f>
        <v>-8.8342818723015706E-3</v>
      </c>
      <c r="O39" s="3">
        <f>K39-N39</f>
        <v>2.733428187230157E-2</v>
      </c>
    </row>
    <row r="40" spans="1:15" x14ac:dyDescent="0.35">
      <c r="A40" t="s">
        <v>24</v>
      </c>
      <c r="B40" s="4">
        <f>2/(2+B38)</f>
        <v>0.99999435315849083</v>
      </c>
      <c r="D40" t="s">
        <v>36</v>
      </c>
      <c r="E40" s="4">
        <f>1/B50</f>
        <v>3.8456091882386358</v>
      </c>
      <c r="H40" s="4">
        <f>E44*(1+B48)</f>
        <v>8.1055612622757823E-6</v>
      </c>
      <c r="K40" s="8">
        <f>N39</f>
        <v>-8.8342818723015706E-3</v>
      </c>
      <c r="L40" s="7">
        <f t="shared" ref="L40:L45" si="20">K40/((K40/$F$26)+(1/$F$27))</f>
        <v>-38.244227086000606</v>
      </c>
      <c r="M40" s="1">
        <f t="shared" ref="M40:M45" si="21">$F$27*(1-(L40/$F$26))^2</f>
        <v>5607.8488367763657</v>
      </c>
      <c r="N40" s="3">
        <f t="shared" ref="N40:N45" si="22">K40-(L40/M40)</f>
        <v>-2.0145140434695364E-3</v>
      </c>
      <c r="O40" s="3">
        <f t="shared" ref="O40:O45" si="23">K40-N40</f>
        <v>-6.8197678288320343E-3</v>
      </c>
    </row>
    <row r="41" spans="1:15" x14ac:dyDescent="0.35">
      <c r="A41" t="s">
        <v>25</v>
      </c>
      <c r="B41" s="4">
        <f>2*B40</f>
        <v>1.9999887063169817</v>
      </c>
      <c r="D41" t="s">
        <v>37</v>
      </c>
      <c r="E41" s="4">
        <f>E40*B51-B48*(2-B47)-2</f>
        <v>1.1215138536910887</v>
      </c>
      <c r="H41" s="4">
        <f>E42*(1+B48)-E41*B49</f>
        <v>3.1099618532975404</v>
      </c>
      <c r="K41" s="8">
        <f t="shared" ref="K41:K45" si="24">N40</f>
        <v>-2.0145140434695364E-3</v>
      </c>
      <c r="L41" s="7">
        <f t="shared" si="20"/>
        <v>-7.1015745106225614</v>
      </c>
      <c r="M41" s="1">
        <f t="shared" si="21"/>
        <v>3718.5679647373158</v>
      </c>
      <c r="N41" s="3">
        <f t="shared" si="22"/>
        <v>-1.0475346413742637E-4</v>
      </c>
      <c r="O41" s="3">
        <f t="shared" ref="O41:O45" si="25">K41-N41</f>
        <v>-1.90976057933211E-3</v>
      </c>
    </row>
    <row r="42" spans="1:15" x14ac:dyDescent="0.35">
      <c r="A42" t="s">
        <v>26</v>
      </c>
      <c r="B42" s="4">
        <f>1/(5+C38-(2*B41))</f>
        <v>0.99996612003506224</v>
      </c>
      <c r="D42" t="s">
        <v>38</v>
      </c>
      <c r="E42" s="4">
        <f>E40-B46-B49*(2-B47)</f>
        <v>2.8455600761264832</v>
      </c>
      <c r="G42" t="s">
        <v>39</v>
      </c>
      <c r="H42" s="4">
        <f>H40/H41</f>
        <v>2.6063217636194896E-6</v>
      </c>
      <c r="I42" s="1">
        <f>H42*100</f>
        <v>2.6063217636194898E-4</v>
      </c>
      <c r="K42" s="8">
        <f t="shared" si="24"/>
        <v>-1.0475346413742637E-4</v>
      </c>
      <c r="L42" s="7">
        <f t="shared" si="20"/>
        <v>-0.35102436485603283</v>
      </c>
      <c r="M42" s="1">
        <f t="shared" si="21"/>
        <v>3360.0424394764582</v>
      </c>
      <c r="N42" s="3">
        <f t="shared" si="22"/>
        <v>-2.832465199586185E-7</v>
      </c>
      <c r="O42" s="3">
        <f t="shared" si="25"/>
        <v>-1.0447021761746775E-4</v>
      </c>
    </row>
    <row r="43" spans="1:15" x14ac:dyDescent="0.35">
      <c r="A43" t="s">
        <v>27</v>
      </c>
      <c r="B43" s="4">
        <f>B42*(4-B41)</f>
        <v>1.9999435333705131</v>
      </c>
      <c r="G43" t="s">
        <v>41</v>
      </c>
      <c r="H43" s="4">
        <f>B49*H42/(1+B48)</f>
        <v>1.5907434767475822E-6</v>
      </c>
      <c r="I43" s="1">
        <f t="shared" ref="I43:I44" si="26">H43*100</f>
        <v>1.5907434767475822E-4</v>
      </c>
      <c r="K43" s="8">
        <f t="shared" si="24"/>
        <v>-2.832465199586185E-7</v>
      </c>
      <c r="L43" s="7">
        <f t="shared" si="20"/>
        <v>-9.4658742780389185E-4</v>
      </c>
      <c r="M43" s="1">
        <f t="shared" si="21"/>
        <v>3341.9452028641581</v>
      </c>
      <c r="N43" s="3">
        <f t="shared" si="22"/>
        <v>-2.0708896645834402E-12</v>
      </c>
      <c r="O43" s="3">
        <f t="shared" si="25"/>
        <v>-2.8324444906895391E-7</v>
      </c>
    </row>
    <row r="44" spans="1:15" x14ac:dyDescent="0.35">
      <c r="A44" t="s">
        <v>28</v>
      </c>
      <c r="B44" s="4">
        <f>1/(6+D38-B40-B43*(4-B41))</f>
        <v>0.99989272439033638</v>
      </c>
      <c r="D44" t="s">
        <v>40</v>
      </c>
      <c r="E44" s="3">
        <f>E45</f>
        <v>5.6324043092540437E-6</v>
      </c>
      <c r="G44" t="s">
        <v>42</v>
      </c>
      <c r="H44" s="4">
        <f>(E40*B51*H43)-(E40*H42)</f>
        <v>-5.0571305533594541E-6</v>
      </c>
      <c r="I44" s="1">
        <f t="shared" si="26"/>
        <v>-5.0571305533594544E-4</v>
      </c>
      <c r="K44" s="8">
        <f t="shared" si="24"/>
        <v>-2.0708896645834402E-12</v>
      </c>
      <c r="L44" s="7">
        <f t="shared" si="20"/>
        <v>-6.9206985813874348E-9</v>
      </c>
      <c r="M44" s="1">
        <f t="shared" si="21"/>
        <v>3341.8963357226839</v>
      </c>
      <c r="N44" s="3">
        <f t="shared" si="22"/>
        <v>-1.1069841482718926E-22</v>
      </c>
      <c r="O44" s="3">
        <f t="shared" si="25"/>
        <v>-2.0708896644727418E-12</v>
      </c>
    </row>
    <row r="45" spans="1:15" x14ac:dyDescent="0.35">
      <c r="A45" t="s">
        <v>29</v>
      </c>
      <c r="B45" s="4">
        <f>B44*(4-B43)</f>
        <v>1.9998419093526676</v>
      </c>
      <c r="E45" s="3">
        <f>2*100*B34^3/(B35*B37)</f>
        <v>5.6324043092540437E-6</v>
      </c>
      <c r="K45" s="8">
        <f t="shared" si="24"/>
        <v>-1.1069841482718926E-22</v>
      </c>
      <c r="L45" s="7">
        <f t="shared" si="20"/>
        <v>-3.6994262684174321E-19</v>
      </c>
      <c r="M45" s="1">
        <f t="shared" si="21"/>
        <v>3341.8963353654049</v>
      </c>
      <c r="N45" s="3">
        <f t="shared" si="22"/>
        <v>0</v>
      </c>
      <c r="O45" s="3">
        <f t="shared" si="25"/>
        <v>-1.1069841482718926E-22</v>
      </c>
    </row>
    <row r="46" spans="1:15" x14ac:dyDescent="0.35">
      <c r="A46" t="s">
        <v>30</v>
      </c>
      <c r="B46" s="4">
        <f>1/(6+E38-B42-B45*(4-B43))</f>
        <v>0.99975163102820463</v>
      </c>
    </row>
    <row r="47" spans="1:15" x14ac:dyDescent="0.35">
      <c r="A47" t="s">
        <v>31</v>
      </c>
      <c r="B47" s="4">
        <f>B46*(4-B45)</f>
        <v>1.9996613134389298</v>
      </c>
    </row>
    <row r="48" spans="1:15" x14ac:dyDescent="0.35">
      <c r="A48" t="s">
        <v>32</v>
      </c>
      <c r="B48" s="4">
        <f>1/(6+F38-B44-B47*(4-B45))</f>
        <v>0.43909435779642814</v>
      </c>
    </row>
    <row r="49" spans="1:2" x14ac:dyDescent="0.35">
      <c r="A49" t="s">
        <v>33</v>
      </c>
      <c r="B49" s="4">
        <f>B48*(4-B47)</f>
        <v>0.87833743095088379</v>
      </c>
    </row>
    <row r="50" spans="1:2" x14ac:dyDescent="0.35">
      <c r="A50" t="s">
        <v>34</v>
      </c>
      <c r="B50" s="4">
        <f>1/(6+G38-B46-B49*(4-B47))</f>
        <v>0.26003682408976653</v>
      </c>
    </row>
    <row r="51" spans="1:2" x14ac:dyDescent="0.35">
      <c r="A51" t="s">
        <v>35</v>
      </c>
      <c r="B51" s="4">
        <f>B50*(4-B49)</f>
        <v>0.81174722033543367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5ED7-2322-4994-8EEB-4A9C21CE5D77}">
  <dimension ref="A2"/>
  <sheetViews>
    <sheetView workbookViewId="0">
      <selection activeCell="I6" sqref="I6"/>
    </sheetView>
  </sheetViews>
  <sheetFormatPr defaultRowHeight="14.5" x14ac:dyDescent="0.35"/>
  <sheetData>
    <row r="2" spans="1:1" x14ac:dyDescent="0.35">
      <c r="A2" s="9">
        <v>1.12937467922354E-5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3E62-D71D-47F3-9CE7-DD6F7D6FDC78}">
  <dimension ref="A1:C10"/>
  <sheetViews>
    <sheetView workbookViewId="0">
      <selection activeCell="F14" sqref="F14"/>
    </sheetView>
  </sheetViews>
  <sheetFormatPr defaultRowHeight="14.5" x14ac:dyDescent="0.35"/>
  <sheetData>
    <row r="1" spans="1:3" x14ac:dyDescent="0.35">
      <c r="A1">
        <v>-4.2018499301289702E-2</v>
      </c>
    </row>
    <row r="2" spans="1:3" x14ac:dyDescent="0.35">
      <c r="A2">
        <v>1.0440035506965401E-2</v>
      </c>
    </row>
    <row r="3" spans="1:3" x14ac:dyDescent="0.35">
      <c r="A3">
        <v>1.85537514048256E-2</v>
      </c>
      <c r="B3">
        <v>0</v>
      </c>
      <c r="C3">
        <f>A3*100</f>
        <v>1.85537514048256</v>
      </c>
    </row>
    <row r="4" spans="1:3" x14ac:dyDescent="0.35">
      <c r="A4">
        <v>1.0440035506965401E-2</v>
      </c>
      <c r="B4">
        <f>B3+2.4</f>
        <v>2.4</v>
      </c>
      <c r="C4">
        <f t="shared" ref="C4:C8" si="0">A4*100</f>
        <v>1.0440035506965399</v>
      </c>
    </row>
    <row r="5" spans="1:3" x14ac:dyDescent="0.35">
      <c r="A5">
        <v>3.0407351727426298E-3</v>
      </c>
      <c r="B5">
        <f t="shared" ref="B5:B8" si="1">B4+2.4</f>
        <v>4.8</v>
      </c>
      <c r="C5">
        <f t="shared" si="0"/>
        <v>0.30407351727426296</v>
      </c>
    </row>
    <row r="6" spans="1:3" x14ac:dyDescent="0.35">
      <c r="A6" s="3">
        <v>-3.36669924764334E-5</v>
      </c>
      <c r="B6">
        <f t="shared" si="1"/>
        <v>7.1999999999999993</v>
      </c>
      <c r="C6">
        <f t="shared" si="0"/>
        <v>-3.3666992476433398E-3</v>
      </c>
    </row>
    <row r="7" spans="1:3" x14ac:dyDescent="0.35">
      <c r="A7">
        <v>-6.6729527983742205E-4</v>
      </c>
      <c r="B7">
        <f t="shared" si="1"/>
        <v>9.6</v>
      </c>
      <c r="C7">
        <f t="shared" si="0"/>
        <v>-6.672952798374221E-2</v>
      </c>
    </row>
    <row r="8" spans="1:3" x14ac:dyDescent="0.35">
      <c r="A8">
        <v>-6.8343774236038904E-4</v>
      </c>
      <c r="B8">
        <f t="shared" si="1"/>
        <v>12</v>
      </c>
      <c r="C8">
        <f t="shared" si="0"/>
        <v>-6.8343774236038907E-2</v>
      </c>
    </row>
    <row r="9" spans="1:3" x14ac:dyDescent="0.35">
      <c r="A9">
        <v>-6.9958020488335702E-4</v>
      </c>
    </row>
    <row r="10" spans="1:3" x14ac:dyDescent="0.35">
      <c r="A10" s="3">
        <v>-9.8236842568301803E-5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E9B84-EA35-4296-87F3-FD89F4F2E52D}">
  <dimension ref="A1:I12"/>
  <sheetViews>
    <sheetView workbookViewId="0">
      <selection activeCell="F17" sqref="F17"/>
    </sheetView>
  </sheetViews>
  <sheetFormatPr defaultRowHeight="14.5" x14ac:dyDescent="0.35"/>
  <cols>
    <col min="7" max="7" width="10.54296875" bestFit="1" customWidth="1"/>
  </cols>
  <sheetData>
    <row r="1" spans="1:9" x14ac:dyDescent="0.35">
      <c r="A1" t="s">
        <v>14</v>
      </c>
      <c r="B1" t="s">
        <v>18</v>
      </c>
      <c r="C1" t="s">
        <v>19</v>
      </c>
      <c r="D1" t="s">
        <v>16</v>
      </c>
      <c r="E1" t="s">
        <v>15</v>
      </c>
      <c r="F1" t="s">
        <v>14</v>
      </c>
      <c r="G1" t="s">
        <v>17</v>
      </c>
      <c r="H1" t="s">
        <v>9</v>
      </c>
      <c r="I1" t="s">
        <v>6</v>
      </c>
    </row>
    <row r="2" spans="1:9" x14ac:dyDescent="0.35">
      <c r="A2">
        <v>-5</v>
      </c>
      <c r="B2">
        <f>A2^3</f>
        <v>-125</v>
      </c>
      <c r="C2">
        <f>3*A2^2</f>
        <v>75</v>
      </c>
      <c r="D2">
        <f>A2</f>
        <v>-5</v>
      </c>
      <c r="E2">
        <f>D2^2</f>
        <v>25</v>
      </c>
      <c r="F2">
        <f t="shared" ref="F2:F5" si="0">F3-0.5</f>
        <v>0.5</v>
      </c>
      <c r="G2">
        <f>F7^3</f>
        <v>27</v>
      </c>
      <c r="H2">
        <f>3*F7^2</f>
        <v>27</v>
      </c>
      <c r="I2">
        <f>$H$2*(F2-$F$7)+$G$2</f>
        <v>-40.5</v>
      </c>
    </row>
    <row r="3" spans="1:9" x14ac:dyDescent="0.35">
      <c r="A3">
        <f>A2+1</f>
        <v>-4</v>
      </c>
      <c r="B3">
        <f t="shared" ref="B3:B12" si="1">A3^3</f>
        <v>-64</v>
      </c>
      <c r="C3">
        <f t="shared" ref="C3:C12" si="2">3*A3^2</f>
        <v>48</v>
      </c>
      <c r="D3">
        <f t="shared" ref="D3:D12" si="3">A3</f>
        <v>-4</v>
      </c>
      <c r="E3">
        <f t="shared" ref="E3:E12" si="4">D3^2</f>
        <v>16</v>
      </c>
      <c r="F3">
        <f t="shared" si="0"/>
        <v>1</v>
      </c>
      <c r="I3">
        <f t="shared" ref="I3:I12" si="5">$H$2*(F3-$F$7)+$G$2</f>
        <v>-27</v>
      </c>
    </row>
    <row r="4" spans="1:9" x14ac:dyDescent="0.35">
      <c r="A4">
        <f t="shared" ref="A4:A12" si="6">A3+1</f>
        <v>-3</v>
      </c>
      <c r="B4">
        <f t="shared" si="1"/>
        <v>-27</v>
      </c>
      <c r="C4">
        <f t="shared" si="2"/>
        <v>27</v>
      </c>
      <c r="D4">
        <f t="shared" si="3"/>
        <v>-3</v>
      </c>
      <c r="E4">
        <f t="shared" si="4"/>
        <v>9</v>
      </c>
      <c r="F4">
        <f t="shared" si="0"/>
        <v>1.5</v>
      </c>
      <c r="I4">
        <f t="shared" si="5"/>
        <v>-13.5</v>
      </c>
    </row>
    <row r="5" spans="1:9" x14ac:dyDescent="0.35">
      <c r="A5">
        <f t="shared" si="6"/>
        <v>-2</v>
      </c>
      <c r="B5">
        <f t="shared" si="1"/>
        <v>-8</v>
      </c>
      <c r="C5">
        <f t="shared" si="2"/>
        <v>12</v>
      </c>
      <c r="D5">
        <f t="shared" si="3"/>
        <v>-2</v>
      </c>
      <c r="E5">
        <f t="shared" si="4"/>
        <v>4</v>
      </c>
      <c r="F5">
        <f t="shared" si="0"/>
        <v>2</v>
      </c>
      <c r="I5">
        <f t="shared" si="5"/>
        <v>0</v>
      </c>
    </row>
    <row r="6" spans="1:9" x14ac:dyDescent="0.35">
      <c r="A6">
        <f t="shared" si="6"/>
        <v>-1</v>
      </c>
      <c r="B6">
        <f t="shared" si="1"/>
        <v>-1</v>
      </c>
      <c r="C6">
        <f t="shared" si="2"/>
        <v>3</v>
      </c>
      <c r="D6">
        <f t="shared" si="3"/>
        <v>-1</v>
      </c>
      <c r="E6">
        <f t="shared" si="4"/>
        <v>1</v>
      </c>
      <c r="F6">
        <f>F7-0.5</f>
        <v>2.5</v>
      </c>
      <c r="I6">
        <f t="shared" si="5"/>
        <v>13.5</v>
      </c>
    </row>
    <row r="7" spans="1:9" x14ac:dyDescent="0.35">
      <c r="A7">
        <f t="shared" si="6"/>
        <v>0</v>
      </c>
      <c r="B7">
        <f t="shared" si="1"/>
        <v>0</v>
      </c>
      <c r="C7">
        <f t="shared" si="2"/>
        <v>0</v>
      </c>
      <c r="D7">
        <f t="shared" si="3"/>
        <v>0</v>
      </c>
      <c r="E7">
        <f t="shared" si="4"/>
        <v>0</v>
      </c>
      <c r="F7" s="2">
        <v>3</v>
      </c>
      <c r="I7">
        <f t="shared" si="5"/>
        <v>27</v>
      </c>
    </row>
    <row r="8" spans="1:9" x14ac:dyDescent="0.35">
      <c r="A8">
        <f t="shared" si="6"/>
        <v>1</v>
      </c>
      <c r="B8">
        <f t="shared" si="1"/>
        <v>1</v>
      </c>
      <c r="C8">
        <f t="shared" si="2"/>
        <v>3</v>
      </c>
      <c r="D8">
        <f t="shared" si="3"/>
        <v>1</v>
      </c>
      <c r="E8">
        <f t="shared" si="4"/>
        <v>1</v>
      </c>
      <c r="F8">
        <f>F7+0.5</f>
        <v>3.5</v>
      </c>
      <c r="I8">
        <f t="shared" si="5"/>
        <v>40.5</v>
      </c>
    </row>
    <row r="9" spans="1:9" x14ac:dyDescent="0.35">
      <c r="A9">
        <f t="shared" si="6"/>
        <v>2</v>
      </c>
      <c r="B9">
        <f t="shared" si="1"/>
        <v>8</v>
      </c>
      <c r="C9">
        <f t="shared" si="2"/>
        <v>12</v>
      </c>
      <c r="D9">
        <f t="shared" si="3"/>
        <v>2</v>
      </c>
      <c r="E9">
        <f t="shared" si="4"/>
        <v>4</v>
      </c>
      <c r="F9">
        <f t="shared" ref="F9:F12" si="7">F8+0.5</f>
        <v>4</v>
      </c>
      <c r="I9">
        <f t="shared" si="5"/>
        <v>54</v>
      </c>
    </row>
    <row r="10" spans="1:9" x14ac:dyDescent="0.35">
      <c r="A10">
        <f t="shared" si="6"/>
        <v>3</v>
      </c>
      <c r="B10">
        <f t="shared" si="1"/>
        <v>27</v>
      </c>
      <c r="C10">
        <f t="shared" si="2"/>
        <v>27</v>
      </c>
      <c r="D10">
        <f t="shared" si="3"/>
        <v>3</v>
      </c>
      <c r="E10">
        <f t="shared" si="4"/>
        <v>9</v>
      </c>
      <c r="F10">
        <f t="shared" si="7"/>
        <v>4.5</v>
      </c>
      <c r="I10">
        <f t="shared" si="5"/>
        <v>67.5</v>
      </c>
    </row>
    <row r="11" spans="1:9" x14ac:dyDescent="0.35">
      <c r="A11">
        <f t="shared" si="6"/>
        <v>4</v>
      </c>
      <c r="B11">
        <f t="shared" si="1"/>
        <v>64</v>
      </c>
      <c r="C11">
        <f t="shared" si="2"/>
        <v>48</v>
      </c>
      <c r="D11">
        <f t="shared" si="3"/>
        <v>4</v>
      </c>
      <c r="E11">
        <f t="shared" si="4"/>
        <v>16</v>
      </c>
      <c r="F11">
        <f t="shared" si="7"/>
        <v>5</v>
      </c>
      <c r="I11">
        <f t="shared" si="5"/>
        <v>81</v>
      </c>
    </row>
    <row r="12" spans="1:9" x14ac:dyDescent="0.35">
      <c r="A12">
        <f t="shared" si="6"/>
        <v>5</v>
      </c>
      <c r="B12">
        <f t="shared" si="1"/>
        <v>125</v>
      </c>
      <c r="C12">
        <f t="shared" si="2"/>
        <v>75</v>
      </c>
      <c r="D12">
        <f t="shared" si="3"/>
        <v>5</v>
      </c>
      <c r="E12">
        <f t="shared" si="4"/>
        <v>25</v>
      </c>
      <c r="F12">
        <f t="shared" si="7"/>
        <v>5.5</v>
      </c>
      <c r="I12">
        <f t="shared" si="5"/>
        <v>94.5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5BCA6-1EF8-4A09-9A37-7EFAD9FA5477}">
  <dimension ref="A1:P25"/>
  <sheetViews>
    <sheetView topLeftCell="F1" workbookViewId="0">
      <selection activeCell="V17" sqref="V17"/>
    </sheetView>
  </sheetViews>
  <sheetFormatPr defaultRowHeight="14.5" x14ac:dyDescent="0.35"/>
  <sheetData>
    <row r="1" spans="1:16" x14ac:dyDescent="0.35">
      <c r="B1" t="s">
        <v>47</v>
      </c>
      <c r="C1" t="s">
        <v>48</v>
      </c>
      <c r="D1" t="s">
        <v>49</v>
      </c>
      <c r="H1" t="s">
        <v>50</v>
      </c>
      <c r="I1" t="s">
        <v>48</v>
      </c>
    </row>
    <row r="2" spans="1:16" x14ac:dyDescent="0.35">
      <c r="A2" t="s">
        <v>14</v>
      </c>
      <c r="B2">
        <v>1</v>
      </c>
      <c r="C2">
        <v>4</v>
      </c>
      <c r="D2">
        <v>4</v>
      </c>
      <c r="E2" t="s">
        <v>6</v>
      </c>
      <c r="G2" t="s">
        <v>14</v>
      </c>
      <c r="H2">
        <f>2*B2</f>
        <v>2</v>
      </c>
      <c r="I2">
        <v>4</v>
      </c>
      <c r="J2" t="s">
        <v>6</v>
      </c>
      <c r="L2" t="s">
        <v>14</v>
      </c>
      <c r="M2" t="s">
        <v>6</v>
      </c>
      <c r="N2" t="s">
        <v>51</v>
      </c>
      <c r="O2" t="s">
        <v>52</v>
      </c>
      <c r="P2" t="s">
        <v>20</v>
      </c>
    </row>
    <row r="3" spans="1:16" x14ac:dyDescent="0.35">
      <c r="A3">
        <v>-3</v>
      </c>
      <c r="B3">
        <f>(A3^2)*$B$2</f>
        <v>9</v>
      </c>
      <c r="C3">
        <f>A3*$C$2</f>
        <v>-12</v>
      </c>
      <c r="D3">
        <f>D2</f>
        <v>4</v>
      </c>
      <c r="E3">
        <f>B3+C3+D3</f>
        <v>1</v>
      </c>
      <c r="G3">
        <f>A3</f>
        <v>-3</v>
      </c>
      <c r="H3">
        <f>G3*$H$2</f>
        <v>-6</v>
      </c>
      <c r="I3">
        <f>I2</f>
        <v>4</v>
      </c>
      <c r="J3">
        <f>H3+I3</f>
        <v>-2</v>
      </c>
      <c r="L3">
        <v>2</v>
      </c>
      <c r="M3">
        <f>(L3^2)+(4*L3)+4</f>
        <v>16</v>
      </c>
      <c r="N3">
        <f>(2*1*L3)+4</f>
        <v>8</v>
      </c>
      <c r="O3">
        <f>L3-(M3/N3)</f>
        <v>0</v>
      </c>
      <c r="P3">
        <f>L3-O3</f>
        <v>2</v>
      </c>
    </row>
    <row r="4" spans="1:16" x14ac:dyDescent="0.35">
      <c r="A4">
        <f>A3+1</f>
        <v>-2</v>
      </c>
      <c r="B4">
        <f t="shared" ref="B4:B12" si="0">(A4^2)*$B$2</f>
        <v>4</v>
      </c>
      <c r="C4">
        <f t="shared" ref="C4:C12" si="1">A4*$C$2</f>
        <v>-8</v>
      </c>
      <c r="D4">
        <f t="shared" ref="D4:D12" si="2">D3</f>
        <v>4</v>
      </c>
      <c r="E4">
        <f t="shared" ref="E4:E12" si="3">B4+C4+D4</f>
        <v>0</v>
      </c>
      <c r="G4">
        <f t="shared" ref="G4:G12" si="4">A4</f>
        <v>-2</v>
      </c>
      <c r="H4">
        <f t="shared" ref="H4:H12" si="5">G4*$H$2</f>
        <v>-4</v>
      </c>
      <c r="I4">
        <f t="shared" ref="I4:I12" si="6">I3</f>
        <v>4</v>
      </c>
      <c r="J4">
        <f t="shared" ref="J4:J12" si="7">H4+I4</f>
        <v>0</v>
      </c>
      <c r="L4">
        <f>O3</f>
        <v>0</v>
      </c>
      <c r="M4">
        <f t="shared" ref="M4:M25" si="8">(L4^2)+(4*L4)+4</f>
        <v>4</v>
      </c>
      <c r="N4">
        <f t="shared" ref="N4:N12" si="9">(2*1*L4)+4</f>
        <v>4</v>
      </c>
      <c r="O4">
        <f t="shared" ref="O4:O12" si="10">L4-(M4/N4)</f>
        <v>-1</v>
      </c>
      <c r="P4">
        <f t="shared" ref="P4:P12" si="11">L4-O4</f>
        <v>1</v>
      </c>
    </row>
    <row r="5" spans="1:16" x14ac:dyDescent="0.35">
      <c r="A5">
        <f t="shared" ref="A5:A12" si="12">A4+1</f>
        <v>-1</v>
      </c>
      <c r="B5">
        <f t="shared" si="0"/>
        <v>1</v>
      </c>
      <c r="C5">
        <f t="shared" si="1"/>
        <v>-4</v>
      </c>
      <c r="D5">
        <f t="shared" si="2"/>
        <v>4</v>
      </c>
      <c r="E5">
        <f t="shared" si="3"/>
        <v>1</v>
      </c>
      <c r="G5">
        <f t="shared" si="4"/>
        <v>-1</v>
      </c>
      <c r="H5">
        <f t="shared" si="5"/>
        <v>-2</v>
      </c>
      <c r="I5">
        <f t="shared" si="6"/>
        <v>4</v>
      </c>
      <c r="J5">
        <f t="shared" si="7"/>
        <v>2</v>
      </c>
      <c r="L5">
        <f t="shared" ref="L5:L12" si="13">O4</f>
        <v>-1</v>
      </c>
      <c r="M5">
        <f t="shared" si="8"/>
        <v>1</v>
      </c>
      <c r="N5">
        <f t="shared" si="9"/>
        <v>2</v>
      </c>
      <c r="O5">
        <f t="shared" si="10"/>
        <v>-1.5</v>
      </c>
      <c r="P5">
        <f t="shared" si="11"/>
        <v>0.5</v>
      </c>
    </row>
    <row r="6" spans="1:16" x14ac:dyDescent="0.35">
      <c r="A6">
        <f t="shared" si="12"/>
        <v>0</v>
      </c>
      <c r="B6">
        <f t="shared" si="0"/>
        <v>0</v>
      </c>
      <c r="C6">
        <f t="shared" si="1"/>
        <v>0</v>
      </c>
      <c r="D6">
        <f t="shared" si="2"/>
        <v>4</v>
      </c>
      <c r="E6">
        <f t="shared" si="3"/>
        <v>4</v>
      </c>
      <c r="G6">
        <f t="shared" si="4"/>
        <v>0</v>
      </c>
      <c r="H6">
        <f t="shared" si="5"/>
        <v>0</v>
      </c>
      <c r="I6">
        <f t="shared" si="6"/>
        <v>4</v>
      </c>
      <c r="J6">
        <f t="shared" si="7"/>
        <v>4</v>
      </c>
      <c r="L6">
        <f t="shared" si="13"/>
        <v>-1.5</v>
      </c>
      <c r="M6">
        <f t="shared" si="8"/>
        <v>0.25</v>
      </c>
      <c r="N6">
        <f t="shared" si="9"/>
        <v>1</v>
      </c>
      <c r="O6">
        <f t="shared" si="10"/>
        <v>-1.75</v>
      </c>
      <c r="P6">
        <f t="shared" si="11"/>
        <v>0.25</v>
      </c>
    </row>
    <row r="7" spans="1:16" x14ac:dyDescent="0.35">
      <c r="A7">
        <f t="shared" si="12"/>
        <v>1</v>
      </c>
      <c r="B7">
        <f t="shared" si="0"/>
        <v>1</v>
      </c>
      <c r="C7">
        <f t="shared" si="1"/>
        <v>4</v>
      </c>
      <c r="D7">
        <f t="shared" si="2"/>
        <v>4</v>
      </c>
      <c r="E7">
        <f t="shared" si="3"/>
        <v>9</v>
      </c>
      <c r="G7">
        <f t="shared" si="4"/>
        <v>1</v>
      </c>
      <c r="H7">
        <f t="shared" si="5"/>
        <v>2</v>
      </c>
      <c r="I7">
        <f t="shared" si="6"/>
        <v>4</v>
      </c>
      <c r="J7">
        <f t="shared" si="7"/>
        <v>6</v>
      </c>
      <c r="L7">
        <f t="shared" si="13"/>
        <v>-1.75</v>
      </c>
      <c r="M7">
        <f t="shared" si="8"/>
        <v>6.25E-2</v>
      </c>
      <c r="N7">
        <f t="shared" si="9"/>
        <v>0.5</v>
      </c>
      <c r="O7">
        <f t="shared" si="10"/>
        <v>-1.875</v>
      </c>
      <c r="P7">
        <f t="shared" si="11"/>
        <v>0.125</v>
      </c>
    </row>
    <row r="8" spans="1:16" x14ac:dyDescent="0.35">
      <c r="A8">
        <f t="shared" si="12"/>
        <v>2</v>
      </c>
      <c r="B8">
        <f t="shared" si="0"/>
        <v>4</v>
      </c>
      <c r="C8">
        <f t="shared" si="1"/>
        <v>8</v>
      </c>
      <c r="D8">
        <f t="shared" si="2"/>
        <v>4</v>
      </c>
      <c r="E8">
        <f t="shared" si="3"/>
        <v>16</v>
      </c>
      <c r="G8">
        <f t="shared" si="4"/>
        <v>2</v>
      </c>
      <c r="H8">
        <f t="shared" si="5"/>
        <v>4</v>
      </c>
      <c r="I8">
        <f t="shared" si="6"/>
        <v>4</v>
      </c>
      <c r="J8">
        <f t="shared" si="7"/>
        <v>8</v>
      </c>
      <c r="L8">
        <f t="shared" si="13"/>
        <v>-1.875</v>
      </c>
      <c r="M8">
        <f t="shared" si="8"/>
        <v>1.5625E-2</v>
      </c>
      <c r="N8">
        <f t="shared" si="9"/>
        <v>0.25</v>
      </c>
      <c r="O8">
        <f t="shared" si="10"/>
        <v>-1.9375</v>
      </c>
      <c r="P8">
        <f t="shared" si="11"/>
        <v>6.25E-2</v>
      </c>
    </row>
    <row r="9" spans="1:16" x14ac:dyDescent="0.35">
      <c r="A9">
        <f t="shared" si="12"/>
        <v>3</v>
      </c>
      <c r="B9">
        <f t="shared" si="0"/>
        <v>9</v>
      </c>
      <c r="C9">
        <f t="shared" si="1"/>
        <v>12</v>
      </c>
      <c r="D9">
        <f t="shared" si="2"/>
        <v>4</v>
      </c>
      <c r="E9">
        <f t="shared" si="3"/>
        <v>25</v>
      </c>
      <c r="G9">
        <f t="shared" si="4"/>
        <v>3</v>
      </c>
      <c r="H9">
        <f t="shared" si="5"/>
        <v>6</v>
      </c>
      <c r="I9">
        <f t="shared" si="6"/>
        <v>4</v>
      </c>
      <c r="J9">
        <f t="shared" si="7"/>
        <v>10</v>
      </c>
      <c r="L9">
        <f t="shared" si="13"/>
        <v>-1.9375</v>
      </c>
      <c r="M9">
        <f t="shared" si="8"/>
        <v>3.90625E-3</v>
      </c>
      <c r="N9">
        <f t="shared" si="9"/>
        <v>0.125</v>
      </c>
      <c r="O9">
        <f t="shared" si="10"/>
        <v>-1.96875</v>
      </c>
      <c r="P9">
        <f t="shared" si="11"/>
        <v>3.125E-2</v>
      </c>
    </row>
    <row r="10" spans="1:16" x14ac:dyDescent="0.35">
      <c r="A10">
        <f t="shared" si="12"/>
        <v>4</v>
      </c>
      <c r="B10">
        <f t="shared" si="0"/>
        <v>16</v>
      </c>
      <c r="C10">
        <f t="shared" si="1"/>
        <v>16</v>
      </c>
      <c r="D10">
        <f t="shared" si="2"/>
        <v>4</v>
      </c>
      <c r="E10">
        <f t="shared" si="3"/>
        <v>36</v>
      </c>
      <c r="G10">
        <f t="shared" si="4"/>
        <v>4</v>
      </c>
      <c r="H10">
        <f t="shared" si="5"/>
        <v>8</v>
      </c>
      <c r="I10">
        <f t="shared" si="6"/>
        <v>4</v>
      </c>
      <c r="J10">
        <f t="shared" si="7"/>
        <v>12</v>
      </c>
      <c r="L10">
        <f t="shared" si="13"/>
        <v>-1.96875</v>
      </c>
      <c r="M10">
        <f t="shared" si="8"/>
        <v>9.765625E-4</v>
      </c>
      <c r="N10">
        <f t="shared" si="9"/>
        <v>6.25E-2</v>
      </c>
      <c r="O10">
        <f t="shared" si="10"/>
        <v>-1.984375</v>
      </c>
      <c r="P10">
        <f t="shared" si="11"/>
        <v>1.5625E-2</v>
      </c>
    </row>
    <row r="11" spans="1:16" x14ac:dyDescent="0.35">
      <c r="A11">
        <f t="shared" si="12"/>
        <v>5</v>
      </c>
      <c r="B11">
        <f t="shared" si="0"/>
        <v>25</v>
      </c>
      <c r="C11">
        <f t="shared" si="1"/>
        <v>20</v>
      </c>
      <c r="D11">
        <f t="shared" si="2"/>
        <v>4</v>
      </c>
      <c r="E11">
        <f t="shared" si="3"/>
        <v>49</v>
      </c>
      <c r="G11">
        <f t="shared" si="4"/>
        <v>5</v>
      </c>
      <c r="H11">
        <f t="shared" si="5"/>
        <v>10</v>
      </c>
      <c r="I11">
        <f t="shared" si="6"/>
        <v>4</v>
      </c>
      <c r="J11">
        <f t="shared" si="7"/>
        <v>14</v>
      </c>
      <c r="L11">
        <f t="shared" si="13"/>
        <v>-1.984375</v>
      </c>
      <c r="M11">
        <f t="shared" si="8"/>
        <v>2.44140625E-4</v>
      </c>
      <c r="N11">
        <f t="shared" si="9"/>
        <v>3.125E-2</v>
      </c>
      <c r="O11">
        <f t="shared" si="10"/>
        <v>-1.9921875</v>
      </c>
      <c r="P11">
        <f t="shared" si="11"/>
        <v>7.8125E-3</v>
      </c>
    </row>
    <row r="12" spans="1:16" x14ac:dyDescent="0.35">
      <c r="A12">
        <f t="shared" si="12"/>
        <v>6</v>
      </c>
      <c r="B12">
        <f t="shared" si="0"/>
        <v>36</v>
      </c>
      <c r="C12">
        <f t="shared" si="1"/>
        <v>24</v>
      </c>
      <c r="D12">
        <f t="shared" si="2"/>
        <v>4</v>
      </c>
      <c r="E12">
        <f t="shared" si="3"/>
        <v>64</v>
      </c>
      <c r="G12">
        <f t="shared" si="4"/>
        <v>6</v>
      </c>
      <c r="H12">
        <f t="shared" si="5"/>
        <v>12</v>
      </c>
      <c r="I12">
        <f t="shared" si="6"/>
        <v>4</v>
      </c>
      <c r="J12">
        <f t="shared" si="7"/>
        <v>16</v>
      </c>
      <c r="L12">
        <f t="shared" si="13"/>
        <v>-1.9921875</v>
      </c>
      <c r="M12">
        <f t="shared" si="8"/>
        <v>6.103515625E-5</v>
      </c>
      <c r="N12">
        <f t="shared" si="9"/>
        <v>1.5625E-2</v>
      </c>
      <c r="O12">
        <f t="shared" si="10"/>
        <v>-1.99609375</v>
      </c>
      <c r="P12">
        <f t="shared" si="11"/>
        <v>3.90625E-3</v>
      </c>
    </row>
    <row r="13" spans="1:16" x14ac:dyDescent="0.35">
      <c r="L13">
        <f t="shared" ref="L13:L25" si="14">O12</f>
        <v>-1.99609375</v>
      </c>
      <c r="M13">
        <f t="shared" si="8"/>
        <v>1.52587890625E-5</v>
      </c>
      <c r="N13">
        <f t="shared" ref="N13:N25" si="15">(2*1*L13)+4</f>
        <v>7.8125E-3</v>
      </c>
      <c r="O13">
        <f t="shared" ref="O13:O25" si="16">L13-(M13/N13)</f>
        <v>-1.998046875</v>
      </c>
      <c r="P13">
        <f t="shared" ref="P13:P25" si="17">L13-O13</f>
        <v>1.953125E-3</v>
      </c>
    </row>
    <row r="14" spans="1:16" x14ac:dyDescent="0.35">
      <c r="L14">
        <f t="shared" si="14"/>
        <v>-1.998046875</v>
      </c>
      <c r="M14">
        <f t="shared" si="8"/>
        <v>3.814697265625E-6</v>
      </c>
      <c r="N14">
        <f t="shared" si="15"/>
        <v>3.90625E-3</v>
      </c>
      <c r="O14">
        <f t="shared" si="16"/>
        <v>-1.9990234375</v>
      </c>
      <c r="P14">
        <f t="shared" si="17"/>
        <v>9.765625E-4</v>
      </c>
    </row>
    <row r="15" spans="1:16" x14ac:dyDescent="0.35">
      <c r="L15">
        <f t="shared" si="14"/>
        <v>-1.9990234375</v>
      </c>
      <c r="M15">
        <f t="shared" si="8"/>
        <v>9.5367431640625E-7</v>
      </c>
      <c r="N15">
        <f t="shared" si="15"/>
        <v>1.953125E-3</v>
      </c>
      <c r="O15">
        <f t="shared" si="16"/>
        <v>-1.99951171875</v>
      </c>
      <c r="P15">
        <f t="shared" si="17"/>
        <v>4.8828125E-4</v>
      </c>
    </row>
    <row r="16" spans="1:16" x14ac:dyDescent="0.35">
      <c r="L16">
        <f t="shared" si="14"/>
        <v>-1.99951171875</v>
      </c>
      <c r="M16">
        <f t="shared" si="8"/>
        <v>2.384185791015625E-7</v>
      </c>
      <c r="N16">
        <f t="shared" si="15"/>
        <v>9.765625E-4</v>
      </c>
      <c r="O16">
        <f t="shared" si="16"/>
        <v>-1.999755859375</v>
      </c>
      <c r="P16">
        <f t="shared" si="17"/>
        <v>2.44140625E-4</v>
      </c>
    </row>
    <row r="17" spans="12:16" x14ac:dyDescent="0.35">
      <c r="L17">
        <f t="shared" si="14"/>
        <v>-1.999755859375</v>
      </c>
      <c r="M17">
        <f t="shared" si="8"/>
        <v>5.9604644775390625E-8</v>
      </c>
      <c r="N17">
        <f t="shared" si="15"/>
        <v>4.8828125E-4</v>
      </c>
      <c r="O17">
        <f t="shared" si="16"/>
        <v>-1.9998779296875</v>
      </c>
      <c r="P17">
        <f t="shared" si="17"/>
        <v>1.220703125E-4</v>
      </c>
    </row>
    <row r="18" spans="12:16" x14ac:dyDescent="0.35">
      <c r="L18">
        <f t="shared" si="14"/>
        <v>-1.9998779296875</v>
      </c>
      <c r="M18">
        <f t="shared" si="8"/>
        <v>1.4901161193847656E-8</v>
      </c>
      <c r="N18">
        <f t="shared" si="15"/>
        <v>2.44140625E-4</v>
      </c>
      <c r="O18">
        <f t="shared" si="16"/>
        <v>-1.99993896484375</v>
      </c>
      <c r="P18">
        <f t="shared" si="17"/>
        <v>6.103515625E-5</v>
      </c>
    </row>
    <row r="19" spans="12:16" x14ac:dyDescent="0.35">
      <c r="L19">
        <f t="shared" si="14"/>
        <v>-1.99993896484375</v>
      </c>
      <c r="M19">
        <f t="shared" si="8"/>
        <v>3.7252902984619141E-9</v>
      </c>
      <c r="N19">
        <f t="shared" si="15"/>
        <v>1.220703125E-4</v>
      </c>
      <c r="O19">
        <f t="shared" si="16"/>
        <v>-1.999969482421875</v>
      </c>
      <c r="P19">
        <f t="shared" si="17"/>
        <v>3.0517578125E-5</v>
      </c>
    </row>
    <row r="20" spans="12:16" x14ac:dyDescent="0.35">
      <c r="L20">
        <f t="shared" si="14"/>
        <v>-1.999969482421875</v>
      </c>
      <c r="M20">
        <f t="shared" si="8"/>
        <v>9.3132257461547852E-10</v>
      </c>
      <c r="N20">
        <f t="shared" si="15"/>
        <v>6.103515625E-5</v>
      </c>
      <c r="O20">
        <f t="shared" si="16"/>
        <v>-1.9999847412109375</v>
      </c>
      <c r="P20">
        <f t="shared" si="17"/>
        <v>1.52587890625E-5</v>
      </c>
    </row>
    <row r="21" spans="12:16" x14ac:dyDescent="0.35">
      <c r="L21">
        <f t="shared" si="14"/>
        <v>-1.9999847412109375</v>
      </c>
      <c r="M21">
        <f t="shared" si="8"/>
        <v>2.3283064365386963E-10</v>
      </c>
      <c r="N21">
        <f t="shared" si="15"/>
        <v>3.0517578125E-5</v>
      </c>
      <c r="O21">
        <f t="shared" si="16"/>
        <v>-1.9999923706054688</v>
      </c>
      <c r="P21">
        <f t="shared" si="17"/>
        <v>7.62939453125E-6</v>
      </c>
    </row>
    <row r="22" spans="12:16" x14ac:dyDescent="0.35">
      <c r="L22">
        <f t="shared" si="14"/>
        <v>-1.9999923706054688</v>
      </c>
      <c r="M22">
        <f t="shared" si="8"/>
        <v>5.8207660913467407E-11</v>
      </c>
      <c r="N22">
        <f t="shared" si="15"/>
        <v>1.52587890625E-5</v>
      </c>
      <c r="O22">
        <f t="shared" si="16"/>
        <v>-1.9999961853027344</v>
      </c>
      <c r="P22">
        <f t="shared" si="17"/>
        <v>3.814697265625E-6</v>
      </c>
    </row>
    <row r="23" spans="12:16" x14ac:dyDescent="0.35">
      <c r="L23">
        <f t="shared" si="14"/>
        <v>-1.9999961853027344</v>
      </c>
      <c r="M23">
        <f t="shared" si="8"/>
        <v>1.4551915228366852E-11</v>
      </c>
      <c r="N23">
        <f t="shared" si="15"/>
        <v>7.62939453125E-6</v>
      </c>
      <c r="O23">
        <f t="shared" si="16"/>
        <v>-1.9999980926513672</v>
      </c>
      <c r="P23">
        <f t="shared" si="17"/>
        <v>1.9073486328125E-6</v>
      </c>
    </row>
    <row r="24" spans="12:16" x14ac:dyDescent="0.35">
      <c r="L24">
        <f t="shared" si="14"/>
        <v>-1.9999980926513672</v>
      </c>
      <c r="M24">
        <f t="shared" si="8"/>
        <v>3.637978807091713E-12</v>
      </c>
      <c r="N24">
        <f t="shared" si="15"/>
        <v>3.814697265625E-6</v>
      </c>
      <c r="O24">
        <f t="shared" si="16"/>
        <v>-1.9999990463256836</v>
      </c>
      <c r="P24">
        <f t="shared" si="17"/>
        <v>9.5367431640625E-7</v>
      </c>
    </row>
    <row r="25" spans="12:16" x14ac:dyDescent="0.35">
      <c r="L25">
        <f t="shared" si="14"/>
        <v>-1.9999990463256836</v>
      </c>
      <c r="M25">
        <f t="shared" si="8"/>
        <v>9.0949470177292824E-13</v>
      </c>
      <c r="N25">
        <f t="shared" si="15"/>
        <v>1.9073486328125E-6</v>
      </c>
      <c r="O25">
        <f t="shared" si="16"/>
        <v>-1.9999995231628418</v>
      </c>
      <c r="P25">
        <f t="shared" si="17"/>
        <v>4.76837158203125E-7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</dc:creator>
  <cp:lastModifiedBy>Lea</cp:lastModifiedBy>
  <dcterms:created xsi:type="dcterms:W3CDTF">2020-07-15T15:37:00Z</dcterms:created>
  <dcterms:modified xsi:type="dcterms:W3CDTF">2020-07-22T22:46:21Z</dcterms:modified>
</cp:coreProperties>
</file>