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 Caja diaria" sheetId="1" r:id="rId4"/>
    <sheet state="visible" name="Ventas diarias" sheetId="2" r:id="rId5"/>
    <sheet state="visible" name="Stock inicial" sheetId="3" r:id="rId6"/>
    <sheet state="visible" name="1 Ingresos y Egresos" sheetId="4" r:id="rId7"/>
    <sheet state="visible" name="2 Resumen Mes" sheetId="5" r:id="rId8"/>
    <sheet state="visible" name="Gastos diarios" sheetId="6" r:id="rId9"/>
    <sheet state="visible" name="3 Compras y proveedores" sheetId="7" r:id="rId10"/>
    <sheet state="visible" name="5 Precios Mayorista" sheetId="8" r:id="rId11"/>
    <sheet state="visible" name="6Costos fijos y variables" sheetId="9" r:id="rId12"/>
    <sheet state="visible" name="7 Análisis financiero mensual" sheetId="10" r:id="rId13"/>
    <sheet state="visible" name="10 Cuotas del préstamo" sheetId="11" r:id="rId14"/>
  </sheets>
  <definedNames>
    <definedName hidden="1" localSheetId="2" name="_xlnm._FilterDatabase">'Stock inicial'!$A$1:$N$1092</definedName>
    <definedName hidden="1" localSheetId="4" name="_xlnm._FilterDatabase">'2 Resumen Mes'!$A$1:$C$3</definedName>
  </definedNames>
  <calcPr/>
  <pivotCaches>
    <pivotCache cacheId="0" r:id="rId15"/>
  </pivotCaches>
</workbook>
</file>

<file path=xl/sharedStrings.xml><?xml version="1.0" encoding="utf-8"?>
<sst xmlns="http://schemas.openxmlformats.org/spreadsheetml/2006/main" count="2843" uniqueCount="964">
  <si>
    <t>Fecha</t>
  </si>
  <si>
    <t>Ingresos</t>
  </si>
  <si>
    <t>Egresos</t>
  </si>
  <si>
    <t>EFECTIVO</t>
  </si>
  <si>
    <t>TRANSFERENCIAS</t>
  </si>
  <si>
    <t>SALDO A FAVOR</t>
  </si>
  <si>
    <t>EN CAJA</t>
  </si>
  <si>
    <t>CAJA EXTERNA</t>
  </si>
  <si>
    <t>MERCADO PAGO</t>
  </si>
  <si>
    <t>TOTAL</t>
  </si>
  <si>
    <t>DEBEMOS 72000</t>
  </si>
  <si>
    <t>TRANSFERENCIA</t>
  </si>
  <si>
    <t>Ticket</t>
  </si>
  <si>
    <t>COD</t>
  </si>
  <si>
    <t>Producto</t>
  </si>
  <si>
    <t>Cantidad</t>
  </si>
  <si>
    <t>PRECIO</t>
  </si>
  <si>
    <t>COSTO</t>
  </si>
  <si>
    <t>COSTO TOTAL</t>
  </si>
  <si>
    <t>Total</t>
  </si>
  <si>
    <t>Medio de pago</t>
  </si>
  <si>
    <t>T000</t>
  </si>
  <si>
    <t>T001</t>
  </si>
  <si>
    <t>T002</t>
  </si>
  <si>
    <t>T003</t>
  </si>
  <si>
    <t>T004</t>
  </si>
  <si>
    <t>-</t>
  </si>
  <si>
    <t>PEDIDO MARGA</t>
  </si>
  <si>
    <t>T005</t>
  </si>
  <si>
    <t>USO PERSONAL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</si>
  <si>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</si>
  <si>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</si>
  <si>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</si>
  <si>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</si>
  <si>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</si>
  <si>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</si>
  <si>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</si>
  <si>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</si>
  <si>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</si>
  <si>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</si>
  <si>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</si>
  <si>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</si>
  <si>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</si>
  <si>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</si>
  <si>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PROMO KIT X5</t>
  </si>
  <si>
    <t>T020</t>
  </si>
  <si>
    <t>T021</t>
  </si>
  <si>
    <t>perdida</t>
  </si>
  <si>
    <t>T022</t>
  </si>
  <si>
    <t>T023</t>
  </si>
  <si>
    <t>T024</t>
  </si>
  <si>
    <t>PROMO KIT X1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</si>
  <si>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</si>
  <si>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</si>
  <si>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</si>
  <si>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</si>
  <si>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</si>
  <si>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</si>
  <si>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</si>
  <si>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</si>
  <si>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</si>
  <si>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</si>
  <si>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</si>
  <si>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</si>
  <si>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</si>
  <si>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</si>
  <si>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PERDIDA</t>
  </si>
  <si>
    <t>T039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</si>
  <si>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</si>
  <si>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</si>
  <si>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</si>
  <si>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</si>
  <si>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</si>
  <si>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</si>
  <si>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</si>
  <si>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</si>
  <si>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</si>
  <si>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</si>
  <si>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</si>
  <si>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PLUS</t>
  </si>
  <si>
    <t>T051</t>
  </si>
  <si>
    <t>T052</t>
  </si>
  <si>
    <t>T053</t>
  </si>
  <si>
    <t>T054</t>
  </si>
  <si>
    <t>desperdicio</t>
  </si>
  <si>
    <t>T055</t>
  </si>
  <si>
    <t>T056</t>
  </si>
  <si>
    <t>T057</t>
  </si>
  <si>
    <t>T058</t>
  </si>
  <si>
    <t>T059</t>
  </si>
  <si>
    <t>T060</t>
  </si>
  <si>
    <t>T062</t>
  </si>
  <si>
    <t>T063</t>
  </si>
  <si>
    <t>PROMO KITX5</t>
  </si>
  <si>
    <t>T064</t>
  </si>
  <si>
    <t>T065</t>
  </si>
  <si>
    <t>T066</t>
  </si>
  <si>
    <t>T067</t>
  </si>
  <si>
    <t>T068</t>
  </si>
  <si>
    <t>T069</t>
  </si>
  <si>
    <t>COMBO X1L</t>
  </si>
  <si>
    <t>T070</t>
  </si>
  <si>
    <t>T071</t>
  </si>
  <si>
    <t>T072</t>
  </si>
  <si>
    <t>T073</t>
  </si>
  <si>
    <t>T074</t>
  </si>
  <si>
    <t>T075</t>
  </si>
  <si>
    <t>BOLSA VITAL BALANCED X20KG</t>
  </si>
  <si>
    <t>T076</t>
  </si>
  <si>
    <t>T077</t>
  </si>
  <si>
    <t>T078</t>
  </si>
  <si>
    <t>T079</t>
  </si>
  <si>
    <t>DEBITO</t>
  </si>
  <si>
    <t>T080</t>
  </si>
  <si>
    <t>T081</t>
  </si>
  <si>
    <t>T082</t>
  </si>
  <si>
    <t>T083</t>
  </si>
  <si>
    <t>BOLSA DOGPRO CACHORRO 8K</t>
  </si>
  <si>
    <t>T084</t>
  </si>
  <si>
    <t>T085</t>
  </si>
  <si>
    <t>T086</t>
  </si>
  <si>
    <t>T087</t>
  </si>
  <si>
    <t>T088</t>
  </si>
  <si>
    <t>BIDON 20L SHAMPOO AUTO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</si>
  <si>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</si>
  <si>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</si>
  <si>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</si>
  <si>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</si>
  <si>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</si>
  <si>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</si>
  <si>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</si>
  <si>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</si>
  <si>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</si>
  <si>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</si>
  <si>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</si>
  <si>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</si>
  <si>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uso personal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</si>
  <si>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</si>
  <si>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</si>
  <si>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</si>
  <si>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</si>
  <si>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</si>
  <si>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</si>
  <si>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</si>
  <si>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</si>
  <si>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</si>
  <si>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</si>
  <si>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</si>
  <si>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</si>
  <si>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T137</t>
  </si>
  <si>
    <t xml:space="preserve"> BOLSA DOGPRO CACHORRO x15k</t>
  </si>
  <si>
    <t>T113</t>
  </si>
  <si>
    <t>PROMO VORAZ</t>
  </si>
  <si>
    <t>T114</t>
  </si>
  <si>
    <t>T115</t>
  </si>
  <si>
    <t>T116</t>
  </si>
  <si>
    <t>T117</t>
  </si>
  <si>
    <t>T118</t>
  </si>
  <si>
    <t>COMBO x5L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</si>
  <si>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</si>
  <si>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</si>
  <si>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</si>
  <si>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</si>
  <si>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</si>
  <si>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</si>
  <si>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</si>
  <si>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</si>
  <si>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</si>
  <si>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</si>
  <si>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BOLSA EXCELLENT ADULTO X20KG</t>
  </si>
  <si>
    <t>T129</t>
  </si>
  <si>
    <t>BOLSA EXCELLENT CACHORRO X8KG</t>
  </si>
  <si>
    <t>T130</t>
  </si>
  <si>
    <t>BOLSA NUTRIBON X20KG</t>
  </si>
  <si>
    <t>T131</t>
  </si>
  <si>
    <t>BOLSA EXCELLENT ADULTO RAZ PEQ X15KG</t>
  </si>
  <si>
    <t>T132</t>
  </si>
  <si>
    <t>T133</t>
  </si>
  <si>
    <t>T134</t>
  </si>
  <si>
    <t>T135</t>
  </si>
  <si>
    <t>T136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</si>
  <si>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</si>
  <si>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</si>
  <si>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</si>
  <si>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</si>
  <si>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</si>
  <si>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</si>
  <si>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</si>
  <si>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</si>
  <si>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</si>
  <si>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</si>
  <si>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</si>
  <si>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</si>
  <si>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</si>
  <si>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</si>
  <si>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</si>
  <si>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</si>
  <si>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</si>
  <si>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</si>
  <si>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</si>
  <si>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</si>
  <si>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</si>
  <si>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</si>
  <si>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</si>
  <si>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</si>
  <si>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</si>
  <si>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</si>
  <si>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</si>
  <si>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</si>
  <si>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</si>
  <si>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</si>
  <si>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</si>
  <si>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</si>
  <si>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</si>
  <si>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</si>
  <si>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</si>
  <si>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</si>
  <si>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</si>
  <si>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</si>
  <si>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</si>
  <si>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</si>
  <si>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</si>
  <si>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</si>
  <si>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</si>
  <si>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</si>
  <si>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</si>
  <si>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</si>
  <si>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</si>
  <si>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</si>
  <si>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</si>
  <si>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</si>
  <si>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</si>
  <si>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</si>
  <si>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</si>
  <si>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</si>
  <si>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</si>
  <si>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</si>
  <si>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</si>
  <si>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</si>
  <si>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</si>
  <si>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</si>
  <si>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</si>
  <si>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</si>
  <si>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</si>
  <si>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</si>
  <si>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</si>
  <si>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</si>
  <si>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</si>
  <si>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</si>
  <si>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ENVIO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</si>
  <si>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</si>
  <si>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</si>
  <si>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</si>
  <si>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</si>
  <si>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</si>
  <si>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</si>
  <si>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</si>
  <si>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</si>
  <si>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</si>
  <si>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</si>
  <si>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</si>
  <si>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</si>
  <si>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</si>
  <si>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</si>
  <si>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</si>
  <si>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BIDON VIVERE ECO 20L +BIDON 2500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</si>
  <si>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</si>
  <si>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</si>
  <si>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</si>
  <si>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</si>
  <si>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</si>
  <si>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</si>
  <si>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</si>
  <si>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</si>
  <si>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</si>
  <si>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</si>
  <si>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</si>
  <si>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</si>
  <si>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</si>
  <si>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</si>
  <si>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</si>
  <si>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</si>
  <si>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 xml:space="preserve">SHAMPOO P/AUTO </t>
  </si>
  <si>
    <t>MAYORISTA</t>
  </si>
  <si>
    <t>T237</t>
  </si>
  <si>
    <t>T238</t>
  </si>
  <si>
    <t>T239</t>
  </si>
  <si>
    <t>T240</t>
  </si>
  <si>
    <t>T241</t>
  </si>
  <si>
    <t>T242</t>
  </si>
  <si>
    <t>FUNDAS COLCHONETAS</t>
  </si>
  <si>
    <t>T243</t>
  </si>
  <si>
    <t>T244</t>
  </si>
  <si>
    <t>T245</t>
  </si>
  <si>
    <t>T246</t>
  </si>
  <si>
    <t>MAYORISTA MAURI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</si>
  <si>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</si>
  <si>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</si>
  <si>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</si>
  <si>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</si>
  <si>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</si>
  <si>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</si>
  <si>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</si>
  <si>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</si>
  <si>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</si>
  <si>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</si>
  <si>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</si>
  <si>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</si>
  <si>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</si>
  <si>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</si>
  <si>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</si>
  <si>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</si>
  <si>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</si>
  <si>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</si>
  <si>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</si>
  <si>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</si>
  <si>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</si>
  <si>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</si>
  <si>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</si>
  <si>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</si>
  <si>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</si>
  <si>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</si>
  <si>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</si>
  <si>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</si>
  <si>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</si>
  <si>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</si>
  <si>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</si>
  <si>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</si>
  <si>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</si>
  <si>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</si>
  <si>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</si>
  <si>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</si>
  <si>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</si>
  <si>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</si>
  <si>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</si>
  <si>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</si>
  <si>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</si>
  <si>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</si>
  <si>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T289</t>
  </si>
  <si>
    <t>T290</t>
  </si>
  <si>
    <t>T291</t>
  </si>
  <si>
    <t>T292</t>
  </si>
  <si>
    <t>T293</t>
  </si>
  <si>
    <t>OSPRETT NEGRO</t>
  </si>
  <si>
    <t>BOLSON BRIO</t>
  </si>
  <si>
    <t>T294</t>
  </si>
  <si>
    <t>T295</t>
  </si>
  <si>
    <t>T296</t>
  </si>
  <si>
    <t>T297</t>
  </si>
  <si>
    <t>T298</t>
  </si>
  <si>
    <t>T299</t>
  </si>
  <si>
    <t>T300</t>
  </si>
  <si>
    <t>T301</t>
  </si>
  <si>
    <t>T302</t>
  </si>
  <si>
    <t>T303</t>
  </si>
  <si>
    <t>T304</t>
  </si>
  <si>
    <t xml:space="preserve">DEBITO 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</si>
  <si>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</si>
  <si>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</si>
  <si>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</si>
  <si>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</si>
  <si>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</si>
  <si>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</si>
  <si>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</si>
  <si>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</si>
  <si>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</si>
  <si>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</si>
  <si>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REPASADOR ECO</t>
  </si>
  <si>
    <t>T315</t>
  </si>
  <si>
    <t>T316</t>
  </si>
  <si>
    <t>T317</t>
  </si>
  <si>
    <t>T318</t>
  </si>
  <si>
    <t>T319</t>
  </si>
  <si>
    <t>T320</t>
  </si>
  <si>
    <t>T321</t>
  </si>
  <si>
    <t>T322</t>
  </si>
  <si>
    <t>T323</t>
  </si>
  <si>
    <t>T324</t>
  </si>
  <si>
    <t>T325</t>
  </si>
  <si>
    <t>T326</t>
  </si>
  <si>
    <t>T327</t>
  </si>
  <si>
    <t>T328</t>
  </si>
  <si>
    <t>T329</t>
  </si>
  <si>
    <t>T330</t>
  </si>
  <si>
    <t>PROMO DOGPRO</t>
  </si>
  <si>
    <t>T331</t>
  </si>
  <si>
    <t>T332</t>
  </si>
  <si>
    <t>T333</t>
  </si>
  <si>
    <t>T334</t>
  </si>
  <si>
    <t>T335</t>
  </si>
  <si>
    <t>T336</t>
  </si>
  <si>
    <t>T337</t>
  </si>
  <si>
    <t>PLAYA MAZZINI SHAMPOO AUTO 40L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</si>
  <si>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</si>
  <si>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</si>
  <si>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</si>
  <si>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</si>
  <si>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</si>
  <si>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</si>
  <si>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</si>
  <si>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</si>
  <si>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</si>
  <si>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</si>
  <si>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</si>
  <si>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</si>
  <si>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</si>
  <si>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</si>
  <si>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</si>
  <si>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</si>
  <si>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</si>
  <si>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</si>
  <si>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</si>
  <si>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</si>
  <si>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</si>
  <si>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</si>
  <si>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BOLSA CATPRO KITTEN</t>
  </si>
  <si>
    <t>T360</t>
  </si>
  <si>
    <t>T361</t>
  </si>
  <si>
    <t>T362</t>
  </si>
  <si>
    <t>T363</t>
  </si>
  <si>
    <t>T364</t>
  </si>
  <si>
    <t>T365</t>
  </si>
  <si>
    <t>T366</t>
  </si>
  <si>
    <t>T367</t>
  </si>
  <si>
    <t>T368</t>
  </si>
  <si>
    <t>T369</t>
  </si>
  <si>
    <t>BOLSA VORAZ</t>
  </si>
  <si>
    <t>T370</t>
  </si>
  <si>
    <t>T371</t>
  </si>
  <si>
    <t>T372</t>
  </si>
  <si>
    <t>T373</t>
  </si>
  <si>
    <t>T374</t>
  </si>
  <si>
    <t>T375</t>
  </si>
  <si>
    <t>T376</t>
  </si>
  <si>
    <t>T377</t>
  </si>
  <si>
    <t>T378</t>
  </si>
  <si>
    <t>T379</t>
  </si>
  <si>
    <t>T380</t>
  </si>
  <si>
    <t>T381</t>
  </si>
  <si>
    <t>T382</t>
  </si>
  <si>
    <t>BOLSA NUTRIBON JULI</t>
  </si>
  <si>
    <t>T383</t>
  </si>
  <si>
    <t>BOLSA ALE REJA</t>
  </si>
  <si>
    <t>T384</t>
  </si>
  <si>
    <t>T385</t>
  </si>
  <si>
    <t>T386</t>
  </si>
  <si>
    <t>T387</t>
  </si>
  <si>
    <t>T388</t>
  </si>
  <si>
    <t>T389</t>
  </si>
  <si>
    <t>T390</t>
  </si>
  <si>
    <t>T391</t>
  </si>
  <si>
    <t>T392</t>
  </si>
  <si>
    <t>T393</t>
  </si>
  <si>
    <t>T394</t>
  </si>
  <si>
    <t>T395</t>
  </si>
  <si>
    <t>T396</t>
  </si>
  <si>
    <t>T397</t>
  </si>
  <si>
    <t>T398</t>
  </si>
  <si>
    <t>T399</t>
  </si>
  <si>
    <t>T400</t>
  </si>
  <si>
    <t>T401</t>
  </si>
  <si>
    <t>T402</t>
  </si>
  <si>
    <t>T403</t>
  </si>
  <si>
    <t>T404</t>
  </si>
  <si>
    <t>T405</t>
  </si>
  <si>
    <t>T406</t>
  </si>
  <si>
    <t>BIDON PLAZA MAZZINI</t>
  </si>
  <si>
    <t>T407</t>
  </si>
  <si>
    <t>T408</t>
  </si>
  <si>
    <t>T409</t>
  </si>
  <si>
    <t>T410</t>
  </si>
  <si>
    <t>T411</t>
  </si>
  <si>
    <t>BIDON ARIEL PREMIUM</t>
  </si>
  <si>
    <t>CLORO 5L</t>
  </si>
  <si>
    <t xml:space="preserve"> PERFUMINA LAVANDA 1L</t>
  </si>
  <si>
    <t>PERFUME VIVERE 1L</t>
  </si>
  <si>
    <t>JABON LUX 1L</t>
  </si>
  <si>
    <t>T412</t>
  </si>
  <si>
    <t>T413</t>
  </si>
  <si>
    <t>T414</t>
  </si>
  <si>
    <t>T415</t>
  </si>
  <si>
    <t>T416</t>
  </si>
  <si>
    <t>T417</t>
  </si>
  <si>
    <t>BIDON COMFORT P X20L</t>
  </si>
  <si>
    <t>T418</t>
  </si>
  <si>
    <t>T419</t>
  </si>
  <si>
    <t>T420</t>
  </si>
  <si>
    <t>T421</t>
  </si>
  <si>
    <t>T422</t>
  </si>
  <si>
    <t>T423</t>
  </si>
  <si>
    <t>T424</t>
  </si>
  <si>
    <t>T425</t>
  </si>
  <si>
    <t>T426</t>
  </si>
  <si>
    <t>T427</t>
  </si>
  <si>
    <t>T428</t>
  </si>
  <si>
    <t>T429</t>
  </si>
  <si>
    <t>T430</t>
  </si>
  <si>
    <t>T431</t>
  </si>
  <si>
    <t>T432</t>
  </si>
  <si>
    <t>T433</t>
  </si>
  <si>
    <t>T434</t>
  </si>
  <si>
    <t>T435</t>
  </si>
  <si>
    <t>BOLSA VORAZ (YA PAGO, RETIRA 19/8)</t>
  </si>
  <si>
    <t>T436</t>
  </si>
  <si>
    <t>T437</t>
  </si>
  <si>
    <t>T438</t>
  </si>
  <si>
    <t>T439</t>
  </si>
  <si>
    <t>T440</t>
  </si>
  <si>
    <t>T441</t>
  </si>
  <si>
    <t>T442</t>
  </si>
  <si>
    <t>T443</t>
  </si>
  <si>
    <t>T444</t>
  </si>
  <si>
    <t>BOLSA MARGA DOGPRO</t>
  </si>
  <si>
    <t>BOLSA MARGA CATPRO</t>
  </si>
  <si>
    <t>Categoría</t>
  </si>
  <si>
    <t>Proveedor</t>
  </si>
  <si>
    <t>Compra $</t>
  </si>
  <si>
    <t>Venta con bidon</t>
  </si>
  <si>
    <t>Venta $</t>
  </si>
  <si>
    <t xml:space="preserve">Margen con bidon (%) </t>
  </si>
  <si>
    <t>Margen  (%)</t>
  </si>
  <si>
    <t>Stock inicial</t>
  </si>
  <si>
    <t>Stock actual</t>
  </si>
  <si>
    <t>Valor total de stock ($)</t>
  </si>
  <si>
    <t>Stock mínimo</t>
  </si>
  <si>
    <t>Estado</t>
  </si>
  <si>
    <t>PETSHOP</t>
  </si>
  <si>
    <t>BANDEJA SANITARIA GIGANTE</t>
  </si>
  <si>
    <t>HIGIENE</t>
  </si>
  <si>
    <t>SEMAC</t>
  </si>
  <si>
    <t xml:space="preserve">CEPILLO DENTAL </t>
  </si>
  <si>
    <t>BEBEDERO PORTATIL</t>
  </si>
  <si>
    <t>BEBEDEROS</t>
  </si>
  <si>
    <t>BOZAL NYLON N2</t>
  </si>
  <si>
    <t>BOZAL</t>
  </si>
  <si>
    <t>BOZAL NYLON N3</t>
  </si>
  <si>
    <t>BOZAL NYLON N1</t>
  </si>
  <si>
    <t>COLLAR C/PANUELO 3.0 EXTRA LARGE</t>
  </si>
  <si>
    <t>COLLARES</t>
  </si>
  <si>
    <t>COLLAR C/PANUELO 1.5 CHICA</t>
  </si>
  <si>
    <t>COLLAR POLI. N0</t>
  </si>
  <si>
    <t>COLLAR POLI. N1</t>
  </si>
  <si>
    <t>COLLAR POLI. N2</t>
  </si>
  <si>
    <t>COLLAR POLI. N3</t>
  </si>
  <si>
    <t>COLLAR POLI. N4</t>
  </si>
  <si>
    <t>COLLAR POLI. N5</t>
  </si>
  <si>
    <t>COLLAR POLI. N6</t>
  </si>
  <si>
    <t>COLLAR POLI. N7</t>
  </si>
  <si>
    <t>COLLAR POLI. N8</t>
  </si>
  <si>
    <t>COLLAR AHORQUE SIMPLE 4</t>
  </si>
  <si>
    <t>COLLAR AHORQUE SIMPLE 3</t>
  </si>
  <si>
    <t>COLLAR AHORQUE SIMPLE 2</t>
  </si>
  <si>
    <t>COMEDERO GATO PLASTICO</t>
  </si>
  <si>
    <t>COMEDEROS</t>
  </si>
  <si>
    <t>COMEDERO INOX N0</t>
  </si>
  <si>
    <t>COMEDERO OVAL GRANDE</t>
  </si>
  <si>
    <t>COMEDERO OVAL MEDIO</t>
  </si>
  <si>
    <t>COMEDERO OVAL CHICO</t>
  </si>
  <si>
    <t>COMEDERO PLAS. P/COCKER</t>
  </si>
  <si>
    <t>COMEDERO PL. CARA GATO</t>
  </si>
  <si>
    <t>CORREA C/PRETAL ACOLCH.</t>
  </si>
  <si>
    <t>CORREAS</t>
  </si>
  <si>
    <t>CORREA C/PRETAL TRENZ.REFLEX</t>
  </si>
  <si>
    <t>CORREA C/PRETAL MEDIANO</t>
  </si>
  <si>
    <t>CORREA C/PRETAL GRANDE</t>
  </si>
  <si>
    <t>CORREA C/PRETAL CHICO</t>
  </si>
  <si>
    <t>CORREA METAL MANIJA NYLON 2.5</t>
  </si>
  <si>
    <t>CORREA METAL MANIJA NYLON 3</t>
  </si>
  <si>
    <t>CORREA METAL MANIJA NYLON 3.5</t>
  </si>
  <si>
    <t>CORREA METAL MANIJA NYLON 4.0</t>
  </si>
  <si>
    <t>MAMADERA P/MASCOTAS</t>
  </si>
  <si>
    <t>VARIOS</t>
  </si>
  <si>
    <t>PALITO C/PELOTA Y SOGA</t>
  </si>
  <si>
    <t>JUGUETES</t>
  </si>
  <si>
    <t>PALITO C/FIBRAS Y CASCABELL</t>
  </si>
  <si>
    <t>POLLO CHIFLIDO</t>
  </si>
  <si>
    <t>PELOTA C/CHIF DEPORTES</t>
  </si>
  <si>
    <t>PELOTA SOFT</t>
  </si>
  <si>
    <t>PELOTA MACIZA CH.</t>
  </si>
  <si>
    <t>GOLOCAN PALITOS DE POLLO</t>
  </si>
  <si>
    <t>PREMIOS</t>
  </si>
  <si>
    <t>GOLOCAN HUESO HORNEADO CARNE</t>
  </si>
  <si>
    <t xml:space="preserve">HUESOS 2/3 </t>
  </si>
  <si>
    <t>HUESOS</t>
  </si>
  <si>
    <t>HUESO ALGODON 25CM</t>
  </si>
  <si>
    <t>HUESO ALGODON 17CM</t>
  </si>
  <si>
    <t>CATPRO GATO LATA PESCADO 340G</t>
  </si>
  <si>
    <t>CATPRO HUMEDO CARNE 90G</t>
  </si>
  <si>
    <t>PEDIGREE RODEO CARNE X4STICKS</t>
  </si>
  <si>
    <t>PEDIGREE RODEO POLLO X4STICKS</t>
  </si>
  <si>
    <t>MOISTYCREAM GATO CARE</t>
  </si>
  <si>
    <t>MOISTYCREAM PERRO COLAGENO</t>
  </si>
  <si>
    <t>MOISTYCREAM GATO PESCADO</t>
  </si>
  <si>
    <t>PALITOS MASTICABLES IZZY x6</t>
  </si>
  <si>
    <t>CHORICKS CARNE Y LECHE</t>
  </si>
  <si>
    <t xml:space="preserve">CHORICKS CARNE </t>
  </si>
  <si>
    <t>OREJAS BOVINAS</t>
  </si>
  <si>
    <t>HUESO PORTA BOLSA</t>
  </si>
  <si>
    <t>SANIDAD</t>
  </si>
  <si>
    <t>CEPILLO VAPOR</t>
  </si>
  <si>
    <t>BANDEJA SANITARIA CHICA</t>
  </si>
  <si>
    <t>GUANTE HUMEDO P/PERRO</t>
  </si>
  <si>
    <t>PALITA SANITARIA</t>
  </si>
  <si>
    <t>PALITA SANITARIA CARA GATO</t>
  </si>
  <si>
    <t xml:space="preserve">SANIDAD </t>
  </si>
  <si>
    <t>PELLET SANITARIO X 15KG</t>
  </si>
  <si>
    <t>PELLET SANITARIA BEDYWOOD X 15KG</t>
  </si>
  <si>
    <t>ABSORSOL ALTA GAMA NEGRA X3.6KG</t>
  </si>
  <si>
    <t>ABSORSOL PIEDRA SANIT. LAVAND</t>
  </si>
  <si>
    <t xml:space="preserve">ABSORSOL PIEDRA SANIT. LIMON </t>
  </si>
  <si>
    <t>ZOOTEC PIEDRA AGLUTINANTE X 4KG</t>
  </si>
  <si>
    <t>PIEDRA SANITARIA THEBEST X20KG</t>
  </si>
  <si>
    <t>SHAMPOO ANTISEP CACH X 300CC</t>
  </si>
  <si>
    <t>SHAMPOO P-GAR PULG/GARR X300 CC</t>
  </si>
  <si>
    <t>SHAMPOO MASCOTA X 300 CC</t>
  </si>
  <si>
    <t>SHAMP. OSSPRET MEDICADO</t>
  </si>
  <si>
    <t>SHAMP. OSSPRET CLORHEXIDIA</t>
  </si>
  <si>
    <t>SHAMP. OSSPRET ANTISEBORR.POTEN.</t>
  </si>
  <si>
    <t>SHAMP. NEGRO.</t>
  </si>
  <si>
    <t xml:space="preserve">TALCO FIEL PULG-GARRAP </t>
  </si>
  <si>
    <t>SINORIN DUO REPELENTE X 500CC</t>
  </si>
  <si>
    <t>EMBUDO PLASTICO</t>
  </si>
  <si>
    <t>GELTEK BLOQUE BLISTER P/RATA</t>
  </si>
  <si>
    <t>VENENO</t>
  </si>
  <si>
    <t xml:space="preserve">GELTEK CASITAS CEBO </t>
  </si>
  <si>
    <t xml:space="preserve">VENENO </t>
  </si>
  <si>
    <t xml:space="preserve">GELTEK JERINGA CUCARACHAS </t>
  </si>
  <si>
    <t>GELTEK JERINGA HORMIGAS</t>
  </si>
  <si>
    <t>HORTAL HORMIGUICIDA LIQUIDO X250CC</t>
  </si>
  <si>
    <t>TRAMPERA LAUCHA MADERA</t>
  </si>
  <si>
    <t>DERRIBANTE VELOZAN X60CC INSEC.</t>
  </si>
  <si>
    <t>ULTRARATICIDA MONOD.</t>
  </si>
  <si>
    <t>ANTORCHA P/CINTRONELLA MEDIANA</t>
  </si>
  <si>
    <t>ANTORCHA P/CINTRONELLA GRANDE</t>
  </si>
  <si>
    <t>ANTORCHA P/CINTRONELLA CHICA</t>
  </si>
  <si>
    <t>DOGCHOW POUCH CACHORRO POLLO</t>
  </si>
  <si>
    <t>ALIMENTO</t>
  </si>
  <si>
    <t>SOGA P/ROPA PLAS 3MTS</t>
  </si>
  <si>
    <t>SOGA P/ROPA PLAS 5MTS</t>
  </si>
  <si>
    <t>PULVERIZADOR PLASTICO P/BOTELLA</t>
  </si>
  <si>
    <t>CATNIP DESHIDRATADO</t>
  </si>
  <si>
    <t>ACEDAN GOTAS PALATABLES</t>
  </si>
  <si>
    <t>SALUD</t>
  </si>
  <si>
    <t>COLLAR HOLLIDAY ANTIP.CHICO</t>
  </si>
  <si>
    <t>COLLAR HOLLIDAY ANTIP.GRANDE</t>
  </si>
  <si>
    <t>JABON FAUNA X 80G</t>
  </si>
  <si>
    <t>LA PIPETA OSSPRET D 11 A 20KG</t>
  </si>
  <si>
    <t>LA PIPETA OSSPRET D 2 A 10KG</t>
  </si>
  <si>
    <t>COMPRIMID. POWER DE 20,1 A 30</t>
  </si>
  <si>
    <t>COMPRIMID. POWER DE 2.5 A 5</t>
  </si>
  <si>
    <t>COMPRIMID. POWER DE 5.1 A 10</t>
  </si>
  <si>
    <t xml:space="preserve">COMPRIMID. POWER DE 10 A 20 </t>
  </si>
  <si>
    <t>COMPRIMID. POWER DE 30 A 40</t>
  </si>
  <si>
    <t>LA PIPETA OSSPRET GATO D 4 A 8KG</t>
  </si>
  <si>
    <t>LA PIPETA OSSPRET GATO HASTA 4KG</t>
  </si>
  <si>
    <t>LA PIPETA OSSPRET + 40KG</t>
  </si>
  <si>
    <t>LEVAMISOL ORAL GOTAS X 15CC</t>
  </si>
  <si>
    <t>PIPETA POWER ULTRA 11 A 20KG</t>
  </si>
  <si>
    <t>PIPETA POWER ULTRA 21 A40KG</t>
  </si>
  <si>
    <t xml:space="preserve">PIPETA POWER ULTRA 41 A 60KG </t>
  </si>
  <si>
    <t>PIPETA POWER ULTRA DE 5 A 10KG</t>
  </si>
  <si>
    <t>PIPETA PORWER ULTRA PERRO MINI DE 2 A 4KG</t>
  </si>
  <si>
    <t>CARDINA UNIVERSAL JR.</t>
  </si>
  <si>
    <t>CARDINA CON BOTON EXPULSAPELO</t>
  </si>
  <si>
    <t>ALICATE TIJERA GATO</t>
  </si>
  <si>
    <t>PELOTA SNAK BALL</t>
  </si>
  <si>
    <t>JUGUETE</t>
  </si>
  <si>
    <t>CORREA EXT. CN PORTABOLSA</t>
  </si>
  <si>
    <t>CORREA</t>
  </si>
  <si>
    <t>CORREA ALPINA</t>
  </si>
  <si>
    <t>CORREA EXT.</t>
  </si>
  <si>
    <t>BEBEDERO PORTATIL BOTELLA</t>
  </si>
  <si>
    <t>BEBEDERO</t>
  </si>
  <si>
    <t>BASE PARA BEBEDERO</t>
  </si>
  <si>
    <t>BEBDERO</t>
  </si>
  <si>
    <t>COMEDERO COMELENTO</t>
  </si>
  <si>
    <t>COMEDERO</t>
  </si>
  <si>
    <t>ALIMENTOS</t>
  </si>
  <si>
    <t>DOGPRO ADULTO MORDIDA PEQUEñA XKG</t>
  </si>
  <si>
    <t>DOGPRO CACHORRO XKG</t>
  </si>
  <si>
    <t>DOGPRO ADULTO SUPER PREMIUM XKG</t>
  </si>
  <si>
    <t>4 HUELLAS GATO ADULTO</t>
  </si>
  <si>
    <t>EXCELLENT PUPPY FORMULA XKG</t>
  </si>
  <si>
    <t>VORAZ GATO ADULTO X2OK</t>
  </si>
  <si>
    <t>EXCELLENT GATO URINARY X7.5KG</t>
  </si>
  <si>
    <t>VITAL BALANCED CACHORRO PUPPY</t>
  </si>
  <si>
    <t>EXCELLENT PERRO ADULTO MORD. PEQ. 15KG</t>
  </si>
  <si>
    <t>VAGONETA GOURMET PERRO ADULTO</t>
  </si>
  <si>
    <t>VAGONETA GOURMET CACHORRO</t>
  </si>
  <si>
    <t>VORAZ PERRO ADULTO MIX</t>
  </si>
  <si>
    <t>VORAZ GATO PESCADO ADULTO</t>
  </si>
  <si>
    <t>GATI GATO PESCADO Y SALMON</t>
  </si>
  <si>
    <t>GATI GATO CARNE Y POLLO</t>
  </si>
  <si>
    <t>CATPRO GATO ADULTO</t>
  </si>
  <si>
    <t>CATPRO KITTEN</t>
  </si>
  <si>
    <t>EXCELLENT GATO ADULTO</t>
  </si>
  <si>
    <t>EXCELLENT PERRO ADULTO BONUS 20K +2</t>
  </si>
  <si>
    <t>NUTRIBON URINARY XKG</t>
  </si>
  <si>
    <t>JUAN</t>
  </si>
  <si>
    <t>CAT CHOW ADULTO CARNE POLLO</t>
  </si>
  <si>
    <t>CATCHOW POUCH ADULTO POLLO</t>
  </si>
  <si>
    <t>CATCHOW POUCH GATITO POLLO</t>
  </si>
  <si>
    <t>PEDIGREE DENTASTIX RAZA MED X1</t>
  </si>
  <si>
    <t>PEDIGREE DENTASTIX RAZA MED X3</t>
  </si>
  <si>
    <t>PEDIGREE DENTASTIX RAZA MED X7</t>
  </si>
  <si>
    <t>PEDIGREE POUCH AD. CARNE</t>
  </si>
  <si>
    <t>PEDIGREE POUCH AD. POLLO</t>
  </si>
  <si>
    <t>PEDIGREE POUCH AD. PEQ POLLO</t>
  </si>
  <si>
    <t>PEDIGREE POUCH AD. PEQ. CARNE</t>
  </si>
  <si>
    <t>PEDIGREE POUCH CACHORRO</t>
  </si>
  <si>
    <t>SEMILLAS GIRASOL</t>
  </si>
  <si>
    <t>QUIMICOS</t>
  </si>
  <si>
    <t>ARIEL ECO (VERDE) 1L</t>
  </si>
  <si>
    <t>TEXTIL</t>
  </si>
  <si>
    <t>MR CLEAN</t>
  </si>
  <si>
    <t>ARIEL ECO (VERDE) 5L</t>
  </si>
  <si>
    <t>ARIEL PREMIUM (VERDE) 1L</t>
  </si>
  <si>
    <t>ARIEL PREMIUM (VERDE) 5L</t>
  </si>
  <si>
    <t>ARIEL. EXT. PERF. (VERDE CON SUAVIZANTE) 1L</t>
  </si>
  <si>
    <t>ARIEL. EXT. PERF. (VERDE CON SUAVIZANTE) 5L</t>
  </si>
  <si>
    <t>VIVERE ECO (CELESTE) 1L</t>
  </si>
  <si>
    <t>VIVERE ECO (CELESTE) 5L</t>
  </si>
  <si>
    <t>COMFORT PREMIUM (ROSA) 1L</t>
  </si>
  <si>
    <t>COMFORT PREMIUM (ROSA) 5L</t>
  </si>
  <si>
    <t>VIVERE EXT. PERF. (CELESTE) 1L</t>
  </si>
  <si>
    <t>VIVERE EXT. PERF. (CELESTE) 5L</t>
  </si>
  <si>
    <t>MAGISTRAL ECO (LIMON AMARILLO) 1L</t>
  </si>
  <si>
    <t>DETERGENTE</t>
  </si>
  <si>
    <t>MAGISTRAL ECO (LIMON AMARILLO) 5L</t>
  </si>
  <si>
    <t>ALOE VERA (VERDE) 1L</t>
  </si>
  <si>
    <t>ALOE VERA (VERDE) 5L</t>
  </si>
  <si>
    <t>LAVANDINA EN GEL</t>
  </si>
  <si>
    <t>LIMPIEZA</t>
  </si>
  <si>
    <t>APRESTO</t>
  </si>
  <si>
    <t>DESTAPA CAñOS</t>
  </si>
  <si>
    <t>BICARBONATO x100g</t>
  </si>
  <si>
    <t>CERA DE PISO</t>
  </si>
  <si>
    <t>DESENGRASANTE COCINA 1L</t>
  </si>
  <si>
    <t>DESENGRASANTE COCINA 5L</t>
  </si>
  <si>
    <t>LIMPIAVIDRIOS 1L</t>
  </si>
  <si>
    <t>LIMPIAVIDRIOS 5L</t>
  </si>
  <si>
    <t>HECHO EN BALDE 1L</t>
  </si>
  <si>
    <t>HECHO EN BALDE 5L</t>
  </si>
  <si>
    <t>FLIT</t>
  </si>
  <si>
    <t>PERFUMINA CHERRY 1L</t>
  </si>
  <si>
    <t>PERFUMINA</t>
  </si>
  <si>
    <t>PERFUMINA CHERRY 5L</t>
  </si>
  <si>
    <t>PERFUMINA UVA 1L</t>
  </si>
  <si>
    <t>PERFUMINA UVA 5L</t>
  </si>
  <si>
    <t>PERFUMINA LIMON 1L</t>
  </si>
  <si>
    <t>PERFUMINA LIMON 5L</t>
  </si>
  <si>
    <t>PERFUMINA LISOFORM 1L</t>
  </si>
  <si>
    <t>PERFUMINA LISOFORM 1/2</t>
  </si>
  <si>
    <t>PERFUMINA VAINILLA 1L</t>
  </si>
  <si>
    <t>PERFUMINA VAINILLA 5L</t>
  </si>
  <si>
    <t>TICKET ROPA 1L</t>
  </si>
  <si>
    <t>PERFUME TEXTIL</t>
  </si>
  <si>
    <t>VAINILLA/COCO ROPA 1L</t>
  </si>
  <si>
    <t>JABON LIQUIDO  P/MANOS COCO 1/2L</t>
  </si>
  <si>
    <t>HIGIENE PERSONAL</t>
  </si>
  <si>
    <t>JABON LIQUIDO ESPADOL P/MANOS 1/2L</t>
  </si>
  <si>
    <t>SHAMPOO DOVE 1/2L</t>
  </si>
  <si>
    <t>ACONDICIONADOR PANTENE 1/2L</t>
  </si>
  <si>
    <t>LAVANDINA 1L</t>
  </si>
  <si>
    <t>LAVANDINA 5L</t>
  </si>
  <si>
    <t>AUTOMOTOR</t>
  </si>
  <si>
    <t>KAUCHO</t>
  </si>
  <si>
    <t>DESENGRASANTE P/MOTOR</t>
  </si>
  <si>
    <t>SILICONA DE VAINI/COCO</t>
  </si>
  <si>
    <t>BIDON 20LTS</t>
  </si>
  <si>
    <t>DESCARTABLES</t>
  </si>
  <si>
    <t>BIDON BLANCO 5LTS</t>
  </si>
  <si>
    <t>BOTELLA PET 500CC</t>
  </si>
  <si>
    <t>BOTELLA PET 1LT</t>
  </si>
  <si>
    <t>BAZAR</t>
  </si>
  <si>
    <t>ESCOBA PLUMITA ECO</t>
  </si>
  <si>
    <t xml:space="preserve">REPASADOR CUADRADITOS </t>
  </si>
  <si>
    <t>ESCOBA TEMPRA PREMIUM NUEVA</t>
  </si>
  <si>
    <t>FOSFOROS COLOSO 220</t>
  </si>
  <si>
    <t>GUANTES BATUQUE</t>
  </si>
  <si>
    <t>JABON EN PAN SIGNO 200G</t>
  </si>
  <si>
    <t>LYSOFORM AEROSOL X 360 ORGINAL</t>
  </si>
  <si>
    <t>PALA DE RESIDUO CON CABO</t>
  </si>
  <si>
    <t>PILAS ENERGIZER AA</t>
  </si>
  <si>
    <t>PILAS ENERGIZER AAA</t>
  </si>
  <si>
    <t>BLEM AEROSOL LUSTRAMUEBLES CLASICO 360</t>
  </si>
  <si>
    <t xml:space="preserve">BALDE 13L "COLORES" </t>
  </si>
  <si>
    <t>CEPILLO INODORO</t>
  </si>
  <si>
    <t>PASA CERA REFORZADO</t>
  </si>
  <si>
    <t>PANUELITOS ELITE PACK X6</t>
  </si>
  <si>
    <t>JABON EN POLVO "ZORRO" X400G</t>
  </si>
  <si>
    <t>VALERINA CHICA</t>
  </si>
  <si>
    <t xml:space="preserve">BALDE 12L </t>
  </si>
  <si>
    <t xml:space="preserve">BARRE HOJAS </t>
  </si>
  <si>
    <t>CABO METAL 1.20CM</t>
  </si>
  <si>
    <t>CABO NORMAL 1.20CM</t>
  </si>
  <si>
    <t>CABO 1.5CM</t>
  </si>
  <si>
    <t>AERODESODO-AMB POETT X 360</t>
  </si>
  <si>
    <t xml:space="preserve">GUANTES MOTEADOS </t>
  </si>
  <si>
    <t>MOPA</t>
  </si>
  <si>
    <t>RAID NEGRO 304</t>
  </si>
  <si>
    <t>REJILLA SUPER  "ENTRESOL" 40X42CM</t>
  </si>
  <si>
    <t>REJILLA SUPER "PABILO" 37X40 CM</t>
  </si>
  <si>
    <t>REJILLA LAVACOCHE 45X60CM</t>
  </si>
  <si>
    <t>TRAPO DE PISO - ECO 45X58CM</t>
  </si>
  <si>
    <t>TRAPO DE PISO "ESTRELLA" 48X60CM</t>
  </si>
  <si>
    <t>VALERINA GRANDE</t>
  </si>
  <si>
    <t>ALGODON ESTRELLITA X75G</t>
  </si>
  <si>
    <t>PROTECTORES "SIMPLY"  X20U</t>
  </si>
  <si>
    <t>TOALLITAS PACK X8 "SIMPLY"</t>
  </si>
  <si>
    <t>SECADOR N40 "NAZAR"</t>
  </si>
  <si>
    <t xml:space="preserve">TOALLITAS "LINA" PACK X8 </t>
  </si>
  <si>
    <t>CREMA REPELENTE "STOFF" 60G</t>
  </si>
  <si>
    <t>EMBUDO X15CM</t>
  </si>
  <si>
    <t>ALCOHOL ETILICO X500 "COLOSO"</t>
  </si>
  <si>
    <t>ESCOBA DE PAJA AZUL</t>
  </si>
  <si>
    <t>ESCOBA DE PAJA ROJA</t>
  </si>
  <si>
    <t>ESPONJA BATUQUE ECO</t>
  </si>
  <si>
    <t>BOLSA C 60X90</t>
  </si>
  <si>
    <t>BOLSA R 45X60</t>
  </si>
  <si>
    <t>BROCHES "PITU"- PLAS</t>
  </si>
  <si>
    <t>ESPONJA "DEA" COLOR</t>
  </si>
  <si>
    <t>ESPONJA AMARILLA "BATUQUE-SALVAU"</t>
  </si>
  <si>
    <t xml:space="preserve">ESPONJA GIGANTE ACERO </t>
  </si>
  <si>
    <t>ESPONJA GIGANTE BRONCE HELP</t>
  </si>
  <si>
    <t>FRANELAS 40X50CM</t>
  </si>
  <si>
    <t xml:space="preserve">LANA ACERO "BATUQUE" </t>
  </si>
  <si>
    <t>MATAMOSCAS</t>
  </si>
  <si>
    <t>SECADOR N40 ECO</t>
  </si>
  <si>
    <t>SECADOR N30</t>
  </si>
  <si>
    <t>SECADOR N50 "NAZAR"</t>
  </si>
  <si>
    <t xml:space="preserve">ROLLISEC "EL COLOSO" 40 X3 </t>
  </si>
  <si>
    <t>JABON DE TOCADOR "LUX"</t>
  </si>
  <si>
    <t>PAPEL HIGIENICO "MR CLEAN" X30U BLANCO</t>
  </si>
  <si>
    <t>PAPEL HIGIENICO "ELEGANTE"</t>
  </si>
  <si>
    <t>ROPA PERRO TALLE 1/0 18*22</t>
  </si>
  <si>
    <t>ROPA</t>
  </si>
  <si>
    <t>CARINA</t>
  </si>
  <si>
    <t>ROPA PERRO TALLE 2 27*40</t>
  </si>
  <si>
    <t>ROPA PERRO TALLE 3 32*48</t>
  </si>
  <si>
    <t>ROPA PERRO TALLE 4 37*60</t>
  </si>
  <si>
    <t>ROPA PERRO TALLE 5 43*68</t>
  </si>
  <si>
    <t>ROPA PERRO TALLE 6</t>
  </si>
  <si>
    <t>ROPA PERRO TALLE 7</t>
  </si>
  <si>
    <t>ROPA PERRO TALLE 8</t>
  </si>
  <si>
    <t>CAMITAS 70x50</t>
  </si>
  <si>
    <t>CAMAS</t>
  </si>
  <si>
    <t>CAMITAS  70x70</t>
  </si>
  <si>
    <t>CAMITAS 1x70</t>
  </si>
  <si>
    <t>CAMITAS 1x1.20</t>
  </si>
  <si>
    <t>MOISES  48CM</t>
  </si>
  <si>
    <t>MOISES  55CM</t>
  </si>
  <si>
    <t>ALMOHADONES</t>
  </si>
  <si>
    <t>CUBO 3 POSICIONES</t>
  </si>
  <si>
    <t>AROMATIZANTE</t>
  </si>
  <si>
    <t>ESFERAS MAGICAS ORG.</t>
  </si>
  <si>
    <t>AROMA</t>
  </si>
  <si>
    <t>LAS 3 REINAS</t>
  </si>
  <si>
    <t>HORNITO</t>
  </si>
  <si>
    <t>VELAS P/HORNITO</t>
  </si>
  <si>
    <t>SAHUMADOR</t>
  </si>
  <si>
    <t>PORTA SAHUMERIO</t>
  </si>
  <si>
    <t>PORTA SAHUMERIO COLOR</t>
  </si>
  <si>
    <t>SAHUMERIOS MAGIC</t>
  </si>
  <si>
    <t>SAHUMERIOS "MOMENTOS"</t>
  </si>
  <si>
    <t>PALO SANTO BUENA ONDA</t>
  </si>
  <si>
    <t>TIBETANOS</t>
  </si>
  <si>
    <t>SAHUMERIO ORGANICO</t>
  </si>
  <si>
    <t>SAHUMERIO SLIM</t>
  </si>
  <si>
    <t>SAHUMERIOS.COM</t>
  </si>
  <si>
    <t>ARMONIA DE HOGAR LIQUIDO</t>
  </si>
  <si>
    <t>SAHUMERIOS SUELTOS X6</t>
  </si>
  <si>
    <t>SAPHIRUS AEROSOL</t>
  </si>
  <si>
    <t>Cantidad entrada</t>
  </si>
  <si>
    <t>Cantidad salida</t>
  </si>
  <si>
    <t>Motivo</t>
  </si>
  <si>
    <t>Responsable</t>
  </si>
  <si>
    <t>Fecha - Mes</t>
  </si>
  <si>
    <t>COUNTA de Ticket</t>
  </si>
  <si>
    <t>SUM de Total</t>
  </si>
  <si>
    <t>Promedio</t>
  </si>
  <si>
    <t>Gastos totales</t>
  </si>
  <si>
    <t>jun</t>
  </si>
  <si>
    <t>may</t>
  </si>
  <si>
    <t>jul</t>
  </si>
  <si>
    <t>ago</t>
  </si>
  <si>
    <t>Suma total</t>
  </si>
  <si>
    <t>Precio unitario</t>
  </si>
  <si>
    <t>Total x Dia</t>
  </si>
  <si>
    <t>PIZARRONES MADERA</t>
  </si>
  <si>
    <t>ETIQUETAS P/BIDONES</t>
  </si>
  <si>
    <t>PINTURA LOCAL</t>
  </si>
  <si>
    <t>TARJETA DE CRED.</t>
  </si>
  <si>
    <t xml:space="preserve">Techo </t>
  </si>
  <si>
    <t xml:space="preserve">plafón </t>
  </si>
  <si>
    <t>CARTEL SEñA</t>
  </si>
  <si>
    <t>Rosario Color(pintura reja)</t>
  </si>
  <si>
    <t>Timbre</t>
  </si>
  <si>
    <t>Ventanita reja</t>
  </si>
  <si>
    <t>Balanza CUOTA 1/3</t>
  </si>
  <si>
    <t xml:space="preserve">Candado </t>
  </si>
  <si>
    <t>Cartel pago final</t>
  </si>
  <si>
    <t xml:space="preserve">Artículos libreria </t>
  </si>
  <si>
    <t>Tizas</t>
  </si>
  <si>
    <t>Bolsas</t>
  </si>
  <si>
    <t>LIBRERIA</t>
  </si>
  <si>
    <t>ESTANTERIAS</t>
  </si>
  <si>
    <t>NUTRIBON URINARY</t>
  </si>
  <si>
    <t>GASTOS LIBRERIA</t>
  </si>
  <si>
    <t>FOTOCOPIAS</t>
  </si>
  <si>
    <t>SUSHI</t>
  </si>
  <si>
    <t>Categoria</t>
  </si>
  <si>
    <t>Costo total</t>
  </si>
  <si>
    <t>Forma de pago</t>
  </si>
  <si>
    <t>Fecha de entrega</t>
  </si>
  <si>
    <t>Columna 1</t>
  </si>
  <si>
    <t>ENTREGADO</t>
  </si>
  <si>
    <t xml:space="preserve">PETSHOP </t>
  </si>
  <si>
    <t xml:space="preserve">EFECTIVO </t>
  </si>
  <si>
    <t>AROMAS</t>
  </si>
  <si>
    <t>COSSIA</t>
  </si>
  <si>
    <t>PRODUCTO</t>
  </si>
  <si>
    <t>COSTO CLIENTE</t>
  </si>
  <si>
    <t>SUGERIDO</t>
  </si>
  <si>
    <t>COSTO CLIENTE +10U</t>
  </si>
  <si>
    <t>COSTO CLIENTE +50U</t>
  </si>
  <si>
    <t>xU</t>
  </si>
  <si>
    <t>ARIEL EXTRA P. X20</t>
  </si>
  <si>
    <t>X1</t>
  </si>
  <si>
    <t>X5</t>
  </si>
  <si>
    <t>COMFORT 1L</t>
  </si>
  <si>
    <t>CERA ROJA 10L</t>
  </si>
  <si>
    <t>ALOE VERA 1L</t>
  </si>
  <si>
    <t>ARIEL ECO 40L</t>
  </si>
  <si>
    <t>PERFUMINA  1L</t>
  </si>
  <si>
    <t>VIVERE ECO 40L</t>
  </si>
  <si>
    <t>HIPOCLORITO 80L</t>
  </si>
  <si>
    <t>LAVANDINA 80L</t>
  </si>
  <si>
    <t>MAGISTRAL 40L</t>
  </si>
  <si>
    <t>LIMPIAVIDRIOS</t>
  </si>
  <si>
    <t xml:space="preserve">BOTELLAS PET 1LT </t>
  </si>
  <si>
    <t>/30</t>
  </si>
  <si>
    <t>/25</t>
  </si>
  <si>
    <t>/20</t>
  </si>
  <si>
    <t>Concepto</t>
  </si>
  <si>
    <t>Monto mensual</t>
  </si>
  <si>
    <t>Tipo (Fijo/Variable)</t>
  </si>
  <si>
    <t>Observaciones</t>
  </si>
  <si>
    <t>Cuota Prestamo</t>
  </si>
  <si>
    <t>Fijo</t>
  </si>
  <si>
    <t>PAGADA</t>
  </si>
  <si>
    <t>Mes</t>
  </si>
  <si>
    <t>Ingresos totales</t>
  </si>
  <si>
    <t>CMV</t>
  </si>
  <si>
    <t>Egresos totales</t>
  </si>
  <si>
    <t>Ganancia bruta</t>
  </si>
  <si>
    <t>MARGEN BRUTO</t>
  </si>
  <si>
    <t>Ganancia neta</t>
  </si>
  <si>
    <t>Rentabilidad (%)</t>
  </si>
  <si>
    <t>OBJETIVO</t>
  </si>
  <si>
    <t>Porcentaje de objetivo</t>
  </si>
  <si>
    <t>Cuota</t>
  </si>
  <si>
    <t>Fecha de vencimiento</t>
  </si>
  <si>
    <t>Monto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</si>
</sst>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/M/yyyy"/>
    <numFmt numFmtId="166" formatCode="_-&quot;$&quot;* #,##0.00_-;_-&quot;$&quot;* \-#,##0.00_-;_-&quot;$&quot;* &quot;-&quot;??_-;_-@"/>
    <numFmt numFmtId="167" formatCode="&quot;$&quot;#,##0.00"/>
    <numFmt numFmtId="168" formatCode="m/d/yyyy h:mm:ss"/>
  </numFmts>
  <fonts count="20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rgb="FF434343"/>
      <name val="Roboto"/>
    </font>
    <font>
      <b/>
      <u/>
      <color rgb="FF0000FF"/>
      <name val="Roboto"/>
    </font>
    <font>
      <b/>
      <sz val="17.0"/>
      <color theme="1"/>
      <name val="Calibri"/>
    </font>
    <font>
      <b/>
      <sz val="18.0"/>
      <color theme="1"/>
      <name val="Calibri"/>
      <scheme val="minor"/>
    </font>
    <font>
      <b/>
      <sz val="11.0"/>
      <color theme="1"/>
      <name val="Calibri"/>
      <scheme val="minor"/>
    </font>
    <font>
      <b/>
      <sz val="17.0"/>
      <color theme="1"/>
      <name val="Calibri"/>
      <scheme val="minor"/>
    </font>
    <font>
      <b/>
      <sz val="19.0"/>
      <color theme="1"/>
      <name val="Calibri"/>
      <scheme val="minor"/>
    </font>
    <font>
      <sz val="11.0"/>
      <color theme="1"/>
      <name val="Calibri"/>
    </font>
    <font>
      <u/>
      <color rgb="FF0000FF"/>
      <name val="Roboto"/>
    </font>
    <font>
      <b/>
      <color rgb="FF000000"/>
      <name val="Calibri"/>
      <scheme val="minor"/>
    </font>
    <font>
      <color rgb="FF000000"/>
      <name val="Calibri"/>
      <scheme val="minor"/>
    </font>
    <font>
      <b/>
      <sz val="11.0"/>
      <color rgb="FF434343"/>
      <name val="Calibri"/>
      <scheme val="minor"/>
    </font>
    <font>
      <b/>
      <sz val="11.0"/>
      <color rgb="FF000000"/>
      <name val="Calibri"/>
      <scheme val="minor"/>
    </font>
    <font>
      <sz val="11.0"/>
      <color rgb="FF000000"/>
      <name val="Roboto"/>
    </font>
    <font>
      <sz val="9.0"/>
      <color theme="1"/>
      <name val="Google Sans Mon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FFFF00"/>
        <bgColor rgb="FFFFFF00"/>
      </patternFill>
    </fill>
    <fill>
      <patternFill patternType="solid">
        <fgColor rgb="FF356854"/>
        <bgColor rgb="FF356854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</fills>
  <borders count="78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6F8F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F6F8F9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F6F8F9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6F8F9"/>
      </right>
      <top style="thin">
        <color rgb="FF000000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F6F8F9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00"/>
      </bottom>
    </border>
    <border>
      <left style="thin">
        <color rgb="FF000000"/>
      </left>
      <right style="thin">
        <color rgb="FFFFFF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00"/>
      </right>
      <top style="thin">
        <color rgb="FF000000"/>
      </top>
      <bottom style="thin">
        <color rgb="FFFFFF00"/>
      </bottom>
    </border>
    <border>
      <left style="thin">
        <color rgb="FFFFFF00"/>
      </left>
      <right style="thin">
        <color rgb="FFFFFF00"/>
      </right>
      <top style="thin">
        <color rgb="FF000000"/>
      </top>
      <bottom style="thin">
        <color rgb="FFFFFF00"/>
      </bottom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FFFF00"/>
      </bottom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B7E1CD"/>
      </left>
      <right style="thin">
        <color rgb="FFB7E1CD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E599"/>
      </right>
      <top style="thin">
        <color rgb="FFFFE599"/>
      </top>
      <bottom style="thin">
        <color rgb="FF000000"/>
      </bottom>
    </border>
    <border>
      <left style="thin">
        <color rgb="FFFFE599"/>
      </left>
      <right style="thin">
        <color rgb="FFFFE599"/>
      </right>
      <top style="thin">
        <color rgb="FFFFE599"/>
      </top>
      <bottom style="thin">
        <color rgb="FF000000"/>
      </bottom>
    </border>
    <border>
      <left style="thin">
        <color rgb="FF356854"/>
      </left>
      <right style="thin">
        <color rgb="FF356854"/>
      </right>
      <top style="thin">
        <color rgb="FF356854"/>
      </top>
      <bottom style="thin">
        <color rgb="FF356854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284E3F"/>
      </left>
      <right style="thin">
        <color rgb="FFFFE599"/>
      </right>
      <top style="thin">
        <color rgb="FF000000"/>
      </top>
      <bottom style="thin">
        <color rgb="FF000000"/>
      </bottom>
    </border>
    <border>
      <left style="thin">
        <color rgb="FFFFE599"/>
      </left>
      <right style="thin">
        <color rgb="FFFFE599"/>
      </right>
      <top style="thin">
        <color rgb="FF000000"/>
      </top>
      <bottom style="thin">
        <color rgb="FF000000"/>
      </bottom>
    </border>
    <border>
      <left style="thin">
        <color rgb="FFFFE599"/>
      </left>
      <right style="thin">
        <color rgb="FF284E3F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FD966"/>
      </right>
      <top style="thin">
        <color rgb="FFFFD966"/>
      </top>
      <bottom style="thin">
        <color rgb="FFFFD966"/>
      </bottom>
    </border>
    <border>
      <left style="thin">
        <color rgb="FFFFD966"/>
      </left>
      <right style="thin">
        <color rgb="FFFFD966"/>
      </right>
      <top style="thin">
        <color rgb="FFFFD966"/>
      </top>
      <bottom style="thin">
        <color rgb="FFFFD966"/>
      </bottom>
    </border>
    <border>
      <left style="thin">
        <color rgb="FFFFD966"/>
      </left>
      <right style="thin">
        <color rgb="FF284E3F"/>
      </right>
      <top style="thin">
        <color rgb="FFFFD966"/>
      </top>
      <bottom style="thin">
        <color rgb="FFFFD966"/>
      </bottom>
    </border>
    <border>
      <left style="thin">
        <color rgb="FF8C352D"/>
      </left>
      <right style="thin">
        <color rgb="FFBB463C"/>
      </right>
      <top style="thin">
        <color rgb="FF8C352D"/>
      </top>
      <bottom style="thin">
        <color rgb="FF8C352D"/>
      </bottom>
    </border>
    <border>
      <left style="thin">
        <color rgb="FFBB463C"/>
      </left>
      <right style="thin">
        <color rgb="FFBB463C"/>
      </right>
      <top style="thin">
        <color rgb="FF8C352D"/>
      </top>
      <bottom style="thin">
        <color rgb="FF8C352D"/>
      </bottom>
    </border>
    <border>
      <left style="thin">
        <color rgb="FFBB463C"/>
      </left>
      <right style="thin">
        <color rgb="FF8C352D"/>
      </right>
      <top style="thin">
        <color rgb="FF8C352D"/>
      </top>
      <bottom style="thin">
        <color rgb="FF8C352D"/>
      </bottom>
    </border>
    <border>
      <left style="thin">
        <color rgb="FF8C352D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8C352D"/>
      </right>
      <top style="thin">
        <color rgb="FFFFFFFF"/>
      </top>
      <bottom style="thin">
        <color rgb="FFFFFFFF"/>
      </bottom>
    </border>
    <border>
      <left style="thin">
        <color rgb="FF8C352D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8C352D"/>
      </right>
      <top style="thin">
        <color rgb="FFF6F8F9"/>
      </top>
      <bottom style="thin">
        <color rgb="FFF6F8F9"/>
      </bottom>
    </border>
    <border>
      <left style="thin">
        <color rgb="FF8C352D"/>
      </left>
      <right style="thin">
        <color rgb="FFFFFFFF"/>
      </right>
      <top style="thin">
        <color rgb="FFFFFFFF"/>
      </top>
      <bottom style="thin">
        <color rgb="FF8C352D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8C352D"/>
      </bottom>
    </border>
    <border>
      <left style="thin">
        <color rgb="FFFFFFFF"/>
      </left>
      <right style="thin">
        <color rgb="FF8C352D"/>
      </right>
      <top style="thin">
        <color rgb="FFFFFFFF"/>
      </top>
      <bottom style="thin">
        <color rgb="FF8C352D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0"/>
    </xf>
    <xf borderId="3" fillId="0" fontId="3" numFmtId="0" xfId="0" applyAlignment="1" applyBorder="1" applyFont="1">
      <alignment horizontal="left" readingOrder="0" shrinkToFit="0" vertical="center" wrapText="0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horizontal="center"/>
    </xf>
    <xf borderId="0" fillId="0" fontId="4" numFmtId="165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4" numFmtId="166" xfId="0" applyFont="1" applyNumberFormat="1"/>
    <xf borderId="0" fillId="0" fontId="4" numFmtId="167" xfId="0" applyFont="1" applyNumberFormat="1"/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1" fillId="0" fontId="4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0"/>
    </xf>
    <xf borderId="3" fillId="0" fontId="4" numFmtId="0" xfId="0" applyAlignment="1" applyBorder="1" applyFont="1">
      <alignment horizontal="left" readingOrder="0" shrinkToFit="0" vertical="center" wrapText="0"/>
    </xf>
    <xf borderId="4" fillId="0" fontId="4" numFmtId="165" xfId="0" applyAlignment="1" applyBorder="1" applyFont="1" applyNumberFormat="1">
      <alignment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horizontal="center" readingOrder="0" shrinkToFit="0" vertical="center" wrapText="0"/>
    </xf>
    <xf borderId="4" fillId="0" fontId="4" numFmtId="0" xfId="0" applyAlignment="1" applyBorder="1" applyFont="1">
      <alignment readingOrder="0" shrinkToFit="0" vertical="center" wrapText="0"/>
    </xf>
    <xf borderId="4" fillId="0" fontId="4" numFmtId="166" xfId="0" applyAlignment="1" applyBorder="1" applyFont="1" applyNumberFormat="1">
      <alignment readingOrder="0" shrinkToFit="0" vertical="center" wrapText="0"/>
    </xf>
    <xf borderId="4" fillId="0" fontId="4" numFmtId="0" xfId="0" applyAlignment="1" applyBorder="1" applyFont="1">
      <alignment shrinkToFit="0" vertical="center" wrapText="0"/>
    </xf>
    <xf borderId="4" fillId="0" fontId="4" numFmtId="0" xfId="0" applyAlignment="1" applyBorder="1" applyFont="1">
      <alignment readingOrder="0" shrinkToFit="0" vertical="center" wrapText="0"/>
    </xf>
    <xf borderId="4" fillId="0" fontId="4" numFmtId="165" xfId="0" applyAlignment="1" applyBorder="1" applyFont="1" applyNumberFormat="1">
      <alignment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horizontal="center"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5" fillId="0" fontId="4" numFmtId="166" xfId="0" applyAlignment="1" applyBorder="1" applyFont="1" applyNumberFormat="1">
      <alignment readingOrder="0" shrinkToFit="0" vertical="center" wrapText="0"/>
    </xf>
    <xf borderId="5" fillId="0" fontId="4" numFmtId="0" xfId="0" applyAlignment="1" applyBorder="1" applyFont="1">
      <alignment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6" fillId="0" fontId="4" numFmtId="166" xfId="0" applyAlignment="1" applyBorder="1" applyFont="1" applyNumberFormat="1">
      <alignment readingOrder="0" shrinkToFit="0" vertical="center" wrapText="0"/>
    </xf>
    <xf borderId="6" fillId="0" fontId="4" numFmtId="0" xfId="0" applyAlignment="1" applyBorder="1" applyFont="1">
      <alignment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6" fillId="0" fontId="4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9" fillId="0" fontId="4" numFmtId="0" xfId="0" applyAlignment="1" applyBorder="1" applyFont="1">
      <alignment readingOrder="0" shrinkToFit="0" vertical="center" wrapText="0"/>
    </xf>
    <xf borderId="10" fillId="0" fontId="3" numFmtId="0" xfId="0" applyAlignment="1" applyBorder="1" applyFont="1">
      <alignment horizontal="center"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2" fillId="0" fontId="4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14" fillId="0" fontId="3" numFmtId="0" xfId="0" applyAlignment="1" applyBorder="1" applyFont="1">
      <alignment readingOrder="0" shrinkToFit="0" vertical="center" wrapText="0"/>
    </xf>
    <xf borderId="15" fillId="0" fontId="3" numFmtId="0" xfId="0" applyAlignment="1" applyBorder="1" applyFont="1">
      <alignment readingOrder="0" shrinkToFit="0" vertical="center" wrapText="0"/>
    </xf>
    <xf borderId="16" fillId="0" fontId="4" numFmtId="0" xfId="0" applyAlignment="1" applyBorder="1" applyFont="1">
      <alignment readingOrder="0" shrinkToFit="0" vertical="center" wrapText="0"/>
    </xf>
    <xf borderId="17" fillId="0" fontId="4" numFmtId="0" xfId="0" applyAlignment="1" applyBorder="1" applyFont="1">
      <alignment readingOrder="0" shrinkToFit="0" vertical="center" wrapText="0"/>
    </xf>
    <xf borderId="6" fillId="0" fontId="4" numFmtId="165" xfId="0" applyAlignment="1" applyBorder="1" applyFont="1" applyNumberFormat="1">
      <alignment readingOrder="0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5" fillId="0" fontId="4" numFmtId="165" xfId="0" applyAlignment="1" applyBorder="1" applyFont="1" applyNumberFormat="1">
      <alignment readingOrder="0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8" fillId="0" fontId="4" numFmtId="0" xfId="0" applyAlignment="1" applyBorder="1" applyFont="1">
      <alignment horizontal="center" readingOrder="0" shrinkToFit="0" vertical="center" wrapText="0"/>
    </xf>
    <xf borderId="10" fillId="0" fontId="4" numFmtId="0" xfId="0" applyAlignment="1" applyBorder="1" applyFont="1">
      <alignment horizontal="center" readingOrder="0" shrinkToFit="0" vertical="center" wrapText="0"/>
    </xf>
    <xf borderId="18" fillId="0" fontId="4" numFmtId="0" xfId="0" applyAlignment="1" applyBorder="1" applyFont="1">
      <alignment readingOrder="0" shrinkToFit="0" vertical="center" wrapText="0"/>
    </xf>
    <xf borderId="19" fillId="0" fontId="4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shrinkToFit="0" vertical="center" wrapText="0"/>
    </xf>
    <xf borderId="10" fillId="0" fontId="4" numFmtId="0" xfId="0" applyAlignment="1" applyBorder="1" applyFont="1">
      <alignment horizontal="center" shrinkToFit="0" vertical="center" wrapText="0"/>
    </xf>
    <xf borderId="15" fillId="0" fontId="3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center" shrinkToFit="0" vertical="center" wrapText="0"/>
    </xf>
    <xf borderId="8" fillId="0" fontId="3" numFmtId="0" xfId="0" applyAlignment="1" applyBorder="1" applyFont="1">
      <alignment shrinkToFit="0" vertical="center" wrapText="0"/>
    </xf>
    <xf borderId="14" fillId="0" fontId="3" numFmtId="0" xfId="0" applyAlignment="1" applyBorder="1" applyFont="1">
      <alignment readingOrder="0" shrinkToFit="0" vertical="center" wrapText="0"/>
    </xf>
    <xf borderId="19" fillId="0" fontId="3" numFmtId="0" xfId="0" applyAlignment="1" applyBorder="1" applyFont="1">
      <alignment readingOrder="0" shrinkToFit="0" vertical="center" wrapText="0"/>
    </xf>
    <xf borderId="10" fillId="0" fontId="3" numFmtId="0" xfId="0" applyAlignment="1" applyBorder="1" applyFont="1">
      <alignment readingOrder="0" shrinkToFit="0" vertical="center" wrapText="0"/>
    </xf>
    <xf borderId="1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4" fillId="0" fontId="4" numFmtId="0" xfId="0" applyAlignment="1" applyBorder="1" applyFont="1">
      <alignment shrinkToFit="0" vertical="center" wrapText="0"/>
    </xf>
    <xf borderId="8" fillId="0" fontId="4" numFmtId="165" xfId="0" applyAlignment="1" applyBorder="1" applyFont="1" applyNumberFormat="1">
      <alignment readingOrder="0" shrinkToFit="0" vertical="center" wrapText="0"/>
    </xf>
    <xf borderId="20" fillId="0" fontId="3" numFmtId="0" xfId="0" applyAlignment="1" applyBorder="1" applyFont="1">
      <alignment readingOrder="0" shrinkToFit="0" vertical="center" wrapText="0"/>
    </xf>
    <xf borderId="21" fillId="0" fontId="3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10" fillId="0" fontId="4" numFmtId="165" xfId="0" applyAlignment="1" applyBorder="1" applyFont="1" applyNumberFormat="1">
      <alignment readingOrder="0" shrinkToFit="0" vertical="center" wrapText="0"/>
    </xf>
    <xf borderId="22" fillId="0" fontId="3" numFmtId="0" xfId="0" applyAlignment="1" applyBorder="1" applyFont="1">
      <alignment shrinkToFit="0" vertical="center" wrapText="0"/>
    </xf>
    <xf borderId="16" fillId="0" fontId="3" numFmtId="0" xfId="0" applyAlignment="1" applyBorder="1" applyFont="1">
      <alignment readingOrder="0" shrinkToFit="0" vertical="center" wrapText="0"/>
    </xf>
    <xf borderId="23" fillId="0" fontId="3" numFmtId="0" xfId="0" applyAlignment="1" applyBorder="1" applyFont="1">
      <alignment readingOrder="0" shrinkToFit="0" vertical="center" wrapText="0"/>
    </xf>
    <xf borderId="24" fillId="0" fontId="3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horizontal="center"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25" fillId="0" fontId="3" numFmtId="0" xfId="0" applyAlignment="1" applyBorder="1" applyFont="1">
      <alignment shrinkToFit="0" vertical="center" wrapText="0"/>
    </xf>
    <xf borderId="17" fillId="0" fontId="4" numFmtId="0" xfId="0" applyAlignment="1" applyBorder="1" applyFont="1">
      <alignment horizontal="center" readingOrder="0" shrinkToFit="0" vertical="center" wrapText="0"/>
    </xf>
    <xf borderId="26" fillId="0" fontId="3" numFmtId="0" xfId="0" applyAlignment="1" applyBorder="1" applyFont="1">
      <alignment readingOrder="0" shrinkToFit="0" vertical="center" wrapText="0"/>
    </xf>
    <xf borderId="16" fillId="0" fontId="4" numFmtId="0" xfId="0" applyAlignment="1" applyBorder="1" applyFont="1">
      <alignment horizontal="center" readingOrder="0" shrinkToFit="0" vertical="center" wrapText="0"/>
    </xf>
    <xf borderId="17" fillId="0" fontId="3" numFmtId="0" xfId="0" applyAlignment="1" applyBorder="1" applyFont="1">
      <alignment shrinkToFit="0" vertical="center" wrapText="0"/>
    </xf>
    <xf borderId="21" fillId="0" fontId="4" numFmtId="0" xfId="0" applyAlignment="1" applyBorder="1" applyFont="1">
      <alignment horizontal="center" readingOrder="0" shrinkToFit="0" vertical="center" wrapText="0"/>
    </xf>
    <xf borderId="22" fillId="0" fontId="4" numFmtId="0" xfId="0" applyAlignment="1" applyBorder="1" applyFont="1">
      <alignment shrinkToFit="0" vertical="center" wrapText="0"/>
    </xf>
    <xf borderId="25" fillId="0" fontId="4" numFmtId="0" xfId="0" applyAlignment="1" applyBorder="1" applyFont="1">
      <alignment shrinkToFit="0" vertical="center" wrapText="0"/>
    </xf>
    <xf borderId="16" fillId="0" fontId="4" numFmtId="0" xfId="0" applyAlignment="1" applyBorder="1" applyFont="1">
      <alignment horizontal="center" readingOrder="0" shrinkToFit="0" vertical="center" wrapText="0"/>
    </xf>
    <xf borderId="17" fillId="0" fontId="4" numFmtId="0" xfId="0" applyAlignment="1" applyBorder="1" applyFont="1">
      <alignment horizontal="center" readingOrder="0" shrinkToFit="0" vertical="center" wrapText="0"/>
    </xf>
    <xf borderId="16" fillId="0" fontId="4" numFmtId="0" xfId="0" applyAlignment="1" applyBorder="1" applyFont="1">
      <alignment shrinkToFit="0" vertical="center" wrapText="0"/>
    </xf>
    <xf borderId="21" fillId="0" fontId="4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17" fillId="0" fontId="4" numFmtId="0" xfId="0" applyAlignment="1" applyBorder="1" applyFont="1">
      <alignment readingOrder="0" shrinkToFit="0" vertical="center" wrapText="0"/>
    </xf>
    <xf borderId="16" fillId="0" fontId="4" numFmtId="0" xfId="0" applyAlignment="1" applyBorder="1" applyFont="1">
      <alignment readingOrder="0" shrinkToFit="0" vertical="center" wrapText="0"/>
    </xf>
    <xf borderId="25" fillId="0" fontId="3" numFmtId="0" xfId="0" applyAlignment="1" applyBorder="1" applyFont="1">
      <alignment readingOrder="0" shrinkToFit="0" vertical="center" wrapText="0"/>
    </xf>
    <xf borderId="17" fillId="0" fontId="4" numFmtId="0" xfId="0" applyAlignment="1" applyBorder="1" applyFont="1">
      <alignment shrinkToFit="0" vertical="center" wrapText="0"/>
    </xf>
    <xf borderId="26" fillId="0" fontId="4" numFmtId="0" xfId="0" applyAlignment="1" applyBorder="1" applyFont="1">
      <alignment readingOrder="0" shrinkToFit="0" vertical="center" wrapText="0"/>
    </xf>
    <xf borderId="4" fillId="0" fontId="4" numFmtId="0" xfId="0" applyAlignment="1" applyBorder="1" applyFont="1">
      <alignment shrinkToFit="0" vertical="center" wrapText="0"/>
    </xf>
    <xf borderId="24" fillId="2" fontId="3" numFmtId="0" xfId="0" applyAlignment="1" applyBorder="1" applyFill="1" applyFont="1">
      <alignment readingOrder="0" shrinkToFit="0" vertical="center" wrapText="0"/>
    </xf>
    <xf borderId="7" fillId="2" fontId="4" numFmtId="0" xfId="0" applyAlignment="1" applyBorder="1" applyFont="1">
      <alignment readingOrder="0" shrinkToFit="0" vertical="center" wrapText="0"/>
    </xf>
    <xf borderId="12" fillId="2" fontId="3" numFmtId="0" xfId="0" applyAlignment="1" applyBorder="1" applyFont="1">
      <alignment readingOrder="0" shrinkToFit="0" vertical="center" wrapText="0"/>
    </xf>
    <xf borderId="22" fillId="2" fontId="3" numFmtId="0" xfId="0" applyAlignment="1" applyBorder="1" applyFont="1">
      <alignment shrinkToFit="0" vertical="center" wrapText="0"/>
    </xf>
    <xf borderId="16" fillId="2" fontId="4" numFmtId="0" xfId="0" applyAlignment="1" applyBorder="1" applyFont="1">
      <alignment readingOrder="0" shrinkToFit="0" vertical="center" wrapText="0"/>
    </xf>
    <xf borderId="23" fillId="2" fontId="3" numFmtId="0" xfId="0" applyAlignment="1" applyBorder="1" applyFont="1">
      <alignment readingOrder="0" shrinkToFit="0" vertical="center" wrapText="0"/>
    </xf>
    <xf borderId="20" fillId="3" fontId="3" numFmtId="0" xfId="0" applyAlignment="1" applyBorder="1" applyFill="1" applyFont="1">
      <alignment readingOrder="0" shrinkToFit="0" vertical="center" wrapText="0"/>
    </xf>
    <xf borderId="21" fillId="3" fontId="4" numFmtId="0" xfId="0" applyAlignment="1" applyBorder="1" applyFont="1">
      <alignment horizontal="center" readingOrder="0" shrinkToFit="0" vertical="center" wrapText="0"/>
    </xf>
    <xf borderId="9" fillId="3" fontId="3" numFmtId="0" xfId="0" applyAlignment="1" applyBorder="1" applyFont="1">
      <alignment readingOrder="0" shrinkToFit="0" vertical="center" wrapText="0"/>
    </xf>
    <xf borderId="25" fillId="3" fontId="3" numFmtId="0" xfId="0" applyAlignment="1" applyBorder="1" applyFont="1">
      <alignment shrinkToFit="0" vertical="center" wrapText="0"/>
    </xf>
    <xf borderId="17" fillId="3" fontId="4" numFmtId="0" xfId="0" applyAlignment="1" applyBorder="1" applyFont="1">
      <alignment horizontal="center" readingOrder="0" shrinkToFit="0" vertical="center" wrapText="0"/>
    </xf>
    <xf borderId="26" fillId="3" fontId="3" numFmtId="0" xfId="0" applyAlignment="1" applyBorder="1" applyFont="1">
      <alignment readingOrder="0" shrinkToFit="0" vertical="center" wrapText="0"/>
    </xf>
    <xf borderId="25" fillId="3" fontId="4" numFmtId="0" xfId="0" applyAlignment="1" applyBorder="1" applyFont="1">
      <alignment shrinkToFit="0" vertical="center" wrapText="0"/>
    </xf>
    <xf borderId="17" fillId="3" fontId="4" numFmtId="0" xfId="0" applyAlignment="1" applyBorder="1" applyFont="1">
      <alignment shrinkToFit="0" vertical="center" wrapText="0"/>
    </xf>
    <xf borderId="7" fillId="2" fontId="4" numFmtId="0" xfId="0" applyAlignment="1" applyBorder="1" applyFont="1">
      <alignment horizontal="center" readingOrder="0" shrinkToFit="0" vertical="center" wrapText="0"/>
    </xf>
    <xf borderId="22" fillId="2" fontId="4" numFmtId="0" xfId="0" applyAlignment="1" applyBorder="1" applyFont="1">
      <alignment shrinkToFit="0" vertical="center" wrapText="0"/>
    </xf>
    <xf borderId="16" fillId="2" fontId="4" numFmtId="0" xfId="0" applyAlignment="1" applyBorder="1" applyFont="1">
      <alignment horizontal="center" readingOrder="0" shrinkToFit="0" vertical="center" wrapText="0"/>
    </xf>
    <xf borderId="16" fillId="2" fontId="4" numFmtId="0" xfId="0" applyAlignment="1" applyBorder="1" applyFont="1">
      <alignment shrinkToFit="0" vertical="center" wrapText="0"/>
    </xf>
    <xf borderId="8" fillId="0" fontId="4" numFmtId="0" xfId="0" applyAlignment="1" applyBorder="1" applyFont="1">
      <alignment shrinkToFit="0" vertical="center" wrapText="0"/>
    </xf>
    <xf borderId="27" fillId="0" fontId="4" numFmtId="0" xfId="0" applyAlignment="1" applyBorder="1" applyFont="1">
      <alignment readingOrder="0" shrinkToFit="0" vertical="center" wrapText="0"/>
    </xf>
    <xf borderId="19" fillId="0" fontId="3" numFmtId="0" xfId="0" applyAlignment="1" applyBorder="1" applyFont="1">
      <alignment readingOrder="0" shrinkToFit="0" vertical="center" wrapText="0"/>
    </xf>
    <xf borderId="28" fillId="0" fontId="3" numFmtId="0" xfId="0" applyAlignment="1" applyBorder="1" applyFont="1">
      <alignment readingOrder="0" shrinkToFit="0" vertical="center" wrapText="0"/>
    </xf>
    <xf borderId="29" fillId="0" fontId="4" numFmtId="0" xfId="0" applyAlignment="1" applyBorder="1" applyFont="1">
      <alignment readingOrder="0" shrinkToFit="0" vertical="center" wrapText="0"/>
    </xf>
    <xf borderId="30" fillId="0" fontId="3" numFmtId="0" xfId="0" applyAlignment="1" applyBorder="1" applyFont="1">
      <alignment readingOrder="0" shrinkToFit="0" vertical="center" wrapText="0"/>
    </xf>
    <xf borderId="31" fillId="0" fontId="4" numFmtId="0" xfId="0" applyAlignment="1" applyBorder="1" applyFont="1">
      <alignment readingOrder="0" shrinkToFit="0" vertical="center" wrapText="0"/>
    </xf>
    <xf borderId="18" fillId="0" fontId="3" numFmtId="0" xfId="0" applyAlignment="1" applyBorder="1" applyFont="1">
      <alignment readingOrder="0" shrinkToFit="0" vertical="center" wrapText="0"/>
    </xf>
    <xf borderId="22" fillId="2" fontId="3" numFmtId="0" xfId="0" applyAlignment="1" applyBorder="1" applyFont="1">
      <alignment readingOrder="0" shrinkToFit="0" vertical="center" wrapText="0"/>
    </xf>
    <xf borderId="21" fillId="3" fontId="4" numFmtId="0" xfId="0" applyAlignment="1" applyBorder="1" applyFont="1">
      <alignment readingOrder="0" shrinkToFit="0" vertical="center" wrapText="0"/>
    </xf>
    <xf borderId="17" fillId="3" fontId="4" numFmtId="0" xfId="0" applyAlignment="1" applyBorder="1" applyFont="1">
      <alignment readingOrder="0" shrinkToFit="0" vertical="center" wrapText="0"/>
    </xf>
    <xf borderId="21" fillId="0" fontId="4" numFmtId="0" xfId="0" applyAlignment="1" applyBorder="1" applyFont="1">
      <alignment horizontal="center" readingOrder="0" shrinkToFit="0" vertical="center" wrapText="0"/>
    </xf>
    <xf borderId="21" fillId="0" fontId="3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17" fillId="0" fontId="3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shrinkToFit="0" vertical="center" wrapText="0"/>
    </xf>
    <xf borderId="21" fillId="0" fontId="4" numFmtId="0" xfId="0" applyAlignment="1" applyBorder="1" applyFont="1">
      <alignment shrinkToFit="0" vertical="center" wrapText="0"/>
    </xf>
    <xf borderId="22" fillId="0" fontId="3" numFmtId="0" xfId="0" applyAlignment="1" applyBorder="1" applyFont="1">
      <alignment readingOrder="0" shrinkToFit="0" vertical="center" wrapText="0"/>
    </xf>
    <xf borderId="20" fillId="0" fontId="4" numFmtId="0" xfId="0" applyAlignment="1" applyBorder="1" applyFont="1">
      <alignment shrinkToFit="0" vertical="center" wrapText="0"/>
    </xf>
    <xf borderId="4" fillId="2" fontId="4" numFmtId="0" xfId="0" applyAlignment="1" applyBorder="1" applyFont="1">
      <alignment readingOrder="0" shrinkToFit="0" vertical="center" wrapText="0"/>
    </xf>
    <xf borderId="4" fillId="2" fontId="4" numFmtId="166" xfId="0" applyAlignment="1" applyBorder="1" applyFont="1" applyNumberFormat="1">
      <alignment shrinkToFit="0" vertical="center" wrapText="0"/>
    </xf>
    <xf borderId="4" fillId="2" fontId="4" numFmtId="166" xfId="0" applyAlignment="1" applyBorder="1" applyFont="1" applyNumberFormat="1">
      <alignment readingOrder="0" shrinkToFit="0" vertical="center" wrapText="0"/>
    </xf>
    <xf borderId="10" fillId="0" fontId="4" numFmtId="165" xfId="0" applyAlignment="1" applyBorder="1" applyFont="1" applyNumberFormat="1">
      <alignment shrinkToFit="0" vertical="center" wrapText="0"/>
    </xf>
    <xf borderId="28" fillId="0" fontId="4" numFmtId="0" xfId="0" applyAlignment="1" applyBorder="1" applyFont="1">
      <alignment shrinkToFit="0" vertical="center" wrapText="0"/>
    </xf>
    <xf borderId="29" fillId="0" fontId="4" numFmtId="0" xfId="0" applyAlignment="1" applyBorder="1" applyFont="1">
      <alignment readingOrder="0" shrinkToFit="0" vertical="center" wrapText="0"/>
    </xf>
    <xf borderId="10" fillId="2" fontId="4" numFmtId="165" xfId="0" applyAlignment="1" applyBorder="1" applyFont="1" applyNumberFormat="1">
      <alignment readingOrder="0" shrinkToFit="0" vertical="center" wrapText="0"/>
    </xf>
    <xf borderId="18" fillId="2" fontId="4" numFmtId="0" xfId="0" applyAlignment="1" applyBorder="1" applyFont="1">
      <alignment readingOrder="0" shrinkToFit="0" vertical="center" wrapText="0"/>
    </xf>
    <xf borderId="4" fillId="2" fontId="4" numFmtId="0" xfId="0" applyAlignment="1" applyBorder="1" applyFont="1">
      <alignment shrinkToFit="0" vertical="center" wrapText="0"/>
    </xf>
    <xf borderId="0" fillId="2" fontId="4" numFmtId="0" xfId="0" applyAlignment="1" applyFont="1">
      <alignment readingOrder="0"/>
    </xf>
    <xf borderId="14" fillId="0" fontId="4" numFmtId="0" xfId="0" applyAlignment="1" applyBorder="1" applyFont="1">
      <alignment shrinkToFit="0" vertical="center" wrapText="0"/>
    </xf>
    <xf borderId="4" fillId="2" fontId="4" numFmtId="165" xfId="0" applyAlignment="1" applyBorder="1" applyFont="1" applyNumberFormat="1">
      <alignment readingOrder="0" shrinkToFit="0" vertical="center" wrapText="0"/>
    </xf>
    <xf borderId="4" fillId="2" fontId="3" numFmtId="0" xfId="0" applyAlignment="1" applyBorder="1" applyFont="1">
      <alignment readingOrder="0" shrinkToFit="0" vertical="center" wrapText="0"/>
    </xf>
    <xf borderId="6" fillId="0" fontId="4" numFmtId="0" xfId="0" applyAlignment="1" applyBorder="1" applyFont="1">
      <alignment shrinkToFit="0" vertical="center" wrapText="0"/>
    </xf>
    <xf borderId="21" fillId="0" fontId="4" numFmtId="0" xfId="0" applyAlignment="1" applyBorder="1" applyFont="1">
      <alignment readingOrder="0" shrinkToFit="0" vertical="center" wrapText="0"/>
    </xf>
    <xf borderId="15" fillId="0" fontId="4" numFmtId="0" xfId="0" applyAlignment="1" applyBorder="1" applyFont="1">
      <alignment shrinkToFit="0" vertical="center" wrapText="0"/>
    </xf>
    <xf borderId="15" fillId="0" fontId="4" numFmtId="0" xfId="0" applyAlignment="1" applyBorder="1" applyFont="1">
      <alignment readingOrder="0" shrinkToFit="0" vertical="center" wrapText="0"/>
    </xf>
    <xf borderId="4" fillId="0" fontId="4" numFmtId="0" xfId="0" applyAlignment="1" applyBorder="1" applyFont="1">
      <alignment shrinkToFit="0" vertical="center" wrapText="0"/>
    </xf>
    <xf borderId="5" fillId="0" fontId="4" numFmtId="0" xfId="0" applyAlignment="1" applyBorder="1" applyFont="1">
      <alignment shrinkToFit="0" vertical="center" wrapText="0"/>
    </xf>
    <xf borderId="4" fillId="2" fontId="5" numFmtId="166" xfId="0" applyAlignment="1" applyBorder="1" applyFont="1" applyNumberFormat="1">
      <alignment horizontal="right" shrinkToFit="0" vertical="center" wrapText="0"/>
    </xf>
    <xf borderId="4" fillId="3" fontId="5" numFmtId="166" xfId="0" applyAlignment="1" applyBorder="1" applyFont="1" applyNumberFormat="1">
      <alignment horizontal="right" shrinkToFit="0" vertical="center" wrapText="0"/>
    </xf>
    <xf borderId="4" fillId="0" fontId="4" numFmtId="166" xfId="0" applyAlignment="1" applyBorder="1" applyFont="1" applyNumberFormat="1">
      <alignment shrinkToFit="0" vertical="center" wrapText="0"/>
    </xf>
    <xf borderId="28" fillId="2" fontId="4" numFmtId="0" xfId="0" applyAlignment="1" applyBorder="1" applyFont="1">
      <alignment shrinkToFit="0" vertical="center" wrapText="0"/>
    </xf>
    <xf borderId="29" fillId="2" fontId="4" numFmtId="0" xfId="0" applyAlignment="1" applyBorder="1" applyFont="1">
      <alignment readingOrder="0" shrinkToFit="0" vertical="center" wrapText="0"/>
    </xf>
    <xf borderId="30" fillId="2" fontId="3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readingOrder="0" shrinkToFit="0" vertical="center" wrapText="0"/>
    </xf>
    <xf borderId="13" fillId="0" fontId="4" numFmtId="0" xfId="0" applyAlignment="1" applyBorder="1" applyFont="1">
      <alignment readingOrder="0" shrinkToFit="0" vertical="center" wrapText="0"/>
    </xf>
    <xf borderId="32" fillId="0" fontId="4" numFmtId="0" xfId="0" applyAlignment="1" applyBorder="1" applyFont="1">
      <alignment shrinkToFit="0" vertical="center" wrapText="0"/>
    </xf>
    <xf borderId="33" fillId="0" fontId="4" numFmtId="0" xfId="0" applyAlignment="1" applyBorder="1" applyFont="1">
      <alignment readingOrder="0" shrinkToFit="0" vertical="center" wrapText="0"/>
    </xf>
    <xf borderId="34" fillId="0" fontId="3" numFmtId="0" xfId="0" applyAlignment="1" applyBorder="1" applyFont="1">
      <alignment readingOrder="0" shrinkToFit="0" vertical="center" wrapText="0"/>
    </xf>
    <xf borderId="20" fillId="0" fontId="4" numFmtId="165" xfId="0" applyAlignment="1" applyBorder="1" applyFont="1" applyNumberFormat="1">
      <alignment readingOrder="0" shrinkToFit="0" vertical="center" wrapText="0"/>
    </xf>
    <xf borderId="6" fillId="2" fontId="4" numFmtId="0" xfId="0" applyAlignment="1" applyBorder="1" applyFont="1">
      <alignment readingOrder="0" shrinkToFit="0" vertical="center" wrapText="0"/>
    </xf>
    <xf borderId="6" fillId="2" fontId="4" numFmtId="166" xfId="0" applyAlignment="1" applyBorder="1" applyFont="1" applyNumberFormat="1">
      <alignment shrinkToFit="0" vertical="center" wrapText="0"/>
    </xf>
    <xf borderId="6" fillId="2" fontId="4" numFmtId="166" xfId="0" applyAlignment="1" applyBorder="1" applyFont="1" applyNumberFormat="1">
      <alignment readingOrder="0" shrinkToFit="0" vertical="center" wrapText="0"/>
    </xf>
    <xf borderId="28" fillId="0" fontId="4" numFmtId="165" xfId="0" applyAlignment="1" applyBorder="1" applyFont="1" applyNumberFormat="1">
      <alignment readingOrder="0" shrinkToFit="0" vertical="center" wrapText="0"/>
    </xf>
    <xf borderId="30" fillId="0" fontId="4" numFmtId="0" xfId="0" applyAlignment="1" applyBorder="1" applyFont="1">
      <alignment readingOrder="0" shrinkToFit="0" vertical="center" wrapText="0"/>
    </xf>
    <xf borderId="15" fillId="2" fontId="4" numFmtId="0" xfId="0" applyAlignment="1" applyBorder="1" applyFont="1">
      <alignment readingOrder="0" shrinkToFit="0" vertical="center" wrapText="0"/>
    </xf>
    <xf borderId="15" fillId="2" fontId="4" numFmtId="166" xfId="0" applyAlignment="1" applyBorder="1" applyFont="1" applyNumberFormat="1">
      <alignment shrinkToFit="0" vertical="center" wrapText="0"/>
    </xf>
    <xf borderId="15" fillId="2" fontId="4" numFmtId="166" xfId="0" applyAlignment="1" applyBorder="1" applyFont="1" applyNumberFormat="1">
      <alignment readingOrder="0" shrinkToFit="0" vertical="center" wrapText="0"/>
    </xf>
    <xf borderId="10" fillId="2" fontId="3" numFmtId="0" xfId="0" applyAlignment="1" applyBorder="1" applyFont="1">
      <alignment readingOrder="0" shrinkToFit="0" vertical="center" wrapText="0"/>
    </xf>
    <xf borderId="31" fillId="2" fontId="4" numFmtId="0" xfId="0" applyAlignment="1" applyBorder="1" applyFont="1">
      <alignment shrinkToFit="0" vertical="center" wrapText="0"/>
    </xf>
    <xf borderId="18" fillId="2" fontId="3" numFmtId="0" xfId="0" applyAlignment="1" applyBorder="1" applyFont="1">
      <alignment readingOrder="0" shrinkToFit="0" vertical="center" wrapText="0"/>
    </xf>
    <xf borderId="31" fillId="2" fontId="4" numFmtId="0" xfId="0" applyAlignment="1" applyBorder="1" applyFont="1">
      <alignment readingOrder="0" shrinkToFit="0" vertical="center" wrapText="0"/>
    </xf>
    <xf borderId="14" fillId="0" fontId="4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1" fillId="0" fontId="4" numFmtId="0" xfId="0" applyAlignment="1" applyBorder="1" applyFont="1">
      <alignment readingOrder="0" shrinkToFit="0" vertical="center" wrapText="0"/>
    </xf>
    <xf borderId="11" fillId="0" fontId="4" numFmtId="0" xfId="0" applyAlignment="1" applyBorder="1" applyFont="1">
      <alignment shrinkToFit="0" vertical="center" wrapText="0"/>
    </xf>
    <xf borderId="33" fillId="0" fontId="4" numFmtId="0" xfId="0" applyAlignment="1" applyBorder="1" applyFont="1">
      <alignment shrinkToFit="0" vertical="center" wrapText="0"/>
    </xf>
    <xf borderId="23" fillId="0" fontId="6" numFmtId="0" xfId="0" applyAlignment="1" applyBorder="1" applyFont="1">
      <alignment readingOrder="0" shrinkToFit="0" vertical="center" wrapText="0"/>
    </xf>
    <xf borderId="19" fillId="0" fontId="4" numFmtId="0" xfId="0" applyAlignment="1" applyBorder="1" applyFont="1">
      <alignment shrinkToFit="0" vertical="center" wrapText="0"/>
    </xf>
    <xf borderId="32" fillId="0" fontId="3" numFmtId="0" xfId="0" applyAlignment="1" applyBorder="1" applyFont="1">
      <alignment readingOrder="0" shrinkToFit="0" vertical="center" wrapText="0"/>
    </xf>
    <xf borderId="10" fillId="0" fontId="4" numFmtId="0" xfId="0" applyAlignment="1" applyBorder="1" applyFont="1">
      <alignment shrinkToFit="0" vertical="center" wrapText="0"/>
    </xf>
    <xf borderId="4" fillId="2" fontId="4" numFmtId="0" xfId="0" applyAlignment="1" applyBorder="1" applyFont="1">
      <alignment shrinkToFit="0" vertical="center" wrapText="0"/>
    </xf>
    <xf borderId="4" fillId="2" fontId="4" numFmtId="166" xfId="0" applyAlignment="1" applyBorder="1" applyFont="1" applyNumberFormat="1">
      <alignment shrinkToFit="0" vertical="center" wrapText="0"/>
    </xf>
    <xf borderId="24" fillId="0" fontId="3" numFmtId="0" xfId="0" applyAlignment="1" applyBorder="1" applyFont="1">
      <alignment readingOrder="0" shrinkToFit="0" vertical="center" wrapText="0"/>
    </xf>
    <xf borderId="7" fillId="0" fontId="4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4" fillId="0" fontId="4" numFmtId="166" xfId="0" applyAlignment="1" applyBorder="1" applyFont="1" applyNumberFormat="1">
      <alignment shrinkToFit="0" vertical="center" wrapText="0"/>
    </xf>
    <xf borderId="32" fillId="0" fontId="4" numFmtId="0" xfId="0" applyAlignment="1" applyBorder="1" applyFont="1">
      <alignment shrinkToFit="0" vertical="center" wrapText="0"/>
    </xf>
    <xf borderId="33" fillId="0" fontId="4" numFmtId="0" xfId="0" applyAlignment="1" applyBorder="1" applyFont="1">
      <alignment readingOrder="0" shrinkToFit="0" vertical="center" wrapText="0"/>
    </xf>
    <xf borderId="34" fillId="0" fontId="3" numFmtId="0" xfId="0" applyAlignment="1" applyBorder="1" applyFont="1">
      <alignment readingOrder="0" shrinkToFit="0" vertical="center" wrapText="0"/>
    </xf>
    <xf borderId="15" fillId="2" fontId="3" numFmtId="0" xfId="0" applyAlignment="1" applyBorder="1" applyFont="1">
      <alignment readingOrder="0" shrinkToFit="0" vertical="center" wrapText="0"/>
    </xf>
    <xf borderId="4" fillId="2" fontId="4" numFmtId="0" xfId="0" applyAlignment="1" applyBorder="1" applyFont="1">
      <alignment shrinkToFit="0" vertical="center" wrapText="0"/>
    </xf>
    <xf borderId="27" fillId="0" fontId="4" numFmtId="0" xfId="0" applyAlignment="1" applyBorder="1" applyFont="1">
      <alignment readingOrder="0" shrinkToFit="0" vertical="center" wrapText="0"/>
    </xf>
    <xf borderId="24" fillId="0" fontId="4" numFmtId="0" xfId="0" applyAlignment="1" applyBorder="1" applyFont="1">
      <alignment shrinkToFit="0" vertical="center" wrapText="0"/>
    </xf>
    <xf borderId="7" fillId="2" fontId="5" numFmtId="0" xfId="0" applyAlignment="1" applyBorder="1" applyFont="1">
      <alignment horizontal="right" shrinkToFit="0" vertical="center" wrapText="0"/>
    </xf>
    <xf borderId="16" fillId="2" fontId="5" numFmtId="0" xfId="0" applyAlignment="1" applyBorder="1" applyFont="1">
      <alignment horizontal="right" shrinkToFit="0" vertical="center" wrapText="0"/>
    </xf>
    <xf borderId="17" fillId="3" fontId="5" numFmtId="0" xfId="0" applyAlignment="1" applyBorder="1" applyFont="1">
      <alignment horizontal="right" shrinkToFit="0" vertical="center" wrapText="0"/>
    </xf>
    <xf borderId="4" fillId="4" fontId="4" numFmtId="165" xfId="0" applyAlignment="1" applyBorder="1" applyFill="1" applyFont="1" applyNumberFormat="1">
      <alignment readingOrder="0" shrinkToFit="0" vertical="center" wrapText="0"/>
    </xf>
    <xf borderId="4" fillId="4" fontId="3" numFmtId="0" xfId="0" applyAlignment="1" applyBorder="1" applyFont="1">
      <alignment readingOrder="0" shrinkToFit="0" vertical="center" wrapText="0"/>
    </xf>
    <xf borderId="35" fillId="4" fontId="4" numFmtId="0" xfId="0" applyAlignment="1" applyBorder="1" applyFont="1">
      <alignment readingOrder="0" shrinkToFit="0" vertical="center" wrapText="0"/>
    </xf>
    <xf borderId="4" fillId="4" fontId="4" numFmtId="0" xfId="0" applyAlignment="1" applyBorder="1" applyFont="1">
      <alignment readingOrder="0" shrinkToFit="0" vertical="center" wrapText="0"/>
    </xf>
    <xf borderId="4" fillId="4" fontId="4" numFmtId="0" xfId="0" applyAlignment="1" applyBorder="1" applyFont="1">
      <alignment shrinkToFit="0" vertical="center" wrapText="0"/>
    </xf>
    <xf borderId="4" fillId="4" fontId="4" numFmtId="166" xfId="0" applyAlignment="1" applyBorder="1" applyFont="1" applyNumberFormat="1">
      <alignment shrinkToFit="0" vertical="center" wrapText="0"/>
    </xf>
    <xf borderId="4" fillId="4" fontId="4" numFmtId="0" xfId="0" applyAlignment="1" applyBorder="1" applyFont="1">
      <alignment shrinkToFit="0" vertical="center" wrapText="0"/>
    </xf>
    <xf borderId="4" fillId="4" fontId="4" numFmtId="165" xfId="0" applyAlignment="1" applyBorder="1" applyFont="1" applyNumberFormat="1">
      <alignment shrinkToFit="0" vertical="center" wrapText="0"/>
    </xf>
    <xf borderId="36" fillId="4" fontId="4" numFmtId="0" xfId="0" applyAlignment="1" applyBorder="1" applyFont="1">
      <alignment shrinkToFit="0" vertical="center" wrapText="0"/>
    </xf>
    <xf borderId="36" fillId="4" fontId="3" numFmtId="0" xfId="0" applyAlignment="1" applyBorder="1" applyFont="1">
      <alignment readingOrder="0" shrinkToFit="0" vertical="center" wrapText="0"/>
    </xf>
    <xf borderId="37" fillId="4" fontId="4" numFmtId="165" xfId="0" applyAlignment="1" applyBorder="1" applyFont="1" applyNumberFormat="1">
      <alignment readingOrder="0" shrinkToFit="0" vertical="center" wrapText="0"/>
    </xf>
    <xf borderId="38" fillId="4" fontId="3" numFmtId="0" xfId="0" applyAlignment="1" applyBorder="1" applyFont="1">
      <alignment readingOrder="0" shrinkToFit="0" vertical="center" wrapText="0"/>
    </xf>
    <xf borderId="39" fillId="4" fontId="4" numFmtId="0" xfId="0" applyAlignment="1" applyBorder="1" applyFont="1">
      <alignment shrinkToFit="0" vertical="center" wrapText="0"/>
    </xf>
    <xf borderId="40" fillId="4" fontId="3" numFmtId="0" xfId="0" applyAlignment="1" applyBorder="1" applyFont="1">
      <alignment readingOrder="0" shrinkToFit="0" vertical="center" wrapText="0"/>
    </xf>
    <xf borderId="41" fillId="4" fontId="4" numFmtId="0" xfId="0" applyAlignment="1" applyBorder="1" applyFont="1">
      <alignment readingOrder="0" shrinkToFit="0" vertical="center" wrapText="0"/>
    </xf>
    <xf borderId="39" fillId="4" fontId="4" numFmtId="0" xfId="0" applyAlignment="1" applyBorder="1" applyFont="1">
      <alignment readingOrder="0" shrinkToFit="0" vertical="center" wrapText="0"/>
    </xf>
    <xf borderId="37" fillId="4" fontId="4" numFmtId="165" xfId="0" applyAlignment="1" applyBorder="1" applyFont="1" applyNumberFormat="1">
      <alignment shrinkToFit="0" vertical="center" wrapText="0"/>
    </xf>
    <xf borderId="42" fillId="4" fontId="4" numFmtId="0" xfId="0" applyAlignment="1" applyBorder="1" applyFont="1">
      <alignment shrinkToFit="0" vertical="center" wrapText="0"/>
    </xf>
    <xf borderId="43" fillId="4" fontId="3" numFmtId="0" xfId="0" applyAlignment="1" applyBorder="1" applyFont="1">
      <alignment readingOrder="0" shrinkToFit="0" vertical="center" wrapText="0"/>
    </xf>
    <xf borderId="29" fillId="0" fontId="4" numFmtId="0" xfId="0" applyAlignment="1" applyBorder="1" applyFont="1">
      <alignment shrinkToFit="0" vertical="center" wrapText="0"/>
    </xf>
    <xf borderId="0" fillId="0" fontId="4" numFmtId="10" xfId="0" applyFont="1" applyNumberFormat="1"/>
    <xf borderId="4" fillId="0" fontId="4" numFmtId="165" xfId="0" applyAlignment="1" applyBorder="1" applyFont="1" applyNumberFormat="1">
      <alignment shrinkToFit="0" vertical="center" wrapText="0"/>
    </xf>
    <xf borderId="44" fillId="0" fontId="4" numFmtId="165" xfId="0" applyAlignment="1" applyBorder="1" applyFont="1" applyNumberFormat="1">
      <alignment shrinkToFit="0" vertical="center" wrapText="0"/>
    </xf>
    <xf borderId="17" fillId="0" fontId="4" numFmtId="0" xfId="0" applyAlignment="1" applyBorder="1" applyFont="1">
      <alignment shrinkToFit="0" vertical="center" wrapText="0"/>
    </xf>
    <xf borderId="45" fillId="0" fontId="4" numFmtId="0" xfId="0" applyAlignment="1" applyBorder="1" applyFont="1">
      <alignment shrinkToFit="0" vertical="center" wrapText="0"/>
    </xf>
    <xf borderId="46" fillId="0" fontId="4" numFmtId="165" xfId="0" applyAlignment="1" applyBorder="1" applyFont="1" applyNumberFormat="1">
      <alignment shrinkToFit="0" vertical="center" wrapText="0"/>
    </xf>
    <xf borderId="16" fillId="0" fontId="4" numFmtId="0" xfId="0" applyAlignment="1" applyBorder="1" applyFont="1">
      <alignment shrinkToFit="0" vertical="center" wrapText="0"/>
    </xf>
    <xf borderId="47" fillId="0" fontId="4" numFmtId="0" xfId="0" applyAlignment="1" applyBorder="1" applyFont="1">
      <alignment shrinkToFit="0" vertical="center" wrapText="0"/>
    </xf>
    <xf borderId="48" fillId="0" fontId="4" numFmtId="165" xfId="0" applyAlignment="1" applyBorder="1" applyFont="1" applyNumberFormat="1">
      <alignment shrinkToFit="0" vertical="center" wrapText="0"/>
    </xf>
    <xf borderId="49" fillId="0" fontId="4" numFmtId="0" xfId="0" applyAlignment="1" applyBorder="1" applyFont="1">
      <alignment shrinkToFit="0" vertical="center" wrapText="0"/>
    </xf>
    <xf borderId="49" fillId="0" fontId="4" numFmtId="0" xfId="0" applyAlignment="1" applyBorder="1" applyFont="1">
      <alignment shrinkToFit="0" vertical="center" wrapText="0"/>
    </xf>
    <xf borderId="50" fillId="0" fontId="4" numFmtId="0" xfId="0" applyAlignment="1" applyBorder="1" applyFont="1">
      <alignment shrinkToFit="0" vertical="center" wrapText="0"/>
    </xf>
    <xf borderId="0" fillId="0" fontId="4" numFmtId="0" xfId="0" applyAlignment="1" applyFont="1">
      <alignment shrinkToFit="0" wrapText="0"/>
    </xf>
    <xf borderId="1" fillId="0" fontId="1" numFmtId="0" xfId="0" applyAlignment="1" applyBorder="1" applyFont="1">
      <alignment horizontal="center" readingOrder="0" shrinkToFit="0" vertical="top" wrapText="1"/>
    </xf>
    <xf borderId="2" fillId="0" fontId="1" numFmtId="0" xfId="0" applyAlignment="1" applyBorder="1" applyFont="1">
      <alignment horizontal="center" readingOrder="0" shrinkToFit="0" vertical="top" wrapText="1"/>
    </xf>
    <xf borderId="2" fillId="0" fontId="1" numFmtId="0" xfId="0" applyAlignment="1" applyBorder="1" applyFont="1">
      <alignment horizontal="center" readingOrder="0" shrinkToFit="0" vertical="top" wrapText="1"/>
    </xf>
    <xf borderId="2" fillId="0" fontId="1" numFmtId="49" xfId="0" applyAlignment="1" applyBorder="1" applyFont="1" applyNumberFormat="1">
      <alignment horizontal="center" readingOrder="0" shrinkToFit="0" vertical="top" wrapText="1"/>
    </xf>
    <xf borderId="2" fillId="0" fontId="3" numFmtId="49" xfId="0" applyAlignment="1" applyBorder="1" applyFont="1" applyNumberFormat="1">
      <alignment horizontal="left" readingOrder="0" shrinkToFit="0" vertical="center" wrapText="1"/>
    </xf>
    <xf borderId="2" fillId="0" fontId="3" numFmtId="0" xfId="0" applyAlignment="1" applyBorder="1" applyFont="1">
      <alignment horizontal="left" readingOrder="0" shrinkToFit="0" vertical="center" wrapText="1"/>
    </xf>
    <xf borderId="51" fillId="5" fontId="1" numFmtId="0" xfId="0" applyAlignment="1" applyBorder="1" applyFill="1" applyFont="1">
      <alignment horizontal="center" readingOrder="0" shrinkToFit="0" vertical="top" wrapText="1"/>
    </xf>
    <xf borderId="3" fillId="0" fontId="1" numFmtId="0" xfId="0" applyAlignment="1" applyBorder="1" applyFont="1">
      <alignment horizontal="center" readingOrder="0" shrinkToFit="0" vertical="top" wrapText="1"/>
    </xf>
    <xf borderId="0" fillId="0" fontId="4" numFmtId="0" xfId="0" applyAlignment="1" applyFont="1">
      <alignment shrinkToFit="0" wrapText="0"/>
    </xf>
    <xf borderId="52" fillId="6" fontId="1" numFmtId="0" xfId="0" applyAlignment="1" applyBorder="1" applyFill="1" applyFont="1">
      <alignment horizontal="center" readingOrder="0" shrinkToFit="0" vertical="top" wrapText="1"/>
    </xf>
    <xf borderId="53" fillId="6" fontId="7" numFmtId="0" xfId="0" applyAlignment="1" applyBorder="1" applyFont="1">
      <alignment horizontal="center" readingOrder="0" shrinkToFit="0" vertical="top" wrapText="1"/>
    </xf>
    <xf borderId="53" fillId="6" fontId="1" numFmtId="0" xfId="0" applyAlignment="1" applyBorder="1" applyFont="1">
      <alignment horizontal="center" readingOrder="0" shrinkToFit="0" vertical="top" wrapText="1"/>
    </xf>
    <xf borderId="53" fillId="6" fontId="1" numFmtId="166" xfId="0" applyAlignment="1" applyBorder="1" applyFont="1" applyNumberFormat="1">
      <alignment horizontal="center" readingOrder="0" shrinkToFit="0" vertical="top" wrapText="1"/>
    </xf>
    <xf borderId="53" fillId="6" fontId="1" numFmtId="49" xfId="0" applyAlignment="1" applyBorder="1" applyFont="1" applyNumberFormat="1">
      <alignment horizontal="center" readingOrder="0" shrinkToFit="0" vertical="top" wrapText="1"/>
    </xf>
    <xf borderId="53" fillId="6" fontId="1" numFmtId="0" xfId="0" applyAlignment="1" applyBorder="1" applyFont="1">
      <alignment horizontal="center" readingOrder="0" shrinkToFit="0" vertical="top" wrapText="1"/>
    </xf>
    <xf borderId="53" fillId="6" fontId="3" numFmtId="10" xfId="0" applyAlignment="1" applyBorder="1" applyFont="1" applyNumberFormat="1">
      <alignment readingOrder="0" shrinkToFit="0" vertical="center" wrapText="1"/>
    </xf>
    <xf borderId="53" fillId="6" fontId="3" numFmtId="166" xfId="0" applyAlignment="1" applyBorder="1" applyFont="1" applyNumberFormat="1">
      <alignment readingOrder="0" shrinkToFit="0" vertical="center" wrapText="1"/>
    </xf>
    <xf borderId="54" fillId="5" fontId="1" numFmtId="0" xfId="0" applyAlignment="1" applyBorder="1" applyFont="1">
      <alignment horizontal="center" readingOrder="0" shrinkToFit="0" vertical="top" wrapText="1"/>
    </xf>
    <xf borderId="47" fillId="0" fontId="1" numFmtId="0" xfId="0" applyAlignment="1" applyBorder="1" applyFont="1">
      <alignment horizontal="center" readingOrder="0" shrinkToFit="0" vertical="top" wrapText="1"/>
    </xf>
    <xf borderId="44" fillId="0" fontId="4" numFmtId="0" xfId="0" applyAlignment="1" applyBorder="1" applyFont="1">
      <alignment readingOrder="0" shrinkToFit="0" vertical="center" wrapText="0"/>
    </xf>
    <xf borderId="17" fillId="0" fontId="3" numFmtId="0" xfId="0" applyAlignment="1" applyBorder="1" applyFont="1">
      <alignment readingOrder="0" shrinkToFit="0" vertical="center" wrapText="0"/>
    </xf>
    <xf borderId="17" fillId="0" fontId="4" numFmtId="166" xfId="0" applyAlignment="1" applyBorder="1" applyFont="1" applyNumberFormat="1">
      <alignment readingOrder="0" shrinkToFit="0" vertical="center" wrapText="0"/>
    </xf>
    <xf borderId="17" fillId="0" fontId="4" numFmtId="10" xfId="0" applyAlignment="1" applyBorder="1" applyFont="1" applyNumberFormat="1">
      <alignment shrinkToFit="0" vertical="center" wrapText="0"/>
    </xf>
    <xf borderId="17" fillId="0" fontId="4" numFmtId="166" xfId="0" applyAlignment="1" applyBorder="1" applyFont="1" applyNumberFormat="1">
      <alignment readingOrder="0" shrinkToFit="0" vertical="center" wrapText="0"/>
    </xf>
    <xf borderId="45" fillId="0" fontId="4" numFmtId="0" xfId="0" applyAlignment="1" applyBorder="1" applyFont="1">
      <alignment readingOrder="0" shrinkToFit="0" vertical="center" wrapText="0"/>
    </xf>
    <xf borderId="46" fillId="0" fontId="4" numFmtId="0" xfId="0" applyAlignment="1" applyBorder="1" applyFont="1">
      <alignment readingOrder="0" shrinkToFit="0" vertical="center" wrapText="0"/>
    </xf>
    <xf borderId="16" fillId="0" fontId="3" numFmtId="0" xfId="0" applyAlignment="1" applyBorder="1" applyFont="1">
      <alignment readingOrder="0" shrinkToFit="0" vertical="center" wrapText="0"/>
    </xf>
    <xf borderId="16" fillId="0" fontId="4" numFmtId="166" xfId="0" applyAlignment="1" applyBorder="1" applyFont="1" applyNumberFormat="1">
      <alignment readingOrder="0" shrinkToFit="0" vertical="center" wrapText="0"/>
    </xf>
    <xf borderId="16" fillId="0" fontId="4" numFmtId="10" xfId="0" applyAlignment="1" applyBorder="1" applyFont="1" applyNumberFormat="1">
      <alignment shrinkToFit="0" vertical="center" wrapText="0"/>
    </xf>
    <xf borderId="16" fillId="0" fontId="4" numFmtId="166" xfId="0" applyAlignment="1" applyBorder="1" applyFont="1" applyNumberFormat="1">
      <alignment readingOrder="0" shrinkToFit="0" vertical="center" wrapText="0"/>
    </xf>
    <xf borderId="47" fillId="0" fontId="4" numFmtId="0" xfId="0" applyAlignment="1" applyBorder="1" applyFont="1">
      <alignment readingOrder="0" shrinkToFit="0" vertical="center" wrapText="0"/>
    </xf>
    <xf borderId="55" fillId="0" fontId="4" numFmtId="0" xfId="0" applyAlignment="1" applyBorder="1" applyFont="1">
      <alignment readingOrder="0" shrinkToFit="0" vertical="center" wrapText="0"/>
    </xf>
    <xf borderId="56" fillId="6" fontId="4" numFmtId="0" xfId="0" applyAlignment="1" applyBorder="1" applyFont="1">
      <alignment shrinkToFit="0" vertical="center" wrapText="0"/>
    </xf>
    <xf borderId="57" fillId="6" fontId="8" numFmtId="0" xfId="0" applyAlignment="1" applyBorder="1" applyFont="1">
      <alignment readingOrder="0" shrinkToFit="0" vertical="center" wrapText="0"/>
    </xf>
    <xf borderId="57" fillId="6" fontId="4" numFmtId="0" xfId="0" applyAlignment="1" applyBorder="1" applyFont="1">
      <alignment shrinkToFit="0" vertical="center" wrapText="0"/>
    </xf>
    <xf borderId="57" fillId="6" fontId="4" numFmtId="166" xfId="0" applyAlignment="1" applyBorder="1" applyFont="1" applyNumberFormat="1">
      <alignment readingOrder="0" shrinkToFit="0" vertical="center" wrapText="0"/>
    </xf>
    <xf borderId="57" fillId="6" fontId="4" numFmtId="10" xfId="0" applyAlignment="1" applyBorder="1" applyFont="1" applyNumberFormat="1">
      <alignment shrinkToFit="0" vertical="center" wrapText="0"/>
    </xf>
    <xf borderId="57" fillId="6" fontId="4" numFmtId="0" xfId="0" applyAlignment="1" applyBorder="1" applyFont="1">
      <alignment readingOrder="0" shrinkToFit="0" vertical="center" wrapText="0"/>
    </xf>
    <xf borderId="16" fillId="0" fontId="4" numFmtId="10" xfId="0" applyAlignment="1" applyBorder="1" applyFont="1" applyNumberFormat="1">
      <alignment readingOrder="0" shrinkToFit="0" vertical="center" wrapText="0"/>
    </xf>
    <xf borderId="17" fillId="0" fontId="4" numFmtId="10" xfId="0" applyAlignment="1" applyBorder="1" applyFont="1" applyNumberFormat="1">
      <alignment readingOrder="0" shrinkToFit="0" vertical="center" wrapText="0"/>
    </xf>
    <xf borderId="46" fillId="2" fontId="4" numFmtId="0" xfId="0" applyAlignment="1" applyBorder="1" applyFont="1">
      <alignment readingOrder="0" shrinkToFit="0" vertical="center" wrapText="0"/>
    </xf>
    <xf borderId="16" fillId="2" fontId="9" numFmtId="0" xfId="0" applyAlignment="1" applyBorder="1" applyFont="1">
      <alignment readingOrder="0" shrinkToFit="0" vertical="center" wrapText="0"/>
    </xf>
    <xf borderId="16" fillId="2" fontId="4" numFmtId="166" xfId="0" applyAlignment="1" applyBorder="1" applyFont="1" applyNumberFormat="1">
      <alignment readingOrder="0" shrinkToFit="0" vertical="center" wrapText="0"/>
    </xf>
    <xf borderId="16" fillId="2" fontId="4" numFmtId="0" xfId="0" applyAlignment="1" applyBorder="1" applyFont="1">
      <alignment shrinkToFit="0" vertical="center" wrapText="0"/>
    </xf>
    <xf borderId="16" fillId="2" fontId="4" numFmtId="10" xfId="0" applyAlignment="1" applyBorder="1" applyFont="1" applyNumberFormat="1">
      <alignment shrinkToFit="0" vertical="center" wrapText="0"/>
    </xf>
    <xf borderId="56" fillId="6" fontId="4" numFmtId="0" xfId="0" applyAlignment="1" applyBorder="1" applyFont="1">
      <alignment readingOrder="0" shrinkToFit="0" vertical="center" wrapText="0"/>
    </xf>
    <xf borderId="57" fillId="6" fontId="10" numFmtId="0" xfId="0" applyAlignment="1" applyBorder="1" applyFont="1">
      <alignment readingOrder="0" shrinkToFit="0" vertical="center" wrapText="0"/>
    </xf>
    <xf borderId="57" fillId="6" fontId="11" numFmtId="0" xfId="0" applyAlignment="1" applyBorder="1" applyFont="1">
      <alignment readingOrder="0" shrinkToFit="0" vertical="center" wrapText="0"/>
    </xf>
    <xf borderId="57" fillId="6" fontId="4" numFmtId="166" xfId="0" applyAlignment="1" applyBorder="1" applyFont="1" applyNumberFormat="1">
      <alignment shrinkToFit="0" vertical="center" wrapText="0"/>
    </xf>
    <xf borderId="58" fillId="6" fontId="4" numFmtId="10" xfId="0" applyAlignment="1" applyBorder="1" applyFont="1" applyNumberFormat="1">
      <alignment shrinkToFit="0" vertical="center" wrapText="0"/>
    </xf>
    <xf borderId="46" fillId="2" fontId="5" numFmtId="0" xfId="0" applyAlignment="1" applyBorder="1" applyFont="1">
      <alignment horizontal="right" readingOrder="0" shrinkToFit="0" vertical="center" wrapText="0"/>
    </xf>
    <xf borderId="16" fillId="2" fontId="5" numFmtId="0" xfId="0" applyAlignment="1" applyBorder="1" applyFont="1">
      <alignment readingOrder="0" shrinkToFit="0" vertical="center" wrapText="0"/>
    </xf>
    <xf borderId="16" fillId="2" fontId="5" numFmtId="0" xfId="0" applyAlignment="1" applyBorder="1" applyFont="1">
      <alignment shrinkToFit="0" vertical="center" wrapText="0"/>
    </xf>
    <xf borderId="16" fillId="2" fontId="12" numFmtId="0" xfId="0" applyAlignment="1" applyBorder="1" applyFont="1">
      <alignment shrinkToFit="0" vertical="center" wrapText="0"/>
    </xf>
    <xf borderId="16" fillId="2" fontId="5" numFmtId="0" xfId="0" applyAlignment="1" applyBorder="1" applyFont="1">
      <alignment horizontal="right" readingOrder="0" shrinkToFit="0" vertical="center" wrapText="0"/>
    </xf>
    <xf borderId="16" fillId="2" fontId="12" numFmtId="10" xfId="0" applyAlignment="1" applyBorder="1" applyFont="1" applyNumberFormat="1">
      <alignment shrinkToFit="0" vertical="center" wrapText="0"/>
    </xf>
    <xf borderId="16" fillId="2" fontId="5" numFmtId="10" xfId="0" applyAlignment="1" applyBorder="1" applyFont="1" applyNumberFormat="1">
      <alignment horizontal="right" shrinkToFit="0" vertical="center" wrapText="0"/>
    </xf>
    <xf borderId="16" fillId="2" fontId="12" numFmtId="0" xfId="0" applyAlignment="1" applyBorder="1" applyFont="1">
      <alignment shrinkToFit="0" vertical="center" wrapText="0"/>
    </xf>
    <xf borderId="16" fillId="2" fontId="5" numFmtId="166" xfId="0" applyAlignment="1" applyBorder="1" applyFont="1" applyNumberFormat="1">
      <alignment horizontal="right" shrinkToFit="0" vertical="center" wrapText="0"/>
    </xf>
    <xf borderId="47" fillId="2" fontId="5" numFmtId="0" xfId="0" applyAlignment="1" applyBorder="1" applyFont="1">
      <alignment shrinkToFit="0" vertical="center" wrapText="0"/>
    </xf>
    <xf borderId="46" fillId="0" fontId="4" numFmtId="0" xfId="0" applyAlignment="1" applyBorder="1" applyFont="1">
      <alignment readingOrder="0" shrinkToFit="0" vertical="center" wrapText="0"/>
    </xf>
    <xf borderId="44" fillId="0" fontId="4" numFmtId="0" xfId="0" applyAlignment="1" applyBorder="1" applyFont="1">
      <alignment readingOrder="0" shrinkToFit="0" vertical="center" wrapText="0"/>
    </xf>
    <xf borderId="59" fillId="7" fontId="4" numFmtId="0" xfId="0" applyAlignment="1" applyBorder="1" applyFill="1" applyFont="1">
      <alignment readingOrder="0" shrinkToFit="0" vertical="center" wrapText="0"/>
    </xf>
    <xf borderId="60" fillId="7" fontId="8" numFmtId="0" xfId="0" applyAlignment="1" applyBorder="1" applyFont="1">
      <alignment readingOrder="0" shrinkToFit="0" vertical="center" wrapText="0"/>
    </xf>
    <xf borderId="60" fillId="7" fontId="4" numFmtId="0" xfId="0" applyAlignment="1" applyBorder="1" applyFont="1">
      <alignment readingOrder="0" shrinkToFit="0" vertical="center" wrapText="0"/>
    </xf>
    <xf borderId="60" fillId="7" fontId="4" numFmtId="166" xfId="0" applyAlignment="1" applyBorder="1" applyFont="1" applyNumberFormat="1">
      <alignment readingOrder="0" shrinkToFit="0" vertical="center" wrapText="0"/>
    </xf>
    <xf borderId="60" fillId="7" fontId="4" numFmtId="0" xfId="0" applyAlignment="1" applyBorder="1" applyFont="1">
      <alignment shrinkToFit="0" vertical="center" wrapText="0"/>
    </xf>
    <xf borderId="60" fillId="7" fontId="4" numFmtId="10" xfId="0" applyAlignment="1" applyBorder="1" applyFont="1" applyNumberFormat="1">
      <alignment shrinkToFit="0" vertical="center" wrapText="0"/>
    </xf>
    <xf borderId="61" fillId="7" fontId="4" numFmtId="0" xfId="0" applyAlignment="1" applyBorder="1" applyFont="1">
      <alignment readingOrder="0" shrinkToFit="0" vertical="center" wrapText="0"/>
    </xf>
    <xf borderId="17" fillId="0" fontId="13" numFmtId="0" xfId="0" applyAlignment="1" applyBorder="1" applyFont="1">
      <alignment readingOrder="0" shrinkToFit="0" vertical="center" wrapText="0"/>
    </xf>
    <xf borderId="16" fillId="0" fontId="4" numFmtId="10" xfId="0" applyAlignment="1" applyBorder="1" applyFont="1" applyNumberFormat="1">
      <alignment shrinkToFit="0" vertical="center" wrapText="0"/>
    </xf>
    <xf borderId="16" fillId="0" fontId="4" numFmtId="166" xfId="0" applyAlignment="1" applyBorder="1" applyFont="1" applyNumberFormat="1">
      <alignment shrinkToFit="0" vertical="center" wrapText="0"/>
    </xf>
    <xf borderId="44" fillId="0" fontId="4" numFmtId="0" xfId="0" applyAlignment="1" applyBorder="1" applyFont="1">
      <alignment shrinkToFit="0" vertical="center" wrapText="0"/>
    </xf>
    <xf borderId="17" fillId="0" fontId="4" numFmtId="166" xfId="0" applyAlignment="1" applyBorder="1" applyFont="1" applyNumberFormat="1">
      <alignment shrinkToFit="0" vertical="center" wrapText="0"/>
    </xf>
    <xf borderId="17" fillId="0" fontId="4" numFmtId="10" xfId="0" applyAlignment="1" applyBorder="1" applyFont="1" applyNumberFormat="1">
      <alignment shrinkToFit="0" vertical="center" wrapText="0"/>
    </xf>
    <xf borderId="46" fillId="0" fontId="4" numFmtId="0" xfId="0" applyAlignment="1" applyBorder="1" applyFont="1">
      <alignment shrinkToFit="0" vertical="center" wrapText="0"/>
    </xf>
    <xf borderId="48" fillId="0" fontId="4" numFmtId="0" xfId="0" applyAlignment="1" applyBorder="1" applyFont="1">
      <alignment shrinkToFit="0" vertical="center" wrapText="0"/>
    </xf>
    <xf borderId="49" fillId="0" fontId="4" numFmtId="166" xfId="0" applyAlignment="1" applyBorder="1" applyFont="1" applyNumberFormat="1">
      <alignment shrinkToFit="0" vertical="center" wrapText="0"/>
    </xf>
    <xf borderId="49" fillId="0" fontId="4" numFmtId="10" xfId="0" applyAlignment="1" applyBorder="1" applyFont="1" applyNumberFormat="1">
      <alignment shrinkToFit="0" vertical="center" wrapText="0"/>
    </xf>
    <xf borderId="0" fillId="0" fontId="1" numFmtId="0" xfId="0" applyAlignment="1" applyFont="1">
      <alignment horizontal="center" readingOrder="0" vertical="top"/>
    </xf>
    <xf borderId="4" fillId="0" fontId="4" numFmtId="0" xfId="0" applyBorder="1" applyFont="1"/>
    <xf borderId="4" fillId="2" fontId="14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4" fillId="0" fontId="4" numFmtId="168" xfId="0" applyBorder="1" applyFont="1" applyNumberFormat="1"/>
    <xf borderId="4" fillId="0" fontId="4" numFmtId="167" xfId="0" applyBorder="1" applyFont="1" applyNumberFormat="1"/>
    <xf borderId="4" fillId="0" fontId="4" numFmtId="165" xfId="0" applyBorder="1" applyFont="1" applyNumberFormat="1"/>
    <xf borderId="0" fillId="2" fontId="4" numFmtId="0" xfId="0" applyFont="1"/>
    <xf borderId="62" fillId="0" fontId="1" numFmtId="0" xfId="0" applyAlignment="1" applyBorder="1" applyFont="1">
      <alignment horizontal="center" readingOrder="0" shrinkToFit="0" vertical="top" wrapText="0"/>
    </xf>
    <xf borderId="63" fillId="0" fontId="1" numFmtId="0" xfId="0" applyAlignment="1" applyBorder="1" applyFont="1">
      <alignment horizontal="center" readingOrder="0" shrinkToFit="0" vertical="top" wrapText="0"/>
    </xf>
    <xf borderId="64" fillId="0" fontId="1" numFmtId="0" xfId="0" applyAlignment="1" applyBorder="1" applyFont="1">
      <alignment horizontal="center" readingOrder="0" shrinkToFit="0" vertical="top" wrapText="0"/>
    </xf>
    <xf borderId="65" fillId="2" fontId="4" numFmtId="164" xfId="0" applyAlignment="1" applyBorder="1" applyFont="1" applyNumberFormat="1">
      <alignment readingOrder="0" shrinkToFit="0" vertical="center" wrapText="0"/>
    </xf>
    <xf borderId="16" fillId="2" fontId="4" numFmtId="167" xfId="0" applyAlignment="1" applyBorder="1" applyFont="1" applyNumberFormat="1">
      <alignment readingOrder="0" shrinkToFit="0" vertical="center" wrapText="0"/>
    </xf>
    <xf borderId="16" fillId="2" fontId="4" numFmtId="167" xfId="0" applyAlignment="1" applyBorder="1" applyFont="1" applyNumberFormat="1">
      <alignment shrinkToFit="0" vertical="center" wrapText="0"/>
    </xf>
    <xf borderId="66" fillId="2" fontId="4" numFmtId="0" xfId="0" applyAlignment="1" applyBorder="1" applyFont="1">
      <alignment shrinkToFit="0" vertical="center" wrapText="0"/>
    </xf>
    <xf borderId="65" fillId="2" fontId="4" numFmtId="165" xfId="0" applyAlignment="1" applyBorder="1" applyFont="1" applyNumberFormat="1">
      <alignment readingOrder="0" shrinkToFit="0" vertical="center" wrapText="0"/>
    </xf>
    <xf borderId="65" fillId="0" fontId="4" numFmtId="165" xfId="0" applyAlignment="1" applyBorder="1" applyFont="1" applyNumberFormat="1">
      <alignment readingOrder="0" shrinkToFit="0" vertical="center" wrapText="0"/>
    </xf>
    <xf borderId="16" fillId="0" fontId="4" numFmtId="167" xfId="0" applyAlignment="1" applyBorder="1" applyFont="1" applyNumberFormat="1">
      <alignment readingOrder="0" shrinkToFit="0" vertical="center" wrapText="0"/>
    </xf>
    <xf borderId="16" fillId="0" fontId="4" numFmtId="167" xfId="0" applyAlignment="1" applyBorder="1" applyFont="1" applyNumberFormat="1">
      <alignment shrinkToFit="0" vertical="center" wrapText="0"/>
    </xf>
    <xf borderId="66" fillId="0" fontId="4" numFmtId="0" xfId="0" applyAlignment="1" applyBorder="1" applyFont="1">
      <alignment shrinkToFit="0" vertical="center" wrapText="0"/>
    </xf>
    <xf borderId="67" fillId="0" fontId="4" numFmtId="165" xfId="0" applyAlignment="1" applyBorder="1" applyFont="1" applyNumberFormat="1">
      <alignment readingOrder="0" shrinkToFit="0" vertical="center" wrapText="0"/>
    </xf>
    <xf borderId="17" fillId="0" fontId="4" numFmtId="167" xfId="0" applyAlignment="1" applyBorder="1" applyFont="1" applyNumberFormat="1">
      <alignment readingOrder="0" shrinkToFit="0" vertical="center" wrapText="0"/>
    </xf>
    <xf borderId="17" fillId="0" fontId="4" numFmtId="167" xfId="0" applyAlignment="1" applyBorder="1" applyFont="1" applyNumberFormat="1">
      <alignment shrinkToFit="0" vertical="center" wrapText="0"/>
    </xf>
    <xf borderId="68" fillId="0" fontId="4" numFmtId="0" xfId="0" applyAlignment="1" applyBorder="1" applyFont="1">
      <alignment shrinkToFit="0" vertical="center" wrapText="0"/>
    </xf>
    <xf borderId="0" fillId="0" fontId="4" numFmtId="0" xfId="0" applyFont="1"/>
    <xf borderId="66" fillId="0" fontId="4" numFmtId="0" xfId="0" applyAlignment="1" applyBorder="1" applyFont="1">
      <alignment readingOrder="0" shrinkToFit="0" vertical="center" wrapText="0"/>
    </xf>
    <xf borderId="68" fillId="0" fontId="4" numFmtId="0" xfId="0" applyAlignment="1" applyBorder="1" applyFont="1">
      <alignment readingOrder="0" shrinkToFit="0" vertical="center" wrapText="0"/>
    </xf>
    <xf borderId="65" fillId="0" fontId="4" numFmtId="0" xfId="0" applyAlignment="1" applyBorder="1" applyFont="1">
      <alignment shrinkToFit="0" vertical="center" wrapText="0"/>
    </xf>
    <xf borderId="67" fillId="0" fontId="4" numFmtId="0" xfId="0" applyAlignment="1" applyBorder="1" applyFont="1">
      <alignment shrinkToFit="0" vertical="center" wrapText="0"/>
    </xf>
    <xf borderId="66" fillId="0" fontId="4" numFmtId="0" xfId="0" applyAlignment="1" applyBorder="1" applyFont="1">
      <alignment shrinkToFit="0" vertical="center" wrapText="0"/>
    </xf>
    <xf borderId="68" fillId="0" fontId="4" numFmtId="0" xfId="0" applyAlignment="1" applyBorder="1" applyFont="1">
      <alignment shrinkToFit="0" vertical="center" wrapText="0"/>
    </xf>
    <xf borderId="69" fillId="0" fontId="4" numFmtId="0" xfId="0" applyAlignment="1" applyBorder="1" applyFont="1">
      <alignment shrinkToFit="0" vertical="center" wrapText="0"/>
    </xf>
    <xf borderId="70" fillId="0" fontId="4" numFmtId="0" xfId="0" applyAlignment="1" applyBorder="1" applyFont="1">
      <alignment shrinkToFit="0" vertical="center" wrapText="0"/>
    </xf>
    <xf borderId="70" fillId="0" fontId="4" numFmtId="167" xfId="0" applyAlignment="1" applyBorder="1" applyFont="1" applyNumberFormat="1">
      <alignment shrinkToFit="0" vertical="center" wrapText="0"/>
    </xf>
    <xf borderId="71" fillId="0" fontId="4" numFmtId="0" xfId="0" applyAlignment="1" applyBorder="1" applyFont="1">
      <alignment shrinkToFit="0" vertical="center" wrapText="0"/>
    </xf>
    <xf borderId="2" fillId="0" fontId="1" numFmtId="0" xfId="0" applyAlignment="1" applyBorder="1" applyFont="1">
      <alignment horizontal="center" readingOrder="0" shrinkToFit="0" vertical="top" wrapText="0"/>
    </xf>
    <xf borderId="3" fillId="0" fontId="1" numFmtId="0" xfId="0" applyAlignment="1" applyBorder="1" applyFont="1">
      <alignment horizontal="center" readingOrder="0" shrinkToFit="0" vertical="top" wrapText="0"/>
    </xf>
    <xf borderId="46" fillId="0" fontId="4" numFmtId="165" xfId="0" applyAlignment="1" applyBorder="1" applyFont="1" applyNumberFormat="1">
      <alignment readingOrder="0" shrinkToFit="0" vertical="center" wrapText="0"/>
    </xf>
    <xf borderId="16" fillId="0" fontId="4" numFmtId="165" xfId="0" applyAlignment="1" applyBorder="1" applyFont="1" applyNumberFormat="1">
      <alignment readingOrder="0" shrinkToFit="0" vertical="center" wrapText="0"/>
    </xf>
    <xf borderId="47" fillId="0" fontId="4" numFmtId="0" xfId="0" applyAlignment="1" applyBorder="1" applyFont="1">
      <alignment readingOrder="0" shrinkToFit="0" vertical="center" wrapText="0"/>
    </xf>
    <xf borderId="44" fillId="0" fontId="4" numFmtId="165" xfId="0" applyAlignment="1" applyBorder="1" applyFont="1" applyNumberFormat="1">
      <alignment readingOrder="0" shrinkToFit="0" vertical="center" wrapText="0"/>
    </xf>
    <xf borderId="17" fillId="0" fontId="4" numFmtId="165" xfId="0" applyAlignment="1" applyBorder="1" applyFont="1" applyNumberFormat="1">
      <alignment readingOrder="0" shrinkToFit="0" vertical="center" wrapText="0"/>
    </xf>
    <xf borderId="45" fillId="0" fontId="4" numFmtId="0" xfId="0" applyAlignment="1" applyBorder="1" applyFont="1">
      <alignment readingOrder="0" shrinkToFit="0" vertical="center" wrapText="0"/>
    </xf>
    <xf borderId="17" fillId="0" fontId="4" numFmtId="165" xfId="0" applyAlignment="1" applyBorder="1" applyFont="1" applyNumberFormat="1">
      <alignment shrinkToFit="0" vertical="center" wrapText="0"/>
    </xf>
    <xf borderId="16" fillId="0" fontId="4" numFmtId="165" xfId="0" applyAlignment="1" applyBorder="1" applyFont="1" applyNumberFormat="1">
      <alignment shrinkToFit="0" vertical="center" wrapText="0"/>
    </xf>
    <xf borderId="49" fillId="0" fontId="4" numFmtId="165" xfId="0" applyAlignment="1" applyBorder="1" applyFont="1" applyNumberFormat="1">
      <alignment shrinkToFit="0" vertical="center" wrapText="0"/>
    </xf>
    <xf borderId="72" fillId="0" fontId="3" numFmtId="0" xfId="0" applyAlignment="1" applyBorder="1" applyFont="1">
      <alignment readingOrder="0"/>
    </xf>
    <xf borderId="73" fillId="0" fontId="4" numFmtId="166" xfId="0" applyAlignment="1" applyBorder="1" applyFont="1" applyNumberFormat="1">
      <alignment readingOrder="0"/>
    </xf>
    <xf borderId="73" fillId="0" fontId="1" numFmtId="0" xfId="0" applyAlignment="1" applyBorder="1" applyFont="1">
      <alignment horizontal="center" readingOrder="0" vertical="top"/>
    </xf>
    <xf borderId="73" fillId="0" fontId="4" numFmtId="0" xfId="0" applyAlignment="1" applyBorder="1" applyFont="1">
      <alignment readingOrder="0"/>
    </xf>
    <xf borderId="73" fillId="0" fontId="4" numFmtId="0" xfId="0" applyBorder="1" applyFont="1"/>
    <xf borderId="74" fillId="0" fontId="4" numFmtId="0" xfId="0" applyBorder="1" applyFont="1"/>
    <xf borderId="0" fillId="0" fontId="3" numFmtId="0" xfId="0" applyAlignment="1" applyFont="1">
      <alignment readingOrder="0"/>
    </xf>
    <xf borderId="0" fillId="0" fontId="15" numFmtId="166" xfId="0" applyAlignment="1" applyFont="1" applyNumberFormat="1">
      <alignment readingOrder="0"/>
    </xf>
    <xf borderId="0" fillId="0" fontId="1" numFmtId="166" xfId="0" applyAlignment="1" applyFont="1" applyNumberFormat="1">
      <alignment horizontal="center" readingOrder="0" vertical="top"/>
    </xf>
    <xf borderId="0" fillId="0" fontId="1" numFmtId="166" xfId="0" applyAlignment="1" applyFont="1" applyNumberFormat="1">
      <alignment horizontal="center" readingOrder="0" vertical="top"/>
    </xf>
    <xf borderId="0" fillId="0" fontId="1" numFmtId="0" xfId="0" applyAlignment="1" applyFont="1">
      <alignment horizontal="center" readingOrder="0" vertical="top"/>
    </xf>
    <xf borderId="16" fillId="2" fontId="16" numFmtId="0" xfId="0" applyAlignment="1" applyBorder="1" applyFont="1">
      <alignment shrinkToFit="0" wrapText="0"/>
    </xf>
    <xf borderId="0" fillId="0" fontId="9" numFmtId="0" xfId="0" applyAlignment="1" applyFont="1">
      <alignment readingOrder="0"/>
    </xf>
    <xf borderId="0" fillId="0" fontId="15" numFmtId="166" xfId="0" applyAlignment="1" applyFont="1" applyNumberFormat="1">
      <alignment readingOrder="0"/>
    </xf>
    <xf borderId="0" fillId="0" fontId="4" numFmtId="166" xfId="0" applyFont="1" applyNumberFormat="1"/>
    <xf borderId="17" fillId="3" fontId="17" numFmtId="0" xfId="0" applyAlignment="1" applyBorder="1" applyFont="1">
      <alignment shrinkToFit="0" wrapText="0"/>
    </xf>
    <xf borderId="17" fillId="3" fontId="18" numFmtId="166" xfId="0" applyAlignment="1" applyBorder="1" applyFont="1" applyNumberFormat="1">
      <alignment horizontal="right" shrinkToFit="0" wrapText="0"/>
    </xf>
    <xf borderId="16" fillId="2" fontId="17" numFmtId="0" xfId="0" applyAlignment="1" applyBorder="1" applyFont="1">
      <alignment shrinkToFit="0" wrapText="0"/>
    </xf>
    <xf borderId="16" fillId="2" fontId="18" numFmtId="166" xfId="0" applyAlignment="1" applyBorder="1" applyFont="1" applyNumberFormat="1">
      <alignment horizontal="right" shrinkToFit="0" wrapText="0"/>
    </xf>
    <xf borderId="0" fillId="0" fontId="4" numFmtId="166" xfId="0" applyAlignment="1" applyFont="1" applyNumberFormat="1">
      <alignment readingOrder="0"/>
    </xf>
    <xf borderId="3" fillId="0" fontId="1" numFmtId="0" xfId="0" applyAlignment="1" applyBorder="1" applyFont="1">
      <alignment horizontal="center" readingOrder="0" shrinkToFit="0" vertical="top" wrapText="0"/>
    </xf>
    <xf borderId="75" fillId="0" fontId="4" numFmtId="0" xfId="0" applyAlignment="1" applyBorder="1" applyFont="1">
      <alignment readingOrder="0" shrinkToFit="0" vertical="center" wrapText="0"/>
    </xf>
    <xf borderId="76" fillId="0" fontId="4" numFmtId="166" xfId="0" applyAlignment="1" applyBorder="1" applyFont="1" applyNumberFormat="1">
      <alignment readingOrder="0" shrinkToFit="0" vertical="center" wrapText="0"/>
    </xf>
    <xf borderId="76" fillId="0" fontId="4" numFmtId="0" xfId="0" applyAlignment="1" applyBorder="1" applyFont="1">
      <alignment readingOrder="0" shrinkToFit="0" vertical="center" wrapText="0"/>
    </xf>
    <xf borderId="77" fillId="0" fontId="4" numFmtId="0" xfId="0" applyAlignment="1" applyBorder="1" applyFont="1">
      <alignment readingOrder="0" shrinkToFit="0" vertical="center" wrapText="0"/>
    </xf>
    <xf borderId="2" fillId="0" fontId="1" numFmtId="10" xfId="0" applyAlignment="1" applyBorder="1" applyFont="1" applyNumberFormat="1">
      <alignment horizontal="center" readingOrder="0" shrinkToFit="0" vertical="top" wrapText="1"/>
    </xf>
    <xf borderId="2" fillId="0" fontId="1" numFmtId="0" xfId="0" applyAlignment="1" applyBorder="1" applyFont="1">
      <alignment horizontal="center" readingOrder="0" shrinkToFit="0" vertical="top" wrapText="1"/>
    </xf>
    <xf borderId="46" fillId="0" fontId="4" numFmtId="168" xfId="0" applyAlignment="1" applyBorder="1" applyFont="1" applyNumberFormat="1">
      <alignment shrinkToFit="0" vertical="center" wrapText="0"/>
    </xf>
    <xf borderId="16" fillId="0" fontId="4" numFmtId="166" xfId="0" applyAlignment="1" applyBorder="1" applyFont="1" applyNumberFormat="1">
      <alignment shrinkToFit="0" vertical="center" wrapText="0"/>
    </xf>
    <xf borderId="16" fillId="0" fontId="4" numFmtId="167" xfId="0" applyAlignment="1" applyBorder="1" applyFont="1" applyNumberFormat="1">
      <alignment readingOrder="0" shrinkToFit="0" vertical="center" wrapText="0"/>
    </xf>
    <xf borderId="16" fillId="0" fontId="4" numFmtId="10" xfId="0" applyAlignment="1" applyBorder="1" applyFont="1" applyNumberFormat="1">
      <alignment shrinkToFit="0" vertical="center" wrapText="0"/>
    </xf>
    <xf borderId="16" fillId="0" fontId="4" numFmtId="167" xfId="0" applyAlignment="1" applyBorder="1" applyFont="1" applyNumberFormat="1">
      <alignment shrinkToFit="0" vertical="center" wrapText="0"/>
    </xf>
    <xf borderId="47" fillId="0" fontId="4" numFmtId="10" xfId="0" applyAlignment="1" applyBorder="1" applyFont="1" applyNumberFormat="1">
      <alignment shrinkToFit="0" vertical="center" wrapText="0"/>
    </xf>
    <xf borderId="44" fillId="0" fontId="4" numFmtId="168" xfId="0" applyAlignment="1" applyBorder="1" applyFont="1" applyNumberFormat="1">
      <alignment shrinkToFit="0" vertical="center" wrapText="0"/>
    </xf>
    <xf borderId="17" fillId="0" fontId="4" numFmtId="166" xfId="0" applyAlignment="1" applyBorder="1" applyFont="1" applyNumberFormat="1">
      <alignment shrinkToFit="0" vertical="center" wrapText="0"/>
    </xf>
    <xf borderId="17" fillId="0" fontId="4" numFmtId="167" xfId="0" applyAlignment="1" applyBorder="1" applyFont="1" applyNumberFormat="1">
      <alignment readingOrder="0" shrinkToFit="0" vertical="center" wrapText="0"/>
    </xf>
    <xf borderId="17" fillId="0" fontId="4" numFmtId="10" xfId="0" applyAlignment="1" applyBorder="1" applyFont="1" applyNumberFormat="1">
      <alignment shrinkToFit="0" vertical="center" wrapText="0"/>
    </xf>
    <xf borderId="17" fillId="0" fontId="4" numFmtId="167" xfId="0" applyAlignment="1" applyBorder="1" applyFont="1" applyNumberFormat="1">
      <alignment shrinkToFit="0" vertical="center" wrapText="0"/>
    </xf>
    <xf borderId="45" fillId="0" fontId="4" numFmtId="10" xfId="0" applyAlignment="1" applyBorder="1" applyFont="1" applyNumberFormat="1">
      <alignment shrinkToFit="0" vertical="center" wrapText="0"/>
    </xf>
    <xf borderId="48" fillId="0" fontId="4" numFmtId="168" xfId="0" applyAlignment="1" applyBorder="1" applyFont="1" applyNumberFormat="1">
      <alignment shrinkToFit="0" vertical="center" wrapText="0"/>
    </xf>
    <xf borderId="49" fillId="0" fontId="4" numFmtId="166" xfId="0" applyAlignment="1" applyBorder="1" applyFont="1" applyNumberFormat="1">
      <alignment readingOrder="0" shrinkToFit="0" vertical="center" wrapText="0"/>
    </xf>
    <xf borderId="49" fillId="0" fontId="4" numFmtId="166" xfId="0" applyAlignment="1" applyBorder="1" applyFont="1" applyNumberFormat="1">
      <alignment shrinkToFit="0" vertical="center" wrapText="0"/>
    </xf>
    <xf borderId="49" fillId="0" fontId="4" numFmtId="167" xfId="0" applyAlignment="1" applyBorder="1" applyFont="1" applyNumberFormat="1">
      <alignment readingOrder="0" shrinkToFit="0" vertical="center" wrapText="0"/>
    </xf>
    <xf borderId="49" fillId="0" fontId="4" numFmtId="10" xfId="0" applyAlignment="1" applyBorder="1" applyFont="1" applyNumberFormat="1">
      <alignment shrinkToFit="0" vertical="center" wrapText="0"/>
    </xf>
    <xf borderId="49" fillId="0" fontId="4" numFmtId="10" xfId="0" applyAlignment="1" applyBorder="1" applyFont="1" applyNumberFormat="1">
      <alignment shrinkToFit="0" vertical="center" wrapText="0"/>
    </xf>
    <xf borderId="49" fillId="0" fontId="4" numFmtId="167" xfId="0" applyAlignment="1" applyBorder="1" applyFont="1" applyNumberFormat="1">
      <alignment readingOrder="0" shrinkToFit="0" vertical="center" wrapText="0"/>
    </xf>
    <xf borderId="50" fillId="0" fontId="4" numFmtId="10" xfId="0" applyAlignment="1" applyBorder="1" applyFont="1" applyNumberFormat="1">
      <alignment readingOrder="0" shrinkToFit="0" vertical="center" wrapText="0"/>
    </xf>
    <xf borderId="16" fillId="0" fontId="19" numFmtId="165" xfId="0" applyAlignment="1" applyBorder="1" applyFont="1" applyNumberFormat="1">
      <alignment readingOrder="0" shrinkToFit="0" vertical="center" wrapText="0"/>
    </xf>
    <xf borderId="17" fillId="0" fontId="19" numFmtId="165" xfId="0" applyAlignment="1" applyBorder="1" applyFont="1" applyNumberFormat="1">
      <alignment readingOrder="0" shrinkToFit="0" vertical="center" wrapText="0"/>
    </xf>
    <xf borderId="48" fillId="0" fontId="4" numFmtId="0" xfId="0" applyAlignment="1" applyBorder="1" applyFont="1">
      <alignment readingOrder="0" shrinkToFit="0" vertical="center" wrapText="0"/>
    </xf>
    <xf borderId="49" fillId="0" fontId="19" numFmtId="165" xfId="0" applyAlignment="1" applyBorder="1" applyFont="1" applyNumberFormat="1">
      <alignment readingOrder="0" shrinkToFit="0" vertical="center" wrapText="0"/>
    </xf>
    <xf borderId="49" fillId="0" fontId="4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B463C"/>
          <bgColor rgb="FFBB463C"/>
        </patternFill>
      </fill>
      <border/>
    </dxf>
  </dxfs>
  <tableStyles count="12">
    <tableStyle count="3" pivot="0" name="4 Caja diaria-style">
      <tableStyleElement dxfId="1" type="headerRow"/>
      <tableStyleElement dxfId="2" type="firstRowStripe"/>
      <tableStyleElement dxfId="3" type="secondRowStripe"/>
    </tableStyle>
    <tableStyle count="3" pivot="0" name="Ventas diarias-style">
      <tableStyleElement dxfId="1" type="headerRow"/>
      <tableStyleElement dxfId="2" type="firstRowStripe"/>
      <tableStyleElement dxfId="3" type="secondRowStripe"/>
    </tableStyle>
    <tableStyle count="3" pivot="0" name="Stock inicial-style">
      <tableStyleElement dxfId="1" type="headerRow"/>
      <tableStyleElement dxfId="2" type="firstRowStripe"/>
      <tableStyleElement dxfId="3" type="secondRowStripe"/>
    </tableStyle>
    <tableStyle count="3" pivot="0" name="Gastos diarios-style">
      <tableStyleElement dxfId="6" type="headerRow"/>
      <tableStyleElement dxfId="2" type="firstRowStripe"/>
      <tableStyleElement dxfId="3" type="secondRowStripe"/>
    </tableStyle>
    <tableStyle count="3" pivot="0" name="3 Compras y proveedores-style">
      <tableStyleElement dxfId="1" type="headerRow"/>
      <tableStyleElement dxfId="2" type="firstRowStripe"/>
      <tableStyleElement dxfId="3" type="secondRowStripe"/>
    </tableStyle>
    <tableStyle count="2" pivot="0" name="5 Precios Mayorista-style">
      <tableStyleElement dxfId="2" type="firstRowStripe"/>
      <tableStyleElement dxfId="3" type="secondRowStripe"/>
    </tableStyle>
    <tableStyle count="2" pivot="0" name="5 Precios Mayorista-style 2">
      <tableStyleElement dxfId="2" type="firstRowStripe"/>
      <tableStyleElement dxfId="3" type="secondRowStripe"/>
    </tableStyle>
    <tableStyle count="2" pivot="0" name="5 Precios Mayorista-style 3">
      <tableStyleElement dxfId="2" type="firstRowStripe"/>
      <tableStyleElement dxfId="3" type="secondRowStripe"/>
    </tableStyle>
    <tableStyle count="2" pivot="0" name="5 Precios Mayorista-style 4">
      <tableStyleElement dxfId="2" type="firstRowStripe"/>
      <tableStyleElement dxfId="3" type="secondRowStripe"/>
    </tableStyle>
    <tableStyle count="3" pivot="0" name="6Costos fijos y variables-style">
      <tableStyleElement dxfId="1" type="headerRow"/>
      <tableStyleElement dxfId="2" type="firstRowStripe"/>
      <tableStyleElement dxfId="3" type="secondRowStripe"/>
    </tableStyle>
    <tableStyle count="3" pivot="0" name="7 Análisis financiero mensual-style">
      <tableStyleElement dxfId="1" type="headerRow"/>
      <tableStyleElement dxfId="2" type="firstRowStripe"/>
      <tableStyleElement dxfId="3" type="secondRowStripe"/>
    </tableStyle>
    <tableStyle count="3" pivot="0" name="10 Cuotas del préstam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2000" sheet="Ventas diarias"/>
  </cacheSource>
  <cacheFields>
    <cacheField name="Fecha" numFmtId="165">
      <sharedItems containsNonDate="0" containsDate="1" containsString="0" containsBlank="1" minDate="2025-06-20T00:00:00Z" maxDate="2025-08-20T00:00:00Z">
        <d v="2025-06-20T00:00:00Z"/>
        <m/>
        <d v="2025-06-21T00:00:00Z"/>
        <d v="2025-06-23T00:00:00Z"/>
        <d v="2025-06-24T00:00:00Z"/>
        <d v="2025-06-25T00:00:00Z"/>
        <d v="2025-06-26T00:00:00Z"/>
        <d v="2025-06-27T00:00:00Z"/>
        <d v="2025-06-28T00:00:00Z"/>
        <d v="2025-06-29T00:00:00Z"/>
        <d v="2025-06-30T00:00:00Z"/>
        <d v="2025-07-01T00:00:00Z"/>
        <d v="2025-07-02T00:00:00Z"/>
        <d v="2025-07-03T00:00:00Z"/>
        <d v="2025-07-04T00:00:00Z"/>
        <d v="2025-07-05T00:00:00Z"/>
        <d v="2025-08-16T00:00:00Z"/>
        <d v="2025-07-07T00:00:00Z"/>
        <d v="2025-07-08T00:00:00Z"/>
        <d v="2025-07-15T00:00:00Z"/>
        <d v="2025-07-09T00:00:00Z"/>
        <d v="2025-07-10T00:00:00Z"/>
        <d v="2025-07-11T00:00:00Z"/>
        <d v="2025-07-12T00:00:00Z"/>
        <d v="2025-07-14T00:00:00Z"/>
        <d v="2025-07-16T00:00:00Z"/>
        <d v="2025-07-17T00:00:00Z"/>
        <d v="2025-07-19T00:00:00Z"/>
        <d v="2025-07-18T00:00:00Z"/>
        <d v="2025-07-24T00:00:00Z"/>
        <d v="2025-08-04T00:00:00Z"/>
        <d v="2025-07-21T00:00:00Z"/>
        <d v="2025-07-22T00:00:00Z"/>
        <d v="2025-07-23T00:00:00Z"/>
        <d v="2025-07-25T00:00:00Z"/>
        <d v="2025-07-26T00:00:00Z"/>
        <d v="2025-07-28T00:00:00Z"/>
        <d v="2025-07-29T00:00:00Z"/>
        <d v="2025-07-30T00:00:00Z"/>
        <d v="2025-07-31T00:00:00Z"/>
        <d v="2025-08-01T00:00:00Z"/>
        <d v="2025-08-02T00:00:00Z"/>
        <d v="2025-08-05T00:00:00Z"/>
        <d v="2025-08-06T00:00:00Z"/>
        <d v="2025-08-07T00:00:00Z"/>
        <d v="2025-08-08T00:00:00Z"/>
        <d v="2025-08-09T00:00:00Z"/>
        <d v="2025-08-11T00:00:00Z"/>
        <d v="2025-08-15T00:00:00Z"/>
        <d v="2025-08-12T00:00:00Z"/>
        <d v="2025-08-14T00:00:00Z"/>
        <d v="2025-08-13T00:00:00Z"/>
        <d v="2025-08-18T00:00:00Z"/>
        <d v="2025-08-19T00:00:00Z"/>
      </sharedItems>
      <fieldGroup base="0">
        <rangePr autoStart="0" autoEnd="0" groupBy="months" startDate="2025-06-20T00:00:00Z" endDate="2025-08-20T00:00:00Z"/>
        <groupItems>
          <s v="&lt;06/20/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/20/25"/>
        </groupItems>
      </fieldGroup>
    </cacheField>
    <cacheField name="Ticket" numFmtId="0">
      <sharedItems containsBlank="1">
        <s v="T000"/>
        <m/>
        <s v="T001"/>
        <s v="T002"/>
        <s v="T003"/>
        <s v="T004"/>
        <s v="T005"/>
        <s v="T006"/>
        <s v="T007"/>
        <s v="T008"/>
        <s v="T009"/>
        <s v="T010"/>
        <s v="T011"/>
        <s v="T012"/>
        <s v="T013"/>
        <s v="T014"/>
        <s v="T015"/>
        <s v="T016"/>
        <s v="T017"/>
        <s v="T018"/>
        <s v="T019"/>
        <s v="T020"/>
        <s v="T021"/>
        <s v="T022"/>
        <s v="T023"/>
        <s v="T024"/>
        <s v="T025"/>
        <s v="T026"/>
        <s v="T027"/>
        <s v="T028"/>
        <s v="T029"/>
        <s v="T030"/>
        <s v="T031"/>
        <s v="T032"/>
        <s v="T033"/>
        <s v="T034"/>
        <s v="T035"/>
        <s v="T036"/>
        <s v="T037"/>
        <s v="T038"/>
        <s v="T039"/>
        <s v="T040"/>
        <s v="T041"/>
        <s v="T042"/>
        <s v="T043"/>
        <s v="T044"/>
        <s v="T045"/>
        <s v="T046"/>
        <s v="T047"/>
        <s v="T048"/>
        <s v="T049"/>
        <s v="T050"/>
        <s v="T051"/>
        <s v="T052"/>
        <s v="T053"/>
        <s v="T054"/>
        <s v="T055"/>
        <s v="T056"/>
        <s v="T057"/>
        <s v="T058"/>
        <s v="T059"/>
        <s v="T060"/>
        <s v="T062"/>
        <s v="T063"/>
        <s v="T064"/>
        <s v="T065"/>
        <s v="T066"/>
        <s v="T067"/>
        <s v="T068"/>
        <s v="T069"/>
        <s v="T070"/>
        <s v="T071"/>
        <s v="T072"/>
        <s v="T073"/>
        <s v="T074"/>
        <s v="T075"/>
        <s v="T076"/>
        <s v="T077"/>
        <s v="T078"/>
        <s v="T079"/>
        <s v="T080"/>
        <s v="T081"/>
        <s v="T082"/>
        <s v="T083"/>
        <s v="T084"/>
        <s v="T085"/>
        <s v="T086"/>
        <s v="T087"/>
        <s v="T088"/>
        <s v="T089"/>
        <s v="T090"/>
        <s v="T091"/>
        <s v="T092"/>
        <s v="T093"/>
        <s v="T094"/>
        <s v="T095"/>
        <s v="T096"/>
        <s v="T097"/>
        <s v="T098"/>
        <s v="T099"/>
        <s v="T100"/>
        <s v="T101"/>
        <s v="T102"/>
        <s v="T103"/>
        <s v="T104"/>
        <s v="T105"/>
        <s v="T106"/>
        <s v="T107"/>
        <s v="T108"/>
        <s v="T109"/>
        <s v="T110"/>
        <s v="T111"/>
        <s v="T112"/>
        <s v="T137"/>
        <s v="T113"/>
        <s v="T114"/>
        <s v="T115"/>
        <s v="T116"/>
        <s v="T117"/>
        <s v="T118"/>
        <s v="T119"/>
        <s v="T120"/>
        <s v="T121"/>
        <s v="T122"/>
        <s v="T123"/>
        <s v="T124"/>
        <s v="T125"/>
        <s v="T126"/>
        <s v="T127"/>
        <s v="T128"/>
        <s v="T129"/>
        <s v="T130"/>
        <s v="T131"/>
        <s v="T132"/>
        <s v="T133"/>
        <s v="T134"/>
        <s v="T135"/>
        <s v="T136"/>
        <s v="T138"/>
        <s v="T139"/>
        <s v="T140"/>
        <s v="T141"/>
        <s v="T142"/>
        <s v="T143"/>
        <s v="T144"/>
        <s v="T145"/>
        <s v="T146"/>
        <s v="T147"/>
        <s v="T148"/>
        <s v="T149"/>
        <s v="T150"/>
        <s v="T151"/>
        <s v="T152"/>
        <s v="T153"/>
        <s v="T154"/>
        <s v="T155"/>
        <s v="T156"/>
        <s v="T157"/>
        <s v="T158"/>
        <s v="T159"/>
        <s v="T160"/>
        <s v="T161"/>
        <s v="T162"/>
        <s v="T163"/>
        <s v="T164"/>
        <s v="T165"/>
        <s v="T166"/>
        <s v="T167"/>
        <s v="T168"/>
        <s v="T169"/>
        <s v="T170"/>
        <s v="T171"/>
        <s v="T172"/>
        <s v="T173"/>
        <s v="T174"/>
        <s v="T175"/>
        <s v="T176"/>
        <s v="T177"/>
        <s v="T178"/>
        <s v="T179"/>
        <s v="T180"/>
        <s v="T181"/>
        <s v="T182"/>
        <s v="T183"/>
        <s v="T184"/>
        <s v="T185"/>
        <s v="T186"/>
        <s v="T187"/>
        <s v="T188"/>
        <s v="T189"/>
        <s v="T190"/>
        <s v="T191"/>
        <s v="T192"/>
        <s v="T193"/>
        <s v="T194"/>
        <s v="T195"/>
        <s v="T196"/>
        <s v="T197"/>
        <s v="T198"/>
        <s v="T199"/>
        <s v="T200"/>
        <s v="T201"/>
        <s v="T202"/>
        <s v="T203"/>
        <s v="T204"/>
        <s v="T205"/>
        <s v="T206"/>
        <s v="T207"/>
        <s v="T208"/>
        <s v="T209"/>
        <s v="T210"/>
        <s v="T211"/>
        <s v="T212"/>
        <s v="T213"/>
        <s v="T214"/>
        <s v="T215"/>
        <s v="T216"/>
        <s v="T217"/>
        <s v="T218"/>
        <s v="T219"/>
        <s v="T220"/>
        <s v="T221"/>
        <s v="T222"/>
        <s v="T223"/>
        <s v="T224"/>
        <s v="T225"/>
        <s v="T226"/>
        <s v="T227"/>
        <s v="T228"/>
        <s v="T229"/>
        <s v="T230"/>
        <s v="T231"/>
        <s v="T232"/>
        <s v="T233"/>
        <s v="T234"/>
        <s v="T235"/>
        <s v="T236"/>
        <s v="T237"/>
        <s v="T238"/>
        <s v="T239"/>
        <s v="T240"/>
        <s v="T241"/>
        <s v="T242"/>
        <s v="T243"/>
        <s v="T244"/>
        <s v="T245"/>
        <s v="T246"/>
        <s v="T247"/>
        <s v="T248"/>
        <s v="T249"/>
        <s v="T250"/>
        <s v="T251"/>
        <s v="T252"/>
        <s v="T253"/>
        <s v="T254"/>
        <s v="T255"/>
        <s v="T256"/>
        <s v="T257"/>
        <s v="T258"/>
        <s v="T259"/>
        <s v="T260"/>
        <s v="T261"/>
        <s v="T262"/>
        <s v="T263"/>
        <s v="T264"/>
        <s v="T265"/>
        <s v="T266"/>
        <s v="T267"/>
        <s v="T268"/>
        <s v="T269"/>
        <s v="T270"/>
        <s v="T271"/>
        <s v="T272"/>
        <s v="T273"/>
        <s v="T274"/>
        <s v="T275"/>
        <s v="T276"/>
        <s v="T277"/>
        <s v="T278"/>
        <s v="T279"/>
        <s v="T280"/>
        <s v="T281"/>
        <s v="T282"/>
        <s v="T283"/>
        <s v="T284"/>
        <s v="T285"/>
        <s v="T286"/>
        <s v="T287"/>
        <s v="T288"/>
        <s v="T289"/>
        <s v="T290"/>
        <s v="T291"/>
        <s v="T292"/>
        <s v="T293"/>
        <s v="T294"/>
        <s v="T295"/>
        <s v="T296"/>
        <s v="T297"/>
        <s v="T298"/>
        <s v="T299"/>
        <s v="T300"/>
        <s v="T301"/>
        <s v="T302"/>
        <s v="T303"/>
        <s v="T304"/>
        <s v="T305"/>
        <s v="T306"/>
        <s v="T307"/>
        <s v="T308"/>
        <s v="T309"/>
        <s v="T310"/>
        <s v="T311"/>
        <s v="T312"/>
        <s v="T313"/>
        <s v="T314"/>
        <s v="T315"/>
        <s v="T316"/>
        <s v="T317"/>
        <s v="T318"/>
        <s v="T319"/>
        <s v="T320"/>
        <s v="T321"/>
        <s v="T322"/>
        <s v="T323"/>
        <s v="T324"/>
        <s v="T325"/>
        <s v="T326"/>
        <s v="T327"/>
        <s v="T328"/>
        <s v="T329"/>
        <s v="T330"/>
        <s v="T331"/>
        <s v="T332"/>
        <s v="T333"/>
        <s v="T334"/>
        <s v="T335"/>
        <s v="T336"/>
        <s v="T337"/>
        <s v="T338"/>
        <s v="T339"/>
        <s v="T340"/>
        <s v="T341"/>
        <s v="T342"/>
        <s v="T343"/>
        <s v="T344"/>
        <s v="T345"/>
        <s v="T346"/>
        <s v="T347"/>
        <s v="T348"/>
        <s v="T349"/>
        <s v="T350"/>
        <s v="T351"/>
        <s v="T352"/>
        <s v="T353"/>
        <s v="T354"/>
        <s v="T355"/>
        <s v="T356"/>
        <s v="T357"/>
        <s v="T358"/>
        <s v="T359"/>
        <s v="T360"/>
        <s v="T361"/>
        <s v="T362"/>
        <s v="T363"/>
        <s v="T364"/>
        <s v="T365"/>
        <s v="T366"/>
        <s v="T367"/>
        <s v="T368"/>
        <s v="T369"/>
        <s v="T370"/>
        <s v="T371"/>
        <s v="T372"/>
        <s v="T373"/>
        <s v="T374"/>
        <s v="T375"/>
        <s v="T376"/>
        <s v="T377"/>
        <s v="T378"/>
        <s v="T379"/>
        <s v="T380"/>
        <s v="T381"/>
        <s v="T382"/>
        <s v="T383"/>
        <s v="T384"/>
        <s v="T385"/>
        <s v="T386"/>
        <s v="T387"/>
        <s v="T388"/>
        <s v="T389"/>
        <s v="T390"/>
        <s v="T391"/>
        <s v="T392"/>
        <s v="T393"/>
        <s v="T394"/>
        <s v="T395"/>
        <s v="T396"/>
        <s v="T397"/>
        <s v="T398"/>
        <s v="T399"/>
        <s v="T400"/>
        <s v="T401"/>
        <s v="T402"/>
        <s v="T403"/>
        <s v="T404"/>
        <s v="T405"/>
        <s v="T406"/>
        <s v="T407"/>
        <s v="T408"/>
        <s v="T409"/>
        <s v="T410"/>
        <s v="T411"/>
        <s v="T412"/>
        <s v="T413"/>
        <s v="T414"/>
        <s v="T415"/>
        <s v="T416"/>
        <s v="T417"/>
        <s v="T418"/>
        <s v="T419"/>
        <s v="T420"/>
        <s v="T421"/>
        <s v="T422"/>
        <s v="T423"/>
        <s v="T424"/>
        <s v="T425"/>
        <s v="T426"/>
        <s v="T427"/>
        <s v="T428"/>
        <s v="T429"/>
        <s v="T430"/>
        <s v="T431"/>
        <s v="T432"/>
        <s v="T433"/>
        <s v="T434"/>
        <s v="T435"/>
        <s v="T436"/>
        <s v="T437"/>
        <s v="T438"/>
        <s v="T439"/>
        <s v="T440"/>
        <s v="T441"/>
        <s v="T442"/>
        <s v="T443"/>
        <s v="T444"/>
      </sharedItems>
    </cacheField>
    <cacheField name="COD">
      <sharedItems containsBlank="1" containsMixedTypes="1" containsNumber="1" containsInteger="1">
        <n v="226.0"/>
        <n v="212.0"/>
        <n v="245.0"/>
        <n v="255.0"/>
        <n v="283.0"/>
        <n v="299.0"/>
        <n v="304.0"/>
        <s v="-"/>
        <n v="250.0"/>
        <n v="302.0"/>
        <n v="288.0"/>
        <n v="287.0"/>
        <n v="256.0"/>
        <n v="357.0"/>
        <n v="284.0"/>
        <n v="223.0"/>
        <n v="246.0"/>
        <n v="286.0"/>
        <n v="247.0"/>
        <n v="253.0"/>
        <n v="162.0"/>
        <n v="290.0"/>
        <n v="326.0"/>
        <n v="251.0"/>
        <n v="213.0"/>
        <n v="252.0"/>
        <n v="267.0"/>
        <n v="258.0"/>
        <n v="274.0"/>
        <n v="278.0"/>
        <n v="282.0"/>
        <m/>
        <n v="257.0"/>
        <n v="276.0"/>
        <n v="214.0"/>
        <n v="229.0"/>
        <n v="266.0"/>
        <n v="273.0"/>
        <n v="279.0"/>
        <n v="152.0"/>
        <n v="232.0"/>
        <n v="277.0"/>
        <n v="234.0"/>
        <n v="259.0"/>
        <n v="354.0"/>
        <n v="157.0"/>
        <n v="104.0"/>
        <n v="219.0"/>
        <n v="275.0"/>
        <n v="281.0"/>
        <n v="216.0"/>
        <n v="227.0"/>
        <n v="365.0"/>
        <n v="230.0"/>
        <n v="3622.0"/>
        <n v="280.0"/>
        <n v="285.0"/>
        <n v="342.0"/>
        <n v="242.0"/>
        <n v="289.0"/>
        <n v="364.0"/>
        <n v="2912.0"/>
        <n v="159.0"/>
        <n v="261.0"/>
        <n v="268.0"/>
        <n v="160.0"/>
        <n v="148.0"/>
        <n v="291.0"/>
        <n v="303.0"/>
        <n v="312.0"/>
        <n v="134.0"/>
        <n v="322.0"/>
        <n v="314.0"/>
        <n v="341.0"/>
        <n v="347.0"/>
        <n v="370.0"/>
        <n v="235.0"/>
        <n v="327.0"/>
        <n v="294.0"/>
        <n v="292.0"/>
        <n v="248.0"/>
        <n v="254.0"/>
        <n v="328.0"/>
        <n v="333.0"/>
        <n v="324.0"/>
        <n v="249.0"/>
        <n v="366.0"/>
        <n v="2991.0"/>
        <n v="225.0"/>
        <n v="137.0"/>
        <n v="3624.0"/>
        <n v="241.0"/>
        <n v="308.0"/>
        <n v="166.0"/>
        <n v="136.0"/>
        <n v="228.0"/>
        <n v="196.0"/>
        <n v="195.0"/>
        <n v="200.0"/>
        <n v="206.0"/>
        <n v="135.0"/>
        <n v="120.0"/>
        <n v="149.0"/>
        <n v="199.0"/>
        <n v="175.0"/>
        <n v="270.0"/>
        <n v="260.0"/>
        <n v="300.0"/>
        <n v="163.0"/>
        <n v="1611.0"/>
        <n v="363.0"/>
        <n v="140.0"/>
        <n v="346.0"/>
        <n v="319.0"/>
        <n v="158.0"/>
        <n v="2440.0"/>
        <n v="348.0"/>
        <n v="193.0"/>
        <n v="217.0"/>
        <n v="170.0"/>
        <n v="209.0"/>
        <n v="309.0"/>
        <n v="150.0"/>
        <n v="128.0"/>
        <n v="377.0"/>
        <n v="369.0"/>
        <n v="167.0"/>
        <n v="378.0"/>
        <n v="301.0"/>
        <n v="359.0"/>
        <n v="218.0"/>
        <n v="325.0"/>
        <n v="108.0"/>
        <n v="142.0"/>
        <n v="1441.0"/>
        <n v="318.0"/>
        <n v="1522.0"/>
        <n v="215.0"/>
        <n v="240.0"/>
        <n v="353.0"/>
        <n v="305.0"/>
        <n v="264.0"/>
        <n v="202.0"/>
        <n v="153.0"/>
        <n v="238.0"/>
        <n v="236.0"/>
        <n v="380.0"/>
        <n v="371.0"/>
        <n v="373.0"/>
        <n v="372.0"/>
        <n v="374.0"/>
        <n v="384.0"/>
        <n v="385.0"/>
        <n v="383.0"/>
        <n v="375.0"/>
        <n v="379.0"/>
        <n v="156.0"/>
        <n v="243.0"/>
        <n v="334.0"/>
        <n v="165.0"/>
        <n v="340.0"/>
        <n v="313.0"/>
        <n v="386.0"/>
        <n v="125.0"/>
        <n v="118.0"/>
        <n v="220.0"/>
        <n v="355.0"/>
        <n v="337.0"/>
        <n v="237.0"/>
      </sharedItems>
    </cacheField>
    <cacheField name="Producto" numFmtId="0">
      <sharedItems containsBlank="1">
        <s v="GATI GATO CARNE Y POLLO"/>
        <s v="DOGPRO ADULTO MORDIDA PEQUEñA XKG"/>
        <s v="ARIEL ECO (VERDE) 1L"/>
        <s v="VIVERE EXT. PERF. (CELESTE) 1L"/>
        <s v="TICKET ROPA 1L"/>
        <s v="ESCOBA PLUMITA ECO"/>
        <s v="LYSOFORM AEROSOL X 360 ORGINAL"/>
        <s v="PEDIDO MARGA"/>
        <s v="ARIEL. EXT. PERF. (VERDE CON SUAVIZANTE) 5L"/>
        <s v="GUANTES BATUQUE"/>
        <s v="ACONDICIONADOR PANTENE 1/2L"/>
        <s v="SHAMPOO DOVE 1/2L"/>
        <s v="VIVERE EXT. PERF. (CELESTE) 5L"/>
        <s v="PAPEL HIGIENICO &quot;ELEGANTE&quot;"/>
        <s v="VAINILLA/COCO ROPA 1L"/>
        <s v="VORAZ PERRO ADULTO MIX"/>
        <s v="ARIEL ECO (VERDE) 5L"/>
        <s v="JABON LIQUIDO ESPADOL P/MANOS 1/2L"/>
        <s v="ARIEL PREMIUM (VERDE) 1L"/>
        <s v="COMFORT PREMIUM (ROSA) 1L"/>
        <s v="PIEDRA SANITARIA THEBEST X20KG"/>
        <s v="LAVANDINA 5L"/>
        <s v="REJILLA LAVACOCHE 45X60CM"/>
        <s v="VIVERE ECO (CELESTE) 1L"/>
        <s v="DOGPRO CACHORRO XKG"/>
        <s v="VIVERE ECO (CELESTE) 5L"/>
        <s v="DESENGRASANTE COCINA 5L"/>
        <s v="MAGISTRAL ECO (LIMON AMARILLO) 5L"/>
        <s v="PERFUMINA CHERRY 5L"/>
        <s v="PERFUMINA LIMON 5L"/>
        <s v="PERFUMINA VAINILLA 5L"/>
        <s v="PROMO KIT X5"/>
        <s v="MAGISTRAL ECO (LIMON AMARILLO) 1L"/>
        <s v="PERFUMINA UVA 5L"/>
        <s v="DOGPRO ADULTO SUPER PREMIUM XKG"/>
        <s v="EXCELLENT GATO ADULTO"/>
        <s v="DESENGRASANTE COCINA 1L"/>
        <s v="PERFUMINA CHERRY 1L"/>
        <s v="PROMO KIT X1"/>
        <s v="PERFUMINA LISOFORM 1L"/>
        <s v="OREJAS BOVINAS"/>
        <s v="NUTRIBON URINARY XKG"/>
        <s v="PERFUMINA LIMON 1L"/>
        <s v="CAT CHOW ADULTO CARNE POLLO"/>
        <s v="ALOE VERA (VERDE) 1L"/>
        <s v="ROLLISEC &quot;EL COLOSO&quot; 40 X3 "/>
        <s v="PELLET SANITARIO X 15KG"/>
        <s v="COLLAR C/PANUELO 3.0 EXTRA LARGE"/>
        <s v="VITAL BALANCED CACHORRO PUPPY"/>
        <s v="PERFUMINA UVA 1L"/>
        <s v="PERFUMINA VAINILLA 1L"/>
        <s v="EXCELLENT PUPPY FORMULA XKG"/>
        <s v="CATPRO GATO ADULTO"/>
        <s v="PLUS"/>
        <s v="CAMITAS 1x70"/>
        <s v="EXCELLENT PERRO ADULTO BONUS 20K +2"/>
        <s v="ROPA PERRO TALLE 6"/>
        <s v="PERFUMINA LISOFORM 1/2"/>
        <s v="JABON LIQUIDO  P/MANOS COCO 1/2L"/>
        <s v="BOLSA R 45X60"/>
        <s v="PEDIGREE POUCH AD. PEQ POLLO"/>
        <s v="LAVANDINA 1L"/>
        <s v="CAMITAS  70x70"/>
        <s v="CLORO 5L"/>
        <s v="PROMO KITX5"/>
        <s v="ABSORSOL ALTA GAMA NEGRA X3.6KG"/>
        <s v="LAVANDINA EN GEL"/>
        <s v="LIMPIAVIDRIOS 1L"/>
        <s v="ABSORSOL PIEDRA SANIT. LAVAND"/>
        <s v="MOISTYCREAM GATO PESCADO"/>
        <s v="SHAMPOO P/AUTO "/>
        <s v="JABON EN PAN SIGNO 200G"/>
        <s v="PANUELITOS ELITE PACK X6"/>
        <s v="PALITO C/PELOTA Y SOGA"/>
        <s v="MOPA"/>
        <s v="VALERINA CHICA"/>
        <s v="BOLSA C 60X90"/>
        <s v="ESPONJA GIGANTE BRONCE HELP"/>
        <s v="CUBO 3 POSICIONES"/>
        <s v="CATCHOW POUCH ADULTO POLLO"/>
        <s v="TRAPO DE PISO - ECO 45X58CM"/>
        <s v="COMBO X1L"/>
        <s v="SILICONA DE VAINI/COCO"/>
        <s v="BOLSA VITAL BALANCED X20KG"/>
        <s v="KAUCHO"/>
        <s v="ARIEL PREMIUM (VERDE) 5L"/>
        <s v="COMFORT PREMIUM (ROSA) 5L"/>
        <s v="TRAPO DE PISO &quot;ESTRELLA&quot; 48X60CM"/>
        <s v="SECADOR N40 &quot;NAZAR&quot;"/>
        <s v="REJILLA SUPER  &quot;ENTRESOL&quot; 40X42CM"/>
        <s v="ARIEL. EXT. PERF. (VERDE CON SUAVIZANTE) 1L"/>
        <s v="CAMITAS 1x1.20"/>
        <s v="DEBITO"/>
        <s v="BOLSA DOGPRO CACHORRO 8K"/>
        <s v="REPASADOR CUADRADITOS "/>
        <s v="BIDON 20L SHAMPOO AUTO"/>
        <s v="GATI GATO PESCADO Y SALMON"/>
        <s v="PELOTA SOFT"/>
        <s v="ROPA PERRO TALLE 8"/>
        <s v="PEDIGREE POUCH AD. POLLO"/>
        <s v="BLEM AEROSOL LUSTRAMUEBLES CLASICO 360"/>
        <s v="SHAMP. OSSPRET MEDICADO"/>
        <s v="PELOTA C/CHIF DEPORTES"/>
        <s v="CATPRO KITTEN"/>
        <s v="COMPRIMID. POWER DE 5.1 A 10"/>
        <s v="COMPRIMID. POWER DE 2.5 A 5"/>
        <s v="LA PIPETA OSSPRET GATO HASTA 4KG"/>
        <s v="PIPETA POWER ULTRA DE 5 A 10KG"/>
        <s v="PALITO C/FIBRAS Y CASCABELL"/>
        <s v="COMEDERO OVAL GRANDE"/>
        <s v=" BOLSA DOGPRO CACHORRO x15k"/>
        <s v="PALITOS MASTICABLES IZZY x6"/>
        <s v="PROMO VORAZ"/>
        <s v="LA PIPETA OSSPRET GATO D 4 A 8KG"/>
        <s v="GELTEK JERINGA HORMIGAS"/>
        <s v="HECHO EN BALDE 1L"/>
        <s v="ALOE VERA (VERDE) 5L"/>
        <s v="COMBO x5L"/>
        <s v="ESCOBA TEMPRA PREMIUM NUEVA"/>
        <s v="SHAMPOO ANTISEP CACH X 300CC"/>
        <s v="BOLSA EXCELLENT ADULTO X20KG"/>
        <s v="BOLSA EXCELLENT CACHORRO X8KG"/>
        <s v="BOLSA NUTRIBON X20KG"/>
        <s v="BOLSA EXCELLENT ADULTO RAZ PEQ X15KG"/>
        <s v="ZOOTEC PIEDRA AGLUTINANTE X 4KG"/>
        <s v="CAMITAS 70x50"/>
        <s v="GOLOCAN HUESO HORNEADO CARNE"/>
        <s v="ESPONJA GIGANTE ACERO "/>
        <s v="CABO 1.5CM"/>
        <s v="PELLET SANITARIA BEDYWOOD X 15KG"/>
        <s v="SEMILLAS GIRASOL"/>
        <s v="FRANELAS 40X50CM"/>
        <s v="LA PIPETA OSSPRET D 2 A 10KG"/>
        <s v="VORAZ GATO ADULTO X2OK"/>
        <s v="SINORIN DUO REPELENTE X 500CC"/>
        <s v="ENVIO"/>
        <s v="CARDINA CON BOTON EXPULSAPELO"/>
        <s v="BALDE 13L &quot;COLORES&quot; "/>
        <s v="CHORICKS CARNE Y LECHE"/>
        <s v="CORREA C/PRETAL CHICO"/>
        <s v="SAHUMERIOS MAGIC"/>
        <s v="ALMOHADONES"/>
        <s v="SHAMP. OSSPRET CLORHEXIDIA"/>
        <s v="SAHUMERIOS &quot;MOMENTOS&quot;"/>
        <s v="FOSFOROS COLOSO 220"/>
        <s v="BIDON VIVERE ECO 20L +BIDON 2500"/>
        <s v="MAYORISTA"/>
        <s v="ROPA PERRO TALLE 2 27*40"/>
        <s v="FUNDAS COLCHONETAS"/>
        <s v="MAYORISTA MAURI"/>
        <s v="EXCELLENT GATO URINARY X7.5KG"/>
        <s v="REJILLA SUPER &quot;PABILO&quot; 37X40 CM"/>
        <s v="COLLAR POLI. N2"/>
        <s v="HUESO ALGODON 25CM"/>
        <s v="CATPRO GATO LATA PESCADO 340G"/>
        <s v="CABO NORMAL 1.20CM"/>
        <s v="CEPILLO VAPOR"/>
        <s v="4 HUELLAS GATO ADULTO"/>
        <s v="PEDIGREE POUCH AD. CARNE"/>
        <s v="SECADOR N50 &quot;NAZAR&quot;"/>
        <s v="PALA DE RESIDUO CON CABO"/>
        <s v="BICARBONATO x100g"/>
        <s v="LEVAMISOL ORAL GOTAS X 15CC"/>
        <s v="OSPRETT NEGRO"/>
        <s v="BOLSON BRIO"/>
        <s v="BANDEJA SANITARIA CHICA"/>
        <s v="PEDIGREE DENTASTIX RAZA MED X3"/>
        <s v="CATCHOW POUCH GATITO POLLO"/>
        <s v="TIBETANOS"/>
        <s v="ESFERAS MAGICAS ORG."/>
        <s v="VELAS P/HORNITO"/>
        <s v="HORNITO"/>
        <s v="SAHUMADOR"/>
        <s v="ARMONIA DE HOGAR LIQUIDO"/>
        <s v="SAHUMERIOS SUELTOS X6"/>
        <s v="SAHUMERIOS.COM"/>
        <s v="DEBITO "/>
        <s v="PORTA SAHUMERIO"/>
        <s v="PALO SANTO BUENA ONDA"/>
        <s v="REPASADOR ECO"/>
        <s v="PALITA SANITARIA CARA GATO"/>
        <s v="PEDIGREE POUCH AD. PEQ. CARNE"/>
        <s v="TOALLITAS &quot;LINA&quot; PACK X8 "/>
        <s v="PROMO DOGPRO"/>
        <s v="SHAMPOO MASCOTA X 300 CC"/>
        <s v="PLAYA MAZZINI SHAMPOO AUTO 40L"/>
        <s v="ESPONJA BATUQUE ECO"/>
        <s v="JABON EN POLVO &quot;ZORRO&quot; X400G"/>
        <s v="SAPHIRUS AEROSOL"/>
        <s v="BOLSA CATPRO KITTEN"/>
        <s v="BOLSA VORAZ"/>
        <s v="BOLSA NUTRIBON JULI"/>
        <s v="BOLSA ALE REJA"/>
        <s v="CORREA C/PRETAL ACOLCH."/>
        <s v="COMEDERO GATO PLASTICO"/>
        <s v="BIDON PLAZA MAZZINI"/>
        <s v="EXCELLENT PERRO ADULTO MORD. PEQ. 15KG"/>
        <s v="BIDON ARIEL PREMIUM"/>
        <s v=" PERFUMINA LAVANDA 1L"/>
        <s v="PERFUME VIVERE 1L"/>
        <s v="JABON LUX 1L"/>
        <s v="JABON DE TOCADOR &quot;LUX&quot;"/>
        <s v="BIDON COMFORT P X20L"/>
        <s v="ALCOHOL ETILICO X500 &quot;COLOSO&quot;"/>
        <s v="BOLSA VORAZ (YA PAGO, RETIRA 19/8)"/>
        <s v="PEDIGREE DENTASTIX RAZA MED X1"/>
        <s v="BOLSA MARGA DOGPRO"/>
        <s v="BOLSA MARGA CATPRO"/>
        <s v=""/>
        <m/>
      </sharedItems>
    </cacheField>
    <cacheField name="Cantidad" numFmtId="0">
      <sharedItems containsString="0" containsBlank="1" containsNumber="1">
        <n v="1.0"/>
        <n v="2.0"/>
        <n v="3.0"/>
        <n v="3.45"/>
        <n v="1.03"/>
        <n v="0.3"/>
        <n v="0.536"/>
        <n v="1.11"/>
        <n v="3.3"/>
        <n v="2.21"/>
        <n v="0.622"/>
        <n v="5.0"/>
        <n v="0.68"/>
        <n v="1.028"/>
        <n v="1.5"/>
        <n v="3.65"/>
        <n v="1.09"/>
        <n v="3.09"/>
        <n v="2.58"/>
        <n v="3.25"/>
        <n v="2.97"/>
        <n v="0.928"/>
        <n v="0.53"/>
        <n v="1.19"/>
        <n v="1.9"/>
        <n v="0.74"/>
        <n v="0.34"/>
        <n v="0.71"/>
        <n v="0.5"/>
        <n v="1.36"/>
        <n v="0.55"/>
        <n v="0.6"/>
        <n v="3.64"/>
        <n v="4.0"/>
        <n v="0.63"/>
        <n v="3.5"/>
        <n v="0.54"/>
        <n v="0.39"/>
        <n v="0.58"/>
        <n v="0.38"/>
        <n v="0.65"/>
        <n v="1.05"/>
        <n v="2.8"/>
        <n v="2.6"/>
        <n v="1.01"/>
        <n v="1.8"/>
        <n v="3.4"/>
        <n v="1.73"/>
        <n v="0.56"/>
        <n v="0.2"/>
        <n v="2.06"/>
        <n v="10.0"/>
        <n v="2.91"/>
        <n v="6.0"/>
        <n v="1.37"/>
        <n v="3.44"/>
        <n v="20.0"/>
        <n v="1.08"/>
        <n v="3.05"/>
        <n v="2.4"/>
        <n v="1.1"/>
        <n v="2.94"/>
        <n v="0.85"/>
        <n v="3.1"/>
        <n v="2.945"/>
        <n v="0.44"/>
        <n v="0.7"/>
        <n v="1.2"/>
        <n v="2.942"/>
        <n v="2.23"/>
        <n v="2.74"/>
        <m/>
        <n v="1.91"/>
        <n v="1.3"/>
        <n v="1.62"/>
        <n v="4.5"/>
        <n v="9.0"/>
        <n v="0.99"/>
        <n v="3.7"/>
        <n v="0.8"/>
        <n v="0.95"/>
        <n v="0.575"/>
        <n v="2.95"/>
        <n v="1.07"/>
        <n v="0.72"/>
        <n v="5.9"/>
        <n v="2.5"/>
        <n v="1.47"/>
        <n v="0.834"/>
        <n v="0.96"/>
      </sharedItems>
    </cacheField>
    <cacheField name="PRECIO">
      <sharedItems containsBlank="1" containsMixedTypes="1" containsNumber="1">
        <n v="2700.0"/>
        <n v="0.0"/>
        <n v="2500.0"/>
        <n v="890.0"/>
        <n v="1299.0"/>
        <n v="999.0"/>
        <n v="1990.0"/>
        <n v="3900.0"/>
        <n v="16000.0"/>
        <n v="4500.0"/>
        <s v="USO PERSONAL"/>
        <n v="1499.0"/>
        <n v="3499.0"/>
        <n v="1500.0"/>
        <n v="1000.0"/>
        <n v="1100.0"/>
        <n v="4000.0"/>
        <n v="2000.0"/>
        <n v="3700.0"/>
        <n v="1050.0"/>
        <n v="1200.0"/>
        <n v="580.0"/>
        <n v="1999.0"/>
        <n v="2900.0"/>
        <n v="2199.0"/>
        <n v="2799.0"/>
        <n v="-907.0"/>
        <n v="2499.0"/>
        <s v="perdida"/>
        <n v="7500.0"/>
        <n v="990.0"/>
        <n v="799.0"/>
        <n v="599.0"/>
        <n v="-287.0"/>
        <n v="800.0"/>
        <n v="3586.66"/>
        <n v="-387.0"/>
        <n v="-587.0"/>
        <n v="1350.0"/>
        <n v="900.0"/>
        <n v="5000.0"/>
        <n v="5700.0"/>
        <n v="3400.0"/>
        <n v="5250.0"/>
        <n v="450.0"/>
        <n v="19500.0"/>
        <n v="6000.0"/>
        <s v="desperdicio"/>
        <n v="899.0"/>
        <n v="600.0"/>
        <n v="690.0"/>
        <n v="290.0"/>
        <n v="499.0"/>
        <m/>
        <n v="-1607.0"/>
        <n v="5490.0"/>
        <n v="6900.0"/>
        <n v="2600.0"/>
        <n v="2299.0"/>
        <n v="2400.0"/>
        <n v="3490.0"/>
        <n v="490.0"/>
        <n v="24590.0"/>
        <n v="-507.0"/>
        <n v="5499.0"/>
        <n v="4700.0"/>
        <n v="62800.0"/>
        <n v="1899.0"/>
        <n v="24900.0"/>
        <n v="-1041.45"/>
        <n v="3100.0"/>
        <n v="30000.0"/>
        <n v="3000.0"/>
        <n v="16500.0"/>
        <n v="9000.0"/>
        <n v="4790.0"/>
        <n v="7600.0"/>
        <n v="8000.0"/>
        <n v="1600.0"/>
        <n v="5900.0"/>
        <n v="3500.0"/>
        <n v="5500.0"/>
        <n v="1800.0"/>
        <n v="3800.0"/>
        <n v="50000.0"/>
        <n v="-300.0"/>
        <n v="3999.0"/>
        <n v="-2407.0"/>
        <n v="2990.0"/>
        <n v="5800.0"/>
        <n v="72450.0"/>
        <n v="33500.0"/>
        <n v="65000.0"/>
        <n v="1900.0"/>
        <n v="4590.0"/>
        <n v="13500.0"/>
        <n v="2490.0"/>
        <n v="140.0"/>
        <n v="790.0"/>
        <n v="-185.0"/>
        <n v="2200.0"/>
        <n v="2290.0"/>
        <n v="-2800.0"/>
        <n v="2100.0"/>
        <n v="2999.0"/>
        <n v="3199.0"/>
        <n v="-3000.0"/>
        <n v="655.24"/>
        <n v="774.49"/>
        <n v="684.49"/>
        <n v="619.49"/>
        <n v="441.3"/>
        <n v="884.49"/>
        <n v="430.0"/>
        <n v="12000.0"/>
        <n v="700.0"/>
        <n v="16850.0"/>
        <n v="680.0"/>
        <n v="-6000.0"/>
        <n v="6750.0"/>
        <n v="54500.0"/>
        <n v="9900.0"/>
        <n v="4200.0"/>
        <n v="1399.0"/>
        <n v="3600.0"/>
        <n v="2190.0"/>
        <n v="2300.0"/>
        <n v="500.0"/>
        <n v="8500.0"/>
        <n v="27600.0"/>
        <n v="3200.0"/>
        <n v="1300.0"/>
        <n v="-100.0"/>
        <n v="-900.0"/>
        <n v="32000.0"/>
        <n v="4400.0"/>
        <n v="40400.0"/>
        <n v="4600.0"/>
        <n v="18842.0"/>
        <n v="1190.0"/>
        <n v="-600.0"/>
        <n v="34000.0"/>
        <n v="55000.0"/>
        <n v="9500.0"/>
        <n v="20000.0"/>
        <n v="5200.0"/>
        <n v="8960.0"/>
        <n v="3710.0"/>
        <n v="2050.0"/>
        <n v="1060.0"/>
        <n v="11490.0"/>
        <n v="-120.0"/>
        <n v="-1400.0"/>
        <n v="-150.0"/>
        <n v="47900.0"/>
        <n v="68000.0"/>
      </sharedItems>
    </cacheField>
    <cacheField name="COSTO" numFmtId="166">
      <sharedItems containsString="0" containsBlank="1" containsNumber="1">
        <n v="2073.33"/>
        <n v="2778.13"/>
        <n v="228.6"/>
        <n v="354.0"/>
        <n v="179.5"/>
        <n v="1374.0"/>
        <n v="3450.0"/>
        <n v="0.0"/>
        <n v="2430.0"/>
        <n v="1250.0"/>
        <n v="225.0"/>
        <n v="1770.0"/>
        <n v="1299.0"/>
        <n v="819.5"/>
        <n v="1143.0"/>
        <n v="199.0"/>
        <n v="323.1"/>
        <n v="324.0"/>
        <n v="430.0"/>
        <n v="1080.0"/>
        <m/>
        <n v="2953.8"/>
        <n v="1480.0"/>
        <n v="1000.0"/>
        <n v="1400.0"/>
        <n v="287.25"/>
        <n v="280.0"/>
        <n v="5239.88"/>
        <n v="296.0"/>
        <n v="200.0"/>
        <n v="57.45"/>
        <n v="303.6"/>
        <n v="2837.5"/>
        <n v="3586.66"/>
        <n v="412.0"/>
        <n v="1035.0"/>
        <n v="528.59"/>
        <n v="2800.0"/>
        <n v="3968.92"/>
        <n v="2361.8"/>
        <n v="3657.41"/>
        <n v="13000.0"/>
        <n v="2690.89"/>
        <n v="532.0"/>
        <n v="787.5"/>
        <n v="216.0"/>
        <n v="11000.0"/>
        <n v="3800.0"/>
        <n v="649.0"/>
        <n v="252.0"/>
        <n v="4800.0"/>
        <n v="1288.0"/>
        <n v="549.0"/>
        <n v="550.0"/>
        <n v="1763.0"/>
        <n v="1564.0"/>
        <n v="2470.0"/>
        <n v="342.0"/>
        <n v="497.0"/>
        <n v="360.0"/>
        <n v="20000.0"/>
        <n v="876.04"/>
        <n v="400.0"/>
        <n v="3199.0"/>
        <n v="3000.0"/>
        <n v="55700.0"/>
        <n v="699.0"/>
        <n v="1615.5"/>
        <n v="1620.0"/>
        <n v="595.0"/>
        <n v="321.0"/>
        <n v="486.0"/>
        <n v="2115.2"/>
        <n v="25500.0"/>
        <n v="2100.0"/>
        <n v="12500.0"/>
        <n v="2206.0"/>
        <n v="659.33"/>
        <n v="4375.0"/>
        <n v="210.0"/>
        <n v="5060.0"/>
        <n v="797.33"/>
        <n v="4091.23"/>
        <n v="7250.0"/>
        <n v="6500.0"/>
        <n v="2030.0"/>
        <n v="3700.0"/>
        <n v="1196.0"/>
        <n v="1858.4"/>
        <n v="45500.0"/>
        <n v="238.56"/>
        <n v="2024.0"/>
        <n v="2346.0"/>
        <n v="410.4"/>
        <n v="2060.0"/>
        <n v="2050.0"/>
        <n v="4416.0"/>
        <n v="64500.0"/>
        <n v="25000.0"/>
        <n v="27700.0"/>
        <n v="55900.0"/>
        <n v="2990.0"/>
        <n v="9000.0"/>
        <n v="437.0"/>
        <n v="570.0"/>
        <n v="1100.0"/>
        <n v="484.53"/>
        <n v="1525.0"/>
        <n v="1203.0"/>
        <n v="1840.0"/>
        <n v="1432.5"/>
        <n v="1527.2"/>
        <n v="728.25"/>
        <n v="2056.5"/>
        <n v="2501.0"/>
        <n v="1521.0"/>
        <n v="1921.0"/>
        <n v="1260.5"/>
        <n v="524.1899999999999"/>
        <n v="619.5899999999999"/>
        <n v="495.59"/>
        <n v="547.5899999999999"/>
        <n v="353.03999999999996"/>
        <n v="707.5899999999999"/>
        <n v="1145.0"/>
        <n v="1325.0"/>
        <n v="727.5899999999999"/>
        <n v="524.5899999999999"/>
        <n v="591.5899999999999"/>
        <n v="318.0"/>
        <n v="2162.0"/>
        <n v="1012.0"/>
        <n v="1217.16"/>
        <n v="2200.0"/>
        <n v="10000.0"/>
        <n v="5336.0"/>
        <n v="1700.0"/>
        <n v="532.6800000000001"/>
        <n v="870.0899999999999"/>
        <n v="365.0"/>
        <n v="7310.0"/>
        <n v="2871.0"/>
        <n v="781.5899999999999"/>
        <n v="575.5899999999999"/>
        <n v="828.5"/>
        <n v="574.5"/>
        <n v="440.0"/>
        <n v="1586.0"/>
        <n v="540.25"/>
        <n v="781.0"/>
        <n v="3750.0"/>
        <n v="3073.13"/>
        <n v="727.0"/>
        <n v="2324.4"/>
        <n v="41250.0"/>
        <n v="7325.5"/>
        <n v="2650.0"/>
        <n v="750.0"/>
        <n v="1315.61"/>
        <n v="852.84"/>
        <n v="2665.0"/>
        <n v="2118.6"/>
        <n v="618.1"/>
        <n v="352.45"/>
        <n v="1910.5"/>
        <n v="1114.5"/>
        <n v="1082.5"/>
        <n v="2619.4"/>
        <n v="1727.5"/>
        <n v="1945.0"/>
        <n v="619.0"/>
        <n v="598.6"/>
        <n v="420.0"/>
        <n v="1482.0"/>
        <n v="330.0"/>
        <n v="715.0"/>
        <n v="470.0"/>
        <n v="1170.0"/>
        <n v="235.69"/>
        <n v="2208.0"/>
        <n v="6100.0"/>
        <n v="23000.0"/>
        <n v="1610.0"/>
        <n v="465.0"/>
        <n v="2000.0"/>
        <n v="650.0"/>
        <n v="1800.0"/>
        <n v="1300.0"/>
        <n v="800.0"/>
        <n v="532.25"/>
        <n v="600.0"/>
        <n v="994.0"/>
        <n v="524.0"/>
        <n v="1150.0"/>
        <n v="930.0"/>
        <n v="1015.5"/>
        <n v="3091.0"/>
        <n v="2101.0"/>
        <n v="1584.0"/>
        <n v="229.0"/>
        <n v="19230.0"/>
        <n v="944.0"/>
        <n v="705.4"/>
        <n v="2211.0"/>
        <n v="380.0"/>
        <n v="596.0"/>
        <n v="302.45"/>
        <n v="875.0"/>
        <n v="505.0"/>
        <n v="3380.0"/>
        <n v="32000.0"/>
        <n v="575.0"/>
        <n v="455.0"/>
        <n v="16300.0"/>
        <n v="591.0"/>
        <n v="44200.0"/>
        <n v="4784.0"/>
        <n v="1841.0"/>
        <n v="1441.0"/>
        <n v="500.0"/>
        <n v="675.0"/>
        <n v="8980.0"/>
        <n v="16500.0"/>
        <n v="3683.17"/>
        <n v="6400.0"/>
        <n v="1470.0"/>
        <n v="1060.0"/>
        <n v="899.0"/>
        <n v="869.5"/>
        <n v="1330.0"/>
        <n v="1204.0"/>
        <n v="1465.0"/>
        <n v="495.0"/>
        <n v="547.0"/>
        <n v="7921.0"/>
        <n v="3090.0"/>
        <n v="808.0"/>
        <n v="6132.0"/>
        <n v="579.6"/>
        <n v="475.0"/>
        <n v="45265.22"/>
        <n v="58701.37"/>
      </sharedItems>
    </cacheField>
    <cacheField name="COSTO TOTAL" numFmtId="166">
      <sharedItems containsString="0" containsBlank="1" containsNumber="1">
        <n v="2073.33"/>
        <n v="2778.13"/>
        <n v="4146.66"/>
        <n v="228.6"/>
        <n v="354.0"/>
        <n v="179.5"/>
        <n v="1374.0"/>
        <n v="3450.0"/>
        <n v="0.0"/>
        <n v="2430.0"/>
        <n v="1250.0"/>
        <n v="225.0"/>
        <n v="1770.0"/>
        <n v="1299.0"/>
        <n v="2458.5"/>
        <n v="1143.0"/>
        <n v="199.0"/>
        <n v="323.1"/>
        <n v="324.0"/>
        <n v="1483.5"/>
        <n v="1080.0"/>
        <n v="3042.414"/>
        <n v="3429.0"/>
        <n v="4440.0"/>
        <n v="3000.0"/>
        <n v="4200.0"/>
        <n v="287.25"/>
        <n v="280.0"/>
        <n v="2808.5756800000004"/>
        <n v="296.0"/>
        <n v="200.0"/>
        <n v="57.45"/>
        <n v="303.6"/>
        <n v="2837.5"/>
        <n v="685.8"/>
        <n v="888.0"/>
        <n v="840.0"/>
        <n v="600.0"/>
        <n v="114.9"/>
        <n v="3586.66"/>
        <n v="412.0"/>
        <n v="560.0"/>
        <n v="1480.0"/>
        <n v="1400.0"/>
        <n v="1000.0"/>
        <n v="2301.3963000000003"/>
        <n v="1035.0"/>
        <n v="1744.347"/>
        <n v="2800.0"/>
        <n v="6139.6673"/>
        <n v="2468.66824"/>
        <n v="450.0"/>
        <n v="359.0"/>
        <n v="1889.1284000000003"/>
        <n v="2361.8"/>
        <n v="3036.5064"/>
        <n v="3657.41"/>
        <n v="13000.0"/>
        <n v="4167.195"/>
        <n v="2690.89"/>
        <n v="532.0"/>
        <n v="1575.0"/>
        <n v="216.0"/>
        <n v="819.5"/>
        <n v="11000.0"/>
        <n v="2991.1749999999997"/>
        <n v="3800.0"/>
        <n v="5711.4692000000005"/>
        <n v="649.0"/>
        <n v="252.0"/>
        <n v="4800.0"/>
        <n v="1288.0"/>
        <n v="549.0"/>
        <n v="550.0"/>
        <n v="1763.0"/>
        <n v="1564.0"/>
        <n v="2470.0"/>
        <n v="342.0"/>
        <n v="497.0"/>
        <n v="360.0"/>
        <n v="20000.0"/>
        <n v="2532.255"/>
        <n v="7620.804000000001"/>
        <n v="2663.375"/>
        <n v="876.04"/>
        <n v="8251.046100000001"/>
        <n v="400.0"/>
        <n v="3199.0"/>
        <n v="1924.05024"/>
        <n v="1900.9298000000001"/>
        <n v="975.2049999999999"/>
        <n v="5278.447"/>
        <n v="55700.0"/>
        <n v="699.0"/>
        <n v="1615.5"/>
        <n v="1620.0"/>
        <n v="595.0"/>
        <n v="321.0"/>
        <n v="486.0"/>
        <n v="2115.2"/>
        <n v="1639.0"/>
        <n v="25500.0"/>
        <n v="2100.0"/>
        <n v="5239.88"/>
        <n v="12500.0"/>
        <n v="1534.2641999999998"/>
        <n v="750.0400000000001"/>
        <n v="1566.26"/>
        <n v="659.33"/>
        <n v="1793.33"/>
        <n v="1389.065"/>
        <n v="787.5"/>
        <n v="1114.52"/>
        <n v="4375.0"/>
        <n v="1752.08"/>
        <n v="1972.663"/>
        <n v="210.0"/>
        <n v="5060.0"/>
        <n v="8072.67"/>
        <n v="2391.9900000000002"/>
        <n v="860.0"/>
        <n v="2454.738"/>
        <n v="2982.98"/>
        <n v="1214.4"/>
        <n v="7250.0"/>
        <n v="6500.0"/>
        <n v="2030.0"/>
        <n v="3700.0"/>
        <n v="2392.0"/>
        <n v="1858.4"/>
        <n v="2304.1683"/>
        <n v="45500.0"/>
        <n v="238.56"/>
        <n v="2024.0"/>
        <n v="2346.0"/>
        <n v="5675.0"/>
        <n v="729.0"/>
        <n v="410.4"/>
        <n v="2060.0"/>
        <n v="2050.0"/>
        <n v="4416.0"/>
        <n v="64500.0"/>
        <n v="25000.0"/>
        <n v="27700.0"/>
        <n v="55900.0"/>
        <n v="1505.0"/>
        <n v="1500.1902000000002"/>
        <n v="5556.26"/>
        <n v="1426.3899"/>
        <n v="2990.0"/>
        <n v="2121.2978"/>
        <n v="1389.8157999999999"/>
        <n v="1374.8799999999999"/>
        <n v="477.12"/>
        <n v="9000.0"/>
        <n v="597.0"/>
        <n v="437.0"/>
        <n v="5907.6"/>
        <n v="5381.78"/>
        <n v="409.75"/>
        <n v="570.0"/>
        <n v="1100.0"/>
        <n v="1190.0"/>
        <n v="2316.3"/>
        <n v="1204.0"/>
        <m/>
        <n v="1318.66"/>
        <n v="1259.778"/>
        <n v="1525.0"/>
        <n v="5292.2788"/>
        <n v="774.0"/>
        <n v="1203.0"/>
        <n v="1462.0"/>
        <n v="1840.0"/>
        <n v="728.25"/>
        <n v="1584.0"/>
        <n v="2501.0"/>
        <n v="1521.0"/>
        <n v="1921.0"/>
        <n v="743.9"/>
        <n v="6345.599999999999"/>
        <n v="1555.7528000000002"/>
        <n v="2148.75"/>
        <n v="1527.2"/>
        <n v="2056.5"/>
        <n v="2521.0"/>
        <n v="731.482"/>
        <n v="6084.828"/>
        <n v="2865.0"/>
        <n v="5241.9"/>
        <n v="6195.9"/>
        <n v="4955.9"/>
        <n v="5475.9"/>
        <n v="3530.3999999999996"/>
        <n v="7075.9"/>
        <n v="4723.6"/>
        <n v="607.2"/>
        <n v="8182.46"/>
        <n v="1118.0"/>
        <n v="7314.82"/>
        <n v="1145.0"/>
        <n v="3231.0"/>
        <n v="1325.0"/>
        <n v="353.03999999999996"/>
        <n v="524.1899999999999"/>
        <n v="727.5899999999999"/>
        <n v="524.5899999999999"/>
        <n v="591.5899999999999"/>
        <n v="1097.1000000000001"/>
        <n v="2162.0"/>
        <n v="3504.16"/>
        <n v="1012.0"/>
        <n v="1217.16"/>
        <n v="2200.0"/>
        <n v="6155.232"/>
        <n v="10000.0"/>
        <n v="5336.0"/>
        <n v="1700.0"/>
        <n v="2118.24"/>
        <n v="1065.3600000000001"/>
        <n v="1059.12"/>
        <n v="532.6800000000001"/>
        <n v="1740.1799999999998"/>
        <n v="630.0"/>
        <n v="1098.0"/>
        <n v="2097.0"/>
        <n v="1460.0"/>
        <n v="7310.0"/>
        <n v="3806.0381000000007"/>
        <n v="2871.0"/>
        <n v="781.5899999999999"/>
        <n v="575.5899999999999"/>
        <n v="1828.705"/>
        <n v="4230.4"/>
        <n v="828.5"/>
        <n v="574.5"/>
        <n v="1513.6"/>
        <n v="10980.0"/>
        <n v="1586.0"/>
        <n v="540.25"/>
        <n v="781.0"/>
        <n v="10250.0"/>
        <n v="3318.9804000000004"/>
        <n v="727.0"/>
        <n v="716.25"/>
        <n v="4648.8"/>
        <n v="41250.0"/>
        <n v="3662.75"/>
        <n v="1418.75"/>
        <n v="1342.0"/>
        <n v="3438.0"/>
        <n v="2650.0"/>
        <n v="750.0"/>
        <n v="1315.61"/>
        <n v="852.84"/>
        <n v="3055.943"/>
        <n v="880.0"/>
        <n v="1432.5"/>
        <n v="5330.0"/>
        <n v="1293.6"/>
        <n v="1800.81"/>
        <n v="6973.200000000001"/>
        <n v="618.1"/>
        <n v="352.45"/>
        <n v="1910.5"/>
        <n v="3454.9500000000003"/>
        <n v="2165.0"/>
        <n v="2619.4"/>
        <n v="1727.5"/>
        <n v="1945.0"/>
        <n v="2960.0"/>
        <n v="619.0"/>
        <n v="598.6"/>
        <n v="1295.8"/>
        <n v="2324.4"/>
        <n v="741.0"/>
        <n v="1578.1304"/>
        <n v="660.0"/>
        <n v="1562.0"/>
        <n v="4036.335"/>
        <n v="715.0"/>
        <n v="1320.0"/>
        <n v="1483.0199999999998"/>
        <n v="1778.3999999999999"/>
        <n v="470.0"/>
        <n v="1170.0"/>
        <n v="235.69"/>
        <n v="2771.6167"/>
        <n v="2208.0"/>
        <n v="6100.0"/>
        <n v="23000.0"/>
        <n v="1294.48"/>
        <n v="954.24"/>
        <n v="1610.0"/>
        <n v="465.0"/>
        <n v="2640.0"/>
        <n v="2000.0"/>
        <n v="650.0"/>
        <n v="1800.0"/>
        <n v="1300.0"/>
        <n v="800.0"/>
        <n v="532.25"/>
        <n v="1178.7557000000002"/>
        <n v="1760.0"/>
        <n v="2964.0"/>
        <n v="994.0"/>
        <n v="2245.4300000000003"/>
        <n v="524.0"/>
        <n v="1482.0"/>
        <n v="11622.0"/>
        <n v="2598.0"/>
        <n v="1150.0"/>
        <n v="6985.6530999999995"/>
        <n v="930.0"/>
        <n v="1015.5"/>
        <n v="3091.0"/>
        <n v="2101.0"/>
        <n v="229.0"/>
        <n v="2695.329"/>
        <n v="4500.570600000001"/>
        <n v="19230.0"/>
        <n v="3333.756"/>
        <n v="944.0"/>
        <n v="705.4"/>
        <n v="1980.0"/>
        <n v="2211.0"/>
        <n v="380.0"/>
        <n v="720.0"/>
        <n v="2121.21"/>
        <n v="596.0"/>
        <n v="1430.0"/>
        <n v="457.2"/>
        <n v="1467.18"/>
        <n v="2665.0"/>
        <n v="3278.0"/>
        <n v="302.45"/>
        <n v="875.0"/>
        <n v="1010.0"/>
        <n v="3380.0"/>
        <n v="3032.15"/>
        <n v="2152.712"/>
        <n v="32000.0"/>
        <n v="575.0"/>
        <n v="910.0"/>
        <n v="1186.4160000000002"/>
        <n v="1407.8999999999999"/>
        <n v="1180.9"/>
        <n v="7325.5"/>
        <n v="16300.0"/>
        <n v="591.0"/>
        <n v="2206.0"/>
        <n v="852.15"/>
        <n v="44200.0"/>
        <n v="4784.0"/>
        <n v="1841.0"/>
        <n v="1441.0"/>
        <n v="500.0"/>
        <n v="1298.0"/>
        <n v="3837.7262"/>
        <n v="675.0"/>
        <n v="2628.12"/>
        <n v="8980.0"/>
        <n v="16500.0"/>
        <n v="1841.585"/>
        <n v="6400.0"/>
        <n v="1470.0"/>
        <n v="1060.0"/>
        <n v="899.0"/>
        <n v="2290.0"/>
        <n v="5238.8"/>
        <n v="869.5"/>
        <n v="1330.0"/>
        <n v="3612.0"/>
        <n v="1465.0"/>
        <n v="1485.0"/>
        <n v="1094.0"/>
        <n v="7921.0"/>
        <n v="3556.7999999999997"/>
        <n v="1067.04"/>
        <n v="3090.0"/>
        <n v="1196.0"/>
        <n v="2596.0"/>
        <n v="1306.8000000000002"/>
        <n v="1104.951"/>
        <n v="2020.0"/>
        <n v="1764.8000000000002"/>
        <n v="9014.039999999999"/>
        <n v="579.6"/>
        <n v="1162.2"/>
        <n v="1766.9124"/>
        <n v="1422.72"/>
        <n v="1410.75"/>
        <n v="45265.22"/>
        <n v="58701.37"/>
      </sharedItems>
    </cacheField>
    <cacheField name="Total" numFmtId="0">
      <sharedItems containsString="0" containsBlank="1" containsNumber="1">
        <n v="2700.0"/>
        <n v="0.0"/>
        <n v="5000.0"/>
        <n v="890.0"/>
        <n v="1299.0"/>
        <n v="999.0"/>
        <n v="1990.0"/>
        <n v="3900.0"/>
        <n v="16000.0"/>
        <n v="4500.0"/>
        <n v="1499.0"/>
        <n v="3499.0"/>
        <n v="1500.0"/>
        <n v="1000.0"/>
        <n v="3300.0"/>
        <n v="4000.0"/>
        <n v="2000.0"/>
        <n v="3700.0"/>
        <n v="1050.0"/>
        <n v="1200.0"/>
        <n v="2001.0"/>
        <n v="1999.0"/>
        <n v="4017.0"/>
        <n v="7500.0"/>
        <n v="8700.0"/>
        <n v="6597.0"/>
        <n v="8397.0"/>
        <n v="-2721.0"/>
        <n v="2499.0"/>
        <m/>
        <n v="4020.0000000000005"/>
        <n v="990.0"/>
        <n v="799.0"/>
        <n v="599.0"/>
        <n v="-287.0"/>
        <n v="800.0"/>
        <n v="2670.0"/>
        <n v="2970.0"/>
        <n v="2997.0"/>
        <n v="2397.0"/>
        <n v="1198.0"/>
        <n v="-861.0"/>
        <n v="3586.66"/>
        <n v="1998.0"/>
        <n v="-1161.0"/>
        <n v="-587.0"/>
        <n v="2500.0"/>
        <n v="2900.0"/>
        <n v="2199.0"/>
        <n v="2799.0"/>
        <n v="-907.0"/>
        <n v="2997.0000000000005"/>
        <n v="1350.0"/>
        <n v="8177.0"/>
        <n v="3545.4"/>
        <n v="4450.0"/>
        <n v="4950.0"/>
        <n v="4995.0"/>
        <n v="3995.0"/>
        <n v="-1435.0"/>
        <n v="2998.0"/>
        <n v="2516.0"/>
        <n v="3400.0"/>
        <n v="4009.2000000000003"/>
        <n v="5250.0"/>
        <n v="450.0"/>
        <n v="19500.0"/>
        <n v="5550.0"/>
        <n v="6000.0"/>
        <n v="899.0"/>
        <n v="2200.0"/>
        <n v="600.0"/>
        <n v="690.0"/>
        <n v="290.0"/>
        <n v="499.0"/>
        <n v="1100.0"/>
        <n v="4015.0"/>
        <n v="-1607.0"/>
        <n v="5490.0"/>
        <n v="8175.000000000001"/>
        <n v="5400.0"/>
        <n v="6900.0"/>
        <n v="2600.0"/>
        <n v="2299.0"/>
        <n v="2400.0"/>
        <n v="3490.0"/>
        <n v="490.0"/>
        <n v="24590.0"/>
        <n v="3399.0"/>
        <n v="10062.0"/>
        <n v="3575.0"/>
        <n v="10989.0"/>
        <n v="-507.0"/>
        <n v="5499.0"/>
        <n v="2505.6"/>
        <n v="2491.0"/>
        <n v="1309.0"/>
        <n v="7030.0"/>
        <n v="62800.0"/>
        <n v="1899.0"/>
        <n v="24900.0"/>
        <n v="-1041.45"/>
        <n v="3100.0"/>
        <n v="30000.0"/>
        <n v="3000.0"/>
        <n v="16500.0"/>
        <n v="986.0000000000001"/>
        <n v="2059.0"/>
        <n v="9000.0"/>
        <n v="2350.0"/>
        <n v="1850.0"/>
        <n v="1496.0"/>
        <n v="4790.0"/>
        <n v="2585.0"/>
        <n v="7600.0"/>
        <n v="8000.0"/>
        <n v="11700.0"/>
        <n v="4800.0"/>
        <n v="580.0"/>
        <n v="1160.0"/>
        <n v="3540.0"/>
        <n v="4004.0"/>
        <n v="7900.0"/>
        <n v="3500.0"/>
        <n v="5500.0"/>
        <n v="3600.0"/>
        <n v="3800.0"/>
        <n v="3307.5"/>
        <n v="50000.0"/>
        <n v="-300.0"/>
        <n v="1800.0"/>
        <n v="3999.0"/>
        <n v="-2407.0"/>
        <n v="2990.0"/>
        <n v="4700.0"/>
        <n v="5800.0"/>
        <n v="72450.0"/>
        <n v="33500.0"/>
        <n v="65000.0"/>
        <n v="2030.0"/>
        <n v="1900.0"/>
        <n v="1998.0000000000002"/>
        <n v="7400.0"/>
        <n v="2047.5"/>
        <n v="4590.0"/>
        <n v="3045.0"/>
        <n v="1995.0"/>
        <n v="2015.0"/>
        <n v="13500.0"/>
        <n v="900.0"/>
        <n v="7800.0"/>
        <n v="2490.0"/>
        <n v="140.0"/>
        <n v="550.0"/>
        <n v="790.0"/>
        <n v="1624.0"/>
        <n v="-185.0"/>
        <n v="2054.0"/>
        <n v="7575.0"/>
        <n v="1044.0"/>
        <n v="1972.0"/>
        <n v="2290.0"/>
        <n v="-2800.0"/>
        <n v="1003.4"/>
        <n v="9300.0"/>
        <n v="-2072.0"/>
        <n v="3150.0"/>
        <n v="2999.0"/>
        <n v="3199.0"/>
        <n v="-3000.0"/>
        <n v="8034.0"/>
        <n v="4200.0"/>
        <n v="6552.4"/>
        <n v="7744.9"/>
        <n v="6844.9"/>
        <n v="6194.9"/>
        <n v="4413.0"/>
        <n v="8844.9"/>
        <n v="6800.0"/>
        <n v="1600.0"/>
        <n v="11800.0"/>
        <n v="1508.0"/>
        <n v="10500.0"/>
        <n v="15000.0"/>
        <n v="430.0"/>
        <n v="9021.0"/>
        <n v="12000.0"/>
        <n v="3594.0"/>
        <n v="1797.0"/>
        <n v="5697.0"/>
        <n v="2800.0"/>
        <n v="16850.0"/>
        <n v="5069.0"/>
        <n v="2625.0"/>
        <n v="6200.0"/>
        <n v="2339.2"/>
        <n v="19980.0"/>
        <n v="-6000.0"/>
        <n v="20250.0"/>
        <n v="3996.0000000000005"/>
        <n v="54500.0"/>
        <n v="2074.0"/>
        <n v="5040.0"/>
        <n v="1399.0"/>
        <n v="4070.0000000000005"/>
        <n v="1360.0"/>
        <n v="2100.0"/>
        <n v="1999.2"/>
        <n v="3060.0"/>
        <n v="7000.0"/>
        <n v="3410.0"/>
        <n v="2190.0"/>
        <n v="2002.6"/>
        <n v="2068.0"/>
        <n v="5850.0"/>
        <n v="2040.0"/>
        <n v="2520.0"/>
        <n v="2300.0"/>
        <n v="500.0"/>
        <n v="8500.0"/>
        <n v="27600.0"/>
        <n v="3200.0"/>
        <n v="4080.0"/>
        <n v="1300.0"/>
        <n v="2007.0"/>
        <n v="2720.0"/>
        <n v="-100.0"/>
        <n v="3014.0000000000005"/>
        <n v="18500.0"/>
        <n v="3798.0"/>
        <n v="-900.0"/>
        <n v="10000.0"/>
        <n v="3510.0"/>
        <n v="5994.0"/>
        <n v="32000.0"/>
        <n v="3996.0"/>
        <n v="2079.0"/>
        <n v="4400.0"/>
        <n v="-600.0"/>
        <n v="4070.0"/>
        <n v="3520.0"/>
        <n v="40400.0"/>
        <n v="2016.0000000000002"/>
        <n v="9900.0"/>
        <n v="18842.0"/>
        <n v="1190.0"/>
        <n v="1207.5"/>
        <n v="34000.0"/>
        <n v="55000.0"/>
        <n v="8800.0"/>
        <n v="2006.0000000000002"/>
        <n v="5029.0"/>
        <n v="11400.0"/>
        <n v="20000.0"/>
        <n v="8960.0"/>
        <n v="3710.0"/>
        <n v="2050.0"/>
        <n v="1060.0"/>
        <n v="3980.0"/>
        <n v="1798.0"/>
        <n v="11490.0"/>
        <n v="-120.0"/>
        <n v="-1400.0"/>
        <n v="1512.0"/>
        <n v="4012.0000000000005"/>
        <n v="2019.6000000000001"/>
        <n v="5700.0"/>
        <n v="1560.0"/>
        <n v="3750.0"/>
        <n v="-150.0"/>
        <n v="2320.0"/>
        <n v="12495.0"/>
        <n v="3002.4"/>
        <n v="2016.0"/>
        <n v="2376.0"/>
        <n v="47900.0"/>
        <n v="68000.0"/>
      </sharedItems>
    </cacheField>
    <cacheField name="Medio de pago">
      <sharedItems containsBlank="1" containsMixedTypes="1" containsNumber="1" containsInteger="1">
        <s v="EFECTIVO"/>
        <n v="0.0"/>
        <s v="TRANSFERENCIA"/>
        <m/>
        <s v="uso persona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2 Resumen Mes" cacheId="0" dataCaption="" rowGrandTotals="0" compact="0" compactData="0">
  <location ref="A1:C5" firstHeaderRow="0" firstDataRow="2" firstDataCol="0"/>
  <pivotFields>
    <pivotField name="Fecha" axis="axisRow" compact="0" numFmtId="165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Ticke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t="default"/>
      </items>
    </pivotField>
    <pivotField name="CO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Cantid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PRE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</pivotField>
    <pivotField name="COSTO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  <pivotField name="COSTO TOTAL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t="default"/>
      </items>
    </pivotField>
    <pivotField name="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t="default"/>
      </items>
    </pivotField>
    <pivotField name="Medio de pago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</rowFields>
  <colFields>
    <field x="-2"/>
  </colFields>
  <dataFields>
    <dataField name="COUNTA of Ticket" fld="1" subtotal="count" baseField="0"/>
    <dataField name="SUM of Total" fld="8" baseField="0"/>
  </dataFields>
</pivotTableDefinition>
</file>

<file path=xl/tables/table1.xml><?xml version="1.0" encoding="utf-8"?>
<table xmlns="http://schemas.openxmlformats.org/spreadsheetml/2006/main" headerRowCount="0" ref="A1:J1" displayName="Tabla_7" name="Tabla_7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4 Caja diari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A1:D3" displayName="Tabla_8" name="Tabla_8" id="10">
  <tableColumns count="4">
    <tableColumn name="Concepto" id="1"/>
    <tableColumn name="Monto mensual" id="2"/>
    <tableColumn name="Tipo (Fijo/Variable)" id="3"/>
    <tableColumn name="Observaciones" id="4"/>
  </tableColumns>
  <tableStyleInfo name="6Costos fijos y variables-style" showColumnStripes="0" showFirstColumn="1" showLastColumn="1" showRowStripes="1"/>
</table>
</file>

<file path=xl/tables/table11.xml><?xml version="1.0" encoding="utf-8"?>
<table xmlns="http://schemas.openxmlformats.org/spreadsheetml/2006/main" ref="A1:J4" displayName="Tabla_9" name="Tabla_9" id="11">
  <tableColumns count="10">
    <tableColumn name="Mes" id="1"/>
    <tableColumn name="Ingresos totales" id="2"/>
    <tableColumn name="CMV" id="3"/>
    <tableColumn name="Egresos totales" id="4"/>
    <tableColumn name="Ganancia bruta" id="5"/>
    <tableColumn name="MARGEN BRUTO" id="6"/>
    <tableColumn name="Ganancia neta" id="7"/>
    <tableColumn name="Rentabilidad (%)" id="8"/>
    <tableColumn name="OBJETIVO" id="9"/>
    <tableColumn name="Porcentaje de objetivo" id="10"/>
  </tableColumns>
  <tableStyleInfo name="7 Análisis financiero mensual-style" showColumnStripes="0" showFirstColumn="1" showLastColumn="1" showRowStripes="1"/>
</table>
</file>

<file path=xl/tables/table12.xml><?xml version="1.0" encoding="utf-8"?>
<table xmlns="http://schemas.openxmlformats.org/spreadsheetml/2006/main" ref="A1:E10" displayName="Tabla_2" name="Tabla_2" id="12">
  <tableColumns count="5">
    <tableColumn name="Cuota" id="1"/>
    <tableColumn name="Fecha de vencimiento" id="2"/>
    <tableColumn name="Monto" id="3"/>
    <tableColumn name="Estado" id="4"/>
    <tableColumn name="Observaciones" id="5"/>
  </tableColumns>
  <tableStyleInfo name="10 Cuotas del préstamo-style" showColumnStripes="0" showFirstColumn="1" showLastColumn="1" showRowStripes="1"/>
</table>
</file>

<file path=xl/tables/table2.xml><?xml version="1.0" encoding="utf-8"?>
<table xmlns="http://schemas.openxmlformats.org/spreadsheetml/2006/main" ref="A1:J2000" displayName="Tabla_3" name="Tabla_3" id="2">
  <tableColumns count="10">
    <tableColumn name="Fecha" id="1"/>
    <tableColumn name="Ticket" id="2"/>
    <tableColumn name="COD" id="3"/>
    <tableColumn name="Producto" id="4"/>
    <tableColumn name="Cantidad" id="5"/>
    <tableColumn name="PRECIO" id="6"/>
    <tableColumn name="COSTO" id="7"/>
    <tableColumn name="COSTO TOTAL" id="8"/>
    <tableColumn name="Total" id="9"/>
    <tableColumn name="Medio de pago" id="10"/>
  </tableColumns>
  <tableStyleInfo name="Ventas diarias-style" showColumnStripes="0" showFirstColumn="1" showLastColumn="1" showRowStripes="1"/>
</table>
</file>

<file path=xl/tables/table3.xml><?xml version="1.0" encoding="utf-8"?>
<table xmlns="http://schemas.openxmlformats.org/spreadsheetml/2006/main" ref="A1:N1092" displayName="STOCK_INCIAL" name="STOCK_INCIAL" id="3">
  <autoFilter ref="$A$1:$N$1092">
    <filterColumn colId="1">
      <filters>
        <filter val="LA PIPETA OSSPRET GATO HASTA 4KG"/>
        <filter val="EXCELLENT GATO ADULTO"/>
        <filter val="CAT CHOW ADULTO CARNE POLLO"/>
        <filter val="VORAZ PERRO ADULTO MIX"/>
        <filter val="PIPETA POWER ULTRA DE 5 A 10KG"/>
        <filter val="PIEDRA SANITARIA THEBEST X20KG"/>
      </filters>
    </filterColumn>
  </autoFilter>
  <tableColumns count="14">
    <tableColumn name="COD" id="1"/>
    <tableColumn name="Producto" id="2"/>
    <tableColumn name="Categoría" id="3"/>
    <tableColumn name="Proveedor" id="4"/>
    <tableColumn name="Compra $" id="5"/>
    <tableColumn name="Venta con bidon" id="6"/>
    <tableColumn name="Venta $" id="7"/>
    <tableColumn name="Margen con bidon (%) " id="8"/>
    <tableColumn name="Margen  (%)" id="9"/>
    <tableColumn name="Stock inicial" id="10"/>
    <tableColumn name="Stock actual" id="11"/>
    <tableColumn name="Valor total de stock ($)" id="12"/>
    <tableColumn name="Stock mínimo" id="13"/>
    <tableColumn name="Estado" id="14"/>
  </tableColumns>
  <tableStyleInfo name="Stock inicial-style" showColumnStripes="0" showFirstColumn="1" showLastColumn="1" showRowStripes="1"/>
</table>
</file>

<file path=xl/tables/table4.xml><?xml version="1.0" encoding="utf-8"?>
<table xmlns="http://schemas.openxmlformats.org/spreadsheetml/2006/main" ref="A1:G500" displayName="Tabla_5" name="Tabla_5" id="4">
  <tableColumns count="7">
    <tableColumn name="Fecha" id="1"/>
    <tableColumn name="Producto" id="2"/>
    <tableColumn name="Cantidad" id="3"/>
    <tableColumn name="Precio unitario" id="4"/>
    <tableColumn name="Total" id="5"/>
    <tableColumn name="Medio de pago" id="6"/>
    <tableColumn name="Total x Dia" id="7"/>
  </tableColumns>
  <tableStyleInfo name="Gastos diarios-style" showColumnStripes="0" showFirstColumn="1" showLastColumn="1" showRowStripes="1"/>
</table>
</file>

<file path=xl/tables/table5.xml><?xml version="1.0" encoding="utf-8"?>
<table xmlns="http://schemas.openxmlformats.org/spreadsheetml/2006/main" ref="A1:H150" displayName="Tabla_6" name="Tabla_6" id="5">
  <tableColumns count="8">
    <tableColumn name="Fecha" id="1"/>
    <tableColumn name="Proveedor" id="2"/>
    <tableColumn name="Categoria" id="3"/>
    <tableColumn name="Costo total" id="4"/>
    <tableColumn name="Forma de pago" id="5"/>
    <tableColumn name="Fecha de entrega" id="6"/>
    <tableColumn name="Estado" id="7"/>
    <tableColumn name="Columna 1" id="8"/>
  </tableColumns>
  <tableStyleInfo name="3 Compras y proveedores-style" showColumnStripes="0" showFirstColumn="1" showLastColumn="1" showRowStripes="1"/>
</table>
</file>

<file path=xl/tables/table6.xml><?xml version="1.0" encoding="utf-8"?>
<table xmlns="http://schemas.openxmlformats.org/spreadsheetml/2006/main" headerRowCount="0" ref="A2:D15" displayName="Table_1" name="Table_1" id="6">
  <tableColumns count="4">
    <tableColumn name="Column1" id="1"/>
    <tableColumn name="Column2" id="2"/>
    <tableColumn name="Column3" id="3"/>
    <tableColumn name="Column4" id="4"/>
  </tableColumns>
  <tableStyleInfo name="5 Precios Mayorista-style" showColumnStripes="0" showFirstColumn="1" showLastColumn="1" showRowStripes="1"/>
</table>
</file>

<file path=xl/tables/table7.xml><?xml version="1.0" encoding="utf-8"?>
<table xmlns="http://schemas.openxmlformats.org/spreadsheetml/2006/main" headerRowCount="0" ref="F2:G15" displayName="Table_2" name="Table_2" id="7">
  <tableColumns count="2">
    <tableColumn name="Column1" id="1"/>
    <tableColumn name="Column2" id="2"/>
  </tableColumns>
  <tableStyleInfo name="5 Precios Mayorista-style 2" showColumnStripes="0" showFirstColumn="1" showLastColumn="1" showRowStripes="1"/>
</table>
</file>

<file path=xl/tables/table8.xml><?xml version="1.0" encoding="utf-8"?>
<table xmlns="http://schemas.openxmlformats.org/spreadsheetml/2006/main" headerRowCount="0" ref="I2:J15" displayName="Table_3" name="Table_3" id="8">
  <tableColumns count="2">
    <tableColumn name="Column1" id="1"/>
    <tableColumn name="Column2" id="2"/>
  </tableColumns>
  <tableStyleInfo name="5 Precios Mayorista-style 3" showColumnStripes="0" showFirstColumn="1" showLastColumn="1" showRowStripes="1"/>
</table>
</file>

<file path=xl/tables/table9.xml><?xml version="1.0" encoding="utf-8"?>
<table xmlns="http://schemas.openxmlformats.org/spreadsheetml/2006/main" headerRowCount="0" ref="I21:L26" displayName="Table_4" name="Table_4" id="9">
  <tableColumns count="4">
    <tableColumn name="Column1" id="1"/>
    <tableColumn name="Column2" id="2"/>
    <tableColumn name="Column3" id="3"/>
    <tableColumn name="Column4" id="4"/>
  </tableColumns>
  <tableStyleInfo name="5 Precios Mayorista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1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ahumerios.com/" TargetMode="External"/><Relationship Id="rId2" Type="http://schemas.openxmlformats.org/officeDocument/2006/relationships/drawing" Target="../drawings/drawing3.xml"/><Relationship Id="rId4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4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5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9" Type="http://schemas.openxmlformats.org/officeDocument/2006/relationships/table" Target="../tables/table9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29"/>
    <col customWidth="1" min="2" max="2" width="13.57"/>
    <col customWidth="1" min="3" max="3" width="12.86"/>
    <col customWidth="1" min="4" max="4" width="19.0"/>
    <col customWidth="1" min="5" max="5" width="23.86"/>
    <col customWidth="1" min="6" max="6" width="21.57"/>
    <col customWidth="1" min="7" max="7" width="16.71"/>
    <col customWidth="1" min="8" max="8" width="21.43"/>
    <col customWidth="1" min="9" max="9" width="22.14"/>
    <col customWidth="1" min="10" max="10" width="12.71"/>
    <col customWidth="1" min="11" max="24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6" t="s">
        <v>9</v>
      </c>
    </row>
    <row r="2">
      <c r="A2" s="7">
        <v>45829.0</v>
      </c>
      <c r="B2" s="8">
        <f>SUMIF('Ventas diarias'!A:A, A2, 'Ventas diarias'!I:I)</f>
        <v>43575</v>
      </c>
      <c r="C2" s="8">
        <f>SUMIF('Gastos diarios'!A:A, A2, 'Gastos diarios'!D:D)</f>
        <v>22700</v>
      </c>
      <c r="D2" s="8">
        <f>SUMIFS('Ventas diarias'!I:I, 'Ventas diarias'!J:J, "EFECTIVO", 'Ventas diarias'!A:A, A2)</f>
        <v>23075</v>
      </c>
      <c r="E2" s="8">
        <f>SUMIFS('Ventas diarias'!I:I, 'Ventas diarias'!J:J, "TRANSFERENCIA", 'Ventas diarias'!A:A, A2)</f>
        <v>20500</v>
      </c>
      <c r="F2" s="8">
        <f t="shared" ref="F2:F53" si="1">B2-C2</f>
        <v>20875</v>
      </c>
    </row>
    <row r="3">
      <c r="A3" s="7">
        <v>45831.0</v>
      </c>
      <c r="B3" s="8">
        <f>SUMIF('Ventas diarias'!A:A, A3, 'Ventas diarias'!I:I)</f>
        <v>18251</v>
      </c>
      <c r="C3" s="8">
        <f>SUMIF('Gastos diarios'!A:A, A3, 'Gastos diarios'!D:D)</f>
        <v>23690</v>
      </c>
      <c r="D3" s="8">
        <f>SUMIFS('Ventas diarias'!I:I, 'Ventas diarias'!J:J, "EFECTIVO", 'Ventas diarias'!A:A, A3)</f>
        <v>16001</v>
      </c>
      <c r="E3" s="8">
        <f>SUMIFS('Ventas diarias'!I:I, 'Ventas diarias'!J:J, "TRANSFERENCIA", 'Ventas diarias'!A:A, A3)</f>
        <v>2250</v>
      </c>
      <c r="F3" s="8">
        <f t="shared" si="1"/>
        <v>-5439</v>
      </c>
    </row>
    <row r="4">
      <c r="A4" s="7">
        <v>45832.0</v>
      </c>
      <c r="B4" s="8">
        <f>SUMIF('Ventas diarias'!A:A, A4, 'Ventas diarias'!I:I)</f>
        <v>64670</v>
      </c>
      <c r="C4" s="8">
        <f>SUMIF('Gastos diarios'!A:A, A4, 'Gastos diarios'!D:D)</f>
        <v>0</v>
      </c>
      <c r="D4" s="8">
        <f>SUMIFS('Ventas diarias'!I:I, 'Ventas diarias'!J:J, "EFECTIVO", 'Ventas diarias'!A:A, A4)</f>
        <v>19538</v>
      </c>
      <c r="E4" s="8">
        <f>SUMIFS('Ventas diarias'!I:I, 'Ventas diarias'!J:J, "TRANSFERENCIA", 'Ventas diarias'!A:A, A4)</f>
        <v>45132</v>
      </c>
      <c r="F4" s="8">
        <f t="shared" si="1"/>
        <v>64670</v>
      </c>
    </row>
    <row r="5">
      <c r="A5" s="7">
        <v>45833.0</v>
      </c>
      <c r="B5" s="8">
        <f>SUMIF('Ventas diarias'!A:A, A5, 'Ventas diarias'!I:I)</f>
        <v>79069.66</v>
      </c>
      <c r="C5" s="8">
        <f>SUMIF('Gastos diarios'!A:A, A5, 'Gastos diarios'!D:D)</f>
        <v>0</v>
      </c>
      <c r="D5" s="8">
        <f>SUMIFS('Ventas diarias'!I:I, 'Ventas diarias'!J:J, "EFECTIVO", 'Ventas diarias'!A:A, A5)</f>
        <v>70105.66</v>
      </c>
      <c r="E5" s="8">
        <f>SUMIFS('Ventas diarias'!I:I, 'Ventas diarias'!J:J, "TRANSFERENCIA", 'Ventas diarias'!A:A, A5)</f>
        <v>8964</v>
      </c>
      <c r="F5" s="8">
        <f t="shared" si="1"/>
        <v>79069.66</v>
      </c>
    </row>
    <row r="6">
      <c r="A6" s="7">
        <v>45834.0</v>
      </c>
      <c r="B6" s="8">
        <f>SUMIF('Ventas diarias'!A:A, A6, 'Ventas diarias'!I:I)</f>
        <v>86607.6</v>
      </c>
      <c r="C6" s="8">
        <f>SUMIF('Gastos diarios'!A:A, A6, 'Gastos diarios'!D:D)</f>
        <v>0</v>
      </c>
      <c r="D6" s="8">
        <f>SUMIFS('Ventas diarias'!I:I, 'Ventas diarias'!J:J, "EFECTIVO", 'Ventas diarias'!A:A, A6)</f>
        <v>22100.4</v>
      </c>
      <c r="E6" s="8">
        <f>SUMIFS('Ventas diarias'!I:I, 'Ventas diarias'!J:J, "TRANSFERENCIA", 'Ventas diarias'!A:A, A6)</f>
        <v>64507.2</v>
      </c>
      <c r="F6" s="8">
        <f t="shared" si="1"/>
        <v>86607.6</v>
      </c>
    </row>
    <row r="7">
      <c r="A7" s="7">
        <v>45835.0</v>
      </c>
      <c r="B7" s="8">
        <f>SUMIF('Ventas diarias'!A:A, A7, 'Ventas diarias'!I:I)</f>
        <v>61227</v>
      </c>
      <c r="C7" s="8">
        <f>SUMIF('Gastos diarios'!A:A, A7, 'Gastos diarios'!D:D)</f>
        <v>0</v>
      </c>
      <c r="D7" s="8">
        <f>SUMIFS('Ventas diarias'!I:I, 'Ventas diarias'!J:J, "EFECTIVO", 'Ventas diarias'!A:A, A7)</f>
        <v>34528</v>
      </c>
      <c r="E7" s="8">
        <f>SUMIFS('Ventas diarias'!I:I, 'Ventas diarias'!J:J, "TRANSFERENCIA", 'Ventas diarias'!A:A, A7)</f>
        <v>26699</v>
      </c>
      <c r="F7" s="8">
        <f t="shared" si="1"/>
        <v>61227</v>
      </c>
    </row>
    <row r="8">
      <c r="A8" s="7">
        <v>45836.0</v>
      </c>
      <c r="B8" s="8">
        <f>SUMIF('Ventas diarias'!A:A, A8, 'Ventas diarias'!I:I)</f>
        <v>45740</v>
      </c>
      <c r="C8" s="8">
        <f>SUMIF('Gastos diarios'!A:A, A8, 'Gastos diarios'!D:D)</f>
        <v>0</v>
      </c>
      <c r="D8" s="8">
        <f>SUMIFS('Ventas diarias'!I:I, 'Ventas diarias'!J:J, "EFECTIVO", 'Ventas diarias'!A:A, A8)</f>
        <v>31849</v>
      </c>
      <c r="E8" s="8">
        <f>SUMIFS('Ventas diarias'!I:I, 'Ventas diarias'!J:J, "TRANSFERENCIA", 'Ventas diarias'!A:A, A8)</f>
        <v>13891</v>
      </c>
      <c r="F8" s="8">
        <f t="shared" si="1"/>
        <v>45740</v>
      </c>
    </row>
    <row r="9">
      <c r="A9" s="7">
        <v>45837.0</v>
      </c>
      <c r="B9" s="8">
        <f>SUMIF('Ventas diarias'!A:A, A9, 'Ventas diarias'!I:I)</f>
        <v>64601</v>
      </c>
      <c r="C9" s="8">
        <f>SUMIF('Gastos diarios'!A:A, A9, 'Gastos diarios'!D:D)</f>
        <v>0</v>
      </c>
      <c r="D9" s="8">
        <f>SUMIFS('Ventas diarias'!I:I, 'Ventas diarias'!J:J, "EFECTIVO", 'Ventas diarias'!A:A, A9)</f>
        <v>0</v>
      </c>
      <c r="E9" s="8">
        <f>SUMIFS('Ventas diarias'!I:I, 'Ventas diarias'!J:J, "TRANSFERENCIA", 'Ventas diarias'!A:A, A9)</f>
        <v>64601</v>
      </c>
      <c r="F9" s="8">
        <f t="shared" si="1"/>
        <v>64601</v>
      </c>
    </row>
    <row r="10">
      <c r="A10" s="7">
        <v>45838.0</v>
      </c>
      <c r="B10" s="8">
        <f>SUMIF('Ventas diarias'!A:A, A10, 'Ventas diarias'!I:I)</f>
        <v>59247.6</v>
      </c>
      <c r="C10" s="8">
        <f>SUMIF('Gastos diarios'!A:A, A10, 'Gastos diarios'!D:D)</f>
        <v>0</v>
      </c>
      <c r="D10" s="8">
        <f>SUMIFS('Ventas diarias'!I:I, 'Ventas diarias'!J:J, "EFECTIVO", 'Ventas diarias'!A:A, A10)</f>
        <v>37969.6</v>
      </c>
      <c r="E10" s="8">
        <f>SUMIFS('Ventas diarias'!I:I, 'Ventas diarias'!J:J, "TRANSFERENCIA", 'Ventas diarias'!A:A, A10)</f>
        <v>21278</v>
      </c>
      <c r="F10" s="8">
        <f t="shared" si="1"/>
        <v>59247.6</v>
      </c>
    </row>
    <row r="11">
      <c r="A11" s="7">
        <v>45839.0</v>
      </c>
      <c r="B11" s="8">
        <f>SUMIF('Ventas diarias'!A:A, A11, 'Ventas diarias'!I:I)</f>
        <v>143440.55</v>
      </c>
      <c r="C11" s="8">
        <f>SUMIF('Gastos diarios'!A:A, A11, 'Gastos diarios'!D:D)</f>
        <v>0</v>
      </c>
      <c r="D11" s="8">
        <f>SUMIFS('Ventas diarias'!I:I, 'Ventas diarias'!J:J, "EFECTIVO", 'Ventas diarias'!A:A, A11)</f>
        <v>52483</v>
      </c>
      <c r="E11" s="8">
        <f>SUMIFS('Ventas diarias'!I:I, 'Ventas diarias'!J:J, "TRANSFERENCIA", 'Ventas diarias'!A:A, A11)</f>
        <v>90957.55</v>
      </c>
      <c r="F11" s="8">
        <f t="shared" si="1"/>
        <v>143440.55</v>
      </c>
    </row>
    <row r="12">
      <c r="A12" s="7">
        <v>45840.0</v>
      </c>
      <c r="B12" s="8">
        <f>SUMIF('Ventas diarias'!A:A, A12, 'Ventas diarias'!I:I)</f>
        <v>19279</v>
      </c>
      <c r="C12" s="8">
        <f>SUMIF('Gastos diarios'!A:A, A12, 'Gastos diarios'!D:D)</f>
        <v>5000</v>
      </c>
      <c r="D12" s="8">
        <f>SUMIFS('Ventas diarias'!I:I, 'Ventas diarias'!J:J, "EFECTIVO", 'Ventas diarias'!A:A, A12)</f>
        <v>7780</v>
      </c>
      <c r="E12" s="8">
        <f>SUMIFS('Ventas diarias'!I:I, 'Ventas diarias'!J:J, "TRANSFERENCIA", 'Ventas diarias'!A:A, A12)</f>
        <v>11499</v>
      </c>
      <c r="F12" s="8">
        <f t="shared" si="1"/>
        <v>14279</v>
      </c>
    </row>
    <row r="13">
      <c r="A13" s="7">
        <v>45841.0</v>
      </c>
      <c r="B13" s="8">
        <f>SUMIF('Ventas diarias'!A:A, A13, 'Ventas diarias'!I:I)</f>
        <v>42742</v>
      </c>
      <c r="C13" s="8">
        <f>SUMIF('Gastos diarios'!A:A, A13, 'Gastos diarios'!D:D)</f>
        <v>0</v>
      </c>
      <c r="D13" s="8">
        <f>SUMIFS('Ventas diarias'!I:I, 'Ventas diarias'!J:J, "EFECTIVO", 'Ventas diarias'!A:A, A13)</f>
        <v>25845</v>
      </c>
      <c r="E13" s="8">
        <f>SUMIFS('Ventas diarias'!I:I, 'Ventas diarias'!J:J, "TRANSFERENCIA", 'Ventas diarias'!A:A, A13)</f>
        <v>16897</v>
      </c>
      <c r="F13" s="8">
        <f t="shared" si="1"/>
        <v>42742</v>
      </c>
    </row>
    <row r="14">
      <c r="A14" s="7">
        <v>45842.0</v>
      </c>
      <c r="B14" s="8">
        <f>SUMIF('Ventas diarias'!A:A, A14, 'Ventas diarias'!I:I)</f>
        <v>21170</v>
      </c>
      <c r="C14" s="8">
        <f>SUMIF('Gastos diarios'!A:A, A14, 'Gastos diarios'!D:D)</f>
        <v>0</v>
      </c>
      <c r="D14" s="8">
        <f>SUMIFS('Ventas diarias'!I:I, 'Ventas diarias'!J:J, "EFECTIVO", 'Ventas diarias'!A:A, A14)</f>
        <v>13070</v>
      </c>
      <c r="E14" s="8">
        <f>SUMIFS('Ventas diarias'!I:I, 'Ventas diarias'!J:J, "TRANSFERENCIA", 'Ventas diarias'!A:A, A14)</f>
        <v>8100</v>
      </c>
      <c r="F14" s="8">
        <f t="shared" si="1"/>
        <v>21170</v>
      </c>
    </row>
    <row r="15">
      <c r="A15" s="7">
        <v>45843.0</v>
      </c>
      <c r="B15" s="8">
        <f>SUMIF('Ventas diarias'!A:A, A15, 'Ventas diarias'!I:I)</f>
        <v>117488.5</v>
      </c>
      <c r="C15" s="8">
        <f>SUMIF('Gastos diarios'!A:A, A15, 'Gastos diarios'!D:D)</f>
        <v>0</v>
      </c>
      <c r="D15" s="8">
        <f>SUMIFS('Ventas diarias'!I:I, 'Ventas diarias'!J:J, "EFECTIVO", 'Ventas diarias'!A:A, A15)</f>
        <v>38788.5</v>
      </c>
      <c r="E15" s="8">
        <f>SUMIFS('Ventas diarias'!I:I, 'Ventas diarias'!J:J, "TRANSFERENCIA", 'Ventas diarias'!A:A, A15)</f>
        <v>78700</v>
      </c>
      <c r="F15" s="8">
        <f t="shared" si="1"/>
        <v>117488.5</v>
      </c>
    </row>
    <row r="16">
      <c r="A16" s="7">
        <v>45845.0</v>
      </c>
      <c r="B16" s="8">
        <f>SUMIF('Ventas diarias'!A:A, A16, 'Ventas diarias'!I:I)</f>
        <v>72017</v>
      </c>
      <c r="C16" s="8">
        <f>SUMIF('Gastos diarios'!A:A, A16, 'Gastos diarios'!D:D)</f>
        <v>1000</v>
      </c>
      <c r="D16" s="8">
        <f>SUMIFS('Ventas diarias'!I:I, 'Ventas diarias'!J:J, "EFECTIVO", 'Ventas diarias'!A:A, A16)</f>
        <v>51317</v>
      </c>
      <c r="E16" s="8">
        <f>SUMIFS('Ventas diarias'!I:I, 'Ventas diarias'!J:J, "TRANSFERENCIA", 'Ventas diarias'!A:A, A16)</f>
        <v>20700</v>
      </c>
      <c r="F16" s="8">
        <f t="shared" si="1"/>
        <v>71017</v>
      </c>
    </row>
    <row r="17">
      <c r="A17" s="7">
        <v>45846.0</v>
      </c>
      <c r="B17" s="8">
        <f>SUMIF('Ventas diarias'!A:A, A17, 'Ventas diarias'!I:I)</f>
        <v>96966</v>
      </c>
      <c r="C17" s="8">
        <f>SUMIF('Gastos diarios'!A:A, A17, 'Gastos diarios'!D:D)</f>
        <v>0</v>
      </c>
      <c r="D17" s="8">
        <f>SUMIFS('Ventas diarias'!I:I, 'Ventas diarias'!J:J, "EFECTIVO", 'Ventas diarias'!A:A, A17)</f>
        <v>15316</v>
      </c>
      <c r="E17" s="8">
        <f>SUMIFS('Ventas diarias'!I:I, 'Ventas diarias'!J:J, "TRANSFERENCIA", 'Ventas diarias'!A:A, A17)</f>
        <v>81650</v>
      </c>
      <c r="F17" s="8">
        <f t="shared" si="1"/>
        <v>96966</v>
      </c>
    </row>
    <row r="18">
      <c r="A18" s="7">
        <v>45847.0</v>
      </c>
      <c r="B18" s="8">
        <f>SUMIF('Ventas diarias'!A:A, A18, 'Ventas diarias'!I:I)</f>
        <v>137390.5</v>
      </c>
      <c r="C18" s="8">
        <f>SUMIF('Gastos diarios'!A:A, A18, 'Gastos diarios'!D:D)</f>
        <v>0</v>
      </c>
      <c r="D18" s="8">
        <f>SUMIFS('Ventas diarias'!I:I, 'Ventas diarias'!J:J, "EFECTIVO", 'Ventas diarias'!A:A, A18)</f>
        <v>18645.5</v>
      </c>
      <c r="E18" s="8">
        <f>SUMIFS('Ventas diarias'!I:I, 'Ventas diarias'!J:J, "TRANSFERENCIA", 'Ventas diarias'!A:A, A18)</f>
        <v>118745</v>
      </c>
      <c r="F18" s="8">
        <f t="shared" si="1"/>
        <v>137390.5</v>
      </c>
    </row>
    <row r="19">
      <c r="A19" s="7">
        <v>45848.0</v>
      </c>
      <c r="B19" s="8">
        <f>SUMIF('Ventas diarias'!A:A, A19, 'Ventas diarias'!I:I)</f>
        <v>101073</v>
      </c>
      <c r="C19" s="8">
        <f>SUMIF('Gastos diarios'!A:A, A19, 'Gastos diarios'!D:D)</f>
        <v>0</v>
      </c>
      <c r="D19" s="8">
        <f>SUMIFS('Ventas diarias'!I:I, 'Ventas diarias'!J:J, "EFECTIVO", 'Ventas diarias'!A:A, A19)</f>
        <v>45995</v>
      </c>
      <c r="E19" s="8">
        <f>SUMIFS('Ventas diarias'!I:I, 'Ventas diarias'!J:J, "TRANSFERENCIA", 'Ventas diarias'!A:A, A19)</f>
        <v>55078</v>
      </c>
      <c r="F19" s="8">
        <f t="shared" si="1"/>
        <v>101073</v>
      </c>
    </row>
    <row r="20">
      <c r="A20" s="7">
        <v>45849.0</v>
      </c>
      <c r="B20" s="8">
        <f>SUMIF('Ventas diarias'!A:A, A20, 'Ventas diarias'!I:I)</f>
        <v>57813</v>
      </c>
      <c r="C20" s="8">
        <f>SUMIF('Gastos diarios'!A:A, A20, 'Gastos diarios'!D:D)</f>
        <v>0</v>
      </c>
      <c r="D20" s="8">
        <f>SUMIFS('Ventas diarias'!I:I, 'Ventas diarias'!J:J, "EFECTIVO", 'Ventas diarias'!A:A, A20)</f>
        <v>54413</v>
      </c>
      <c r="E20" s="8">
        <f>SUMIFS('Ventas diarias'!I:I, 'Ventas diarias'!J:J, "TRANSFERENCIA", 'Ventas diarias'!A:A, A20)</f>
        <v>3400</v>
      </c>
      <c r="F20" s="8">
        <f t="shared" si="1"/>
        <v>57813</v>
      </c>
    </row>
    <row r="21" ht="15.75" customHeight="1">
      <c r="A21" s="7">
        <v>45850.0</v>
      </c>
      <c r="B21" s="8">
        <f>SUMIF('Ventas diarias'!A:A, A21, 'Ventas diarias'!I:I)</f>
        <v>74897</v>
      </c>
      <c r="C21" s="8">
        <f>SUMIF('Gastos diarios'!A:A, A21, 'Gastos diarios'!D:D)</f>
        <v>0</v>
      </c>
      <c r="D21" s="8">
        <f>SUMIFS('Ventas diarias'!I:I, 'Ventas diarias'!J:J, "EFECTIVO", 'Ventas diarias'!A:A, A21)</f>
        <v>58928</v>
      </c>
      <c r="E21" s="8">
        <f>SUMIFS('Ventas diarias'!I:I, 'Ventas diarias'!J:J, "TRANSFERENCIA", 'Ventas diarias'!A:A, A21)</f>
        <v>15969</v>
      </c>
      <c r="F21" s="8">
        <f t="shared" si="1"/>
        <v>74897</v>
      </c>
    </row>
    <row r="22" ht="15.75" customHeight="1">
      <c r="A22" s="9">
        <v>45852.0</v>
      </c>
      <c r="B22" s="8">
        <f>SUMIF('Ventas diarias'!A:A, A22, 'Ventas diarias'!I:I)</f>
        <v>78098.4</v>
      </c>
      <c r="C22" s="8">
        <f>SUMIF('Gastos diarios'!A:A, A22, 'Gastos diarios'!D:D)</f>
        <v>2000</v>
      </c>
      <c r="D22" s="8">
        <f>SUMIFS('Ventas diarias'!I:I, 'Ventas diarias'!J:J, "EFECTIVO", 'Ventas diarias'!A:A, A22)</f>
        <v>48198.4</v>
      </c>
      <c r="E22" s="8">
        <f>SUMIFS('Ventas diarias'!I:I, 'Ventas diarias'!J:J, "TRANSFERENCIA", 'Ventas diarias'!A:A, A22)</f>
        <v>29900</v>
      </c>
      <c r="F22" s="8">
        <f t="shared" si="1"/>
        <v>76098.4</v>
      </c>
    </row>
    <row r="23" ht="15.75" customHeight="1">
      <c r="A23" s="9">
        <v>45853.0</v>
      </c>
      <c r="B23" s="8">
        <f>SUMIF('Ventas diarias'!A:A, A23, 'Ventas diarias'!I:I)</f>
        <v>42976</v>
      </c>
      <c r="C23" s="8">
        <f>SUMIF('Gastos diarios'!A:A, A23, 'Gastos diarios'!D:D)</f>
        <v>0</v>
      </c>
      <c r="D23" s="8">
        <f>SUMIFS('Ventas diarias'!I:I, 'Ventas diarias'!J:J, "EFECTIVO", 'Ventas diarias'!A:A, A23)</f>
        <v>40150</v>
      </c>
      <c r="E23" s="8">
        <f>SUMIFS('Ventas diarias'!I:I, 'Ventas diarias'!J:J, "TRANSFERENCIA", 'Ventas diarias'!A:A, A23)</f>
        <v>4898</v>
      </c>
      <c r="F23" s="8">
        <f t="shared" si="1"/>
        <v>42976</v>
      </c>
    </row>
    <row r="24" ht="15.75" customHeight="1">
      <c r="A24" s="9">
        <v>45854.0</v>
      </c>
      <c r="B24" s="8">
        <f>SUMIF('Ventas diarias'!A:A, A24, 'Ventas diarias'!I:I)</f>
        <v>31676</v>
      </c>
      <c r="C24" s="8">
        <f>SUMIF('Gastos diarios'!A:A, A24, 'Gastos diarios'!D:D)</f>
        <v>0</v>
      </c>
      <c r="D24" s="8">
        <f>SUMIFS('Ventas diarias'!I:I, 'Ventas diarias'!J:J, "EFECTIVO", 'Ventas diarias'!A:A, A24)</f>
        <v>25129</v>
      </c>
      <c r="E24" s="8">
        <f>SUMIFS('Ventas diarias'!I:I, 'Ventas diarias'!J:J, "TRANSFERENCIA", 'Ventas diarias'!A:A, A24)</f>
        <v>6547</v>
      </c>
      <c r="F24" s="8">
        <f t="shared" si="1"/>
        <v>31676</v>
      </c>
    </row>
    <row r="25" ht="15.75" customHeight="1">
      <c r="A25" s="9">
        <v>45855.0</v>
      </c>
      <c r="B25" s="8">
        <f>SUMIF('Ventas diarias'!A:A, A25, 'Ventas diarias'!I:I)</f>
        <v>118246</v>
      </c>
      <c r="C25" s="8">
        <f>SUMIF('Gastos diarios'!A:A, A25, 'Gastos diarios'!D:D)</f>
        <v>0</v>
      </c>
      <c r="D25" s="8">
        <f>SUMIFS('Ventas diarias'!I:I, 'Ventas diarias'!J:J, "EFECTIVO", 'Ventas diarias'!A:A, A25)</f>
        <v>116245</v>
      </c>
      <c r="E25" s="8">
        <f>SUMIFS('Ventas diarias'!I:I, 'Ventas diarias'!J:J, "TRANSFERENCIA", 'Ventas diarias'!A:A, A25)</f>
        <v>2001</v>
      </c>
      <c r="F25" s="8">
        <f t="shared" si="1"/>
        <v>118246</v>
      </c>
    </row>
    <row r="26" ht="15.75" customHeight="1">
      <c r="A26" s="9">
        <v>45856.0</v>
      </c>
      <c r="B26" s="8">
        <f>SUMIF('Ventas diarias'!A:A, A26, 'Ventas diarias'!I:I)</f>
        <v>22196</v>
      </c>
      <c r="C26" s="8">
        <f>SUMIF('Gastos diarios'!A:A, A26, 'Gastos diarios'!D:D)</f>
        <v>0</v>
      </c>
      <c r="D26" s="8">
        <f>SUMIFS('Ventas diarias'!I:I, 'Ventas diarias'!J:J, "EFECTIVO", 'Ventas diarias'!A:A, A26)</f>
        <v>22196</v>
      </c>
      <c r="E26" s="8">
        <f>SUMIFS('Ventas diarias'!I:I, 'Ventas diarias'!J:J, "TRANSFERENCIA", 'Ventas diarias'!A:A, A26)</f>
        <v>0</v>
      </c>
      <c r="F26" s="8">
        <f t="shared" si="1"/>
        <v>22196</v>
      </c>
    </row>
    <row r="27" ht="15.75" customHeight="1">
      <c r="A27" s="9">
        <v>45857.0</v>
      </c>
      <c r="B27" s="8">
        <f>SUMIF('Ventas diarias'!A:A, A27, 'Ventas diarias'!I:I)</f>
        <v>191053</v>
      </c>
      <c r="C27" s="8">
        <f>SUMIF('Gastos diarios'!A:A, A27, 'Gastos diarios'!D:D)</f>
        <v>6000</v>
      </c>
      <c r="D27" s="8">
        <f>SUMIFS('Ventas diarias'!I:I, 'Ventas diarias'!J:J, "EFECTIVO", 'Ventas diarias'!A:A, A27)</f>
        <v>65690</v>
      </c>
      <c r="E27" s="8">
        <f>SUMIFS('Ventas diarias'!I:I, 'Ventas diarias'!J:J, "TRANSFERENCIA", 'Ventas diarias'!A:A, A27)</f>
        <v>125363</v>
      </c>
      <c r="F27" s="8">
        <f t="shared" si="1"/>
        <v>185053</v>
      </c>
      <c r="H27" s="10"/>
      <c r="I27" s="10"/>
    </row>
    <row r="28" ht="15.75" customHeight="1">
      <c r="A28" s="9">
        <v>45859.0</v>
      </c>
      <c r="B28" s="8">
        <f>SUMIF('Ventas diarias'!A:A, A28, 'Ventas diarias'!I:I)</f>
        <v>29972</v>
      </c>
      <c r="C28" s="8">
        <f>SUMIF('Gastos diarios'!A:A, A28, 'Gastos diarios'!D:D)</f>
        <v>0</v>
      </c>
      <c r="D28" s="8">
        <f>SUMIFS('Ventas diarias'!I:I, 'Ventas diarias'!J:J, "EFECTIVO", 'Ventas diarias'!A:A, A28)</f>
        <v>23772</v>
      </c>
      <c r="E28" s="8">
        <f>SUMIFS('Ventas diarias'!I:I, 'Ventas diarias'!J:J, "TRANSFERENCIA", 'Ventas diarias'!A:A, A28)</f>
        <v>6200</v>
      </c>
      <c r="F28" s="8">
        <f t="shared" si="1"/>
        <v>29972</v>
      </c>
      <c r="H28" s="10"/>
    </row>
    <row r="29" ht="15.75" customHeight="1">
      <c r="A29" s="9">
        <v>45860.0</v>
      </c>
      <c r="B29" s="8">
        <f>SUMIF('Ventas diarias'!A:A, A29, 'Ventas diarias'!I:I)</f>
        <v>99386.2</v>
      </c>
      <c r="C29" s="8">
        <f>SUMIF('Gastos diarios'!A:A, A29, 'Gastos diarios'!D:D)</f>
        <v>0</v>
      </c>
      <c r="D29" s="8">
        <f>SUMIFS('Ventas diarias'!I:I, 'Ventas diarias'!J:J, "EFECTIVO", 'Ventas diarias'!A:A, A29)</f>
        <v>79577</v>
      </c>
      <c r="E29" s="8">
        <f>SUMIFS('Ventas diarias'!I:I, 'Ventas diarias'!J:J, "TRANSFERENCIA", 'Ventas diarias'!A:A, A29)</f>
        <v>19809.2</v>
      </c>
      <c r="F29" s="8">
        <f t="shared" si="1"/>
        <v>99386.2</v>
      </c>
      <c r="H29" s="10"/>
    </row>
    <row r="30" ht="15.75" customHeight="1">
      <c r="A30" s="9">
        <v>45861.0</v>
      </c>
      <c r="B30" s="8">
        <f>SUMIF('Ventas diarias'!A:A, A30, 'Ventas diarias'!I:I)</f>
        <v>56119</v>
      </c>
      <c r="C30" s="8">
        <f>SUMIF('Gastos diarios'!A:A, A30, 'Gastos diarios'!D:D)</f>
        <v>0</v>
      </c>
      <c r="D30" s="8">
        <f>SUMIFS('Ventas diarias'!I:I, 'Ventas diarias'!J:J, "EFECTIVO", 'Ventas diarias'!A:A, A30)</f>
        <v>47095</v>
      </c>
      <c r="E30" s="8">
        <f>SUMIFS('Ventas diarias'!I:I, 'Ventas diarias'!J:J, "TRANSFERENCIA", 'Ventas diarias'!A:A, A30)</f>
        <v>9024</v>
      </c>
      <c r="F30" s="8">
        <f t="shared" si="1"/>
        <v>56119</v>
      </c>
      <c r="H30" s="10"/>
    </row>
    <row r="31" ht="15.75" customHeight="1">
      <c r="A31" s="9">
        <v>45862.0</v>
      </c>
      <c r="B31" s="8">
        <f>SUMIF('Ventas diarias'!A:A, A31, 'Ventas diarias'!I:I)</f>
        <v>97806</v>
      </c>
      <c r="C31" s="8">
        <f>SUMIF('Gastos diarios'!A:A, A31, 'Gastos diarios'!D:D)</f>
        <v>0</v>
      </c>
      <c r="D31" s="8">
        <f>SUMIFS('Ventas diarias'!I:I, 'Ventas diarias'!J:J, "EFECTIVO", 'Ventas diarias'!A:A, A31)</f>
        <v>24766</v>
      </c>
      <c r="E31" s="8">
        <f>SUMIFS('Ventas diarias'!I:I, 'Ventas diarias'!J:J, "TRANSFERENCIA", 'Ventas diarias'!A:A, A31)</f>
        <v>73040</v>
      </c>
      <c r="F31" s="8">
        <f t="shared" si="1"/>
        <v>97806</v>
      </c>
      <c r="H31" s="10"/>
    </row>
    <row r="32" ht="15.75" customHeight="1">
      <c r="A32" s="9">
        <v>45863.0</v>
      </c>
      <c r="B32" s="8">
        <f>SUMIF('Ventas diarias'!A:A, A32, 'Ventas diarias'!I:I)</f>
        <v>41849</v>
      </c>
      <c r="C32" s="8">
        <f>SUMIF('Gastos diarios'!A:A, A32, 'Gastos diarios'!D:D)</f>
        <v>0</v>
      </c>
      <c r="D32" s="8">
        <f>SUMIFS('Ventas diarias'!I:I, 'Ventas diarias'!J:J, "EFECTIVO", 'Ventas diarias'!A:A, A32)</f>
        <v>21050</v>
      </c>
      <c r="E32" s="8">
        <f>SUMIFS('Ventas diarias'!I:I, 'Ventas diarias'!J:J, "TRANSFERENCIA", 'Ventas diarias'!A:A, A32)</f>
        <v>20799</v>
      </c>
      <c r="F32" s="8">
        <f t="shared" si="1"/>
        <v>41849</v>
      </c>
      <c r="G32" s="10">
        <f>103500+D32</f>
        <v>124550</v>
      </c>
      <c r="H32" s="10">
        <v>410600.0</v>
      </c>
      <c r="I32" s="10">
        <v>240799.0</v>
      </c>
      <c r="J32" s="11">
        <f t="shared" ref="J32:J33" si="2">G32+H32+I32</f>
        <v>775949</v>
      </c>
    </row>
    <row r="33" ht="15.75" customHeight="1">
      <c r="A33" s="9">
        <v>45864.0</v>
      </c>
      <c r="B33" s="8">
        <f>SUMIF('Ventas diarias'!A:A, A33, 'Ventas diarias'!I:I)</f>
        <v>15559.2</v>
      </c>
      <c r="C33" s="8">
        <f>SUMIF('Gastos diarios'!A:A, A33, 'Gastos diarios'!D:D)</f>
        <v>26000</v>
      </c>
      <c r="D33" s="8">
        <f>SUMIFS('Ventas diarias'!I:I, 'Ventas diarias'!J:J, "EFECTIVO", 'Ventas diarias'!A:A, A33)</f>
        <v>5059.2</v>
      </c>
      <c r="E33" s="8">
        <f>SUMIFS('Ventas diarias'!I:I, 'Ventas diarias'!J:J, "TRANSFERENCIA", 'Ventas diarias'!A:A, A33)</f>
        <v>10500</v>
      </c>
      <c r="F33" s="8">
        <f t="shared" si="1"/>
        <v>-10440.8</v>
      </c>
      <c r="G33" s="10">
        <v>124550.0</v>
      </c>
      <c r="H33" s="10">
        <v>410600.0</v>
      </c>
      <c r="I33" s="10">
        <f>240799+E33-26000</f>
        <v>225299</v>
      </c>
      <c r="J33" s="11">
        <f t="shared" si="2"/>
        <v>760449</v>
      </c>
    </row>
    <row r="34" ht="15.75" customHeight="1">
      <c r="A34" s="9">
        <v>45866.0</v>
      </c>
      <c r="B34" s="8">
        <f>SUMIF('Ventas diarias'!A:A, A34, 'Ventas diarias'!I:I)</f>
        <v>39249</v>
      </c>
      <c r="C34" s="8">
        <f>SUMIF('Gastos diarios'!A:A, A34, 'Gastos diarios'!D:D)</f>
        <v>9500</v>
      </c>
      <c r="D34" s="8">
        <f>SUMIFS('Ventas diarias'!I:I, 'Ventas diarias'!J:J, "EFECTIVO", 'Ventas diarias'!A:A, A34)</f>
        <v>39249</v>
      </c>
      <c r="E34" s="8">
        <f>SUMIFS('Ventas diarias'!I:I, 'Ventas diarias'!J:J, "TRANSFERENCIA", 'Ventas diarias'!A:A, A34)</f>
        <v>0</v>
      </c>
      <c r="F34" s="8">
        <f t="shared" si="1"/>
        <v>29749</v>
      </c>
      <c r="G34" s="11">
        <f>53900+14000+6500+D34-C34</f>
        <v>104149</v>
      </c>
      <c r="H34" s="10">
        <v>400000.0</v>
      </c>
      <c r="I34" s="10">
        <v>229650.0</v>
      </c>
      <c r="J34" s="11">
        <f t="shared" ref="J34:J42" si="3">I34+H34+G34</f>
        <v>733799</v>
      </c>
    </row>
    <row r="35" ht="15.75" customHeight="1">
      <c r="A35" s="9">
        <v>45867.0</v>
      </c>
      <c r="B35" s="8">
        <f>SUMIF('Ventas diarias'!A:A, A35, 'Ventas diarias'!I:I)</f>
        <v>47570.6</v>
      </c>
      <c r="C35" s="8">
        <f>SUMIF('Gastos diarios'!A:A, A35, 'Gastos diarios'!D:D)</f>
        <v>0</v>
      </c>
      <c r="D35" s="8">
        <f>SUMIFS('Ventas diarias'!I:I, 'Ventas diarias'!J:J, "EFECTIVO", 'Ventas diarias'!A:A, A35)</f>
        <v>29430</v>
      </c>
      <c r="E35" s="8">
        <f>SUMIFS('Ventas diarias'!I:I, 'Ventas diarias'!J:J, "TRANSFERENCIA", 'Ventas diarias'!A:A, A35)</f>
        <v>18140.6</v>
      </c>
      <c r="F35" s="8">
        <f t="shared" si="1"/>
        <v>47570.6</v>
      </c>
      <c r="G35" s="11">
        <f>8700+43000+50000+D35-100000</f>
        <v>31130</v>
      </c>
      <c r="H35" s="10">
        <f>400000+100000</f>
        <v>500000</v>
      </c>
      <c r="I35" s="10">
        <f>229650+E35</f>
        <v>247790.6</v>
      </c>
      <c r="J35" s="11">
        <f t="shared" si="3"/>
        <v>778920.6</v>
      </c>
    </row>
    <row r="36" ht="15.75" customHeight="1">
      <c r="A36" s="9">
        <v>45868.0</v>
      </c>
      <c r="B36" s="8">
        <f>SUMIF('Ventas diarias'!A:A, A36, 'Ventas diarias'!I:I)</f>
        <v>35697</v>
      </c>
      <c r="C36" s="8">
        <f>SUMIF('Gastos diarios'!A:A, A36, 'Gastos diarios'!D:D)</f>
        <v>7800</v>
      </c>
      <c r="D36" s="8">
        <f>SUMIFS('Ventas diarias'!I:I, 'Ventas diarias'!J:J, "EFECTIVO", 'Ventas diarias'!A:A, A36)</f>
        <v>35697</v>
      </c>
      <c r="E36" s="8">
        <f>SUMIFS('Ventas diarias'!I:I, 'Ventas diarias'!J:J, "TRANSFERENCIA", 'Ventas diarias'!A:A, A36)</f>
        <v>0</v>
      </c>
      <c r="F36" s="8">
        <f t="shared" si="1"/>
        <v>27897</v>
      </c>
      <c r="G36" s="11">
        <f>9700+500+20000+D36-C36</f>
        <v>58097</v>
      </c>
      <c r="H36" s="10">
        <v>500000.0</v>
      </c>
      <c r="I36" s="10">
        <f>247790+E36</f>
        <v>247790</v>
      </c>
      <c r="J36" s="11">
        <f t="shared" si="3"/>
        <v>805887</v>
      </c>
    </row>
    <row r="37" ht="15.75" customHeight="1">
      <c r="A37" s="9">
        <v>45869.0</v>
      </c>
      <c r="B37" s="8">
        <f>SUMIF('Ventas diarias'!A:A, A37, 'Ventas diarias'!I:I)</f>
        <v>66917</v>
      </c>
      <c r="C37" s="8">
        <f>SUMIF('Gastos diarios'!A:A, A37, 'Gastos diarios'!D:D)</f>
        <v>0</v>
      </c>
      <c r="D37" s="8">
        <f>SUMIFS('Ventas diarias'!I:I, 'Ventas diarias'!J:J, "EFECTIVO", 'Ventas diarias'!A:A, A37)</f>
        <v>63517</v>
      </c>
      <c r="E37" s="8">
        <f>SUMIFS('Ventas diarias'!I:I, 'Ventas diarias'!J:J, "TRANSFERENCIA", 'Ventas diarias'!A:A, A37)</f>
        <v>3400</v>
      </c>
      <c r="F37" s="8">
        <f t="shared" si="1"/>
        <v>66917</v>
      </c>
      <c r="G37" s="11">
        <f>47000+11800+D37</f>
        <v>122317</v>
      </c>
      <c r="H37" s="10">
        <v>500000.0</v>
      </c>
      <c r="I37" s="10">
        <f>E37+149835</f>
        <v>153235</v>
      </c>
      <c r="J37" s="11">
        <f t="shared" si="3"/>
        <v>775552</v>
      </c>
    </row>
    <row r="38" ht="15.75" customHeight="1">
      <c r="A38" s="9">
        <v>45870.0</v>
      </c>
      <c r="B38" s="8">
        <f>SUMIF('Ventas diarias'!A:A, A38, 'Ventas diarias'!I:I)</f>
        <v>69283</v>
      </c>
      <c r="C38" s="8">
        <f>SUMIF('Gastos diarios'!A:A, A38, 'Gastos diarios'!D:D)</f>
        <v>0</v>
      </c>
      <c r="D38" s="8">
        <f>SUMIFS('Ventas diarias'!I:I, 'Ventas diarias'!J:J, "EFECTIVO", 'Ventas diarias'!A:A, A38)</f>
        <v>17999</v>
      </c>
      <c r="E38" s="8">
        <f>SUMIFS('Ventas diarias'!I:I, 'Ventas diarias'!J:J, "TRANSFERENCIA", 'Ventas diarias'!A:A, A38)</f>
        <v>51284</v>
      </c>
      <c r="F38" s="8">
        <f t="shared" si="1"/>
        <v>69283</v>
      </c>
      <c r="G38" s="12">
        <f>11800+10500+30000+70000+70+D38-100000</f>
        <v>40369</v>
      </c>
      <c r="H38" s="13">
        <f>500000+100000</f>
        <v>600000</v>
      </c>
      <c r="I38" s="13">
        <f>153447+E38</f>
        <v>204731</v>
      </c>
      <c r="J38" s="12">
        <f t="shared" si="3"/>
        <v>845100</v>
      </c>
    </row>
    <row r="39" ht="15.75" customHeight="1">
      <c r="A39" s="9">
        <v>45871.0</v>
      </c>
      <c r="B39" s="8">
        <f>SUMIF('Ventas diarias'!A:A, A39, 'Ventas diarias'!I:I)</f>
        <v>175940</v>
      </c>
      <c r="C39" s="8">
        <f>SUMIF('Gastos diarios'!A:A, A39, 'Gastos diarios'!D:D)</f>
        <v>0</v>
      </c>
      <c r="D39" s="8">
        <f>SUMIFS('Ventas diarias'!I:I, 'Ventas diarias'!J:J, "EFECTIVO", 'Ventas diarias'!A:A, A39)</f>
        <v>85413</v>
      </c>
      <c r="E39" s="8">
        <f>SUMIFS('Ventas diarias'!I:I, 'Ventas diarias'!J:J, "TRANSFERENCIA", 'Ventas diarias'!A:A, A39)</f>
        <v>90527</v>
      </c>
      <c r="F39" s="8">
        <f t="shared" si="1"/>
        <v>175940</v>
      </c>
      <c r="G39" s="12">
        <f>11500+22000+10000+D39-100000</f>
        <v>28913</v>
      </c>
      <c r="H39" s="13">
        <v>700000.0</v>
      </c>
      <c r="I39" s="12">
        <f>204731+E39</f>
        <v>295258</v>
      </c>
      <c r="J39" s="12">
        <f t="shared" si="3"/>
        <v>1024171</v>
      </c>
    </row>
    <row r="40" ht="15.75" customHeight="1">
      <c r="A40" s="9">
        <v>45873.0</v>
      </c>
      <c r="B40" s="8">
        <f>SUMIF('Ventas diarias'!A:A, A40, 'Ventas diarias'!I:I)</f>
        <v>70727</v>
      </c>
      <c r="C40" s="8">
        <f>SUMIF('Gastos diarios'!A:A, A40, 'Gastos diarios'!D:D)</f>
        <v>0</v>
      </c>
      <c r="D40" s="8">
        <f>SUMIFS('Ventas diarias'!I:I, 'Ventas diarias'!J:J, "EFECTIVO", 'Ventas diarias'!A:A, A40)</f>
        <v>37757</v>
      </c>
      <c r="E40" s="8">
        <f>SUMIFS('Ventas diarias'!I:I, 'Ventas diarias'!J:J, "TRANSFERENCIA", 'Ventas diarias'!A:A, A40)</f>
        <v>32970</v>
      </c>
      <c r="F40" s="8">
        <f t="shared" si="1"/>
        <v>70727</v>
      </c>
      <c r="G40" s="12">
        <f>12600+4000+13000+D40</f>
        <v>67357</v>
      </c>
      <c r="H40" s="13">
        <v>700000.0</v>
      </c>
      <c r="I40" s="12">
        <f>257000+E40-'3 Compras y proveedores'!D26</f>
        <v>185970</v>
      </c>
      <c r="J40" s="12">
        <f t="shared" si="3"/>
        <v>953327</v>
      </c>
    </row>
    <row r="41" ht="15.75" customHeight="1">
      <c r="A41" s="9">
        <v>45874.0</v>
      </c>
      <c r="B41" s="8">
        <f>SUMIF('Ventas diarias'!A:A, A41, 'Ventas diarias'!I:I)</f>
        <v>37186</v>
      </c>
      <c r="C41" s="8">
        <f>SUMIF('Gastos diarios'!A:A, A41, 'Gastos diarios'!D:D)</f>
        <v>0</v>
      </c>
      <c r="D41" s="8">
        <f>SUMIFS('Ventas diarias'!I:I, 'Ventas diarias'!J:J, "EFECTIVO", 'Ventas diarias'!A:A, A41)</f>
        <v>18676</v>
      </c>
      <c r="E41" s="8">
        <f>SUMIFS('Ventas diarias'!I:I, 'Ventas diarias'!J:J, "TRANSFERENCIA", 'Ventas diarias'!A:A, A41)</f>
        <v>18510</v>
      </c>
      <c r="F41" s="8">
        <f t="shared" si="1"/>
        <v>37186</v>
      </c>
      <c r="G41" s="12">
        <f>12200+15000+40000+D41</f>
        <v>85876</v>
      </c>
      <c r="H41" s="13">
        <v>700000.0</v>
      </c>
      <c r="I41" s="12">
        <f>187000+E41</f>
        <v>205510</v>
      </c>
      <c r="J41" s="12">
        <f t="shared" si="3"/>
        <v>991386</v>
      </c>
    </row>
    <row r="42" ht="15.75" customHeight="1">
      <c r="A42" s="9">
        <v>45875.0</v>
      </c>
      <c r="B42" s="8">
        <f>SUMIF('Ventas diarias'!A:A, A42, 'Ventas diarias'!I:I)</f>
        <v>57785</v>
      </c>
      <c r="C42" s="14">
        <v>0.0</v>
      </c>
      <c r="D42" s="8">
        <f>SUMIFS('Ventas diarias'!I:I, 'Ventas diarias'!J:J, "EFECTIVO", 'Ventas diarias'!A:A, A42)</f>
        <v>25785</v>
      </c>
      <c r="E42" s="8">
        <f>SUMIFS('Ventas diarias'!I:I, 'Ventas diarias'!J:J, "TRANSFERENCIA", 'Ventas diarias'!A:A, A42)</f>
        <v>32000</v>
      </c>
      <c r="F42" s="8">
        <f t="shared" si="1"/>
        <v>57785</v>
      </c>
      <c r="G42" s="12">
        <f>10900+44000+30000+D42-47290</f>
        <v>63395</v>
      </c>
      <c r="H42" s="13">
        <v>700000.0</v>
      </c>
      <c r="I42" s="13">
        <f>205960+E42</f>
        <v>237960</v>
      </c>
      <c r="J42" s="12">
        <f t="shared" si="3"/>
        <v>1001355</v>
      </c>
    </row>
    <row r="43" ht="15.75" customHeight="1">
      <c r="A43" s="9">
        <v>45876.0</v>
      </c>
      <c r="B43" s="8">
        <f>SUMIF('Ventas diarias'!A:A, A43, 'Ventas diarias'!I:I)</f>
        <v>30995</v>
      </c>
      <c r="C43" s="14">
        <v>0.0</v>
      </c>
      <c r="D43" s="8">
        <f>SUMIFS('Ventas diarias'!I:I, 'Ventas diarias'!J:J, "EFECTIVO", 'Ventas diarias'!A:A, A43)</f>
        <v>28006</v>
      </c>
      <c r="E43" s="8">
        <f>SUMIFS('Ventas diarias'!I:I, 'Ventas diarias'!J:J, "TRANSFERENCIA", 'Ventas diarias'!A:A, A43)</f>
        <v>2989</v>
      </c>
      <c r="F43" s="8">
        <f t="shared" si="1"/>
        <v>30995</v>
      </c>
      <c r="G43" s="12">
        <f>10600+44000+10000+D43+8000-250</f>
        <v>100356</v>
      </c>
      <c r="H43" s="13">
        <f t="shared" ref="H43:H44" si="4">700000-100000</f>
        <v>600000</v>
      </c>
      <c r="I43" s="13">
        <f>238138+E43</f>
        <v>241127</v>
      </c>
      <c r="J43" s="12">
        <f t="shared" ref="J43:J44" si="5">G43+H43+I43</f>
        <v>941483</v>
      </c>
      <c r="L43" s="15" t="s">
        <v>10</v>
      </c>
      <c r="N43" s="15" t="s">
        <v>11</v>
      </c>
    </row>
    <row r="44" ht="15.75" customHeight="1">
      <c r="A44" s="9">
        <v>45877.0</v>
      </c>
      <c r="B44" s="8">
        <f>SUMIF('Ventas diarias'!A:A, A44, 'Ventas diarias'!I:I)</f>
        <v>30966</v>
      </c>
      <c r="C44" s="14">
        <v>0.0</v>
      </c>
      <c r="D44" s="8">
        <f>SUMIFS('Ventas diarias'!I:I, 'Ventas diarias'!J:J, "EFECTIVO", 'Ventas diarias'!A:A, A44)</f>
        <v>23466</v>
      </c>
      <c r="E44" s="8">
        <f>SUMIFS('Ventas diarias'!I:I, 'Ventas diarias'!J:J, "TRANSFERENCIA", 'Ventas diarias'!A:A, A44)</f>
        <v>7500</v>
      </c>
      <c r="F44" s="8">
        <f t="shared" si="1"/>
        <v>30966</v>
      </c>
      <c r="G44" s="12">
        <f>10700+53500+36000+D44</f>
        <v>123666</v>
      </c>
      <c r="H44" s="13">
        <f t="shared" si="4"/>
        <v>600000</v>
      </c>
      <c r="I44" s="13">
        <f>241356+E44</f>
        <v>248856</v>
      </c>
      <c r="J44" s="12">
        <f t="shared" si="5"/>
        <v>972522</v>
      </c>
      <c r="M44" s="15">
        <v>15000.0</v>
      </c>
      <c r="N44" s="15" t="s">
        <v>3</v>
      </c>
    </row>
    <row r="45" ht="15.75" customHeight="1">
      <c r="A45" s="9">
        <v>45878.0</v>
      </c>
      <c r="B45" s="8">
        <f>SUMIF('Ventas diarias'!A:A, A45, 'Ventas diarias'!I:I)</f>
        <v>110113</v>
      </c>
      <c r="C45" s="14">
        <v>0.0</v>
      </c>
      <c r="D45" s="8">
        <f>SUMIFS('Ventas diarias'!I:I, 'Ventas diarias'!J:J, "EFECTIVO", 'Ventas diarias'!A:A, A45)</f>
        <v>90524</v>
      </c>
      <c r="E45" s="8">
        <f>SUMIFS('Ventas diarias'!I:I, 'Ventas diarias'!J:J, "TRANSFERENCIA", 'Ventas diarias'!A:A, A45)</f>
        <v>19589</v>
      </c>
      <c r="F45" s="8">
        <f t="shared" si="1"/>
        <v>110113</v>
      </c>
      <c r="G45" s="12">
        <f>10600+12500+100000+D45</f>
        <v>213624</v>
      </c>
      <c r="H45" s="13">
        <v>300000.0</v>
      </c>
      <c r="I45" s="12">
        <f>248856+300000+E45-490000</f>
        <v>78445</v>
      </c>
      <c r="J45" s="12">
        <f t="shared" ref="J45:J53" si="6">I45+H45+G45</f>
        <v>592069</v>
      </c>
    </row>
    <row r="46" ht="15.75" customHeight="1">
      <c r="A46" s="9">
        <v>45880.0</v>
      </c>
      <c r="B46" s="8">
        <f>SUMIF('Ventas diarias'!A:A, A46, 'Ventas diarias'!I:I)</f>
        <v>80896</v>
      </c>
      <c r="C46" s="14">
        <v>0.0</v>
      </c>
      <c r="D46" s="8">
        <f>SUMIFS('Ventas diarias'!I:I, 'Ventas diarias'!J:J, "EFECTIVO", 'Ventas diarias'!A:A, A46)</f>
        <v>37354</v>
      </c>
      <c r="E46" s="8">
        <f>SUMIFS('Ventas diarias'!I:I, 'Ventas diarias'!J:J, "TRANSFERENCIA", 'Ventas diarias'!A:A, A46)</f>
        <v>43542</v>
      </c>
      <c r="F46" s="8">
        <f t="shared" si="1"/>
        <v>80896</v>
      </c>
      <c r="G46" s="12">
        <f>9700+26000+70000+10000-3600+D46</f>
        <v>149454</v>
      </c>
      <c r="H46" s="13">
        <v>400000.0</v>
      </c>
      <c r="I46" s="13">
        <f>78445+E46+2100</f>
        <v>124087</v>
      </c>
      <c r="J46" s="12">
        <f t="shared" si="6"/>
        <v>673541</v>
      </c>
    </row>
    <row r="47" ht="15.75" customHeight="1">
      <c r="A47" s="9">
        <v>45881.0</v>
      </c>
      <c r="B47" s="8">
        <f>SUMIF('Ventas diarias'!A:A, A47, 'Ventas diarias'!I:I)</f>
        <v>57907.5</v>
      </c>
      <c r="C47" s="14">
        <v>0.0</v>
      </c>
      <c r="D47" s="8">
        <f>SUMIFS('Ventas diarias'!I:I, 'Ventas diarias'!J:J, "EFECTIVO", 'Ventas diarias'!A:A, A47)</f>
        <v>3707.5</v>
      </c>
      <c r="E47" s="8">
        <f>SUMIFS('Ventas diarias'!I:I, 'Ventas diarias'!J:J, "TRANSFERENCIA", 'Ventas diarias'!A:A, A47)</f>
        <v>54200</v>
      </c>
      <c r="F47" s="8">
        <f t="shared" si="1"/>
        <v>57907.5</v>
      </c>
      <c r="G47" s="12">
        <f>10000+36500+2000+D47+44223-15000</f>
        <v>81430.5</v>
      </c>
      <c r="H47" s="13">
        <f>400000-'3 Compras y proveedores'!D30+100000-34223</f>
        <v>300000</v>
      </c>
      <c r="I47" s="13">
        <f>124087-'3 Compras y proveedores'!D29-72000+E47</f>
        <v>78582</v>
      </c>
      <c r="J47" s="12">
        <f t="shared" si="6"/>
        <v>460012.5</v>
      </c>
    </row>
    <row r="48" ht="15.75" customHeight="1">
      <c r="A48" s="9">
        <v>45882.0</v>
      </c>
      <c r="B48" s="8">
        <f>SUMIF('Ventas diarias'!A:A, A48, 'Ventas diarias'!I:I)</f>
        <v>40636</v>
      </c>
      <c r="C48" s="14">
        <v>0.0</v>
      </c>
      <c r="D48" s="8">
        <f>SUMIFS('Ventas diarias'!I:I, 'Ventas diarias'!J:J, "EFECTIVO", 'Ventas diarias'!A:A, A48)</f>
        <v>34996</v>
      </c>
      <c r="E48" s="8">
        <f>SUMIFS('Ventas diarias'!I:I, 'Ventas diarias'!J:J, "TRANSFERENCIA", 'Ventas diarias'!A:A, A48)</f>
        <v>5640</v>
      </c>
      <c r="F48" s="8">
        <f t="shared" si="1"/>
        <v>40636</v>
      </c>
      <c r="G48" s="12">
        <f>22000+48500+10300+D48</f>
        <v>115796</v>
      </c>
      <c r="H48" s="13">
        <v>300000.0</v>
      </c>
      <c r="I48" s="13">
        <f>78582+E48</f>
        <v>84222</v>
      </c>
      <c r="J48" s="12">
        <f t="shared" si="6"/>
        <v>500018</v>
      </c>
    </row>
    <row r="49" ht="15.75" customHeight="1">
      <c r="A49" s="9">
        <v>45883.0</v>
      </c>
      <c r="B49" s="8">
        <f>SUMIF('Ventas diarias'!A:A, A49, 'Ventas diarias'!I:I)</f>
        <v>152468</v>
      </c>
      <c r="C49" s="14">
        <v>0.0</v>
      </c>
      <c r="D49" s="8">
        <f>SUMIFS('Ventas diarias'!I:I, 'Ventas diarias'!J:J, "EFECTIVO", 'Ventas diarias'!A:A, A49)</f>
        <v>80237</v>
      </c>
      <c r="E49" s="8">
        <f>SUMIFS('Ventas diarias'!I:I, 'Ventas diarias'!J:J, "TRANSFERENCIA", 'Ventas diarias'!A:A, A49)</f>
        <v>72231</v>
      </c>
      <c r="F49" s="8">
        <f t="shared" si="1"/>
        <v>152468</v>
      </c>
      <c r="G49" s="12">
        <f>9800+52000+54000+D49+40000-'3 Compras y proveedores'!D32</f>
        <v>150087</v>
      </c>
      <c r="H49" s="13">
        <f>300000-'3 Compras y proveedores'!D31</f>
        <v>196701</v>
      </c>
      <c r="I49" s="13">
        <f>84222+E49-40000</f>
        <v>116453</v>
      </c>
      <c r="J49" s="12">
        <f t="shared" si="6"/>
        <v>463241</v>
      </c>
    </row>
    <row r="50" ht="15.75" customHeight="1">
      <c r="A50" s="9">
        <v>45884.0</v>
      </c>
      <c r="B50" s="8">
        <f>SUMIF('Ventas diarias'!A:A, A50, 'Ventas diarias'!I:I)</f>
        <v>86582</v>
      </c>
      <c r="C50" s="14">
        <v>0.0</v>
      </c>
      <c r="D50" s="8">
        <f>SUMIFS('Ventas diarias'!I:I, 'Ventas diarias'!J:J, "EFECTIVO", 'Ventas diarias'!A:A, A50)</f>
        <v>52894</v>
      </c>
      <c r="E50" s="8">
        <f>SUMIFS('Ventas diarias'!I:I, 'Ventas diarias'!J:J, "TRANSFERENCIA", 'Ventas diarias'!A:A, A50)</f>
        <v>33688</v>
      </c>
      <c r="F50" s="8">
        <f t="shared" si="1"/>
        <v>86582</v>
      </c>
      <c r="G50" s="12">
        <f>9900+17000+10000+D50-C50</f>
        <v>89794</v>
      </c>
      <c r="H50" s="13">
        <v>300000.0</v>
      </c>
      <c r="I50" s="13">
        <f>116453+E50-24000</f>
        <v>126141</v>
      </c>
      <c r="J50" s="12">
        <f t="shared" si="6"/>
        <v>515935</v>
      </c>
    </row>
    <row r="51" ht="15.75" customHeight="1">
      <c r="A51" s="9">
        <v>45885.0</v>
      </c>
      <c r="B51" s="8">
        <f>SUMIF('Ventas diarias'!A:A, A51, 'Ventas diarias'!I:I)</f>
        <v>172483.8</v>
      </c>
      <c r="C51" s="14">
        <v>0.0</v>
      </c>
      <c r="D51" s="8">
        <f>SUMIFS('Ventas diarias'!I:I, 'Ventas diarias'!J:J, "EFECTIVO", 'Ventas diarias'!A:A, A51)</f>
        <v>42895.6</v>
      </c>
      <c r="E51" s="8">
        <f>SUMIFS('Ventas diarias'!I:I, 'Ventas diarias'!J:J, "TRANSFERENCIA", 'Ventas diarias'!A:A, A51)</f>
        <v>129588.2</v>
      </c>
      <c r="F51" s="8">
        <f t="shared" si="1"/>
        <v>172483.8</v>
      </c>
      <c r="G51" s="13">
        <f>84494+D51</f>
        <v>127389.6</v>
      </c>
      <c r="H51" s="13">
        <f>300000</f>
        <v>300000</v>
      </c>
      <c r="I51" s="13">
        <f>126014+E51</f>
        <v>255602.2</v>
      </c>
      <c r="J51" s="12">
        <f t="shared" si="6"/>
        <v>682991.8</v>
      </c>
    </row>
    <row r="52" ht="15.75" customHeight="1">
      <c r="A52" s="9">
        <v>45887.0</v>
      </c>
      <c r="B52" s="8">
        <f>SUMIF('Ventas diarias'!A:A, A52, 'Ventas diarias'!I:I)</f>
        <v>67015</v>
      </c>
      <c r="C52" s="14">
        <v>0.0</v>
      </c>
      <c r="D52" s="8">
        <f>SUMIFS('Ventas diarias'!I:I, 'Ventas diarias'!J:J, "EFECTIVO", 'Ventas diarias'!A:A, A52)</f>
        <v>54765</v>
      </c>
      <c r="E52" s="8">
        <f>SUMIFS('Ventas diarias'!I:I, 'Ventas diarias'!J:J, "TRANSFERENCIA", 'Ventas diarias'!A:A, A52)</f>
        <v>12250</v>
      </c>
      <c r="F52" s="8">
        <f t="shared" si="1"/>
        <v>67015</v>
      </c>
      <c r="G52" s="12">
        <f>9000+15000+100000+D52-100000</f>
        <v>78765</v>
      </c>
      <c r="H52" s="13">
        <f>300000+100000</f>
        <v>400000</v>
      </c>
      <c r="I52" s="13">
        <f>258699+E52</f>
        <v>270949</v>
      </c>
      <c r="J52" s="12">
        <f t="shared" si="6"/>
        <v>749714</v>
      </c>
    </row>
    <row r="53" ht="15.75" customHeight="1">
      <c r="A53" s="9">
        <v>45888.0</v>
      </c>
      <c r="B53" s="8">
        <f>SUMIF('Ventas diarias'!A:A, A53, 'Ventas diarias'!I:I)</f>
        <v>10294.4</v>
      </c>
      <c r="C53" s="14">
        <v>0.0</v>
      </c>
      <c r="D53" s="8">
        <f>SUMIFS('Ventas diarias'!I:I, 'Ventas diarias'!J:J, "EFECTIVO", 'Ventas diarias'!A:A, A53)</f>
        <v>10294.4</v>
      </c>
      <c r="E53" s="8">
        <f>SUMIFS('Ventas diarias'!I:I, 'Ventas diarias'!J:J, "TRANSFERENCIA", 'Ventas diarias'!A:A, A53)</f>
        <v>0</v>
      </c>
      <c r="F53" s="8">
        <f t="shared" si="1"/>
        <v>10294.4</v>
      </c>
      <c r="G53" s="12">
        <f>9200+17000+50000+D53+23000</f>
        <v>109494.4</v>
      </c>
      <c r="H53" s="13">
        <f>300000+100000-'3 Compras y proveedores'!D34-23000</f>
        <v>100000</v>
      </c>
      <c r="I53" s="12">
        <f>270949+E53</f>
        <v>270949</v>
      </c>
      <c r="J53" s="12">
        <f t="shared" si="6"/>
        <v>480443.4</v>
      </c>
    </row>
    <row r="54" ht="15.75" customHeight="1">
      <c r="A54" s="9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71"/>
    <col customWidth="1" min="2" max="2" width="23.71"/>
    <col customWidth="1" min="3" max="3" width="28.0"/>
    <col customWidth="1" min="4" max="4" width="23.0"/>
    <col customWidth="1" min="5" max="5" width="19.57"/>
    <col customWidth="1" min="6" max="6" width="15.57"/>
    <col customWidth="1" min="7" max="7" width="18.71"/>
    <col customWidth="1" min="8" max="8" width="24.29"/>
    <col customWidth="1" min="9" max="9" width="20.71"/>
    <col customWidth="1" min="10" max="10" width="20.43"/>
    <col customWidth="1" min="11" max="29" width="8.71"/>
  </cols>
  <sheetData>
    <row r="1">
      <c r="A1" s="243" t="s">
        <v>951</v>
      </c>
      <c r="B1" s="244" t="s">
        <v>952</v>
      </c>
      <c r="C1" s="246" t="s">
        <v>953</v>
      </c>
      <c r="D1" s="244" t="s">
        <v>954</v>
      </c>
      <c r="E1" s="244" t="s">
        <v>955</v>
      </c>
      <c r="F1" s="393" t="s">
        <v>956</v>
      </c>
      <c r="G1" s="244" t="s">
        <v>957</v>
      </c>
      <c r="H1" s="244" t="s">
        <v>958</v>
      </c>
      <c r="I1" s="394" t="s">
        <v>959</v>
      </c>
      <c r="J1" s="250" t="s">
        <v>960</v>
      </c>
    </row>
    <row r="2">
      <c r="A2" s="395" t="str">
        <f>'2 Resumen Mes'!A2</f>
        <v>jun</v>
      </c>
      <c r="B2" s="270">
        <f>'2 Resumen Mes'!C2</f>
        <v>525688.86</v>
      </c>
      <c r="C2" s="396">
        <f>SUMIFS('Ventas diarias'!$H:$H,'Ventas diarias'!$A:$A,"&gt;="&amp;DATE(2025,6,1),'Ventas diarias'!$A:$A,"&lt;"&amp;DATE(2025,6,30))</f>
        <v>246292.9325</v>
      </c>
      <c r="D2" s="397">
        <f>'2 Resumen Mes'!G3+490000</f>
        <v>974492</v>
      </c>
      <c r="E2" s="396">
        <f t="shared" ref="E2:E4" si="1">B2-C2</f>
        <v>279395.9275</v>
      </c>
      <c r="F2" s="271">
        <f t="shared" ref="F2:F4" si="2">E2/B2</f>
        <v>0.5314853495</v>
      </c>
      <c r="G2" s="396">
        <f t="shared" ref="G2:G4" si="3">E2-D2</f>
        <v>-695096.0725</v>
      </c>
      <c r="H2" s="398">
        <f t="shared" ref="H2:H4" si="4">G2/B2</f>
        <v>-1.322257566</v>
      </c>
      <c r="I2" s="399"/>
      <c r="J2" s="400"/>
    </row>
    <row r="3">
      <c r="A3" s="401" t="str">
        <f>'2 Resumen Mes'!A3</f>
        <v>jul</v>
      </c>
      <c r="B3" s="264">
        <f>'2 Resumen Mes'!C3</f>
        <v>1898646.95</v>
      </c>
      <c r="C3" s="402">
        <f>SUMIFS('Ventas diarias'!$H:$H,'Ventas diarias'!$A:$A,"&gt;="&amp;DATE(2025,7,1),'Ventas diarias'!$A:$A,"&lt;"&amp;DATE(2025,7,31))</f>
        <v>1272209.523</v>
      </c>
      <c r="D3" s="403">
        <f>'2 Resumen Mes'!G4+490000</f>
        <v>547300</v>
      </c>
      <c r="E3" s="402">
        <f t="shared" si="1"/>
        <v>626437.4271</v>
      </c>
      <c r="F3" s="265">
        <f t="shared" si="2"/>
        <v>0.3299388689</v>
      </c>
      <c r="G3" s="402">
        <f t="shared" si="3"/>
        <v>79137.4271</v>
      </c>
      <c r="H3" s="404">
        <f t="shared" si="4"/>
        <v>0.04168095975</v>
      </c>
      <c r="I3" s="405"/>
      <c r="J3" s="406"/>
    </row>
    <row r="4">
      <c r="A4" s="407" t="str">
        <f>'2 Resumen Mes'!A4</f>
        <v>ago</v>
      </c>
      <c r="B4" s="408">
        <f>'2 Resumen Mes'!C4</f>
        <v>1251277.7</v>
      </c>
      <c r="C4" s="409">
        <f>SUMIFS('Ventas diarias'!$H:$H,'Ventas diarias'!$A:$A,"&gt;="&amp;DATE(2025,8,1),'Ventas diarias'!$A:$A,"&lt;"&amp;DATE(2025,8,31))</f>
        <v>848307.7897</v>
      </c>
      <c r="D4" s="410">
        <v>490000.0</v>
      </c>
      <c r="E4" s="409">
        <f t="shared" si="1"/>
        <v>402969.9103</v>
      </c>
      <c r="F4" s="411">
        <f t="shared" si="2"/>
        <v>0.3220467449</v>
      </c>
      <c r="G4" s="409">
        <f t="shared" si="3"/>
        <v>-87030.0897</v>
      </c>
      <c r="H4" s="412">
        <f t="shared" si="4"/>
        <v>-0.06955297749</v>
      </c>
      <c r="I4" s="413">
        <v>160000.0</v>
      </c>
      <c r="J4" s="414">
        <f>G4/I4</f>
        <v>-0.5439380606</v>
      </c>
    </row>
    <row r="5">
      <c r="F5" s="230"/>
    </row>
    <row r="6">
      <c r="F6" s="230"/>
    </row>
    <row r="7">
      <c r="F7" s="230"/>
    </row>
    <row r="8">
      <c r="F8" s="230"/>
    </row>
    <row r="9">
      <c r="F9" s="230"/>
    </row>
    <row r="10">
      <c r="F10" s="230"/>
    </row>
    <row r="11">
      <c r="F11" s="230"/>
    </row>
    <row r="12">
      <c r="F12" s="230"/>
    </row>
    <row r="13">
      <c r="F13" s="230"/>
    </row>
    <row r="14">
      <c r="F14" s="230"/>
    </row>
    <row r="15">
      <c r="F15" s="230"/>
    </row>
    <row r="16">
      <c r="F16" s="230"/>
    </row>
    <row r="17">
      <c r="F17" s="230"/>
    </row>
    <row r="18">
      <c r="F18" s="230"/>
    </row>
    <row r="19">
      <c r="F19" s="230"/>
    </row>
    <row r="20">
      <c r="F20" s="230"/>
    </row>
    <row r="21" ht="15.75" customHeight="1">
      <c r="F21" s="230"/>
    </row>
    <row r="22" ht="15.75" customHeight="1">
      <c r="F22" s="230"/>
    </row>
    <row r="23" ht="15.75" customHeight="1">
      <c r="F23" s="230"/>
    </row>
    <row r="24" ht="15.75" customHeight="1">
      <c r="F24" s="230"/>
    </row>
    <row r="25" ht="15.75" customHeight="1">
      <c r="F25" s="230"/>
    </row>
    <row r="26" ht="15.75" customHeight="1">
      <c r="F26" s="230"/>
    </row>
    <row r="27" ht="15.75" customHeight="1">
      <c r="F27" s="230"/>
    </row>
    <row r="28" ht="15.75" customHeight="1">
      <c r="F28" s="230"/>
    </row>
    <row r="29" ht="15.75" customHeight="1">
      <c r="F29" s="230"/>
    </row>
    <row r="30" ht="15.75" customHeight="1">
      <c r="F30" s="230"/>
    </row>
    <row r="31" ht="15.75" customHeight="1">
      <c r="F31" s="230"/>
    </row>
    <row r="32" ht="15.75" customHeight="1">
      <c r="F32" s="230"/>
    </row>
    <row r="33" ht="15.75" customHeight="1">
      <c r="F33" s="230"/>
    </row>
    <row r="34" ht="15.75" customHeight="1">
      <c r="F34" s="230"/>
    </row>
    <row r="35" ht="15.75" customHeight="1">
      <c r="F35" s="230"/>
    </row>
    <row r="36" ht="15.75" customHeight="1">
      <c r="F36" s="230"/>
    </row>
    <row r="37" ht="15.75" customHeight="1">
      <c r="F37" s="230"/>
    </row>
    <row r="38" ht="15.75" customHeight="1">
      <c r="F38" s="230"/>
    </row>
    <row r="39" ht="15.75" customHeight="1">
      <c r="F39" s="230"/>
    </row>
    <row r="40" ht="15.75" customHeight="1">
      <c r="F40" s="230"/>
    </row>
    <row r="41" ht="15.75" customHeight="1">
      <c r="F41" s="230"/>
    </row>
    <row r="42" ht="15.75" customHeight="1">
      <c r="F42" s="230"/>
    </row>
    <row r="43" ht="15.75" customHeight="1">
      <c r="F43" s="230"/>
    </row>
    <row r="44" ht="15.75" customHeight="1">
      <c r="F44" s="230"/>
    </row>
    <row r="45" ht="15.75" customHeight="1">
      <c r="F45" s="230"/>
    </row>
    <row r="46" ht="15.75" customHeight="1">
      <c r="F46" s="230"/>
    </row>
    <row r="47" ht="15.75" customHeight="1">
      <c r="F47" s="230"/>
    </row>
    <row r="48" ht="15.75" customHeight="1">
      <c r="F48" s="230"/>
    </row>
    <row r="49" ht="15.75" customHeight="1">
      <c r="F49" s="230"/>
    </row>
    <row r="50" ht="15.75" customHeight="1">
      <c r="F50" s="230"/>
    </row>
    <row r="51" ht="15.75" customHeight="1">
      <c r="F51" s="230"/>
    </row>
    <row r="52" ht="15.75" customHeight="1">
      <c r="F52" s="230"/>
    </row>
    <row r="53" ht="15.75" customHeight="1">
      <c r="F53" s="230"/>
    </row>
    <row r="54" ht="15.75" customHeight="1">
      <c r="F54" s="230"/>
    </row>
    <row r="55" ht="15.75" customHeight="1">
      <c r="F55" s="230"/>
    </row>
    <row r="56" ht="15.75" customHeight="1">
      <c r="F56" s="230"/>
    </row>
    <row r="57" ht="15.75" customHeight="1">
      <c r="F57" s="230"/>
    </row>
    <row r="58" ht="15.75" customHeight="1">
      <c r="F58" s="230"/>
    </row>
    <row r="59" ht="15.75" customHeight="1">
      <c r="F59" s="230"/>
    </row>
    <row r="60" ht="15.75" customHeight="1">
      <c r="F60" s="230"/>
    </row>
    <row r="61" ht="15.75" customHeight="1">
      <c r="F61" s="230"/>
    </row>
    <row r="62" ht="15.75" customHeight="1">
      <c r="F62" s="230"/>
    </row>
    <row r="63" ht="15.75" customHeight="1">
      <c r="F63" s="230"/>
    </row>
    <row r="64" ht="15.75" customHeight="1">
      <c r="F64" s="230"/>
    </row>
    <row r="65" ht="15.75" customHeight="1">
      <c r="F65" s="230"/>
    </row>
    <row r="66" ht="15.75" customHeight="1">
      <c r="F66" s="230"/>
    </row>
    <row r="67" ht="15.75" customHeight="1">
      <c r="F67" s="230"/>
    </row>
    <row r="68" ht="15.75" customHeight="1">
      <c r="F68" s="230"/>
    </row>
    <row r="69" ht="15.75" customHeight="1">
      <c r="F69" s="230"/>
    </row>
    <row r="70" ht="15.75" customHeight="1">
      <c r="F70" s="230"/>
    </row>
    <row r="71" ht="15.75" customHeight="1">
      <c r="F71" s="230"/>
    </row>
    <row r="72" ht="15.75" customHeight="1">
      <c r="F72" s="230"/>
    </row>
    <row r="73" ht="15.75" customHeight="1">
      <c r="F73" s="230"/>
    </row>
    <row r="74" ht="15.75" customHeight="1">
      <c r="F74" s="230"/>
    </row>
    <row r="75" ht="15.75" customHeight="1">
      <c r="F75" s="230"/>
    </row>
    <row r="76" ht="15.75" customHeight="1">
      <c r="F76" s="230"/>
    </row>
    <row r="77" ht="15.75" customHeight="1">
      <c r="F77" s="230"/>
    </row>
    <row r="78" ht="15.75" customHeight="1">
      <c r="F78" s="230"/>
    </row>
    <row r="79" ht="15.75" customHeight="1">
      <c r="F79" s="230"/>
    </row>
    <row r="80" ht="15.75" customHeight="1">
      <c r="F80" s="230"/>
    </row>
    <row r="81" ht="15.75" customHeight="1">
      <c r="F81" s="230"/>
    </row>
    <row r="82" ht="15.75" customHeight="1">
      <c r="F82" s="230"/>
    </row>
    <row r="83" ht="15.75" customHeight="1">
      <c r="F83" s="230"/>
    </row>
    <row r="84" ht="15.75" customHeight="1">
      <c r="F84" s="230"/>
    </row>
    <row r="85" ht="15.75" customHeight="1">
      <c r="F85" s="230"/>
    </row>
    <row r="86" ht="15.75" customHeight="1">
      <c r="F86" s="230"/>
    </row>
    <row r="87" ht="15.75" customHeight="1">
      <c r="F87" s="230"/>
    </row>
    <row r="88" ht="15.75" customHeight="1">
      <c r="F88" s="230"/>
    </row>
    <row r="89" ht="15.75" customHeight="1">
      <c r="F89" s="230"/>
    </row>
    <row r="90" ht="15.75" customHeight="1">
      <c r="F90" s="230"/>
    </row>
    <row r="91" ht="15.75" customHeight="1">
      <c r="F91" s="230"/>
    </row>
    <row r="92" ht="15.75" customHeight="1">
      <c r="F92" s="230"/>
    </row>
    <row r="93" ht="15.75" customHeight="1">
      <c r="F93" s="230"/>
    </row>
    <row r="94" ht="15.75" customHeight="1">
      <c r="F94" s="230"/>
    </row>
    <row r="95" ht="15.75" customHeight="1">
      <c r="F95" s="230"/>
    </row>
    <row r="96" ht="15.75" customHeight="1">
      <c r="F96" s="230"/>
    </row>
    <row r="97" ht="15.75" customHeight="1">
      <c r="F97" s="230"/>
    </row>
    <row r="98" ht="15.75" customHeight="1">
      <c r="F98" s="230"/>
    </row>
    <row r="99" ht="15.75" customHeight="1">
      <c r="F99" s="230"/>
    </row>
    <row r="100" ht="15.75" customHeight="1">
      <c r="F100" s="230"/>
    </row>
    <row r="101" ht="15.75" customHeight="1">
      <c r="F101" s="230"/>
    </row>
    <row r="102" ht="15.75" customHeight="1">
      <c r="F102" s="230"/>
    </row>
    <row r="103" ht="15.75" customHeight="1">
      <c r="F103" s="230"/>
    </row>
    <row r="104" ht="15.75" customHeight="1">
      <c r="F104" s="230"/>
    </row>
    <row r="105" ht="15.75" customHeight="1">
      <c r="F105" s="230"/>
    </row>
    <row r="106" ht="15.75" customHeight="1">
      <c r="F106" s="230"/>
    </row>
    <row r="107" ht="15.75" customHeight="1">
      <c r="F107" s="230"/>
    </row>
    <row r="108" ht="15.75" customHeight="1">
      <c r="F108" s="230"/>
    </row>
    <row r="109" ht="15.75" customHeight="1">
      <c r="F109" s="230"/>
    </row>
    <row r="110" ht="15.75" customHeight="1">
      <c r="F110" s="230"/>
    </row>
    <row r="111" ht="15.75" customHeight="1">
      <c r="F111" s="230"/>
    </row>
    <row r="112" ht="15.75" customHeight="1">
      <c r="F112" s="230"/>
    </row>
    <row r="113" ht="15.75" customHeight="1">
      <c r="F113" s="230"/>
    </row>
    <row r="114" ht="15.75" customHeight="1">
      <c r="F114" s="230"/>
    </row>
    <row r="115" ht="15.75" customHeight="1">
      <c r="F115" s="230"/>
    </row>
    <row r="116" ht="15.75" customHeight="1">
      <c r="F116" s="230"/>
    </row>
    <row r="117" ht="15.75" customHeight="1">
      <c r="F117" s="230"/>
    </row>
    <row r="118" ht="15.75" customHeight="1">
      <c r="F118" s="230"/>
    </row>
    <row r="119" ht="15.75" customHeight="1">
      <c r="F119" s="230"/>
    </row>
    <row r="120" ht="15.75" customHeight="1">
      <c r="F120" s="230"/>
    </row>
    <row r="121" ht="15.75" customHeight="1">
      <c r="F121" s="230"/>
    </row>
    <row r="122" ht="15.75" customHeight="1">
      <c r="F122" s="230"/>
    </row>
    <row r="123" ht="15.75" customHeight="1">
      <c r="F123" s="230"/>
    </row>
    <row r="124" ht="15.75" customHeight="1">
      <c r="F124" s="230"/>
    </row>
    <row r="125" ht="15.75" customHeight="1">
      <c r="F125" s="230"/>
    </row>
    <row r="126" ht="15.75" customHeight="1">
      <c r="F126" s="230"/>
    </row>
    <row r="127" ht="15.75" customHeight="1">
      <c r="F127" s="230"/>
    </row>
    <row r="128" ht="15.75" customHeight="1">
      <c r="F128" s="230"/>
    </row>
    <row r="129" ht="15.75" customHeight="1">
      <c r="F129" s="230"/>
    </row>
    <row r="130" ht="15.75" customHeight="1">
      <c r="F130" s="230"/>
    </row>
    <row r="131" ht="15.75" customHeight="1">
      <c r="F131" s="230"/>
    </row>
    <row r="132" ht="15.75" customHeight="1">
      <c r="F132" s="230"/>
    </row>
    <row r="133" ht="15.75" customHeight="1">
      <c r="F133" s="230"/>
    </row>
    <row r="134" ht="15.75" customHeight="1">
      <c r="F134" s="230"/>
    </row>
    <row r="135" ht="15.75" customHeight="1">
      <c r="F135" s="230"/>
    </row>
    <row r="136" ht="15.75" customHeight="1">
      <c r="F136" s="230"/>
    </row>
    <row r="137" ht="15.75" customHeight="1">
      <c r="F137" s="230"/>
    </row>
    <row r="138" ht="15.75" customHeight="1">
      <c r="F138" s="230"/>
    </row>
    <row r="139" ht="15.75" customHeight="1">
      <c r="F139" s="230"/>
    </row>
    <row r="140" ht="15.75" customHeight="1">
      <c r="F140" s="230"/>
    </row>
    <row r="141" ht="15.75" customHeight="1">
      <c r="F141" s="230"/>
    </row>
    <row r="142" ht="15.75" customHeight="1">
      <c r="F142" s="230"/>
    </row>
    <row r="143" ht="15.75" customHeight="1">
      <c r="F143" s="230"/>
    </row>
    <row r="144" ht="15.75" customHeight="1">
      <c r="F144" s="230"/>
    </row>
    <row r="145" ht="15.75" customHeight="1">
      <c r="F145" s="230"/>
    </row>
    <row r="146" ht="15.75" customHeight="1">
      <c r="F146" s="230"/>
    </row>
    <row r="147" ht="15.75" customHeight="1">
      <c r="F147" s="230"/>
    </row>
    <row r="148" ht="15.75" customHeight="1">
      <c r="F148" s="230"/>
    </row>
    <row r="149" ht="15.75" customHeight="1">
      <c r="F149" s="230"/>
    </row>
    <row r="150" ht="15.75" customHeight="1">
      <c r="F150" s="230"/>
    </row>
    <row r="151" ht="15.75" customHeight="1">
      <c r="F151" s="230"/>
    </row>
    <row r="152" ht="15.75" customHeight="1">
      <c r="F152" s="230"/>
    </row>
    <row r="153" ht="15.75" customHeight="1">
      <c r="F153" s="230"/>
    </row>
    <row r="154" ht="15.75" customHeight="1">
      <c r="F154" s="230"/>
    </row>
    <row r="155" ht="15.75" customHeight="1">
      <c r="F155" s="230"/>
    </row>
    <row r="156" ht="15.75" customHeight="1">
      <c r="F156" s="230"/>
    </row>
    <row r="157" ht="15.75" customHeight="1">
      <c r="F157" s="230"/>
    </row>
    <row r="158" ht="15.75" customHeight="1">
      <c r="F158" s="230"/>
    </row>
    <row r="159" ht="15.75" customHeight="1">
      <c r="F159" s="230"/>
    </row>
    <row r="160" ht="15.75" customHeight="1">
      <c r="F160" s="230"/>
    </row>
    <row r="161" ht="15.75" customHeight="1">
      <c r="F161" s="230"/>
    </row>
    <row r="162" ht="15.75" customHeight="1">
      <c r="F162" s="230"/>
    </row>
    <row r="163" ht="15.75" customHeight="1">
      <c r="F163" s="230"/>
    </row>
    <row r="164" ht="15.75" customHeight="1">
      <c r="F164" s="230"/>
    </row>
    <row r="165" ht="15.75" customHeight="1">
      <c r="F165" s="230"/>
    </row>
    <row r="166" ht="15.75" customHeight="1">
      <c r="F166" s="230"/>
    </row>
    <row r="167" ht="15.75" customHeight="1">
      <c r="F167" s="230"/>
    </row>
    <row r="168" ht="15.75" customHeight="1">
      <c r="F168" s="230"/>
    </row>
    <row r="169" ht="15.75" customHeight="1">
      <c r="F169" s="230"/>
    </row>
    <row r="170" ht="15.75" customHeight="1">
      <c r="F170" s="230"/>
    </row>
    <row r="171" ht="15.75" customHeight="1">
      <c r="F171" s="230"/>
    </row>
    <row r="172" ht="15.75" customHeight="1">
      <c r="F172" s="230"/>
    </row>
    <row r="173" ht="15.75" customHeight="1">
      <c r="F173" s="230"/>
    </row>
    <row r="174" ht="15.75" customHeight="1">
      <c r="F174" s="230"/>
    </row>
    <row r="175" ht="15.75" customHeight="1">
      <c r="F175" s="230"/>
    </row>
    <row r="176" ht="15.75" customHeight="1">
      <c r="F176" s="230"/>
    </row>
    <row r="177" ht="15.75" customHeight="1">
      <c r="F177" s="230"/>
    </row>
    <row r="178" ht="15.75" customHeight="1">
      <c r="F178" s="230"/>
    </row>
    <row r="179" ht="15.75" customHeight="1">
      <c r="F179" s="230"/>
    </row>
    <row r="180" ht="15.75" customHeight="1">
      <c r="F180" s="230"/>
    </row>
    <row r="181" ht="15.75" customHeight="1">
      <c r="F181" s="230"/>
    </row>
    <row r="182" ht="15.75" customHeight="1">
      <c r="F182" s="230"/>
    </row>
    <row r="183" ht="15.75" customHeight="1">
      <c r="F183" s="230"/>
    </row>
    <row r="184" ht="15.75" customHeight="1">
      <c r="F184" s="230"/>
    </row>
    <row r="185" ht="15.75" customHeight="1">
      <c r="F185" s="230"/>
    </row>
    <row r="186" ht="15.75" customHeight="1">
      <c r="F186" s="230"/>
    </row>
    <row r="187" ht="15.75" customHeight="1">
      <c r="F187" s="230"/>
    </row>
    <row r="188" ht="15.75" customHeight="1">
      <c r="F188" s="230"/>
    </row>
    <row r="189" ht="15.75" customHeight="1">
      <c r="F189" s="230"/>
    </row>
    <row r="190" ht="15.75" customHeight="1">
      <c r="F190" s="230"/>
    </row>
    <row r="191" ht="15.75" customHeight="1">
      <c r="F191" s="230"/>
    </row>
    <row r="192" ht="15.75" customHeight="1">
      <c r="F192" s="230"/>
    </row>
    <row r="193" ht="15.75" customHeight="1">
      <c r="F193" s="230"/>
    </row>
    <row r="194" ht="15.75" customHeight="1">
      <c r="F194" s="230"/>
    </row>
    <row r="195" ht="15.75" customHeight="1">
      <c r="F195" s="230"/>
    </row>
    <row r="196" ht="15.75" customHeight="1">
      <c r="F196" s="230"/>
    </row>
    <row r="197" ht="15.75" customHeight="1">
      <c r="F197" s="230"/>
    </row>
    <row r="198" ht="15.75" customHeight="1">
      <c r="F198" s="230"/>
    </row>
    <row r="199" ht="15.75" customHeight="1">
      <c r="F199" s="230"/>
    </row>
    <row r="200" ht="15.75" customHeight="1">
      <c r="F200" s="230"/>
    </row>
    <row r="201" ht="15.75" customHeight="1">
      <c r="F201" s="230"/>
    </row>
    <row r="202" ht="15.75" customHeight="1">
      <c r="F202" s="230"/>
    </row>
    <row r="203" ht="15.75" customHeight="1">
      <c r="F203" s="230"/>
    </row>
    <row r="204" ht="15.75" customHeight="1">
      <c r="F204" s="230"/>
    </row>
    <row r="205" ht="15.75" customHeight="1">
      <c r="F205" s="230"/>
    </row>
    <row r="206" ht="15.75" customHeight="1">
      <c r="F206" s="230"/>
    </row>
    <row r="207" ht="15.75" customHeight="1">
      <c r="F207" s="230"/>
    </row>
    <row r="208" ht="15.75" customHeight="1">
      <c r="F208" s="230"/>
    </row>
    <row r="209" ht="15.75" customHeight="1">
      <c r="F209" s="230"/>
    </row>
    <row r="210" ht="15.75" customHeight="1">
      <c r="F210" s="230"/>
    </row>
    <row r="211" ht="15.75" customHeight="1">
      <c r="F211" s="230"/>
    </row>
    <row r="212" ht="15.75" customHeight="1">
      <c r="F212" s="230"/>
    </row>
    <row r="213" ht="15.75" customHeight="1">
      <c r="F213" s="230"/>
    </row>
    <row r="214" ht="15.75" customHeight="1">
      <c r="F214" s="230"/>
    </row>
    <row r="215" ht="15.75" customHeight="1">
      <c r="F215" s="230"/>
    </row>
    <row r="216" ht="15.75" customHeight="1">
      <c r="F216" s="230"/>
    </row>
    <row r="217" ht="15.75" customHeight="1">
      <c r="F217" s="230"/>
    </row>
    <row r="218" ht="15.75" customHeight="1">
      <c r="F218" s="230"/>
    </row>
    <row r="219" ht="15.75" customHeight="1">
      <c r="F219" s="230"/>
    </row>
    <row r="220" ht="15.75" customHeight="1">
      <c r="F220" s="230"/>
    </row>
    <row r="221" ht="15.75" customHeight="1">
      <c r="F221" s="230"/>
    </row>
    <row r="222" ht="15.75" customHeight="1">
      <c r="F222" s="230"/>
    </row>
    <row r="223" ht="15.75" customHeight="1">
      <c r="F223" s="230"/>
    </row>
    <row r="224" ht="15.75" customHeight="1">
      <c r="F224" s="230"/>
    </row>
    <row r="225" ht="15.75" customHeight="1">
      <c r="F225" s="230"/>
    </row>
    <row r="226" ht="15.75" customHeight="1">
      <c r="F226" s="230"/>
    </row>
    <row r="227" ht="15.75" customHeight="1">
      <c r="F227" s="230"/>
    </row>
    <row r="228" ht="15.75" customHeight="1">
      <c r="F228" s="230"/>
    </row>
    <row r="229" ht="15.75" customHeight="1">
      <c r="F229" s="230"/>
    </row>
    <row r="230" ht="15.75" customHeight="1">
      <c r="F230" s="230"/>
    </row>
    <row r="231" ht="15.75" customHeight="1">
      <c r="F231" s="230"/>
    </row>
    <row r="232" ht="15.75" customHeight="1">
      <c r="F232" s="230"/>
    </row>
    <row r="233" ht="15.75" customHeight="1">
      <c r="F233" s="230"/>
    </row>
    <row r="234" ht="15.75" customHeight="1">
      <c r="F234" s="230"/>
    </row>
    <row r="235" ht="15.75" customHeight="1">
      <c r="F235" s="230"/>
    </row>
    <row r="236" ht="15.75" customHeight="1">
      <c r="F236" s="230"/>
    </row>
    <row r="237" ht="15.75" customHeight="1">
      <c r="F237" s="230"/>
    </row>
    <row r="238" ht="15.75" customHeight="1">
      <c r="F238" s="230"/>
    </row>
    <row r="239" ht="15.75" customHeight="1">
      <c r="F239" s="230"/>
    </row>
    <row r="240" ht="15.75" customHeight="1">
      <c r="F240" s="230"/>
    </row>
    <row r="241" ht="15.75" customHeight="1">
      <c r="F241" s="230"/>
    </row>
    <row r="242" ht="15.75" customHeight="1">
      <c r="F242" s="230"/>
    </row>
    <row r="243" ht="15.75" customHeight="1">
      <c r="F243" s="230"/>
    </row>
    <row r="244" ht="15.75" customHeight="1">
      <c r="F244" s="230"/>
    </row>
    <row r="245" ht="15.75" customHeight="1">
      <c r="F245" s="230"/>
    </row>
    <row r="246" ht="15.75" customHeight="1">
      <c r="F246" s="230"/>
    </row>
    <row r="247" ht="15.75" customHeight="1">
      <c r="F247" s="230"/>
    </row>
    <row r="248" ht="15.75" customHeight="1">
      <c r="F248" s="230"/>
    </row>
    <row r="249" ht="15.75" customHeight="1">
      <c r="F249" s="230"/>
    </row>
    <row r="250" ht="15.75" customHeight="1">
      <c r="F250" s="230"/>
    </row>
    <row r="251" ht="15.75" customHeight="1">
      <c r="F251" s="230"/>
    </row>
    <row r="252" ht="15.75" customHeight="1">
      <c r="F252" s="230"/>
    </row>
    <row r="253" ht="15.75" customHeight="1">
      <c r="F253" s="230"/>
    </row>
    <row r="254" ht="15.75" customHeight="1">
      <c r="F254" s="230"/>
    </row>
    <row r="255" ht="15.75" customHeight="1">
      <c r="F255" s="230"/>
    </row>
    <row r="256" ht="15.75" customHeight="1">
      <c r="F256" s="230"/>
    </row>
    <row r="257" ht="15.75" customHeight="1">
      <c r="F257" s="230"/>
    </row>
    <row r="258" ht="15.75" customHeight="1">
      <c r="F258" s="230"/>
    </row>
    <row r="259" ht="15.75" customHeight="1">
      <c r="F259" s="230"/>
    </row>
    <row r="260" ht="15.75" customHeight="1">
      <c r="F260" s="230"/>
    </row>
    <row r="261" ht="15.75" customHeight="1">
      <c r="F261" s="230"/>
    </row>
    <row r="262" ht="15.75" customHeight="1">
      <c r="F262" s="230"/>
    </row>
    <row r="263" ht="15.75" customHeight="1">
      <c r="F263" s="230"/>
    </row>
    <row r="264" ht="15.75" customHeight="1">
      <c r="F264" s="230"/>
    </row>
    <row r="265" ht="15.75" customHeight="1">
      <c r="F265" s="230"/>
    </row>
    <row r="266" ht="15.75" customHeight="1">
      <c r="F266" s="230"/>
    </row>
    <row r="267" ht="15.75" customHeight="1">
      <c r="F267" s="230"/>
    </row>
    <row r="268" ht="15.75" customHeight="1">
      <c r="F268" s="230"/>
    </row>
    <row r="269" ht="15.75" customHeight="1">
      <c r="F269" s="230"/>
    </row>
    <row r="270" ht="15.75" customHeight="1">
      <c r="F270" s="230"/>
    </row>
    <row r="271" ht="15.75" customHeight="1">
      <c r="F271" s="230"/>
    </row>
    <row r="272" ht="15.75" customHeight="1">
      <c r="F272" s="230"/>
    </row>
    <row r="273" ht="15.75" customHeight="1">
      <c r="F273" s="230"/>
    </row>
    <row r="274" ht="15.75" customHeight="1">
      <c r="F274" s="230"/>
    </row>
    <row r="275" ht="15.75" customHeight="1">
      <c r="F275" s="230"/>
    </row>
    <row r="276" ht="15.75" customHeight="1">
      <c r="F276" s="230"/>
    </row>
    <row r="277" ht="15.75" customHeight="1">
      <c r="F277" s="230"/>
    </row>
    <row r="278" ht="15.75" customHeight="1">
      <c r="F278" s="230"/>
    </row>
    <row r="279" ht="15.75" customHeight="1">
      <c r="F279" s="230"/>
    </row>
    <row r="280" ht="15.75" customHeight="1">
      <c r="F280" s="230"/>
    </row>
    <row r="281" ht="15.75" customHeight="1">
      <c r="F281" s="230"/>
    </row>
    <row r="282" ht="15.75" customHeight="1">
      <c r="F282" s="230"/>
    </row>
    <row r="283" ht="15.75" customHeight="1">
      <c r="F283" s="230"/>
    </row>
    <row r="284" ht="15.75" customHeight="1">
      <c r="F284" s="230"/>
    </row>
    <row r="285" ht="15.75" customHeight="1">
      <c r="F285" s="230"/>
    </row>
    <row r="286" ht="15.75" customHeight="1">
      <c r="F286" s="230"/>
    </row>
    <row r="287" ht="15.75" customHeight="1">
      <c r="F287" s="230"/>
    </row>
    <row r="288" ht="15.75" customHeight="1">
      <c r="F288" s="230"/>
    </row>
    <row r="289" ht="15.75" customHeight="1">
      <c r="F289" s="230"/>
    </row>
    <row r="290" ht="15.75" customHeight="1">
      <c r="F290" s="230"/>
    </row>
    <row r="291" ht="15.75" customHeight="1">
      <c r="F291" s="230"/>
    </row>
    <row r="292" ht="15.75" customHeight="1">
      <c r="F292" s="230"/>
    </row>
    <row r="293" ht="15.75" customHeight="1">
      <c r="F293" s="230"/>
    </row>
    <row r="294" ht="15.75" customHeight="1">
      <c r="F294" s="230"/>
    </row>
    <row r="295" ht="15.75" customHeight="1">
      <c r="F295" s="230"/>
    </row>
    <row r="296" ht="15.75" customHeight="1">
      <c r="F296" s="230"/>
    </row>
    <row r="297" ht="15.75" customHeight="1">
      <c r="F297" s="230"/>
    </row>
    <row r="298" ht="15.75" customHeight="1">
      <c r="F298" s="230"/>
    </row>
    <row r="299" ht="15.75" customHeight="1">
      <c r="F299" s="230"/>
    </row>
    <row r="300" ht="15.75" customHeight="1">
      <c r="F300" s="230"/>
    </row>
    <row r="301" ht="15.75" customHeight="1">
      <c r="F301" s="230"/>
    </row>
    <row r="302" ht="15.75" customHeight="1">
      <c r="F302" s="230"/>
    </row>
    <row r="303" ht="15.75" customHeight="1">
      <c r="F303" s="230"/>
    </row>
    <row r="304" ht="15.75" customHeight="1">
      <c r="F304" s="230"/>
    </row>
    <row r="305" ht="15.75" customHeight="1">
      <c r="F305" s="230"/>
    </row>
    <row r="306" ht="15.75" customHeight="1">
      <c r="F306" s="230"/>
    </row>
    <row r="307" ht="15.75" customHeight="1">
      <c r="F307" s="230"/>
    </row>
    <row r="308" ht="15.75" customHeight="1">
      <c r="F308" s="230"/>
    </row>
    <row r="309" ht="15.75" customHeight="1">
      <c r="F309" s="230"/>
    </row>
    <row r="310" ht="15.75" customHeight="1">
      <c r="F310" s="230"/>
    </row>
    <row r="311" ht="15.75" customHeight="1">
      <c r="F311" s="230"/>
    </row>
    <row r="312" ht="15.75" customHeight="1">
      <c r="F312" s="230"/>
    </row>
    <row r="313" ht="15.75" customHeight="1">
      <c r="F313" s="230"/>
    </row>
    <row r="314" ht="15.75" customHeight="1">
      <c r="F314" s="230"/>
    </row>
    <row r="315" ht="15.75" customHeight="1">
      <c r="F315" s="230"/>
    </row>
    <row r="316" ht="15.75" customHeight="1">
      <c r="F316" s="230"/>
    </row>
    <row r="317" ht="15.75" customHeight="1">
      <c r="F317" s="230"/>
    </row>
    <row r="318" ht="15.75" customHeight="1">
      <c r="F318" s="230"/>
    </row>
    <row r="319" ht="15.75" customHeight="1">
      <c r="F319" s="230"/>
    </row>
    <row r="320" ht="15.75" customHeight="1">
      <c r="F320" s="230"/>
    </row>
    <row r="321" ht="15.75" customHeight="1">
      <c r="F321" s="230"/>
    </row>
    <row r="322" ht="15.75" customHeight="1">
      <c r="F322" s="230"/>
    </row>
    <row r="323" ht="15.75" customHeight="1">
      <c r="F323" s="230"/>
    </row>
    <row r="324" ht="15.75" customHeight="1">
      <c r="F324" s="230"/>
    </row>
    <row r="325" ht="15.75" customHeight="1">
      <c r="F325" s="230"/>
    </row>
    <row r="326" ht="15.75" customHeight="1">
      <c r="F326" s="230"/>
    </row>
    <row r="327" ht="15.75" customHeight="1">
      <c r="F327" s="230"/>
    </row>
    <row r="328" ht="15.75" customHeight="1">
      <c r="F328" s="230"/>
    </row>
    <row r="329" ht="15.75" customHeight="1">
      <c r="F329" s="230"/>
    </row>
    <row r="330" ht="15.75" customHeight="1">
      <c r="F330" s="230"/>
    </row>
    <row r="331" ht="15.75" customHeight="1">
      <c r="F331" s="230"/>
    </row>
    <row r="332" ht="15.75" customHeight="1">
      <c r="F332" s="230"/>
    </row>
    <row r="333" ht="15.75" customHeight="1">
      <c r="F333" s="230"/>
    </row>
    <row r="334" ht="15.75" customHeight="1">
      <c r="F334" s="230"/>
    </row>
    <row r="335" ht="15.75" customHeight="1">
      <c r="F335" s="230"/>
    </row>
    <row r="336" ht="15.75" customHeight="1">
      <c r="F336" s="230"/>
    </row>
    <row r="337" ht="15.75" customHeight="1">
      <c r="F337" s="230"/>
    </row>
    <row r="338" ht="15.75" customHeight="1">
      <c r="F338" s="230"/>
    </row>
    <row r="339" ht="15.75" customHeight="1">
      <c r="F339" s="230"/>
    </row>
    <row r="340" ht="15.75" customHeight="1">
      <c r="F340" s="230"/>
    </row>
    <row r="341" ht="15.75" customHeight="1">
      <c r="F341" s="230"/>
    </row>
    <row r="342" ht="15.75" customHeight="1">
      <c r="F342" s="230"/>
    </row>
    <row r="343" ht="15.75" customHeight="1">
      <c r="F343" s="230"/>
    </row>
    <row r="344" ht="15.75" customHeight="1">
      <c r="F344" s="230"/>
    </row>
    <row r="345" ht="15.75" customHeight="1">
      <c r="F345" s="230"/>
    </row>
    <row r="346" ht="15.75" customHeight="1">
      <c r="F346" s="230"/>
    </row>
    <row r="347" ht="15.75" customHeight="1">
      <c r="F347" s="230"/>
    </row>
    <row r="348" ht="15.75" customHeight="1">
      <c r="F348" s="230"/>
    </row>
    <row r="349" ht="15.75" customHeight="1">
      <c r="F349" s="230"/>
    </row>
    <row r="350" ht="15.75" customHeight="1">
      <c r="F350" s="230"/>
    </row>
    <row r="351" ht="15.75" customHeight="1">
      <c r="F351" s="230"/>
    </row>
    <row r="352" ht="15.75" customHeight="1">
      <c r="F352" s="230"/>
    </row>
    <row r="353" ht="15.75" customHeight="1">
      <c r="F353" s="230"/>
    </row>
    <row r="354" ht="15.75" customHeight="1">
      <c r="F354" s="230"/>
    </row>
    <row r="355" ht="15.75" customHeight="1">
      <c r="F355" s="230"/>
    </row>
    <row r="356" ht="15.75" customHeight="1">
      <c r="F356" s="230"/>
    </row>
    <row r="357" ht="15.75" customHeight="1">
      <c r="F357" s="230"/>
    </row>
    <row r="358" ht="15.75" customHeight="1">
      <c r="F358" s="230"/>
    </row>
    <row r="359" ht="15.75" customHeight="1">
      <c r="F359" s="230"/>
    </row>
    <row r="360" ht="15.75" customHeight="1">
      <c r="F360" s="230"/>
    </row>
    <row r="361" ht="15.75" customHeight="1">
      <c r="F361" s="230"/>
    </row>
    <row r="362" ht="15.75" customHeight="1">
      <c r="F362" s="230"/>
    </row>
    <row r="363" ht="15.75" customHeight="1">
      <c r="F363" s="230"/>
    </row>
    <row r="364" ht="15.75" customHeight="1">
      <c r="F364" s="230"/>
    </row>
    <row r="365" ht="15.75" customHeight="1">
      <c r="F365" s="230"/>
    </row>
    <row r="366" ht="15.75" customHeight="1">
      <c r="F366" s="230"/>
    </row>
    <row r="367" ht="15.75" customHeight="1">
      <c r="F367" s="230"/>
    </row>
    <row r="368" ht="15.75" customHeight="1">
      <c r="F368" s="230"/>
    </row>
    <row r="369" ht="15.75" customHeight="1">
      <c r="F369" s="230"/>
    </row>
    <row r="370" ht="15.75" customHeight="1">
      <c r="F370" s="230"/>
    </row>
    <row r="371" ht="15.75" customHeight="1">
      <c r="F371" s="230"/>
    </row>
    <row r="372" ht="15.75" customHeight="1">
      <c r="F372" s="230"/>
    </row>
    <row r="373" ht="15.75" customHeight="1">
      <c r="F373" s="230"/>
    </row>
    <row r="374" ht="15.75" customHeight="1">
      <c r="F374" s="230"/>
    </row>
    <row r="375" ht="15.75" customHeight="1">
      <c r="F375" s="230"/>
    </row>
    <row r="376" ht="15.75" customHeight="1">
      <c r="F376" s="230"/>
    </row>
    <row r="377" ht="15.75" customHeight="1">
      <c r="F377" s="230"/>
    </row>
    <row r="378" ht="15.75" customHeight="1">
      <c r="F378" s="230"/>
    </row>
    <row r="379" ht="15.75" customHeight="1">
      <c r="F379" s="230"/>
    </row>
    <row r="380" ht="15.75" customHeight="1">
      <c r="F380" s="230"/>
    </row>
    <row r="381" ht="15.75" customHeight="1">
      <c r="F381" s="230"/>
    </row>
    <row r="382" ht="15.75" customHeight="1">
      <c r="F382" s="230"/>
    </row>
    <row r="383" ht="15.75" customHeight="1">
      <c r="F383" s="230"/>
    </row>
    <row r="384" ht="15.75" customHeight="1">
      <c r="F384" s="230"/>
    </row>
    <row r="385" ht="15.75" customHeight="1">
      <c r="F385" s="230"/>
    </row>
    <row r="386" ht="15.75" customHeight="1">
      <c r="F386" s="230"/>
    </row>
    <row r="387" ht="15.75" customHeight="1">
      <c r="F387" s="230"/>
    </row>
    <row r="388" ht="15.75" customHeight="1">
      <c r="F388" s="230"/>
    </row>
    <row r="389" ht="15.75" customHeight="1">
      <c r="F389" s="230"/>
    </row>
    <row r="390" ht="15.75" customHeight="1">
      <c r="F390" s="230"/>
    </row>
    <row r="391" ht="15.75" customHeight="1">
      <c r="F391" s="230"/>
    </row>
    <row r="392" ht="15.75" customHeight="1">
      <c r="F392" s="230"/>
    </row>
    <row r="393" ht="15.75" customHeight="1">
      <c r="F393" s="230"/>
    </row>
    <row r="394" ht="15.75" customHeight="1">
      <c r="F394" s="230"/>
    </row>
    <row r="395" ht="15.75" customHeight="1">
      <c r="F395" s="230"/>
    </row>
    <row r="396" ht="15.75" customHeight="1">
      <c r="F396" s="230"/>
    </row>
    <row r="397" ht="15.75" customHeight="1">
      <c r="F397" s="230"/>
    </row>
    <row r="398" ht="15.75" customHeight="1">
      <c r="F398" s="230"/>
    </row>
    <row r="399" ht="15.75" customHeight="1">
      <c r="F399" s="230"/>
    </row>
    <row r="400" ht="15.75" customHeight="1">
      <c r="F400" s="230"/>
    </row>
    <row r="401" ht="15.75" customHeight="1">
      <c r="F401" s="230"/>
    </row>
    <row r="402" ht="15.75" customHeight="1">
      <c r="F402" s="230"/>
    </row>
    <row r="403" ht="15.75" customHeight="1">
      <c r="F403" s="230"/>
    </row>
    <row r="404" ht="15.75" customHeight="1">
      <c r="F404" s="230"/>
    </row>
    <row r="405" ht="15.75" customHeight="1">
      <c r="F405" s="230"/>
    </row>
    <row r="406" ht="15.75" customHeight="1">
      <c r="F406" s="230"/>
    </row>
    <row r="407" ht="15.75" customHeight="1">
      <c r="F407" s="230"/>
    </row>
    <row r="408" ht="15.75" customHeight="1">
      <c r="F408" s="230"/>
    </row>
    <row r="409" ht="15.75" customHeight="1">
      <c r="F409" s="230"/>
    </row>
    <row r="410" ht="15.75" customHeight="1">
      <c r="F410" s="230"/>
    </row>
    <row r="411" ht="15.75" customHeight="1">
      <c r="F411" s="230"/>
    </row>
    <row r="412" ht="15.75" customHeight="1">
      <c r="F412" s="230"/>
    </row>
    <row r="413" ht="15.75" customHeight="1">
      <c r="F413" s="230"/>
    </row>
    <row r="414" ht="15.75" customHeight="1">
      <c r="F414" s="230"/>
    </row>
    <row r="415" ht="15.75" customHeight="1">
      <c r="F415" s="230"/>
    </row>
    <row r="416" ht="15.75" customHeight="1">
      <c r="F416" s="230"/>
    </row>
    <row r="417" ht="15.75" customHeight="1">
      <c r="F417" s="230"/>
    </row>
    <row r="418" ht="15.75" customHeight="1">
      <c r="F418" s="230"/>
    </row>
    <row r="419" ht="15.75" customHeight="1">
      <c r="F419" s="230"/>
    </row>
    <row r="420" ht="15.75" customHeight="1">
      <c r="F420" s="230"/>
    </row>
    <row r="421" ht="15.75" customHeight="1">
      <c r="F421" s="230"/>
    </row>
    <row r="422" ht="15.75" customHeight="1">
      <c r="F422" s="230"/>
    </row>
    <row r="423" ht="15.75" customHeight="1">
      <c r="F423" s="230"/>
    </row>
    <row r="424" ht="15.75" customHeight="1">
      <c r="F424" s="230"/>
    </row>
    <row r="425" ht="15.75" customHeight="1">
      <c r="F425" s="230"/>
    </row>
    <row r="426" ht="15.75" customHeight="1">
      <c r="F426" s="230"/>
    </row>
    <row r="427" ht="15.75" customHeight="1">
      <c r="F427" s="230"/>
    </row>
    <row r="428" ht="15.75" customHeight="1">
      <c r="F428" s="230"/>
    </row>
    <row r="429" ht="15.75" customHeight="1">
      <c r="F429" s="230"/>
    </row>
    <row r="430" ht="15.75" customHeight="1">
      <c r="F430" s="230"/>
    </row>
    <row r="431" ht="15.75" customHeight="1">
      <c r="F431" s="230"/>
    </row>
    <row r="432" ht="15.75" customHeight="1">
      <c r="F432" s="230"/>
    </row>
    <row r="433" ht="15.75" customHeight="1">
      <c r="F433" s="230"/>
    </row>
    <row r="434" ht="15.75" customHeight="1">
      <c r="F434" s="230"/>
    </row>
    <row r="435" ht="15.75" customHeight="1">
      <c r="F435" s="230"/>
    </row>
    <row r="436" ht="15.75" customHeight="1">
      <c r="F436" s="230"/>
    </row>
    <row r="437" ht="15.75" customHeight="1">
      <c r="F437" s="230"/>
    </row>
    <row r="438" ht="15.75" customHeight="1">
      <c r="F438" s="230"/>
    </row>
    <row r="439" ht="15.75" customHeight="1">
      <c r="F439" s="230"/>
    </row>
    <row r="440" ht="15.75" customHeight="1">
      <c r="F440" s="230"/>
    </row>
    <row r="441" ht="15.75" customHeight="1">
      <c r="F441" s="230"/>
    </row>
    <row r="442" ht="15.75" customHeight="1">
      <c r="F442" s="230"/>
    </row>
    <row r="443" ht="15.75" customHeight="1">
      <c r="F443" s="230"/>
    </row>
    <row r="444" ht="15.75" customHeight="1">
      <c r="F444" s="230"/>
    </row>
    <row r="445" ht="15.75" customHeight="1">
      <c r="F445" s="230"/>
    </row>
    <row r="446" ht="15.75" customHeight="1">
      <c r="F446" s="230"/>
    </row>
    <row r="447" ht="15.75" customHeight="1">
      <c r="F447" s="230"/>
    </row>
    <row r="448" ht="15.75" customHeight="1">
      <c r="F448" s="230"/>
    </row>
    <row r="449" ht="15.75" customHeight="1">
      <c r="F449" s="230"/>
    </row>
    <row r="450" ht="15.75" customHeight="1">
      <c r="F450" s="230"/>
    </row>
    <row r="451" ht="15.75" customHeight="1">
      <c r="F451" s="230"/>
    </row>
    <row r="452" ht="15.75" customHeight="1">
      <c r="F452" s="230"/>
    </row>
    <row r="453" ht="15.75" customHeight="1">
      <c r="F453" s="230"/>
    </row>
    <row r="454" ht="15.75" customHeight="1">
      <c r="F454" s="230"/>
    </row>
    <row r="455" ht="15.75" customHeight="1">
      <c r="F455" s="230"/>
    </row>
    <row r="456" ht="15.75" customHeight="1">
      <c r="F456" s="230"/>
    </row>
    <row r="457" ht="15.75" customHeight="1">
      <c r="F457" s="230"/>
    </row>
    <row r="458" ht="15.75" customHeight="1">
      <c r="F458" s="230"/>
    </row>
    <row r="459" ht="15.75" customHeight="1">
      <c r="F459" s="230"/>
    </row>
    <row r="460" ht="15.75" customHeight="1">
      <c r="F460" s="230"/>
    </row>
    <row r="461" ht="15.75" customHeight="1">
      <c r="F461" s="230"/>
    </row>
    <row r="462" ht="15.75" customHeight="1">
      <c r="F462" s="230"/>
    </row>
    <row r="463" ht="15.75" customHeight="1">
      <c r="F463" s="230"/>
    </row>
    <row r="464" ht="15.75" customHeight="1">
      <c r="F464" s="230"/>
    </row>
    <row r="465" ht="15.75" customHeight="1">
      <c r="F465" s="230"/>
    </row>
    <row r="466" ht="15.75" customHeight="1">
      <c r="F466" s="230"/>
    </row>
    <row r="467" ht="15.75" customHeight="1">
      <c r="F467" s="230"/>
    </row>
    <row r="468" ht="15.75" customHeight="1">
      <c r="F468" s="230"/>
    </row>
    <row r="469" ht="15.75" customHeight="1">
      <c r="F469" s="230"/>
    </row>
    <row r="470" ht="15.75" customHeight="1">
      <c r="F470" s="230"/>
    </row>
    <row r="471" ht="15.75" customHeight="1">
      <c r="F471" s="230"/>
    </row>
    <row r="472" ht="15.75" customHeight="1">
      <c r="F472" s="230"/>
    </row>
    <row r="473" ht="15.75" customHeight="1">
      <c r="F473" s="230"/>
    </row>
    <row r="474" ht="15.75" customHeight="1">
      <c r="F474" s="230"/>
    </row>
    <row r="475" ht="15.75" customHeight="1">
      <c r="F475" s="230"/>
    </row>
    <row r="476" ht="15.75" customHeight="1">
      <c r="F476" s="230"/>
    </row>
    <row r="477" ht="15.75" customHeight="1">
      <c r="F477" s="230"/>
    </row>
    <row r="478" ht="15.75" customHeight="1">
      <c r="F478" s="230"/>
    </row>
    <row r="479" ht="15.75" customHeight="1">
      <c r="F479" s="230"/>
    </row>
    <row r="480" ht="15.75" customHeight="1">
      <c r="F480" s="230"/>
    </row>
    <row r="481" ht="15.75" customHeight="1">
      <c r="F481" s="230"/>
    </row>
    <row r="482" ht="15.75" customHeight="1">
      <c r="F482" s="230"/>
    </row>
    <row r="483" ht="15.75" customHeight="1">
      <c r="F483" s="230"/>
    </row>
    <row r="484" ht="15.75" customHeight="1">
      <c r="F484" s="230"/>
    </row>
    <row r="485" ht="15.75" customHeight="1">
      <c r="F485" s="230"/>
    </row>
    <row r="486" ht="15.75" customHeight="1">
      <c r="F486" s="230"/>
    </row>
    <row r="487" ht="15.75" customHeight="1">
      <c r="F487" s="230"/>
    </row>
    <row r="488" ht="15.75" customHeight="1">
      <c r="F488" s="230"/>
    </row>
    <row r="489" ht="15.75" customHeight="1">
      <c r="F489" s="230"/>
    </row>
    <row r="490" ht="15.75" customHeight="1">
      <c r="F490" s="230"/>
    </row>
    <row r="491" ht="15.75" customHeight="1">
      <c r="F491" s="230"/>
    </row>
    <row r="492" ht="15.75" customHeight="1">
      <c r="F492" s="230"/>
    </row>
    <row r="493" ht="15.75" customHeight="1">
      <c r="F493" s="230"/>
    </row>
    <row r="494" ht="15.75" customHeight="1">
      <c r="F494" s="230"/>
    </row>
    <row r="495" ht="15.75" customHeight="1">
      <c r="F495" s="230"/>
    </row>
    <row r="496" ht="15.75" customHeight="1">
      <c r="F496" s="230"/>
    </row>
    <row r="497" ht="15.75" customHeight="1">
      <c r="F497" s="230"/>
    </row>
    <row r="498" ht="15.75" customHeight="1">
      <c r="F498" s="230"/>
    </row>
    <row r="499" ht="15.75" customHeight="1">
      <c r="F499" s="230"/>
    </row>
    <row r="500" ht="15.75" customHeight="1">
      <c r="F500" s="230"/>
    </row>
    <row r="501" ht="15.75" customHeight="1">
      <c r="F501" s="230"/>
    </row>
    <row r="502" ht="15.75" customHeight="1">
      <c r="F502" s="230"/>
    </row>
    <row r="503" ht="15.75" customHeight="1">
      <c r="F503" s="230"/>
    </row>
    <row r="504" ht="15.75" customHeight="1">
      <c r="F504" s="230"/>
    </row>
    <row r="505" ht="15.75" customHeight="1">
      <c r="F505" s="230"/>
    </row>
    <row r="506" ht="15.75" customHeight="1">
      <c r="F506" s="230"/>
    </row>
    <row r="507" ht="15.75" customHeight="1">
      <c r="F507" s="230"/>
    </row>
    <row r="508" ht="15.75" customHeight="1">
      <c r="F508" s="230"/>
    </row>
    <row r="509" ht="15.75" customHeight="1">
      <c r="F509" s="230"/>
    </row>
    <row r="510" ht="15.75" customHeight="1">
      <c r="F510" s="230"/>
    </row>
    <row r="511" ht="15.75" customHeight="1">
      <c r="F511" s="230"/>
    </row>
    <row r="512" ht="15.75" customHeight="1">
      <c r="F512" s="230"/>
    </row>
    <row r="513" ht="15.75" customHeight="1">
      <c r="F513" s="230"/>
    </row>
    <row r="514" ht="15.75" customHeight="1">
      <c r="F514" s="230"/>
    </row>
    <row r="515" ht="15.75" customHeight="1">
      <c r="F515" s="230"/>
    </row>
    <row r="516" ht="15.75" customHeight="1">
      <c r="F516" s="230"/>
    </row>
    <row r="517" ht="15.75" customHeight="1">
      <c r="F517" s="230"/>
    </row>
    <row r="518" ht="15.75" customHeight="1">
      <c r="F518" s="230"/>
    </row>
    <row r="519" ht="15.75" customHeight="1">
      <c r="F519" s="230"/>
    </row>
    <row r="520" ht="15.75" customHeight="1">
      <c r="F520" s="230"/>
    </row>
    <row r="521" ht="15.75" customHeight="1">
      <c r="F521" s="230"/>
    </row>
    <row r="522" ht="15.75" customHeight="1">
      <c r="F522" s="230"/>
    </row>
    <row r="523" ht="15.75" customHeight="1">
      <c r="F523" s="230"/>
    </row>
    <row r="524" ht="15.75" customHeight="1">
      <c r="F524" s="230"/>
    </row>
    <row r="525" ht="15.75" customHeight="1">
      <c r="F525" s="230"/>
    </row>
    <row r="526" ht="15.75" customHeight="1">
      <c r="F526" s="230"/>
    </row>
    <row r="527" ht="15.75" customHeight="1">
      <c r="F527" s="230"/>
    </row>
    <row r="528" ht="15.75" customHeight="1">
      <c r="F528" s="230"/>
    </row>
    <row r="529" ht="15.75" customHeight="1">
      <c r="F529" s="230"/>
    </row>
    <row r="530" ht="15.75" customHeight="1">
      <c r="F530" s="230"/>
    </row>
    <row r="531" ht="15.75" customHeight="1">
      <c r="F531" s="230"/>
    </row>
    <row r="532" ht="15.75" customHeight="1">
      <c r="F532" s="230"/>
    </row>
    <row r="533" ht="15.75" customHeight="1">
      <c r="F533" s="230"/>
    </row>
    <row r="534" ht="15.75" customHeight="1">
      <c r="F534" s="230"/>
    </row>
    <row r="535" ht="15.75" customHeight="1">
      <c r="F535" s="230"/>
    </row>
    <row r="536" ht="15.75" customHeight="1">
      <c r="F536" s="230"/>
    </row>
    <row r="537" ht="15.75" customHeight="1">
      <c r="F537" s="230"/>
    </row>
    <row r="538" ht="15.75" customHeight="1">
      <c r="F538" s="230"/>
    </row>
    <row r="539" ht="15.75" customHeight="1">
      <c r="F539" s="230"/>
    </row>
    <row r="540" ht="15.75" customHeight="1">
      <c r="F540" s="230"/>
    </row>
    <row r="541" ht="15.75" customHeight="1">
      <c r="F541" s="230"/>
    </row>
    <row r="542" ht="15.75" customHeight="1">
      <c r="F542" s="230"/>
    </row>
    <row r="543" ht="15.75" customHeight="1">
      <c r="F543" s="230"/>
    </row>
    <row r="544" ht="15.75" customHeight="1">
      <c r="F544" s="230"/>
    </row>
    <row r="545" ht="15.75" customHeight="1">
      <c r="F545" s="230"/>
    </row>
    <row r="546" ht="15.75" customHeight="1">
      <c r="F546" s="230"/>
    </row>
    <row r="547" ht="15.75" customHeight="1">
      <c r="F547" s="230"/>
    </row>
    <row r="548" ht="15.75" customHeight="1">
      <c r="F548" s="230"/>
    </row>
    <row r="549" ht="15.75" customHeight="1">
      <c r="F549" s="230"/>
    </row>
    <row r="550" ht="15.75" customHeight="1">
      <c r="F550" s="230"/>
    </row>
    <row r="551" ht="15.75" customHeight="1">
      <c r="F551" s="230"/>
    </row>
    <row r="552" ht="15.75" customHeight="1">
      <c r="F552" s="230"/>
    </row>
    <row r="553" ht="15.75" customHeight="1">
      <c r="F553" s="230"/>
    </row>
    <row r="554" ht="15.75" customHeight="1">
      <c r="F554" s="230"/>
    </row>
    <row r="555" ht="15.75" customHeight="1">
      <c r="F555" s="230"/>
    </row>
    <row r="556" ht="15.75" customHeight="1">
      <c r="F556" s="230"/>
    </row>
    <row r="557" ht="15.75" customHeight="1">
      <c r="F557" s="230"/>
    </row>
    <row r="558" ht="15.75" customHeight="1">
      <c r="F558" s="230"/>
    </row>
    <row r="559" ht="15.75" customHeight="1">
      <c r="F559" s="230"/>
    </row>
    <row r="560" ht="15.75" customHeight="1">
      <c r="F560" s="230"/>
    </row>
    <row r="561" ht="15.75" customHeight="1">
      <c r="F561" s="230"/>
    </row>
    <row r="562" ht="15.75" customHeight="1">
      <c r="F562" s="230"/>
    </row>
    <row r="563" ht="15.75" customHeight="1">
      <c r="F563" s="230"/>
    </row>
    <row r="564" ht="15.75" customHeight="1">
      <c r="F564" s="230"/>
    </row>
    <row r="565" ht="15.75" customHeight="1">
      <c r="F565" s="230"/>
    </row>
    <row r="566" ht="15.75" customHeight="1">
      <c r="F566" s="230"/>
    </row>
    <row r="567" ht="15.75" customHeight="1">
      <c r="F567" s="230"/>
    </row>
    <row r="568" ht="15.75" customHeight="1">
      <c r="F568" s="230"/>
    </row>
    <row r="569" ht="15.75" customHeight="1">
      <c r="F569" s="230"/>
    </row>
    <row r="570" ht="15.75" customHeight="1">
      <c r="F570" s="230"/>
    </row>
    <row r="571" ht="15.75" customHeight="1">
      <c r="F571" s="230"/>
    </row>
    <row r="572" ht="15.75" customHeight="1">
      <c r="F572" s="230"/>
    </row>
    <row r="573" ht="15.75" customHeight="1">
      <c r="F573" s="230"/>
    </row>
    <row r="574" ht="15.75" customHeight="1">
      <c r="F574" s="230"/>
    </row>
    <row r="575" ht="15.75" customHeight="1">
      <c r="F575" s="230"/>
    </row>
    <row r="576" ht="15.75" customHeight="1">
      <c r="F576" s="230"/>
    </row>
    <row r="577" ht="15.75" customHeight="1">
      <c r="F577" s="230"/>
    </row>
    <row r="578" ht="15.75" customHeight="1">
      <c r="F578" s="230"/>
    </row>
    <row r="579" ht="15.75" customHeight="1">
      <c r="F579" s="230"/>
    </row>
    <row r="580" ht="15.75" customHeight="1">
      <c r="F580" s="230"/>
    </row>
    <row r="581" ht="15.75" customHeight="1">
      <c r="F581" s="230"/>
    </row>
    <row r="582" ht="15.75" customHeight="1">
      <c r="F582" s="230"/>
    </row>
    <row r="583" ht="15.75" customHeight="1">
      <c r="F583" s="230"/>
    </row>
    <row r="584" ht="15.75" customHeight="1">
      <c r="F584" s="230"/>
    </row>
    <row r="585" ht="15.75" customHeight="1">
      <c r="F585" s="230"/>
    </row>
    <row r="586" ht="15.75" customHeight="1">
      <c r="F586" s="230"/>
    </row>
    <row r="587" ht="15.75" customHeight="1">
      <c r="F587" s="230"/>
    </row>
    <row r="588" ht="15.75" customHeight="1">
      <c r="F588" s="230"/>
    </row>
    <row r="589" ht="15.75" customHeight="1">
      <c r="F589" s="230"/>
    </row>
    <row r="590" ht="15.75" customHeight="1">
      <c r="F590" s="230"/>
    </row>
    <row r="591" ht="15.75" customHeight="1">
      <c r="F591" s="230"/>
    </row>
    <row r="592" ht="15.75" customHeight="1">
      <c r="F592" s="230"/>
    </row>
    <row r="593" ht="15.75" customHeight="1">
      <c r="F593" s="230"/>
    </row>
    <row r="594" ht="15.75" customHeight="1">
      <c r="F594" s="230"/>
    </row>
    <row r="595" ht="15.75" customHeight="1">
      <c r="F595" s="230"/>
    </row>
    <row r="596" ht="15.75" customHeight="1">
      <c r="F596" s="230"/>
    </row>
    <row r="597" ht="15.75" customHeight="1">
      <c r="F597" s="230"/>
    </row>
    <row r="598" ht="15.75" customHeight="1">
      <c r="F598" s="230"/>
    </row>
    <row r="599" ht="15.75" customHeight="1">
      <c r="F599" s="230"/>
    </row>
    <row r="600" ht="15.75" customHeight="1">
      <c r="F600" s="230"/>
    </row>
    <row r="601" ht="15.75" customHeight="1">
      <c r="F601" s="230"/>
    </row>
    <row r="602" ht="15.75" customHeight="1">
      <c r="F602" s="230"/>
    </row>
    <row r="603" ht="15.75" customHeight="1">
      <c r="F603" s="230"/>
    </row>
    <row r="604" ht="15.75" customHeight="1">
      <c r="F604" s="230"/>
    </row>
    <row r="605" ht="15.75" customHeight="1">
      <c r="F605" s="230"/>
    </row>
    <row r="606" ht="15.75" customHeight="1">
      <c r="F606" s="230"/>
    </row>
    <row r="607" ht="15.75" customHeight="1">
      <c r="F607" s="230"/>
    </row>
    <row r="608" ht="15.75" customHeight="1">
      <c r="F608" s="230"/>
    </row>
    <row r="609" ht="15.75" customHeight="1">
      <c r="F609" s="230"/>
    </row>
    <row r="610" ht="15.75" customHeight="1">
      <c r="F610" s="230"/>
    </row>
    <row r="611" ht="15.75" customHeight="1">
      <c r="F611" s="230"/>
    </row>
    <row r="612" ht="15.75" customHeight="1">
      <c r="F612" s="230"/>
    </row>
    <row r="613" ht="15.75" customHeight="1">
      <c r="F613" s="230"/>
    </row>
    <row r="614" ht="15.75" customHeight="1">
      <c r="F614" s="230"/>
    </row>
    <row r="615" ht="15.75" customHeight="1">
      <c r="F615" s="230"/>
    </row>
    <row r="616" ht="15.75" customHeight="1">
      <c r="F616" s="230"/>
    </row>
    <row r="617" ht="15.75" customHeight="1">
      <c r="F617" s="230"/>
    </row>
    <row r="618" ht="15.75" customHeight="1">
      <c r="F618" s="230"/>
    </row>
    <row r="619" ht="15.75" customHeight="1">
      <c r="F619" s="230"/>
    </row>
    <row r="620" ht="15.75" customHeight="1">
      <c r="F620" s="230"/>
    </row>
    <row r="621" ht="15.75" customHeight="1">
      <c r="F621" s="230"/>
    </row>
    <row r="622" ht="15.75" customHeight="1">
      <c r="F622" s="230"/>
    </row>
    <row r="623" ht="15.75" customHeight="1">
      <c r="F623" s="230"/>
    </row>
    <row r="624" ht="15.75" customHeight="1">
      <c r="F624" s="230"/>
    </row>
    <row r="625" ht="15.75" customHeight="1">
      <c r="F625" s="230"/>
    </row>
    <row r="626" ht="15.75" customHeight="1">
      <c r="F626" s="230"/>
    </row>
    <row r="627" ht="15.75" customHeight="1">
      <c r="F627" s="230"/>
    </row>
    <row r="628" ht="15.75" customHeight="1">
      <c r="F628" s="230"/>
    </row>
    <row r="629" ht="15.75" customHeight="1">
      <c r="F629" s="230"/>
    </row>
    <row r="630" ht="15.75" customHeight="1">
      <c r="F630" s="230"/>
    </row>
    <row r="631" ht="15.75" customHeight="1">
      <c r="F631" s="230"/>
    </row>
    <row r="632" ht="15.75" customHeight="1">
      <c r="F632" s="230"/>
    </row>
    <row r="633" ht="15.75" customHeight="1">
      <c r="F633" s="230"/>
    </row>
    <row r="634" ht="15.75" customHeight="1">
      <c r="F634" s="230"/>
    </row>
    <row r="635" ht="15.75" customHeight="1">
      <c r="F635" s="230"/>
    </row>
    <row r="636" ht="15.75" customHeight="1">
      <c r="F636" s="230"/>
    </row>
    <row r="637" ht="15.75" customHeight="1">
      <c r="F637" s="230"/>
    </row>
    <row r="638" ht="15.75" customHeight="1">
      <c r="F638" s="230"/>
    </row>
    <row r="639" ht="15.75" customHeight="1">
      <c r="F639" s="230"/>
    </row>
    <row r="640" ht="15.75" customHeight="1">
      <c r="F640" s="230"/>
    </row>
    <row r="641" ht="15.75" customHeight="1">
      <c r="F641" s="230"/>
    </row>
    <row r="642" ht="15.75" customHeight="1">
      <c r="F642" s="230"/>
    </row>
    <row r="643" ht="15.75" customHeight="1">
      <c r="F643" s="230"/>
    </row>
    <row r="644" ht="15.75" customHeight="1">
      <c r="F644" s="230"/>
    </row>
    <row r="645" ht="15.75" customHeight="1">
      <c r="F645" s="230"/>
    </row>
    <row r="646" ht="15.75" customHeight="1">
      <c r="F646" s="230"/>
    </row>
    <row r="647" ht="15.75" customHeight="1">
      <c r="F647" s="230"/>
    </row>
    <row r="648" ht="15.75" customHeight="1">
      <c r="F648" s="230"/>
    </row>
    <row r="649" ht="15.75" customHeight="1">
      <c r="F649" s="230"/>
    </row>
    <row r="650" ht="15.75" customHeight="1">
      <c r="F650" s="230"/>
    </row>
    <row r="651" ht="15.75" customHeight="1">
      <c r="F651" s="230"/>
    </row>
    <row r="652" ht="15.75" customHeight="1">
      <c r="F652" s="230"/>
    </row>
    <row r="653" ht="15.75" customHeight="1">
      <c r="F653" s="230"/>
    </row>
    <row r="654" ht="15.75" customHeight="1">
      <c r="F654" s="230"/>
    </row>
    <row r="655" ht="15.75" customHeight="1">
      <c r="F655" s="230"/>
    </row>
    <row r="656" ht="15.75" customHeight="1">
      <c r="F656" s="230"/>
    </row>
    <row r="657" ht="15.75" customHeight="1">
      <c r="F657" s="230"/>
    </row>
    <row r="658" ht="15.75" customHeight="1">
      <c r="F658" s="230"/>
    </row>
    <row r="659" ht="15.75" customHeight="1">
      <c r="F659" s="230"/>
    </row>
    <row r="660" ht="15.75" customHeight="1">
      <c r="F660" s="230"/>
    </row>
    <row r="661" ht="15.75" customHeight="1">
      <c r="F661" s="230"/>
    </row>
    <row r="662" ht="15.75" customHeight="1">
      <c r="F662" s="230"/>
    </row>
    <row r="663" ht="15.75" customHeight="1">
      <c r="F663" s="230"/>
    </row>
    <row r="664" ht="15.75" customHeight="1">
      <c r="F664" s="230"/>
    </row>
    <row r="665" ht="15.75" customHeight="1">
      <c r="F665" s="230"/>
    </row>
    <row r="666" ht="15.75" customHeight="1">
      <c r="F666" s="230"/>
    </row>
    <row r="667" ht="15.75" customHeight="1">
      <c r="F667" s="230"/>
    </row>
    <row r="668" ht="15.75" customHeight="1">
      <c r="F668" s="230"/>
    </row>
    <row r="669" ht="15.75" customHeight="1">
      <c r="F669" s="230"/>
    </row>
    <row r="670" ht="15.75" customHeight="1">
      <c r="F670" s="230"/>
    </row>
    <row r="671" ht="15.75" customHeight="1">
      <c r="F671" s="230"/>
    </row>
    <row r="672" ht="15.75" customHeight="1">
      <c r="F672" s="230"/>
    </row>
    <row r="673" ht="15.75" customHeight="1">
      <c r="F673" s="230"/>
    </row>
    <row r="674" ht="15.75" customHeight="1">
      <c r="F674" s="230"/>
    </row>
    <row r="675" ht="15.75" customHeight="1">
      <c r="F675" s="230"/>
    </row>
    <row r="676" ht="15.75" customHeight="1">
      <c r="F676" s="230"/>
    </row>
    <row r="677" ht="15.75" customHeight="1">
      <c r="F677" s="230"/>
    </row>
    <row r="678" ht="15.75" customHeight="1">
      <c r="F678" s="230"/>
    </row>
    <row r="679" ht="15.75" customHeight="1">
      <c r="F679" s="230"/>
    </row>
    <row r="680" ht="15.75" customHeight="1">
      <c r="F680" s="230"/>
    </row>
    <row r="681" ht="15.75" customHeight="1">
      <c r="F681" s="230"/>
    </row>
    <row r="682" ht="15.75" customHeight="1">
      <c r="F682" s="230"/>
    </row>
    <row r="683" ht="15.75" customHeight="1">
      <c r="F683" s="230"/>
    </row>
    <row r="684" ht="15.75" customHeight="1">
      <c r="F684" s="230"/>
    </row>
    <row r="685" ht="15.75" customHeight="1">
      <c r="F685" s="230"/>
    </row>
    <row r="686" ht="15.75" customHeight="1">
      <c r="F686" s="230"/>
    </row>
    <row r="687" ht="15.75" customHeight="1">
      <c r="F687" s="230"/>
    </row>
    <row r="688" ht="15.75" customHeight="1">
      <c r="F688" s="230"/>
    </row>
    <row r="689" ht="15.75" customHeight="1">
      <c r="F689" s="230"/>
    </row>
    <row r="690" ht="15.75" customHeight="1">
      <c r="F690" s="230"/>
    </row>
    <row r="691" ht="15.75" customHeight="1">
      <c r="F691" s="230"/>
    </row>
    <row r="692" ht="15.75" customHeight="1">
      <c r="F692" s="230"/>
    </row>
    <row r="693" ht="15.75" customHeight="1">
      <c r="F693" s="230"/>
    </row>
    <row r="694" ht="15.75" customHeight="1">
      <c r="F694" s="230"/>
    </row>
    <row r="695" ht="15.75" customHeight="1">
      <c r="F695" s="230"/>
    </row>
    <row r="696" ht="15.75" customHeight="1">
      <c r="F696" s="230"/>
    </row>
    <row r="697" ht="15.75" customHeight="1">
      <c r="F697" s="230"/>
    </row>
    <row r="698" ht="15.75" customHeight="1">
      <c r="F698" s="230"/>
    </row>
    <row r="699" ht="15.75" customHeight="1">
      <c r="F699" s="230"/>
    </row>
    <row r="700" ht="15.75" customHeight="1">
      <c r="F700" s="230"/>
    </row>
    <row r="701" ht="15.75" customHeight="1">
      <c r="F701" s="230"/>
    </row>
    <row r="702" ht="15.75" customHeight="1">
      <c r="F702" s="230"/>
    </row>
    <row r="703" ht="15.75" customHeight="1">
      <c r="F703" s="230"/>
    </row>
    <row r="704" ht="15.75" customHeight="1">
      <c r="F704" s="230"/>
    </row>
    <row r="705" ht="15.75" customHeight="1">
      <c r="F705" s="230"/>
    </row>
    <row r="706" ht="15.75" customHeight="1">
      <c r="F706" s="230"/>
    </row>
    <row r="707" ht="15.75" customHeight="1">
      <c r="F707" s="230"/>
    </row>
    <row r="708" ht="15.75" customHeight="1">
      <c r="F708" s="230"/>
    </row>
    <row r="709" ht="15.75" customHeight="1">
      <c r="F709" s="230"/>
    </row>
    <row r="710" ht="15.75" customHeight="1">
      <c r="F710" s="230"/>
    </row>
    <row r="711" ht="15.75" customHeight="1">
      <c r="F711" s="230"/>
    </row>
    <row r="712" ht="15.75" customHeight="1">
      <c r="F712" s="230"/>
    </row>
    <row r="713" ht="15.75" customHeight="1">
      <c r="F713" s="230"/>
    </row>
    <row r="714" ht="15.75" customHeight="1">
      <c r="F714" s="230"/>
    </row>
    <row r="715" ht="15.75" customHeight="1">
      <c r="F715" s="230"/>
    </row>
    <row r="716" ht="15.75" customHeight="1">
      <c r="F716" s="230"/>
    </row>
    <row r="717" ht="15.75" customHeight="1">
      <c r="F717" s="230"/>
    </row>
    <row r="718" ht="15.75" customHeight="1">
      <c r="F718" s="230"/>
    </row>
    <row r="719" ht="15.75" customHeight="1">
      <c r="F719" s="230"/>
    </row>
    <row r="720" ht="15.75" customHeight="1">
      <c r="F720" s="230"/>
    </row>
    <row r="721" ht="15.75" customHeight="1">
      <c r="F721" s="230"/>
    </row>
    <row r="722" ht="15.75" customHeight="1">
      <c r="F722" s="230"/>
    </row>
    <row r="723" ht="15.75" customHeight="1">
      <c r="F723" s="230"/>
    </row>
    <row r="724" ht="15.75" customHeight="1">
      <c r="F724" s="230"/>
    </row>
    <row r="725" ht="15.75" customHeight="1">
      <c r="F725" s="230"/>
    </row>
    <row r="726" ht="15.75" customHeight="1">
      <c r="F726" s="230"/>
    </row>
    <row r="727" ht="15.75" customHeight="1">
      <c r="F727" s="230"/>
    </row>
    <row r="728" ht="15.75" customHeight="1">
      <c r="F728" s="230"/>
    </row>
    <row r="729" ht="15.75" customHeight="1">
      <c r="F729" s="230"/>
    </row>
    <row r="730" ht="15.75" customHeight="1">
      <c r="F730" s="230"/>
    </row>
    <row r="731" ht="15.75" customHeight="1">
      <c r="F731" s="230"/>
    </row>
    <row r="732" ht="15.75" customHeight="1">
      <c r="F732" s="230"/>
    </row>
    <row r="733" ht="15.75" customHeight="1">
      <c r="F733" s="230"/>
    </row>
    <row r="734" ht="15.75" customHeight="1">
      <c r="F734" s="230"/>
    </row>
    <row r="735" ht="15.75" customHeight="1">
      <c r="F735" s="230"/>
    </row>
    <row r="736" ht="15.75" customHeight="1">
      <c r="F736" s="230"/>
    </row>
    <row r="737" ht="15.75" customHeight="1">
      <c r="F737" s="230"/>
    </row>
    <row r="738" ht="15.75" customHeight="1">
      <c r="F738" s="230"/>
    </row>
    <row r="739" ht="15.75" customHeight="1">
      <c r="F739" s="230"/>
    </row>
    <row r="740" ht="15.75" customHeight="1">
      <c r="F740" s="230"/>
    </row>
    <row r="741" ht="15.75" customHeight="1">
      <c r="F741" s="230"/>
    </row>
    <row r="742" ht="15.75" customHeight="1">
      <c r="F742" s="230"/>
    </row>
    <row r="743" ht="15.75" customHeight="1">
      <c r="F743" s="230"/>
    </row>
    <row r="744" ht="15.75" customHeight="1">
      <c r="F744" s="230"/>
    </row>
    <row r="745" ht="15.75" customHeight="1">
      <c r="F745" s="230"/>
    </row>
    <row r="746" ht="15.75" customHeight="1">
      <c r="F746" s="230"/>
    </row>
    <row r="747" ht="15.75" customHeight="1">
      <c r="F747" s="230"/>
    </row>
    <row r="748" ht="15.75" customHeight="1">
      <c r="F748" s="230"/>
    </row>
    <row r="749" ht="15.75" customHeight="1">
      <c r="F749" s="230"/>
    </row>
    <row r="750" ht="15.75" customHeight="1">
      <c r="F750" s="230"/>
    </row>
    <row r="751" ht="15.75" customHeight="1">
      <c r="F751" s="230"/>
    </row>
    <row r="752" ht="15.75" customHeight="1">
      <c r="F752" s="230"/>
    </row>
    <row r="753" ht="15.75" customHeight="1">
      <c r="F753" s="230"/>
    </row>
    <row r="754" ht="15.75" customHeight="1">
      <c r="F754" s="230"/>
    </row>
    <row r="755" ht="15.75" customHeight="1">
      <c r="F755" s="230"/>
    </row>
    <row r="756" ht="15.75" customHeight="1">
      <c r="F756" s="230"/>
    </row>
    <row r="757" ht="15.75" customHeight="1">
      <c r="F757" s="230"/>
    </row>
    <row r="758" ht="15.75" customHeight="1">
      <c r="F758" s="230"/>
    </row>
    <row r="759" ht="15.75" customHeight="1">
      <c r="F759" s="230"/>
    </row>
    <row r="760" ht="15.75" customHeight="1">
      <c r="F760" s="230"/>
    </row>
    <row r="761" ht="15.75" customHeight="1">
      <c r="F761" s="230"/>
    </row>
    <row r="762" ht="15.75" customHeight="1">
      <c r="F762" s="230"/>
    </row>
    <row r="763" ht="15.75" customHeight="1">
      <c r="F763" s="230"/>
    </row>
    <row r="764" ht="15.75" customHeight="1">
      <c r="F764" s="230"/>
    </row>
    <row r="765" ht="15.75" customHeight="1">
      <c r="F765" s="230"/>
    </row>
    <row r="766" ht="15.75" customHeight="1">
      <c r="F766" s="230"/>
    </row>
    <row r="767" ht="15.75" customHeight="1">
      <c r="F767" s="230"/>
    </row>
    <row r="768" ht="15.75" customHeight="1">
      <c r="F768" s="230"/>
    </row>
    <row r="769" ht="15.75" customHeight="1">
      <c r="F769" s="230"/>
    </row>
    <row r="770" ht="15.75" customHeight="1">
      <c r="F770" s="230"/>
    </row>
    <row r="771" ht="15.75" customHeight="1">
      <c r="F771" s="230"/>
    </row>
    <row r="772" ht="15.75" customHeight="1">
      <c r="F772" s="230"/>
    </row>
    <row r="773" ht="15.75" customHeight="1">
      <c r="F773" s="230"/>
    </row>
    <row r="774" ht="15.75" customHeight="1">
      <c r="F774" s="230"/>
    </row>
    <row r="775" ht="15.75" customHeight="1">
      <c r="F775" s="230"/>
    </row>
    <row r="776" ht="15.75" customHeight="1">
      <c r="F776" s="230"/>
    </row>
    <row r="777" ht="15.75" customHeight="1">
      <c r="F777" s="230"/>
    </row>
    <row r="778" ht="15.75" customHeight="1">
      <c r="F778" s="230"/>
    </row>
    <row r="779" ht="15.75" customHeight="1">
      <c r="F779" s="230"/>
    </row>
    <row r="780" ht="15.75" customHeight="1">
      <c r="F780" s="230"/>
    </row>
    <row r="781" ht="15.75" customHeight="1">
      <c r="F781" s="230"/>
    </row>
    <row r="782" ht="15.75" customHeight="1">
      <c r="F782" s="230"/>
    </row>
    <row r="783" ht="15.75" customHeight="1">
      <c r="F783" s="230"/>
    </row>
    <row r="784" ht="15.75" customHeight="1">
      <c r="F784" s="230"/>
    </row>
    <row r="785" ht="15.75" customHeight="1">
      <c r="F785" s="230"/>
    </row>
    <row r="786" ht="15.75" customHeight="1">
      <c r="F786" s="230"/>
    </row>
    <row r="787" ht="15.75" customHeight="1">
      <c r="F787" s="230"/>
    </row>
    <row r="788" ht="15.75" customHeight="1">
      <c r="F788" s="230"/>
    </row>
    <row r="789" ht="15.75" customHeight="1">
      <c r="F789" s="230"/>
    </row>
    <row r="790" ht="15.75" customHeight="1">
      <c r="F790" s="230"/>
    </row>
    <row r="791" ht="15.75" customHeight="1">
      <c r="F791" s="230"/>
    </row>
    <row r="792" ht="15.75" customHeight="1">
      <c r="F792" s="230"/>
    </row>
    <row r="793" ht="15.75" customHeight="1">
      <c r="F793" s="230"/>
    </row>
    <row r="794" ht="15.75" customHeight="1">
      <c r="F794" s="230"/>
    </row>
    <row r="795" ht="15.75" customHeight="1">
      <c r="F795" s="230"/>
    </row>
    <row r="796" ht="15.75" customHeight="1">
      <c r="F796" s="230"/>
    </row>
    <row r="797" ht="15.75" customHeight="1">
      <c r="F797" s="230"/>
    </row>
    <row r="798" ht="15.75" customHeight="1">
      <c r="F798" s="230"/>
    </row>
    <row r="799" ht="15.75" customHeight="1">
      <c r="F799" s="230"/>
    </row>
    <row r="800" ht="15.75" customHeight="1">
      <c r="F800" s="230"/>
    </row>
    <row r="801" ht="15.75" customHeight="1">
      <c r="F801" s="230"/>
    </row>
    <row r="802" ht="15.75" customHeight="1">
      <c r="F802" s="230"/>
    </row>
    <row r="803" ht="15.75" customHeight="1">
      <c r="F803" s="230"/>
    </row>
    <row r="804" ht="15.75" customHeight="1">
      <c r="F804" s="230"/>
    </row>
    <row r="805" ht="15.75" customHeight="1">
      <c r="F805" s="230"/>
    </row>
    <row r="806" ht="15.75" customHeight="1">
      <c r="F806" s="230"/>
    </row>
    <row r="807" ht="15.75" customHeight="1">
      <c r="F807" s="230"/>
    </row>
    <row r="808" ht="15.75" customHeight="1">
      <c r="F808" s="230"/>
    </row>
    <row r="809" ht="15.75" customHeight="1">
      <c r="F809" s="230"/>
    </row>
    <row r="810" ht="15.75" customHeight="1">
      <c r="F810" s="230"/>
    </row>
    <row r="811" ht="15.75" customHeight="1">
      <c r="F811" s="230"/>
    </row>
    <row r="812" ht="15.75" customHeight="1">
      <c r="F812" s="230"/>
    </row>
    <row r="813" ht="15.75" customHeight="1">
      <c r="F813" s="230"/>
    </row>
    <row r="814" ht="15.75" customHeight="1">
      <c r="F814" s="230"/>
    </row>
    <row r="815" ht="15.75" customHeight="1">
      <c r="F815" s="230"/>
    </row>
    <row r="816" ht="15.75" customHeight="1">
      <c r="F816" s="230"/>
    </row>
    <row r="817" ht="15.75" customHeight="1">
      <c r="F817" s="230"/>
    </row>
    <row r="818" ht="15.75" customHeight="1">
      <c r="F818" s="230"/>
    </row>
    <row r="819" ht="15.75" customHeight="1">
      <c r="F819" s="230"/>
    </row>
    <row r="820" ht="15.75" customHeight="1">
      <c r="F820" s="230"/>
    </row>
    <row r="821" ht="15.75" customHeight="1">
      <c r="F821" s="230"/>
    </row>
    <row r="822" ht="15.75" customHeight="1">
      <c r="F822" s="230"/>
    </row>
    <row r="823" ht="15.75" customHeight="1">
      <c r="F823" s="230"/>
    </row>
    <row r="824" ht="15.75" customHeight="1">
      <c r="F824" s="230"/>
    </row>
    <row r="825" ht="15.75" customHeight="1">
      <c r="F825" s="230"/>
    </row>
    <row r="826" ht="15.75" customHeight="1">
      <c r="F826" s="230"/>
    </row>
    <row r="827" ht="15.75" customHeight="1">
      <c r="F827" s="230"/>
    </row>
    <row r="828" ht="15.75" customHeight="1">
      <c r="F828" s="230"/>
    </row>
    <row r="829" ht="15.75" customHeight="1">
      <c r="F829" s="230"/>
    </row>
    <row r="830" ht="15.75" customHeight="1">
      <c r="F830" s="230"/>
    </row>
    <row r="831" ht="15.75" customHeight="1">
      <c r="F831" s="230"/>
    </row>
    <row r="832" ht="15.75" customHeight="1">
      <c r="F832" s="230"/>
    </row>
    <row r="833" ht="15.75" customHeight="1">
      <c r="F833" s="230"/>
    </row>
    <row r="834" ht="15.75" customHeight="1">
      <c r="F834" s="230"/>
    </row>
    <row r="835" ht="15.75" customHeight="1">
      <c r="F835" s="230"/>
    </row>
    <row r="836" ht="15.75" customHeight="1">
      <c r="F836" s="230"/>
    </row>
    <row r="837" ht="15.75" customHeight="1">
      <c r="F837" s="230"/>
    </row>
    <row r="838" ht="15.75" customHeight="1">
      <c r="F838" s="230"/>
    </row>
    <row r="839" ht="15.75" customHeight="1">
      <c r="F839" s="230"/>
    </row>
    <row r="840" ht="15.75" customHeight="1">
      <c r="F840" s="230"/>
    </row>
    <row r="841" ht="15.75" customHeight="1">
      <c r="F841" s="230"/>
    </row>
    <row r="842" ht="15.75" customHeight="1">
      <c r="F842" s="230"/>
    </row>
    <row r="843" ht="15.75" customHeight="1">
      <c r="F843" s="230"/>
    </row>
    <row r="844" ht="15.75" customHeight="1">
      <c r="F844" s="230"/>
    </row>
    <row r="845" ht="15.75" customHeight="1">
      <c r="F845" s="230"/>
    </row>
    <row r="846" ht="15.75" customHeight="1">
      <c r="F846" s="230"/>
    </row>
    <row r="847" ht="15.75" customHeight="1">
      <c r="F847" s="230"/>
    </row>
    <row r="848" ht="15.75" customHeight="1">
      <c r="F848" s="230"/>
    </row>
    <row r="849" ht="15.75" customHeight="1">
      <c r="F849" s="230"/>
    </row>
    <row r="850" ht="15.75" customHeight="1">
      <c r="F850" s="230"/>
    </row>
    <row r="851" ht="15.75" customHeight="1">
      <c r="F851" s="230"/>
    </row>
    <row r="852" ht="15.75" customHeight="1">
      <c r="F852" s="230"/>
    </row>
    <row r="853" ht="15.75" customHeight="1">
      <c r="F853" s="230"/>
    </row>
    <row r="854" ht="15.75" customHeight="1">
      <c r="F854" s="230"/>
    </row>
    <row r="855" ht="15.75" customHeight="1">
      <c r="F855" s="230"/>
    </row>
    <row r="856" ht="15.75" customHeight="1">
      <c r="F856" s="230"/>
    </row>
    <row r="857" ht="15.75" customHeight="1">
      <c r="F857" s="230"/>
    </row>
    <row r="858" ht="15.75" customHeight="1">
      <c r="F858" s="230"/>
    </row>
    <row r="859" ht="15.75" customHeight="1">
      <c r="F859" s="230"/>
    </row>
    <row r="860" ht="15.75" customHeight="1">
      <c r="F860" s="230"/>
    </row>
    <row r="861" ht="15.75" customHeight="1">
      <c r="F861" s="230"/>
    </row>
    <row r="862" ht="15.75" customHeight="1">
      <c r="F862" s="230"/>
    </row>
    <row r="863" ht="15.75" customHeight="1">
      <c r="F863" s="230"/>
    </row>
    <row r="864" ht="15.75" customHeight="1">
      <c r="F864" s="230"/>
    </row>
    <row r="865" ht="15.75" customHeight="1">
      <c r="F865" s="230"/>
    </row>
    <row r="866" ht="15.75" customHeight="1">
      <c r="F866" s="230"/>
    </row>
    <row r="867" ht="15.75" customHeight="1">
      <c r="F867" s="230"/>
    </row>
    <row r="868" ht="15.75" customHeight="1">
      <c r="F868" s="230"/>
    </row>
    <row r="869" ht="15.75" customHeight="1">
      <c r="F869" s="230"/>
    </row>
    <row r="870" ht="15.75" customHeight="1">
      <c r="F870" s="230"/>
    </row>
    <row r="871" ht="15.75" customHeight="1">
      <c r="F871" s="230"/>
    </row>
    <row r="872" ht="15.75" customHeight="1">
      <c r="F872" s="230"/>
    </row>
    <row r="873" ht="15.75" customHeight="1">
      <c r="F873" s="230"/>
    </row>
    <row r="874" ht="15.75" customHeight="1">
      <c r="F874" s="230"/>
    </row>
    <row r="875" ht="15.75" customHeight="1">
      <c r="F875" s="230"/>
    </row>
    <row r="876" ht="15.75" customHeight="1">
      <c r="F876" s="230"/>
    </row>
    <row r="877" ht="15.75" customHeight="1">
      <c r="F877" s="230"/>
    </row>
    <row r="878" ht="15.75" customHeight="1">
      <c r="F878" s="230"/>
    </row>
    <row r="879" ht="15.75" customHeight="1">
      <c r="F879" s="230"/>
    </row>
    <row r="880" ht="15.75" customHeight="1">
      <c r="F880" s="230"/>
    </row>
    <row r="881" ht="15.75" customHeight="1">
      <c r="F881" s="230"/>
    </row>
    <row r="882" ht="15.75" customHeight="1">
      <c r="F882" s="230"/>
    </row>
    <row r="883" ht="15.75" customHeight="1">
      <c r="F883" s="230"/>
    </row>
    <row r="884" ht="15.75" customHeight="1">
      <c r="F884" s="230"/>
    </row>
    <row r="885" ht="15.75" customHeight="1">
      <c r="F885" s="230"/>
    </row>
    <row r="886" ht="15.75" customHeight="1">
      <c r="F886" s="230"/>
    </row>
    <row r="887" ht="15.75" customHeight="1">
      <c r="F887" s="230"/>
    </row>
    <row r="888" ht="15.75" customHeight="1">
      <c r="F888" s="230"/>
    </row>
    <row r="889" ht="15.75" customHeight="1">
      <c r="F889" s="230"/>
    </row>
    <row r="890" ht="15.75" customHeight="1">
      <c r="F890" s="230"/>
    </row>
    <row r="891" ht="15.75" customHeight="1">
      <c r="F891" s="230"/>
    </row>
    <row r="892" ht="15.75" customHeight="1">
      <c r="F892" s="230"/>
    </row>
    <row r="893" ht="15.75" customHeight="1">
      <c r="F893" s="230"/>
    </row>
    <row r="894" ht="15.75" customHeight="1">
      <c r="F894" s="230"/>
    </row>
    <row r="895" ht="15.75" customHeight="1">
      <c r="F895" s="230"/>
    </row>
    <row r="896" ht="15.75" customHeight="1">
      <c r="F896" s="230"/>
    </row>
    <row r="897" ht="15.75" customHeight="1">
      <c r="F897" s="230"/>
    </row>
    <row r="898" ht="15.75" customHeight="1">
      <c r="F898" s="230"/>
    </row>
    <row r="899" ht="15.75" customHeight="1">
      <c r="F899" s="230"/>
    </row>
    <row r="900" ht="15.75" customHeight="1">
      <c r="F900" s="230"/>
    </row>
    <row r="901" ht="15.75" customHeight="1">
      <c r="F901" s="230"/>
    </row>
    <row r="902" ht="15.75" customHeight="1">
      <c r="F902" s="230"/>
    </row>
    <row r="903" ht="15.75" customHeight="1">
      <c r="F903" s="230"/>
    </row>
    <row r="904" ht="15.75" customHeight="1">
      <c r="F904" s="230"/>
    </row>
    <row r="905" ht="15.75" customHeight="1">
      <c r="F905" s="230"/>
    </row>
    <row r="906" ht="15.75" customHeight="1">
      <c r="F906" s="230"/>
    </row>
    <row r="907" ht="15.75" customHeight="1">
      <c r="F907" s="230"/>
    </row>
    <row r="908" ht="15.75" customHeight="1">
      <c r="F908" s="230"/>
    </row>
    <row r="909" ht="15.75" customHeight="1">
      <c r="F909" s="230"/>
    </row>
    <row r="910" ht="15.75" customHeight="1">
      <c r="F910" s="230"/>
    </row>
    <row r="911" ht="15.75" customHeight="1">
      <c r="F911" s="230"/>
    </row>
    <row r="912" ht="15.75" customHeight="1">
      <c r="F912" s="230"/>
    </row>
    <row r="913" ht="15.75" customHeight="1">
      <c r="F913" s="230"/>
    </row>
    <row r="914" ht="15.75" customHeight="1">
      <c r="F914" s="230"/>
    </row>
    <row r="915" ht="15.75" customHeight="1">
      <c r="F915" s="230"/>
    </row>
    <row r="916" ht="15.75" customHeight="1">
      <c r="F916" s="230"/>
    </row>
    <row r="917" ht="15.75" customHeight="1">
      <c r="F917" s="230"/>
    </row>
    <row r="918" ht="15.75" customHeight="1">
      <c r="F918" s="230"/>
    </row>
    <row r="919" ht="15.75" customHeight="1">
      <c r="F919" s="230"/>
    </row>
    <row r="920" ht="15.75" customHeight="1">
      <c r="F920" s="230"/>
    </row>
    <row r="921" ht="15.75" customHeight="1">
      <c r="F921" s="230"/>
    </row>
    <row r="922" ht="15.75" customHeight="1">
      <c r="F922" s="230"/>
    </row>
    <row r="923" ht="15.75" customHeight="1">
      <c r="F923" s="230"/>
    </row>
    <row r="924" ht="15.75" customHeight="1">
      <c r="F924" s="230"/>
    </row>
    <row r="925" ht="15.75" customHeight="1">
      <c r="F925" s="230"/>
    </row>
    <row r="926" ht="15.75" customHeight="1">
      <c r="F926" s="230"/>
    </row>
    <row r="927" ht="15.75" customHeight="1">
      <c r="F927" s="230"/>
    </row>
    <row r="928" ht="15.75" customHeight="1">
      <c r="F928" s="230"/>
    </row>
    <row r="929" ht="15.75" customHeight="1">
      <c r="F929" s="230"/>
    </row>
    <row r="930" ht="15.75" customHeight="1">
      <c r="F930" s="230"/>
    </row>
    <row r="931" ht="15.75" customHeight="1">
      <c r="F931" s="230"/>
    </row>
    <row r="932" ht="15.75" customHeight="1">
      <c r="F932" s="230"/>
    </row>
    <row r="933" ht="15.75" customHeight="1">
      <c r="F933" s="230"/>
    </row>
    <row r="934" ht="15.75" customHeight="1">
      <c r="F934" s="230"/>
    </row>
    <row r="935" ht="15.75" customHeight="1">
      <c r="F935" s="230"/>
    </row>
    <row r="936" ht="15.75" customHeight="1">
      <c r="F936" s="230"/>
    </row>
    <row r="937" ht="15.75" customHeight="1">
      <c r="F937" s="230"/>
    </row>
    <row r="938" ht="15.75" customHeight="1">
      <c r="F938" s="230"/>
    </row>
    <row r="939" ht="15.75" customHeight="1">
      <c r="F939" s="230"/>
    </row>
    <row r="940" ht="15.75" customHeight="1">
      <c r="F940" s="230"/>
    </row>
    <row r="941" ht="15.75" customHeight="1">
      <c r="F941" s="230"/>
    </row>
    <row r="942" ht="15.75" customHeight="1">
      <c r="F942" s="230"/>
    </row>
    <row r="943" ht="15.75" customHeight="1">
      <c r="F943" s="230"/>
    </row>
    <row r="944" ht="15.75" customHeight="1">
      <c r="F944" s="230"/>
    </row>
    <row r="945" ht="15.75" customHeight="1">
      <c r="F945" s="230"/>
    </row>
    <row r="946" ht="15.75" customHeight="1">
      <c r="F946" s="230"/>
    </row>
    <row r="947" ht="15.75" customHeight="1">
      <c r="F947" s="230"/>
    </row>
    <row r="948" ht="15.75" customHeight="1">
      <c r="F948" s="230"/>
    </row>
    <row r="949" ht="15.75" customHeight="1">
      <c r="F949" s="230"/>
    </row>
    <row r="950" ht="15.75" customHeight="1">
      <c r="F950" s="230"/>
    </row>
    <row r="951" ht="15.75" customHeight="1">
      <c r="F951" s="230"/>
    </row>
    <row r="952" ht="15.75" customHeight="1">
      <c r="F952" s="230"/>
    </row>
    <row r="953" ht="15.75" customHeight="1">
      <c r="F953" s="230"/>
    </row>
    <row r="954" ht="15.75" customHeight="1">
      <c r="F954" s="230"/>
    </row>
    <row r="955" ht="15.75" customHeight="1">
      <c r="F955" s="230"/>
    </row>
    <row r="956" ht="15.75" customHeight="1">
      <c r="F956" s="230"/>
    </row>
    <row r="957" ht="15.75" customHeight="1">
      <c r="F957" s="230"/>
    </row>
    <row r="958" ht="15.75" customHeight="1">
      <c r="F958" s="230"/>
    </row>
    <row r="959" ht="15.75" customHeight="1">
      <c r="F959" s="230"/>
    </row>
    <row r="960" ht="15.75" customHeight="1">
      <c r="F960" s="230"/>
    </row>
    <row r="961" ht="15.75" customHeight="1">
      <c r="F961" s="230"/>
    </row>
    <row r="962" ht="15.75" customHeight="1">
      <c r="F962" s="230"/>
    </row>
    <row r="963" ht="15.75" customHeight="1">
      <c r="F963" s="230"/>
    </row>
    <row r="964" ht="15.75" customHeight="1">
      <c r="F964" s="230"/>
    </row>
    <row r="965" ht="15.75" customHeight="1">
      <c r="F965" s="230"/>
    </row>
    <row r="966" ht="15.75" customHeight="1">
      <c r="F966" s="230"/>
    </row>
    <row r="967" ht="15.75" customHeight="1">
      <c r="F967" s="230"/>
    </row>
    <row r="968" ht="15.75" customHeight="1">
      <c r="F968" s="230"/>
    </row>
    <row r="969" ht="15.75" customHeight="1">
      <c r="F969" s="230"/>
    </row>
    <row r="970" ht="15.75" customHeight="1">
      <c r="F970" s="230"/>
    </row>
    <row r="971" ht="15.75" customHeight="1">
      <c r="F971" s="230"/>
    </row>
    <row r="972" ht="15.75" customHeight="1">
      <c r="F972" s="230"/>
    </row>
    <row r="973" ht="15.75" customHeight="1">
      <c r="F973" s="230"/>
    </row>
    <row r="974" ht="15.75" customHeight="1">
      <c r="F974" s="230"/>
    </row>
    <row r="975" ht="15.75" customHeight="1">
      <c r="F975" s="230"/>
    </row>
    <row r="976" ht="15.75" customHeight="1">
      <c r="F976" s="230"/>
    </row>
    <row r="977" ht="15.75" customHeight="1">
      <c r="F977" s="230"/>
    </row>
    <row r="978" ht="15.75" customHeight="1">
      <c r="F978" s="230"/>
    </row>
    <row r="979" ht="15.75" customHeight="1">
      <c r="F979" s="230"/>
    </row>
    <row r="980" ht="15.75" customHeight="1">
      <c r="F980" s="230"/>
    </row>
    <row r="981" ht="15.75" customHeight="1">
      <c r="F981" s="230"/>
    </row>
    <row r="982" ht="15.75" customHeight="1">
      <c r="F982" s="230"/>
    </row>
    <row r="983" ht="15.75" customHeight="1">
      <c r="F983" s="230"/>
    </row>
    <row r="984" ht="15.75" customHeight="1">
      <c r="F984" s="230"/>
    </row>
    <row r="985" ht="15.75" customHeight="1">
      <c r="F985" s="230"/>
    </row>
    <row r="986" ht="15.75" customHeight="1">
      <c r="F986" s="230"/>
    </row>
    <row r="987" ht="15.75" customHeight="1">
      <c r="F987" s="230"/>
    </row>
    <row r="988" ht="15.75" customHeight="1">
      <c r="F988" s="230"/>
    </row>
    <row r="989" ht="15.75" customHeight="1">
      <c r="F989" s="230"/>
    </row>
    <row r="990" ht="15.75" customHeight="1">
      <c r="F990" s="230"/>
    </row>
    <row r="991" ht="15.75" customHeight="1">
      <c r="F991" s="230"/>
    </row>
    <row r="992" ht="15.75" customHeight="1">
      <c r="F992" s="230"/>
    </row>
    <row r="993" ht="15.75" customHeight="1">
      <c r="F993" s="230"/>
    </row>
    <row r="994" ht="15.75" customHeight="1">
      <c r="F994" s="230"/>
    </row>
    <row r="995" ht="15.75" customHeight="1">
      <c r="F995" s="230"/>
    </row>
    <row r="996" ht="15.75" customHeight="1">
      <c r="F996" s="230"/>
    </row>
    <row r="997" ht="15.75" customHeight="1">
      <c r="F997" s="230"/>
    </row>
    <row r="998" ht="15.75" customHeight="1">
      <c r="F998" s="230"/>
    </row>
    <row r="999" ht="15.75" customHeight="1">
      <c r="F999" s="230"/>
    </row>
    <row r="1000" ht="15.75" customHeight="1">
      <c r="F1000" s="230"/>
    </row>
  </sheetData>
  <dataValidations>
    <dataValidation type="custom" allowBlank="1" showDropDown="1" sqref="B2:B4 D2:D4 H2:J4">
      <formula1>AND(ISNUMBER(B2),(NOT(OR(NOT(ISERROR(DATEVALUE(B2))), AND(ISNUMBER(B2), LEFT(CELL("format", B2))="D")))))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A7D6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43"/>
    <col customWidth="1" min="2" max="2" width="28.86"/>
    <col customWidth="1" min="3" max="4" width="12.14"/>
    <col customWidth="1" min="5" max="5" width="19.0"/>
    <col customWidth="1" min="6" max="26" width="8.71"/>
  </cols>
  <sheetData>
    <row r="1">
      <c r="A1" s="1" t="s">
        <v>961</v>
      </c>
      <c r="B1" s="2" t="s">
        <v>962</v>
      </c>
      <c r="C1" s="2" t="s">
        <v>963</v>
      </c>
      <c r="D1" s="2" t="s">
        <v>525</v>
      </c>
      <c r="E1" s="388" t="s">
        <v>947</v>
      </c>
    </row>
    <row r="2">
      <c r="A2" s="268">
        <v>1.0</v>
      </c>
      <c r="B2" s="415">
        <v>45848.0</v>
      </c>
      <c r="C2" s="50">
        <v>490000.0</v>
      </c>
      <c r="D2" s="50" t="s">
        <v>950</v>
      </c>
    </row>
    <row r="3">
      <c r="A3" s="304">
        <v>2.0</v>
      </c>
      <c r="B3" s="416">
        <v>45879.0</v>
      </c>
      <c r="C3" s="51">
        <v>490000.0</v>
      </c>
      <c r="D3" s="98" t="s">
        <v>950</v>
      </c>
      <c r="E3" s="234"/>
    </row>
    <row r="4">
      <c r="A4" s="303">
        <v>3.0</v>
      </c>
      <c r="B4" s="415">
        <v>45910.0</v>
      </c>
      <c r="C4" s="50">
        <v>490000.0</v>
      </c>
      <c r="D4" s="236"/>
      <c r="E4" s="237"/>
    </row>
    <row r="5">
      <c r="A5" s="304">
        <v>4.0</v>
      </c>
      <c r="B5" s="416">
        <v>45940.0</v>
      </c>
      <c r="C5" s="51">
        <v>490000.0</v>
      </c>
      <c r="D5" s="233"/>
      <c r="E5" s="234"/>
    </row>
    <row r="6">
      <c r="A6" s="303">
        <v>5.0</v>
      </c>
      <c r="B6" s="415">
        <v>45971.0</v>
      </c>
      <c r="C6" s="50">
        <v>490000.0</v>
      </c>
      <c r="D6" s="236"/>
      <c r="E6" s="237"/>
    </row>
    <row r="7">
      <c r="A7" s="304">
        <v>6.0</v>
      </c>
      <c r="B7" s="416">
        <v>46001.0</v>
      </c>
      <c r="C7" s="51">
        <v>490000.0</v>
      </c>
      <c r="D7" s="233"/>
      <c r="E7" s="234"/>
    </row>
    <row r="8">
      <c r="A8" s="303">
        <v>7.0</v>
      </c>
      <c r="B8" s="415">
        <v>46032.0</v>
      </c>
      <c r="C8" s="50">
        <v>490000.0</v>
      </c>
      <c r="D8" s="236"/>
      <c r="E8" s="237"/>
    </row>
    <row r="9">
      <c r="A9" s="304">
        <v>8.0</v>
      </c>
      <c r="B9" s="416">
        <v>46063.0</v>
      </c>
      <c r="C9" s="51">
        <v>490000.0</v>
      </c>
      <c r="D9" s="233"/>
      <c r="E9" s="234"/>
    </row>
    <row r="10">
      <c r="A10" s="417">
        <v>9.0</v>
      </c>
      <c r="B10" s="418">
        <v>46091.0</v>
      </c>
      <c r="C10" s="419">
        <v>490000.0</v>
      </c>
      <c r="D10" s="240"/>
      <c r="E10" s="24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B2:B10">
      <formula1>OR(NOT(ISERROR(DATEVALUE(B2))), AND(ISNUMBER(B2), LEFT(CELL("format", B2))="D"))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14"/>
    <col customWidth="1" min="2" max="2" width="11.71"/>
    <col customWidth="1" min="3" max="3" width="10.43"/>
    <col customWidth="1" min="4" max="4" width="48.71"/>
    <col customWidth="1" min="5" max="5" width="7.57"/>
    <col customWidth="1" min="6" max="6" width="15.71"/>
    <col customWidth="1" min="10" max="10" width="20.14"/>
  </cols>
  <sheetData>
    <row r="1" ht="22.5" customHeight="1">
      <c r="A1" s="16" t="s">
        <v>0</v>
      </c>
      <c r="B1" s="17" t="s">
        <v>12</v>
      </c>
      <c r="C1" s="17" t="s">
        <v>13</v>
      </c>
      <c r="D1" s="17" t="s">
        <v>14</v>
      </c>
      <c r="E1" s="18" t="s">
        <v>15</v>
      </c>
      <c r="F1" s="18" t="s">
        <v>16</v>
      </c>
      <c r="G1" s="19" t="s">
        <v>17</v>
      </c>
      <c r="H1" s="19" t="s">
        <v>18</v>
      </c>
      <c r="I1" s="19" t="s">
        <v>19</v>
      </c>
      <c r="J1" s="20" t="s">
        <v>20</v>
      </c>
    </row>
    <row r="2" hidden="1">
      <c r="A2" s="21">
        <v>45828.0</v>
      </c>
      <c r="B2" s="22" t="s">
        <v>21</v>
      </c>
      <c r="C2" s="23">
        <v>226.0</v>
      </c>
      <c r="D2" s="22" t="str">
        <f>IF('Ventas diarias'!$C$2:$C$17="","",VLOOKUP('Ventas diarias'!$C$2:$C$17,'Stock inicial'!A:D,2,FALSE))</f>
        <v>GATI GATO CARNE Y POLLO</v>
      </c>
      <c r="E2" s="24">
        <v>1.0</v>
      </c>
      <c r="F2" s="24">
        <v>2700.0</v>
      </c>
      <c r="G2" s="25">
        <f>VLOOKUP( C2 , 'Stock inicial'!$A:$F , 5 , FALSE )</f>
        <v>2073.33</v>
      </c>
      <c r="H2" s="25">
        <f t="shared" ref="H2:H294" si="1">G2*E2</f>
        <v>2073.33</v>
      </c>
      <c r="I2" s="26">
        <v>2700.0</v>
      </c>
      <c r="J2" s="24" t="s">
        <v>3</v>
      </c>
    </row>
    <row r="3" hidden="1">
      <c r="A3" s="21"/>
      <c r="B3" s="22"/>
      <c r="C3" s="23">
        <v>212.0</v>
      </c>
      <c r="D3" s="22" t="str">
        <f>IF('Ventas diarias'!$C$2:$C$17="","",VLOOKUP('Ventas diarias'!$C$2:$C$17,'Stock inicial'!A:D,2,FALSE))</f>
        <v>DOGPRO ADULTO MORDIDA PEQUEñA XKG</v>
      </c>
      <c r="E3" s="24">
        <v>1.0</v>
      </c>
      <c r="F3" s="24">
        <v>0.0</v>
      </c>
      <c r="G3" s="25">
        <v>2778.13</v>
      </c>
      <c r="H3" s="25">
        <f t="shared" si="1"/>
        <v>2778.13</v>
      </c>
      <c r="I3" s="26">
        <v>0.0</v>
      </c>
      <c r="J3" s="24">
        <v>0.0</v>
      </c>
    </row>
    <row r="4" hidden="1">
      <c r="A4" s="21">
        <v>45829.0</v>
      </c>
      <c r="B4" s="22" t="s">
        <v>22</v>
      </c>
      <c r="C4" s="23">
        <v>226.0</v>
      </c>
      <c r="D4" s="22" t="str">
        <f>IF('Ventas diarias'!$C$2:$C$17="","",VLOOKUP('Ventas diarias'!$C$2:$C$17,'Stock inicial'!A:D,2,FALSE))</f>
        <v>GATI GATO CARNE Y POLLO</v>
      </c>
      <c r="E4" s="24">
        <v>2.0</v>
      </c>
      <c r="F4" s="24">
        <v>2500.0</v>
      </c>
      <c r="G4" s="25">
        <v>2073.33</v>
      </c>
      <c r="H4" s="25">
        <f t="shared" si="1"/>
        <v>4146.66</v>
      </c>
      <c r="I4" s="26">
        <v>5000.0</v>
      </c>
      <c r="J4" s="24" t="s">
        <v>3</v>
      </c>
    </row>
    <row r="5" hidden="1">
      <c r="A5" s="21">
        <v>45829.0</v>
      </c>
      <c r="B5" s="22" t="s">
        <v>23</v>
      </c>
      <c r="C5" s="23">
        <v>245.0</v>
      </c>
      <c r="D5" s="22" t="str">
        <f>IF('Ventas diarias'!$C$2:$C$17="","",VLOOKUP('Ventas diarias'!$C$2:$C$17,'Stock inicial'!A:D,2,FALSE))</f>
        <v>ARIEL ECO (VERDE) 1L</v>
      </c>
      <c r="E5" s="24">
        <v>1.0</v>
      </c>
      <c r="F5" s="24">
        <v>890.0</v>
      </c>
      <c r="G5" s="25">
        <v>228.6</v>
      </c>
      <c r="H5" s="25">
        <f t="shared" si="1"/>
        <v>228.6</v>
      </c>
      <c r="I5" s="26">
        <v>890.0</v>
      </c>
      <c r="J5" s="24" t="s">
        <v>3</v>
      </c>
    </row>
    <row r="6" hidden="1">
      <c r="A6" s="21">
        <v>45829.0</v>
      </c>
      <c r="B6" s="22"/>
      <c r="C6" s="23">
        <v>255.0</v>
      </c>
      <c r="D6" s="22" t="str">
        <f>IF('Ventas diarias'!$C$2:$C$17="","",VLOOKUP('Ventas diarias'!$C$2:$C$17,'Stock inicial'!A:D,2,FALSE))</f>
        <v>VIVERE EXT. PERF. (CELESTE) 1L</v>
      </c>
      <c r="E6" s="24">
        <v>1.0</v>
      </c>
      <c r="F6" s="24">
        <v>1299.0</v>
      </c>
      <c r="G6" s="25">
        <v>354.0</v>
      </c>
      <c r="H6" s="25">
        <f t="shared" si="1"/>
        <v>354</v>
      </c>
      <c r="I6" s="26">
        <v>1299.0</v>
      </c>
      <c r="J6" s="24" t="s">
        <v>3</v>
      </c>
    </row>
    <row r="7" hidden="1">
      <c r="A7" s="21">
        <v>45829.0</v>
      </c>
      <c r="B7" s="22"/>
      <c r="C7" s="23">
        <v>283.0</v>
      </c>
      <c r="D7" s="22" t="str">
        <f>IF('Ventas diarias'!$C$2:$C$17="","",VLOOKUP('Ventas diarias'!$C$2:$C$17,'Stock inicial'!A:D,2,FALSE))</f>
        <v>TICKET ROPA 1L</v>
      </c>
      <c r="E7" s="24">
        <v>1.0</v>
      </c>
      <c r="F7" s="24">
        <v>999.0</v>
      </c>
      <c r="G7" s="25">
        <v>179.5</v>
      </c>
      <c r="H7" s="25">
        <f t="shared" si="1"/>
        <v>179.5</v>
      </c>
      <c r="I7" s="26">
        <v>999.0</v>
      </c>
      <c r="J7" s="24" t="s">
        <v>3</v>
      </c>
    </row>
    <row r="8" hidden="1">
      <c r="A8" s="21">
        <v>45829.0</v>
      </c>
      <c r="B8" s="22"/>
      <c r="C8" s="23">
        <v>299.0</v>
      </c>
      <c r="D8" s="22" t="str">
        <f>IF('Ventas diarias'!$C$2:$C$17="","",VLOOKUP('Ventas diarias'!$C$2:$C$17,'Stock inicial'!A:D,2,FALSE))</f>
        <v>ESCOBA PLUMITA ECO</v>
      </c>
      <c r="E8" s="24">
        <v>1.0</v>
      </c>
      <c r="F8" s="24">
        <v>1990.0</v>
      </c>
      <c r="G8" s="25">
        <v>1374.0</v>
      </c>
      <c r="H8" s="25">
        <f t="shared" si="1"/>
        <v>1374</v>
      </c>
      <c r="I8" s="26">
        <v>1990.0</v>
      </c>
      <c r="J8" s="24" t="s">
        <v>3</v>
      </c>
    </row>
    <row r="9" ht="39.0" hidden="1" customHeight="1">
      <c r="A9" s="21">
        <v>45829.0</v>
      </c>
      <c r="B9" s="22" t="s">
        <v>24</v>
      </c>
      <c r="C9" s="23">
        <v>304.0</v>
      </c>
      <c r="D9" s="22" t="str">
        <f>IF('Ventas diarias'!$C$2:$C$17="","",VLOOKUP('Ventas diarias'!$C$2:$C$17,'Stock inicial'!A:D,2,FALSE))</f>
        <v>LYSOFORM AEROSOL X 360 ORGINAL</v>
      </c>
      <c r="E9" s="24">
        <v>1.0</v>
      </c>
      <c r="F9" s="24">
        <v>3900.0</v>
      </c>
      <c r="G9" s="25">
        <v>3450.0</v>
      </c>
      <c r="H9" s="25">
        <f t="shared" si="1"/>
        <v>3450</v>
      </c>
      <c r="I9" s="26">
        <v>3900.0</v>
      </c>
      <c r="J9" s="24" t="s">
        <v>3</v>
      </c>
    </row>
    <row r="10" hidden="1">
      <c r="A10" s="21">
        <v>45829.0</v>
      </c>
      <c r="B10" s="22" t="s">
        <v>25</v>
      </c>
      <c r="C10" s="23" t="s">
        <v>26</v>
      </c>
      <c r="D10" s="22" t="s">
        <v>27</v>
      </c>
      <c r="E10" s="24">
        <v>1.0</v>
      </c>
      <c r="F10" s="24">
        <v>16000.0</v>
      </c>
      <c r="G10" s="27">
        <v>0.0</v>
      </c>
      <c r="H10" s="27">
        <f t="shared" si="1"/>
        <v>0</v>
      </c>
      <c r="I10" s="26">
        <v>16000.0</v>
      </c>
      <c r="J10" s="24" t="s">
        <v>11</v>
      </c>
    </row>
    <row r="11" hidden="1">
      <c r="A11" s="21">
        <v>45829.0</v>
      </c>
      <c r="B11" s="22" t="s">
        <v>28</v>
      </c>
      <c r="C11" s="23">
        <v>250.0</v>
      </c>
      <c r="D11" s="22" t="str">
        <f>IF('Ventas diarias'!$C$2:$C$17="","",VLOOKUP('Ventas diarias'!$C$2:$C$17,'Stock inicial'!A:D,2,FALSE))</f>
        <v>ARIEL. EXT. PERF. (VERDE CON SUAVIZANTE) 5L</v>
      </c>
      <c r="E11" s="24">
        <v>1.0</v>
      </c>
      <c r="F11" s="24">
        <v>4500.0</v>
      </c>
      <c r="G11" s="25">
        <v>2430.0</v>
      </c>
      <c r="H11" s="25">
        <f t="shared" si="1"/>
        <v>2430</v>
      </c>
      <c r="I11" s="26">
        <v>4500.0</v>
      </c>
      <c r="J11" s="24" t="s">
        <v>11</v>
      </c>
    </row>
    <row r="12" hidden="1">
      <c r="A12" s="21">
        <v>45829.0</v>
      </c>
      <c r="B12" s="22"/>
      <c r="C12" s="23">
        <v>302.0</v>
      </c>
      <c r="D12" s="22" t="str">
        <f>IF('Ventas diarias'!$C$2:$C$17="","",VLOOKUP('Ventas diarias'!$C$2:$C$17,'Stock inicial'!A:D,2,FALSE))</f>
        <v>GUANTES BATUQUE</v>
      </c>
      <c r="E12" s="24">
        <v>1.0</v>
      </c>
      <c r="F12" s="24" t="s">
        <v>29</v>
      </c>
      <c r="G12" s="25">
        <v>1250.0</v>
      </c>
      <c r="H12" s="25">
        <f t="shared" si="1"/>
        <v>1250</v>
      </c>
      <c r="I12" s="24">
        <v>0.0</v>
      </c>
      <c r="J12" s="24"/>
    </row>
    <row r="13" hidden="1">
      <c r="A13" s="21">
        <v>45829.0</v>
      </c>
      <c r="B13" s="22" t="s">
        <v>30</v>
      </c>
      <c r="C13" s="23">
        <v>288.0</v>
      </c>
      <c r="D13" s="22" t="str">
        <f>IF('Ventas diarias'!$C$2:$C$17="","",VLOOKUP('Ventas diarias'!$C$2:$C$17,'Stock inicial'!A:D,2,FALSE))</f>
        <v>ACONDICIONADOR PANTENE 1/2L</v>
      </c>
      <c r="E13" s="24">
        <v>1.0</v>
      </c>
      <c r="F13" s="24">
        <v>1499.0</v>
      </c>
      <c r="G13" s="25">
        <v>225.0</v>
      </c>
      <c r="H13" s="25">
        <f t="shared" si="1"/>
        <v>225</v>
      </c>
      <c r="I13" s="26">
        <v>1499.0</v>
      </c>
      <c r="J13" s="24" t="s">
        <v>3</v>
      </c>
    </row>
    <row r="14" hidden="1">
      <c r="A14" s="21">
        <v>45829.0</v>
      </c>
      <c r="B14" s="22"/>
      <c r="C14" s="23">
        <v>287.0</v>
      </c>
      <c r="D14" s="22" t="str">
        <f>IF('Ventas diarias'!$C$2:$C$17="","",VLOOKUP('Ventas diarias'!$C$2:$C$17,'Stock inicial'!A:D,2,FALSE))</f>
        <v>SHAMPOO DOVE 1/2L</v>
      </c>
      <c r="E14" s="24">
        <v>1.0</v>
      </c>
      <c r="F14" s="24">
        <v>1499.0</v>
      </c>
      <c r="G14" s="25">
        <v>225.0</v>
      </c>
      <c r="H14" s="25">
        <f t="shared" si="1"/>
        <v>225</v>
      </c>
      <c r="I14" s="26">
        <v>1499.0</v>
      </c>
      <c r="J14" s="24" t="s">
        <v>3</v>
      </c>
    </row>
    <row r="15" hidden="1">
      <c r="A15" s="21">
        <v>45829.0</v>
      </c>
      <c r="B15" s="22" t="s">
        <v>31</v>
      </c>
      <c r="C15" s="23">
        <v>256.0</v>
      </c>
      <c r="D15" s="22" t="str">
        <f>IF('Ventas diarias'!$C$2:$C$17="","",VLOOKUP('Ventas diarias'!$C$2:$C$17,'Stock inicial'!A:D,2,FALSE))</f>
        <v>VIVERE EXT. PERF. (CELESTE) 5L</v>
      </c>
      <c r="E15" s="24">
        <v>1.0</v>
      </c>
      <c r="F15" s="24">
        <v>3499.0</v>
      </c>
      <c r="G15" s="25">
        <v>1770.0</v>
      </c>
      <c r="H15" s="25">
        <f t="shared" si="1"/>
        <v>1770</v>
      </c>
      <c r="I15" s="26">
        <v>3499.0</v>
      </c>
      <c r="J15" s="24" t="s">
        <v>3</v>
      </c>
    </row>
    <row r="16" hidden="1">
      <c r="A16" s="21">
        <v>45829.0</v>
      </c>
      <c r="B16" s="22" t="s">
        <v>32</v>
      </c>
      <c r="C16" s="23">
        <v>357.0</v>
      </c>
      <c r="D16" s="22" t="str">
        <f>IF('Ventas diarias'!$C$2:$C$17="","",VLOOKUP('Ventas diarias'!$C$2:$C$17,'Stock inicial'!A:D,2,FALSE))</f>
        <v>PAPEL HIGIENICO "ELEGANTE"</v>
      </c>
      <c r="E16" s="24">
        <v>1.0</v>
      </c>
      <c r="F16" s="24">
        <v>1500.0</v>
      </c>
      <c r="G16" s="25">
        <v>1299.0</v>
      </c>
      <c r="H16" s="25">
        <f t="shared" si="1"/>
        <v>1299</v>
      </c>
      <c r="I16" s="26">
        <v>1500.0</v>
      </c>
      <c r="J16" s="24" t="s">
        <v>3</v>
      </c>
    </row>
    <row r="17" hidden="1">
      <c r="A17" s="28">
        <v>45829.0</v>
      </c>
      <c r="B17" s="29" t="s">
        <v>33</v>
      </c>
      <c r="C17" s="30">
        <v>284.0</v>
      </c>
      <c r="D17" s="22" t="str">
        <f>IF(Tabla_3[COD]="","",VLOOKUP('Ventas diarias'!$C$2:$C$17,'Stock inicial'!A:D,2,FALSE))</f>
        <v>VAINILLA/COCO ROPA 1L</v>
      </c>
      <c r="E17" s="31">
        <v>1.0</v>
      </c>
      <c r="F17" s="31">
        <v>1000.0</v>
      </c>
      <c r="G17" s="25">
        <v>179.5</v>
      </c>
      <c r="H17" s="32">
        <f t="shared" si="1"/>
        <v>179.5</v>
      </c>
      <c r="I17" s="33">
        <v>1000.0</v>
      </c>
      <c r="J17" s="31" t="s">
        <v>3</v>
      </c>
    </row>
    <row r="18" hidden="1">
      <c r="A18" s="28">
        <v>45831.0</v>
      </c>
      <c r="B18" s="29" t="s">
        <v>34</v>
      </c>
      <c r="C18" s="30">
        <v>223.0</v>
      </c>
      <c r="D18" s="22" t="str">
        <f>IF(Tabla_3[COD]="","",VLOOKUP(Tabla_3[COD],'Stock inicial'!A:D,2,FALSE))</f>
        <v>VORAZ PERRO ADULTO MIX</v>
      </c>
      <c r="E18" s="34">
        <v>3.0</v>
      </c>
      <c r="F18" s="34">
        <v>1100.0</v>
      </c>
      <c r="G18" s="25">
        <v>819.5</v>
      </c>
      <c r="H18" s="35">
        <f t="shared" si="1"/>
        <v>2458.5</v>
      </c>
      <c r="I18" s="36">
        <v>3300.0</v>
      </c>
      <c r="J18" s="34" t="s">
        <v>3</v>
      </c>
    </row>
    <row r="19" hidden="1">
      <c r="A19" s="28">
        <v>45831.0</v>
      </c>
      <c r="B19" s="29" t="s">
        <v>35</v>
      </c>
      <c r="C19" s="30">
        <v>250.0</v>
      </c>
      <c r="D19" s="22" t="str">
        <f>IF(Tabla_3[COD]="","",VLOOKUP(Tabla_3[COD],'Stock inicial'!A:D,2,FALSE))</f>
        <v>ARIEL. EXT. PERF. (VERDE CON SUAVIZANTE) 5L</v>
      </c>
      <c r="E19" s="31">
        <v>1.0</v>
      </c>
      <c r="F19" s="31">
        <v>4000.0</v>
      </c>
      <c r="G19" s="25">
        <v>2430.0</v>
      </c>
      <c r="H19" s="32">
        <f t="shared" si="1"/>
        <v>2430</v>
      </c>
      <c r="I19" s="33">
        <v>4000.0</v>
      </c>
      <c r="J19" s="31" t="s">
        <v>3</v>
      </c>
    </row>
    <row r="20" hidden="1">
      <c r="A20" s="28">
        <v>45831.0</v>
      </c>
      <c r="B20" s="29" t="s">
        <v>36</v>
      </c>
      <c r="C20" s="30">
        <v>246.0</v>
      </c>
      <c r="D20" s="22" t="str">
        <f>IF(Tabla_3[COD]="","",VLOOKUP(Tabla_3[COD],'Stock inicial'!A:D,2,FALSE))</f>
        <v>ARIEL ECO (VERDE) 5L</v>
      </c>
      <c r="E20" s="34">
        <v>1.0</v>
      </c>
      <c r="F20" s="34">
        <v>2000.0</v>
      </c>
      <c r="G20" s="25">
        <v>1143.0</v>
      </c>
      <c r="H20" s="35">
        <f t="shared" si="1"/>
        <v>1143</v>
      </c>
      <c r="I20" s="36">
        <v>2000.0</v>
      </c>
      <c r="J20" s="34" t="s">
        <v>3</v>
      </c>
    </row>
    <row r="21" hidden="1">
      <c r="A21" s="28">
        <v>45831.0</v>
      </c>
      <c r="B21" s="29" t="s">
        <v>37</v>
      </c>
      <c r="C21" s="30">
        <v>286.0</v>
      </c>
      <c r="D21" s="22" t="str">
        <f>IF(Tabla_3[COD]="","",VLOOKUP(Tabla_3[COD],'Stock inicial'!A:D,2,FALSE))</f>
        <v>JABON LIQUIDO ESPADOL P/MANOS 1/2L</v>
      </c>
      <c r="E21" s="31">
        <v>1.0</v>
      </c>
      <c r="F21" s="31">
        <v>1000.0</v>
      </c>
      <c r="G21" s="25">
        <v>199.0</v>
      </c>
      <c r="H21" s="32">
        <f t="shared" si="1"/>
        <v>199</v>
      </c>
      <c r="I21" s="33">
        <v>1000.0</v>
      </c>
      <c r="J21" s="31" t="s">
        <v>3</v>
      </c>
    </row>
    <row r="22" hidden="1">
      <c r="A22" s="28">
        <v>45831.0</v>
      </c>
      <c r="B22" s="29" t="s">
        <v>38</v>
      </c>
      <c r="C22" s="30">
        <v>212.0</v>
      </c>
      <c r="D22" s="22" t="str">
        <f>IF(Tabla_3[COD]="","",VLOOKUP(Tabla_3[COD],'Stock inicial'!A:D,2,FALSE))</f>
        <v>DOGPRO ADULTO MORDIDA PEQUEñA XKG</v>
      </c>
      <c r="E22" s="34">
        <v>1.0</v>
      </c>
      <c r="F22" s="34">
        <v>3700.0</v>
      </c>
      <c r="G22" s="25">
        <v>2778.13</v>
      </c>
      <c r="H22" s="35">
        <f t="shared" si="1"/>
        <v>2778.13</v>
      </c>
      <c r="I22" s="36">
        <v>3700.0</v>
      </c>
      <c r="J22" s="34" t="s">
        <v>3</v>
      </c>
    </row>
    <row r="23" hidden="1">
      <c r="A23" s="28">
        <v>45831.0</v>
      </c>
      <c r="B23" s="29" t="s">
        <v>39</v>
      </c>
      <c r="C23" s="30">
        <v>247.0</v>
      </c>
      <c r="D23" s="22" t="str">
        <f>IF(Tabla_3[COD]="","",VLOOKUP(Tabla_3[COD],'Stock inicial'!A:D,2,FALSE))</f>
        <v>ARIEL PREMIUM (VERDE) 1L</v>
      </c>
      <c r="E23" s="31">
        <v>1.0</v>
      </c>
      <c r="F23" s="31">
        <v>1050.0</v>
      </c>
      <c r="G23" s="25">
        <v>323.1</v>
      </c>
      <c r="H23" s="32">
        <f t="shared" si="1"/>
        <v>323.1</v>
      </c>
      <c r="I23" s="33">
        <v>1050.0</v>
      </c>
      <c r="J23" s="31" t="s">
        <v>11</v>
      </c>
    </row>
    <row r="24" hidden="1">
      <c r="A24" s="28">
        <v>45831.0</v>
      </c>
      <c r="B24" s="29"/>
      <c r="C24" s="30">
        <v>253.0</v>
      </c>
      <c r="D24" s="22" t="str">
        <f>IF(Tabla_3[COD]="","",VLOOKUP(Tabla_3[COD],'Stock inicial'!A:D,2,FALSE))</f>
        <v>COMFORT PREMIUM (ROSA) 1L</v>
      </c>
      <c r="E24" s="34">
        <v>1.0</v>
      </c>
      <c r="F24" s="34">
        <v>1200.0</v>
      </c>
      <c r="G24" s="25">
        <v>324.0</v>
      </c>
      <c r="H24" s="35">
        <f t="shared" si="1"/>
        <v>324</v>
      </c>
      <c r="I24" s="36">
        <v>1200.0</v>
      </c>
      <c r="J24" s="34" t="s">
        <v>11</v>
      </c>
    </row>
    <row r="25" hidden="1">
      <c r="A25" s="28">
        <v>45831.0</v>
      </c>
      <c r="B25" s="29" t="s">
        <v>40</v>
      </c>
      <c r="C25" s="30">
        <v>162.0</v>
      </c>
      <c r="D25" s="22" t="str">
        <f>IF(Tabla_3[COD]="","",VLOOKUP(Tabla_3[COD],'Stock inicial'!A:D,2,FALSE))</f>
        <v>PIEDRA SANITARIA THEBEST X20KG</v>
      </c>
      <c r="E25" s="31">
        <v>3.45</v>
      </c>
      <c r="F25" s="31">
        <v>580.0</v>
      </c>
      <c r="G25" s="25">
        <v>430.0</v>
      </c>
      <c r="H25" s="32">
        <f t="shared" si="1"/>
        <v>1483.5</v>
      </c>
      <c r="I25" s="33">
        <v>2001.0</v>
      </c>
      <c r="J25" s="31" t="s">
        <v>3</v>
      </c>
    </row>
    <row r="26" hidden="1">
      <c r="A26" s="28">
        <v>45832.0</v>
      </c>
      <c r="B26" s="29" t="s">
        <v>41</v>
      </c>
      <c r="C26" s="30">
        <v>290.0</v>
      </c>
      <c r="D26" s="22" t="str">
        <f>IF(Tabla_3[COD]="","",VLOOKUP(Tabla_3[COD],'Stock inicial'!A:D,2,FALSE))</f>
        <v>LAVANDINA 5L</v>
      </c>
      <c r="E26" s="34">
        <v>1.0</v>
      </c>
      <c r="F26" s="34">
        <v>1999.0</v>
      </c>
      <c r="G26" s="25">
        <v>1080.0</v>
      </c>
      <c r="H26" s="35">
        <f t="shared" si="1"/>
        <v>1080</v>
      </c>
      <c r="I26" s="36">
        <v>1999.0</v>
      </c>
      <c r="J26" s="34" t="s">
        <v>3</v>
      </c>
    </row>
    <row r="27" hidden="1">
      <c r="A27" s="28">
        <v>45832.0</v>
      </c>
      <c r="B27" s="29"/>
      <c r="C27" s="30">
        <v>326.0</v>
      </c>
      <c r="D27" s="22" t="str">
        <f>IF(Tabla_3[COD]="","",VLOOKUP(Tabla_3[COD],'Stock inicial'!A:D,2,FALSE))</f>
        <v>REJILLA LAVACOCHE 45X60CM</v>
      </c>
      <c r="E27" s="31">
        <v>1.0</v>
      </c>
      <c r="F27" s="31" t="s">
        <v>29</v>
      </c>
      <c r="G27" s="25"/>
      <c r="H27" s="32">
        <f t="shared" si="1"/>
        <v>0</v>
      </c>
      <c r="I27" s="37">
        <v>0.0</v>
      </c>
      <c r="J27" s="31"/>
    </row>
    <row r="28" hidden="1">
      <c r="A28" s="28">
        <v>45832.0</v>
      </c>
      <c r="B28" s="29"/>
      <c r="C28" s="30">
        <v>251.0</v>
      </c>
      <c r="D28" s="22" t="str">
        <f>IF(Tabla_3[COD]="","",VLOOKUP(Tabla_3[COD],'Stock inicial'!A:D,2,FALSE))</f>
        <v>VIVERE ECO (CELESTE) 1L</v>
      </c>
      <c r="E28" s="34">
        <v>1.0</v>
      </c>
      <c r="F28" s="34" t="s">
        <v>29</v>
      </c>
      <c r="G28" s="25"/>
      <c r="H28" s="35">
        <f t="shared" si="1"/>
        <v>0</v>
      </c>
      <c r="I28" s="38">
        <v>0.0</v>
      </c>
      <c r="J28" s="34"/>
    </row>
    <row r="29" hidden="1">
      <c r="A29" s="28">
        <v>45832.0</v>
      </c>
      <c r="B29" s="29"/>
      <c r="C29" s="30">
        <v>245.0</v>
      </c>
      <c r="D29" s="22" t="str">
        <f>IF(Tabla_3[COD]="","",VLOOKUP(Tabla_3[COD],'Stock inicial'!A:D,2,FALSE))</f>
        <v>ARIEL ECO (VERDE) 1L</v>
      </c>
      <c r="E29" s="31">
        <v>1.0</v>
      </c>
      <c r="F29" s="31" t="s">
        <v>29</v>
      </c>
      <c r="G29" s="25"/>
      <c r="H29" s="32">
        <f t="shared" si="1"/>
        <v>0</v>
      </c>
      <c r="I29" s="37">
        <v>0.0</v>
      </c>
      <c r="J29" s="31"/>
    </row>
    <row r="30" hidden="1">
      <c r="A30" s="28">
        <v>45832.0</v>
      </c>
      <c r="B30" s="29" t="s">
        <v>42</v>
      </c>
      <c r="C30" s="30">
        <v>213.0</v>
      </c>
      <c r="D30" s="39" t="str">
        <f>IF(Tabla_3[COD]="","",VLOOKUP(Tabla_3[COD],'Stock inicial'!A:D,2,FALSE))</f>
        <v>DOGPRO CACHORRO XKG</v>
      </c>
      <c r="E30" s="34">
        <v>1.03</v>
      </c>
      <c r="F30" s="40">
        <v>3900.0</v>
      </c>
      <c r="G30" s="25">
        <v>2953.8</v>
      </c>
      <c r="H30" s="35">
        <f t="shared" si="1"/>
        <v>3042.414</v>
      </c>
      <c r="I30" s="36">
        <v>4017.0</v>
      </c>
      <c r="J30" s="34" t="s">
        <v>3</v>
      </c>
    </row>
    <row r="31" hidden="1">
      <c r="A31" s="28">
        <v>45832.0</v>
      </c>
      <c r="B31" s="29" t="s">
        <v>43</v>
      </c>
      <c r="C31" s="41">
        <v>246.0</v>
      </c>
      <c r="D31" s="42" t="str">
        <f>IF(Tabla_3[COD]="","",VLOOKUP(Tabla_3[COD],'Stock inicial'!A:D,2,FALSE))</f>
        <v>ARIEL ECO (VERDE) 5L</v>
      </c>
      <c r="E31" s="43">
        <v>3.0</v>
      </c>
      <c r="F31" s="31">
        <v>2500.0</v>
      </c>
      <c r="G31" s="25">
        <v>1143.0</v>
      </c>
      <c r="H31" s="32">
        <f t="shared" si="1"/>
        <v>3429</v>
      </c>
      <c r="I31" s="33">
        <v>7500.0</v>
      </c>
      <c r="J31" s="31" t="s">
        <v>11</v>
      </c>
    </row>
    <row r="32" hidden="1">
      <c r="A32" s="28">
        <v>45832.0</v>
      </c>
      <c r="B32" s="29"/>
      <c r="C32" s="44">
        <v>252.0</v>
      </c>
      <c r="D32" s="45" t="str">
        <f>IF(Tabla_3[COD]="","",VLOOKUP(Tabla_3[COD],'Stock inicial'!A:D,2,FALSE))</f>
        <v>VIVERE ECO (CELESTE) 5L</v>
      </c>
      <c r="E32" s="46">
        <v>3.0</v>
      </c>
      <c r="F32" s="34">
        <v>2900.0</v>
      </c>
      <c r="G32" s="25">
        <v>1480.0</v>
      </c>
      <c r="H32" s="35">
        <f t="shared" si="1"/>
        <v>4440</v>
      </c>
      <c r="I32" s="36">
        <v>8700.0</v>
      </c>
      <c r="J32" s="34" t="s">
        <v>11</v>
      </c>
    </row>
    <row r="33" hidden="1">
      <c r="A33" s="28">
        <v>45832.0</v>
      </c>
      <c r="B33" s="29"/>
      <c r="C33" s="41">
        <v>267.0</v>
      </c>
      <c r="D33" s="47" t="str">
        <f>IF(Tabla_3[COD]="","",VLOOKUP(Tabla_3[COD],'Stock inicial'!A:D,2,FALSE))</f>
        <v>DESENGRASANTE COCINA 5L</v>
      </c>
      <c r="E33" s="43">
        <v>3.0</v>
      </c>
      <c r="F33" s="31">
        <v>2199.0</v>
      </c>
      <c r="G33" s="25">
        <v>1000.0</v>
      </c>
      <c r="H33" s="32">
        <f t="shared" si="1"/>
        <v>3000</v>
      </c>
      <c r="I33" s="33">
        <v>6597.0</v>
      </c>
      <c r="J33" s="31" t="s">
        <v>11</v>
      </c>
    </row>
    <row r="34" hidden="1">
      <c r="A34" s="28">
        <v>45832.0</v>
      </c>
      <c r="B34" s="29"/>
      <c r="C34" s="44">
        <v>258.0</v>
      </c>
      <c r="D34" s="45" t="str">
        <f>IF(Tabla_3[COD]="","",VLOOKUP(Tabla_3[COD],'Stock inicial'!A:D,2,FALSE))</f>
        <v>MAGISTRAL ECO (LIMON AMARILLO) 5L</v>
      </c>
      <c r="E34" s="46">
        <v>3.0</v>
      </c>
      <c r="F34" s="34">
        <v>2799.0</v>
      </c>
      <c r="G34" s="25">
        <v>1400.0</v>
      </c>
      <c r="H34" s="35">
        <f t="shared" si="1"/>
        <v>4200</v>
      </c>
      <c r="I34" s="36">
        <v>8397.0</v>
      </c>
      <c r="J34" s="34" t="s">
        <v>11</v>
      </c>
    </row>
    <row r="35" hidden="1">
      <c r="A35" s="28">
        <v>45832.0</v>
      </c>
      <c r="B35" s="29"/>
      <c r="C35" s="41">
        <v>274.0</v>
      </c>
      <c r="D35" s="47" t="str">
        <f>IF(Tabla_3[COD]="","",VLOOKUP(Tabla_3[COD],'Stock inicial'!A:D,2,FALSE))</f>
        <v>PERFUMINA CHERRY 5L</v>
      </c>
      <c r="E35" s="43">
        <v>1.0</v>
      </c>
      <c r="F35" s="31">
        <v>1499.0</v>
      </c>
      <c r="G35" s="25">
        <v>287.25</v>
      </c>
      <c r="H35" s="32">
        <f t="shared" si="1"/>
        <v>287.25</v>
      </c>
      <c r="I35" s="33">
        <v>1499.0</v>
      </c>
      <c r="J35" s="31" t="s">
        <v>11</v>
      </c>
    </row>
    <row r="36" hidden="1">
      <c r="A36" s="28">
        <v>45832.0</v>
      </c>
      <c r="B36" s="29"/>
      <c r="C36" s="44">
        <v>278.0</v>
      </c>
      <c r="D36" s="45" t="str">
        <f>IF(Tabla_3[COD]="","",VLOOKUP(Tabla_3[COD],'Stock inicial'!A:D,2,FALSE))</f>
        <v>PERFUMINA LIMON 5L</v>
      </c>
      <c r="E36" s="46">
        <v>1.0</v>
      </c>
      <c r="F36" s="34">
        <v>1499.0</v>
      </c>
      <c r="G36" s="25">
        <v>287.25</v>
      </c>
      <c r="H36" s="35">
        <f t="shared" si="1"/>
        <v>287.25</v>
      </c>
      <c r="I36" s="36">
        <v>1499.0</v>
      </c>
      <c r="J36" s="34" t="s">
        <v>11</v>
      </c>
    </row>
    <row r="37" hidden="1">
      <c r="A37" s="28">
        <v>45832.0</v>
      </c>
      <c r="B37" s="29"/>
      <c r="C37" s="41">
        <v>282.0</v>
      </c>
      <c r="D37" s="47" t="str">
        <f>IF(Tabla_3[COD]="","",VLOOKUP(Tabla_3[COD],'Stock inicial'!A:D,2,FALSE))</f>
        <v>PERFUMINA VAINILLA 5L</v>
      </c>
      <c r="E37" s="43">
        <v>1.0</v>
      </c>
      <c r="F37" s="31">
        <v>1499.0</v>
      </c>
      <c r="G37" s="25">
        <v>287.25</v>
      </c>
      <c r="H37" s="32">
        <f t="shared" si="1"/>
        <v>287.25</v>
      </c>
      <c r="I37" s="33">
        <v>1499.0</v>
      </c>
      <c r="J37" s="31" t="s">
        <v>11</v>
      </c>
    </row>
    <row r="38" hidden="1">
      <c r="A38" s="28">
        <v>45832.0</v>
      </c>
      <c r="B38" s="29"/>
      <c r="C38" s="44">
        <v>283.0</v>
      </c>
      <c r="D38" s="45" t="str">
        <f>IF(Tabla_3[COD]="","",VLOOKUP(Tabla_3[COD],'Stock inicial'!A:D,2,FALSE))</f>
        <v>TICKET ROPA 1L</v>
      </c>
      <c r="E38" s="46">
        <v>1.0</v>
      </c>
      <c r="F38" s="34">
        <v>999.0</v>
      </c>
      <c r="G38" s="25">
        <v>179.5</v>
      </c>
      <c r="H38" s="35">
        <f t="shared" si="1"/>
        <v>179.5</v>
      </c>
      <c r="I38" s="36">
        <v>999.0</v>
      </c>
      <c r="J38" s="34" t="s">
        <v>11</v>
      </c>
    </row>
    <row r="39" hidden="1">
      <c r="A39" s="28">
        <v>45832.0</v>
      </c>
      <c r="B39" s="29"/>
      <c r="C39" s="41">
        <v>284.0</v>
      </c>
      <c r="D39" s="47" t="str">
        <f>IF(Tabla_3[COD]="","",VLOOKUP(Tabla_3[COD],'Stock inicial'!A:D,2,FALSE))</f>
        <v>VAINILLA/COCO ROPA 1L</v>
      </c>
      <c r="E39" s="43">
        <v>1.0</v>
      </c>
      <c r="F39" s="31">
        <v>999.0</v>
      </c>
      <c r="G39" s="25">
        <v>179.5</v>
      </c>
      <c r="H39" s="32">
        <f t="shared" si="1"/>
        <v>179.5</v>
      </c>
      <c r="I39" s="33">
        <v>999.0</v>
      </c>
      <c r="J39" s="31" t="s">
        <v>11</v>
      </c>
    </row>
    <row r="40" hidden="1">
      <c r="A40" s="28">
        <v>45832.0</v>
      </c>
      <c r="B40" s="29"/>
      <c r="C40" s="44"/>
      <c r="D40" s="45" t="s">
        <v>44</v>
      </c>
      <c r="E40" s="46">
        <v>3.0</v>
      </c>
      <c r="F40" s="34">
        <v>-907.0</v>
      </c>
      <c r="G40" s="27"/>
      <c r="H40" s="34">
        <f t="shared" si="1"/>
        <v>0</v>
      </c>
      <c r="I40" s="36">
        <v>-2721.0</v>
      </c>
      <c r="J40" s="34" t="s">
        <v>11</v>
      </c>
    </row>
    <row r="41" hidden="1">
      <c r="A41" s="28">
        <v>45832.0</v>
      </c>
      <c r="B41" s="29" t="s">
        <v>45</v>
      </c>
      <c r="C41" s="41">
        <v>257.0</v>
      </c>
      <c r="D41" s="42" t="str">
        <f>IF(Tabla_3[COD]="","",VLOOKUP(Tabla_3[COD],'Stock inicial'!A:D,2,FALSE))</f>
        <v>MAGISTRAL ECO (LIMON AMARILLO) 1L</v>
      </c>
      <c r="E41" s="43">
        <v>1.0</v>
      </c>
      <c r="F41" s="31">
        <v>999.0</v>
      </c>
      <c r="G41" s="25">
        <v>280.0</v>
      </c>
      <c r="H41" s="32">
        <f t="shared" si="1"/>
        <v>280</v>
      </c>
      <c r="I41" s="33">
        <v>999.0</v>
      </c>
      <c r="J41" s="31" t="s">
        <v>11</v>
      </c>
    </row>
    <row r="42" hidden="1">
      <c r="A42" s="28">
        <v>45832.0</v>
      </c>
      <c r="B42" s="29"/>
      <c r="C42" s="44">
        <v>276.0</v>
      </c>
      <c r="D42" s="45" t="str">
        <f>IF(Tabla_3[COD]="","",VLOOKUP(Tabla_3[COD],'Stock inicial'!A:D,2,FALSE))</f>
        <v>PERFUMINA UVA 5L</v>
      </c>
      <c r="E42" s="46">
        <v>1.0</v>
      </c>
      <c r="F42" s="34">
        <v>1499.0</v>
      </c>
      <c r="G42" s="25">
        <v>287.25</v>
      </c>
      <c r="H42" s="35">
        <f t="shared" si="1"/>
        <v>287.25</v>
      </c>
      <c r="I42" s="36">
        <v>1499.0</v>
      </c>
      <c r="J42" s="34" t="s">
        <v>11</v>
      </c>
    </row>
    <row r="43" hidden="1">
      <c r="A43" s="28">
        <v>45832.0</v>
      </c>
      <c r="B43" s="29"/>
      <c r="C43" s="41">
        <v>290.0</v>
      </c>
      <c r="D43" s="48" t="str">
        <f>IF(Tabla_3[COD]="","",VLOOKUP(Tabla_3[COD],'Stock inicial'!A:D,2,FALSE))</f>
        <v>LAVANDINA 5L</v>
      </c>
      <c r="E43" s="43">
        <v>1.0</v>
      </c>
      <c r="F43" s="31">
        <v>2499.0</v>
      </c>
      <c r="G43" s="25">
        <v>1080.0</v>
      </c>
      <c r="H43" s="32">
        <f t="shared" si="1"/>
        <v>1080</v>
      </c>
      <c r="I43" s="33">
        <v>2499.0</v>
      </c>
      <c r="J43" s="31" t="s">
        <v>11</v>
      </c>
    </row>
    <row r="44" hidden="1">
      <c r="A44" s="28">
        <v>45832.0</v>
      </c>
      <c r="B44" s="29" t="s">
        <v>46</v>
      </c>
      <c r="C44" s="30">
        <v>245.0</v>
      </c>
      <c r="D44" s="49" t="str">
        <f>IF(Tabla_3[COD]="","",VLOOKUP(Tabla_3[COD],'Stock inicial'!A:D,2,FALSE))</f>
        <v>ARIEL ECO (VERDE) 1L</v>
      </c>
      <c r="E44" s="34">
        <v>1.0</v>
      </c>
      <c r="F44" s="34">
        <v>890.0</v>
      </c>
      <c r="G44" s="25">
        <v>228.6</v>
      </c>
      <c r="H44" s="35">
        <f t="shared" si="1"/>
        <v>228.6</v>
      </c>
      <c r="I44" s="36">
        <v>890.0</v>
      </c>
      <c r="J44" s="34" t="s">
        <v>11</v>
      </c>
    </row>
    <row r="45" hidden="1">
      <c r="A45" s="28">
        <v>45832.0</v>
      </c>
      <c r="B45" s="29"/>
      <c r="C45" s="30">
        <v>214.0</v>
      </c>
      <c r="D45" s="22" t="str">
        <f>IF(Tabla_3[COD]="","",VLOOKUP(Tabla_3[COD],'Stock inicial'!A:D,2,FALSE))</f>
        <v>DOGPRO ADULTO SUPER PREMIUM XKG</v>
      </c>
      <c r="E45" s="31">
        <v>0.3</v>
      </c>
      <c r="F45" s="31" t="s">
        <v>47</v>
      </c>
      <c r="G45" s="25"/>
      <c r="H45" s="32">
        <f t="shared" si="1"/>
        <v>0</v>
      </c>
      <c r="I45" s="33"/>
      <c r="J45" s="31"/>
    </row>
    <row r="46" hidden="1">
      <c r="A46" s="28">
        <v>45832.0</v>
      </c>
      <c r="B46" s="29" t="s">
        <v>48</v>
      </c>
      <c r="C46" s="30">
        <v>283.0</v>
      </c>
      <c r="D46" s="22" t="str">
        <f>IF(Tabla_3[COD]="","",VLOOKUP(Tabla_3[COD],'Stock inicial'!A:D,2,FALSE))</f>
        <v>TICKET ROPA 1L</v>
      </c>
      <c r="E46" s="34">
        <v>1.0</v>
      </c>
      <c r="F46" s="34">
        <v>999.0</v>
      </c>
      <c r="G46" s="25">
        <v>179.5</v>
      </c>
      <c r="H46" s="35">
        <f t="shared" si="1"/>
        <v>179.5</v>
      </c>
      <c r="I46" s="36">
        <v>999.0</v>
      </c>
      <c r="J46" s="34" t="s">
        <v>3</v>
      </c>
    </row>
    <row r="47" hidden="1">
      <c r="A47" s="28">
        <v>45832.0</v>
      </c>
      <c r="B47" s="29" t="s">
        <v>49</v>
      </c>
      <c r="C47" s="30">
        <v>229.0</v>
      </c>
      <c r="D47" s="22" t="str">
        <f>IF(Tabla_3[COD]="","",VLOOKUP(Tabla_3[COD],'Stock inicial'!A:D,2,FALSE))</f>
        <v>EXCELLENT GATO ADULTO</v>
      </c>
      <c r="E47" s="31">
        <v>0.536</v>
      </c>
      <c r="F47" s="31">
        <v>7500.0</v>
      </c>
      <c r="G47" s="25">
        <v>5239.88</v>
      </c>
      <c r="H47" s="32">
        <f t="shared" si="1"/>
        <v>2808.57568</v>
      </c>
      <c r="I47" s="33">
        <v>4020.0000000000005</v>
      </c>
      <c r="J47" s="31" t="s">
        <v>3</v>
      </c>
    </row>
    <row r="48" hidden="1">
      <c r="A48" s="28">
        <v>45832.0</v>
      </c>
      <c r="B48" s="29" t="s">
        <v>50</v>
      </c>
      <c r="C48" s="24">
        <v>245.0</v>
      </c>
      <c r="D48" s="22" t="str">
        <f>IF(Tabla_3[COD]="","",VLOOKUP(Tabla_3[COD],'Stock inicial'!A:D,2,FALSE))</f>
        <v>ARIEL ECO (VERDE) 1L</v>
      </c>
      <c r="E48" s="34">
        <v>1.0</v>
      </c>
      <c r="F48" s="50">
        <v>890.0</v>
      </c>
      <c r="G48" s="25">
        <v>228.6</v>
      </c>
      <c r="H48" s="35">
        <f t="shared" si="1"/>
        <v>228.6</v>
      </c>
      <c r="I48" s="36">
        <v>890.0</v>
      </c>
      <c r="J48" s="34" t="s">
        <v>11</v>
      </c>
    </row>
    <row r="49" hidden="1">
      <c r="A49" s="28">
        <v>45832.0</v>
      </c>
      <c r="B49" s="29"/>
      <c r="C49" s="24">
        <v>251.0</v>
      </c>
      <c r="D49" s="22" t="str">
        <f>IF(Tabla_3[COD]="","",VLOOKUP(Tabla_3[COD],'Stock inicial'!A:D,2,FALSE))</f>
        <v>VIVERE ECO (CELESTE) 1L</v>
      </c>
      <c r="E49" s="31">
        <v>1.0</v>
      </c>
      <c r="F49" s="51">
        <v>990.0</v>
      </c>
      <c r="G49" s="25">
        <v>296.0</v>
      </c>
      <c r="H49" s="32">
        <f t="shared" si="1"/>
        <v>296</v>
      </c>
      <c r="I49" s="33">
        <v>990.0</v>
      </c>
      <c r="J49" s="31" t="s">
        <v>11</v>
      </c>
    </row>
    <row r="50" hidden="1">
      <c r="A50" s="28">
        <v>45832.0</v>
      </c>
      <c r="B50" s="29"/>
      <c r="C50" s="24">
        <v>257.0</v>
      </c>
      <c r="D50" s="22" t="str">
        <f>IF(Tabla_3[COD]="","",VLOOKUP(Tabla_3[COD],'Stock inicial'!A:D,2,FALSE))</f>
        <v>MAGISTRAL ECO (LIMON AMARILLO) 1L</v>
      </c>
      <c r="E50" s="34">
        <v>1.0</v>
      </c>
      <c r="F50" s="50">
        <v>999.0</v>
      </c>
      <c r="G50" s="25">
        <v>280.0</v>
      </c>
      <c r="H50" s="35">
        <f t="shared" si="1"/>
        <v>280</v>
      </c>
      <c r="I50" s="36">
        <v>999.0</v>
      </c>
      <c r="J50" s="34" t="s">
        <v>11</v>
      </c>
    </row>
    <row r="51" hidden="1">
      <c r="A51" s="28">
        <v>45832.0</v>
      </c>
      <c r="B51" s="29"/>
      <c r="C51" s="24">
        <v>266.0</v>
      </c>
      <c r="D51" s="22" t="str">
        <f>IF(Tabla_3[COD]="","",VLOOKUP(Tabla_3[COD],'Stock inicial'!A:D,2,FALSE))</f>
        <v>DESENGRASANTE COCINA 1L</v>
      </c>
      <c r="E51" s="31">
        <v>1.0</v>
      </c>
      <c r="F51" s="51">
        <v>799.0</v>
      </c>
      <c r="G51" s="25">
        <v>200.0</v>
      </c>
      <c r="H51" s="32">
        <f t="shared" si="1"/>
        <v>200</v>
      </c>
      <c r="I51" s="33">
        <v>799.0</v>
      </c>
      <c r="J51" s="31" t="s">
        <v>11</v>
      </c>
    </row>
    <row r="52" hidden="1">
      <c r="A52" s="28">
        <v>45832.0</v>
      </c>
      <c r="B52" s="29"/>
      <c r="C52" s="24">
        <v>273.0</v>
      </c>
      <c r="D52" s="22" t="str">
        <f>IF(Tabla_3[COD]="","",VLOOKUP(Tabla_3[COD],'Stock inicial'!A:D,2,FALSE))</f>
        <v>PERFUMINA CHERRY 1L</v>
      </c>
      <c r="E52" s="34">
        <v>1.0</v>
      </c>
      <c r="F52" s="50">
        <v>599.0</v>
      </c>
      <c r="G52" s="25">
        <v>57.45</v>
      </c>
      <c r="H52" s="35">
        <f t="shared" si="1"/>
        <v>57.45</v>
      </c>
      <c r="I52" s="36">
        <v>599.0</v>
      </c>
      <c r="J52" s="34" t="s">
        <v>11</v>
      </c>
    </row>
    <row r="53" hidden="1">
      <c r="A53" s="28">
        <v>45832.0</v>
      </c>
      <c r="B53" s="29"/>
      <c r="C53" s="30"/>
      <c r="D53" s="22" t="s">
        <v>51</v>
      </c>
      <c r="E53" s="31">
        <v>1.0</v>
      </c>
      <c r="F53" s="31">
        <v>-287.0</v>
      </c>
      <c r="G53" s="27"/>
      <c r="H53" s="31">
        <f t="shared" si="1"/>
        <v>0</v>
      </c>
      <c r="I53" s="33">
        <v>-287.0</v>
      </c>
      <c r="J53" s="31" t="s">
        <v>3</v>
      </c>
    </row>
    <row r="54" hidden="1">
      <c r="A54" s="28">
        <v>45832.0</v>
      </c>
      <c r="B54" s="29" t="s">
        <v>52</v>
      </c>
      <c r="C54" s="24">
        <v>245.0</v>
      </c>
      <c r="D54" s="22" t="str">
        <f>IF(Tabla_3[COD]="","",VLOOKUP(Tabla_3[COD],'Stock inicial'!A:D,2,FALSE))</f>
        <v>ARIEL ECO (VERDE) 1L</v>
      </c>
      <c r="E54" s="34">
        <v>1.0</v>
      </c>
      <c r="F54" s="50">
        <v>890.0</v>
      </c>
      <c r="G54" s="25">
        <v>228.6</v>
      </c>
      <c r="H54" s="35">
        <f t="shared" si="1"/>
        <v>228.6</v>
      </c>
      <c r="I54" s="36">
        <v>890.0</v>
      </c>
      <c r="J54" s="34" t="s">
        <v>3</v>
      </c>
    </row>
    <row r="55" hidden="1">
      <c r="A55" s="28">
        <v>45832.0</v>
      </c>
      <c r="B55" s="29"/>
      <c r="C55" s="24">
        <v>251.0</v>
      </c>
      <c r="D55" s="22" t="str">
        <f>IF(Tabla_3[COD]="","",VLOOKUP(Tabla_3[COD],'Stock inicial'!A:D,2,FALSE))</f>
        <v>VIVERE ECO (CELESTE) 1L</v>
      </c>
      <c r="E55" s="31">
        <v>1.0</v>
      </c>
      <c r="F55" s="51">
        <v>990.0</v>
      </c>
      <c r="G55" s="25">
        <v>296.0</v>
      </c>
      <c r="H55" s="32">
        <f t="shared" si="1"/>
        <v>296</v>
      </c>
      <c r="I55" s="33">
        <v>990.0</v>
      </c>
      <c r="J55" s="31" t="s">
        <v>3</v>
      </c>
    </row>
    <row r="56" hidden="1">
      <c r="A56" s="28">
        <v>45832.0</v>
      </c>
      <c r="B56" s="29"/>
      <c r="C56" s="24">
        <v>257.0</v>
      </c>
      <c r="D56" s="22" t="str">
        <f>IF(Tabla_3[COD]="","",VLOOKUP(Tabla_3[COD],'Stock inicial'!A:D,2,FALSE))</f>
        <v>MAGISTRAL ECO (LIMON AMARILLO) 1L</v>
      </c>
      <c r="E56" s="34">
        <v>1.0</v>
      </c>
      <c r="F56" s="50">
        <v>999.0</v>
      </c>
      <c r="G56" s="25">
        <v>280.0</v>
      </c>
      <c r="H56" s="35">
        <f t="shared" si="1"/>
        <v>280</v>
      </c>
      <c r="I56" s="36">
        <v>999.0</v>
      </c>
      <c r="J56" s="34" t="s">
        <v>3</v>
      </c>
    </row>
    <row r="57" hidden="1">
      <c r="A57" s="28">
        <v>45832.0</v>
      </c>
      <c r="B57" s="29"/>
      <c r="C57" s="24">
        <v>266.0</v>
      </c>
      <c r="D57" s="22" t="str">
        <f>IF(Tabla_3[COD]="","",VLOOKUP(Tabla_3[COD],'Stock inicial'!A:D,2,FALSE))</f>
        <v>DESENGRASANTE COCINA 1L</v>
      </c>
      <c r="E57" s="31">
        <v>1.0</v>
      </c>
      <c r="F57" s="51">
        <v>799.0</v>
      </c>
      <c r="G57" s="25">
        <v>200.0</v>
      </c>
      <c r="H57" s="32">
        <f t="shared" si="1"/>
        <v>200</v>
      </c>
      <c r="I57" s="33">
        <v>799.0</v>
      </c>
      <c r="J57" s="31" t="s">
        <v>3</v>
      </c>
    </row>
    <row r="58" hidden="1">
      <c r="A58" s="28">
        <v>45832.0</v>
      </c>
      <c r="B58" s="29"/>
      <c r="C58" s="24">
        <v>279.0</v>
      </c>
      <c r="D58" s="22" t="str">
        <f>IF(Tabla_3[COD]="","",VLOOKUP(Tabla_3[COD],'Stock inicial'!A:D,2,FALSE))</f>
        <v>PERFUMINA LISOFORM 1L</v>
      </c>
      <c r="E58" s="34">
        <v>1.0</v>
      </c>
      <c r="F58" s="50">
        <v>599.0</v>
      </c>
      <c r="G58" s="25">
        <v>57.45</v>
      </c>
      <c r="H58" s="35">
        <f t="shared" si="1"/>
        <v>57.45</v>
      </c>
      <c r="I58" s="36">
        <v>599.0</v>
      </c>
      <c r="J58" s="34" t="s">
        <v>3</v>
      </c>
    </row>
    <row r="59" hidden="1">
      <c r="A59" s="28">
        <v>45832.0</v>
      </c>
      <c r="B59" s="29"/>
      <c r="C59" s="30"/>
      <c r="D59" s="22" t="s">
        <v>51</v>
      </c>
      <c r="E59" s="31">
        <v>1.0</v>
      </c>
      <c r="F59" s="31">
        <v>-287.0</v>
      </c>
      <c r="G59" s="27"/>
      <c r="H59" s="31">
        <f t="shared" si="1"/>
        <v>0</v>
      </c>
      <c r="I59" s="33">
        <v>-287.0</v>
      </c>
      <c r="J59" s="31" t="s">
        <v>3</v>
      </c>
    </row>
    <row r="60" hidden="1">
      <c r="A60" s="28">
        <v>45832.0</v>
      </c>
      <c r="B60" s="29" t="s">
        <v>53</v>
      </c>
      <c r="C60" s="30">
        <v>152.0</v>
      </c>
      <c r="D60" s="22" t="str">
        <f>IF(Tabla_3[COD]="","",VLOOKUP(Tabla_3[COD],'Stock inicial'!A:D,2,FALSE))</f>
        <v>OREJAS BOVINAS</v>
      </c>
      <c r="E60" s="34">
        <v>1.0</v>
      </c>
      <c r="F60" s="34">
        <v>800.0</v>
      </c>
      <c r="G60" s="25">
        <v>303.6</v>
      </c>
      <c r="H60" s="35">
        <f t="shared" si="1"/>
        <v>303.6</v>
      </c>
      <c r="I60" s="36">
        <v>800.0</v>
      </c>
      <c r="J60" s="34" t="s">
        <v>3</v>
      </c>
    </row>
    <row r="61" hidden="1">
      <c r="A61" s="28">
        <v>45832.0</v>
      </c>
      <c r="B61" s="29"/>
      <c r="C61" s="30">
        <v>232.0</v>
      </c>
      <c r="D61" s="22" t="str">
        <f>IF(Tabla_3[COD]="","",VLOOKUP(Tabla_3[COD],'Stock inicial'!A:D,2,FALSE))</f>
        <v>NUTRIBON URINARY XKG</v>
      </c>
      <c r="E61" s="31">
        <v>1.0</v>
      </c>
      <c r="F61" s="31">
        <v>4000.0</v>
      </c>
      <c r="G61" s="25">
        <v>2837.5</v>
      </c>
      <c r="H61" s="32">
        <f t="shared" si="1"/>
        <v>2837.5</v>
      </c>
      <c r="I61" s="33">
        <v>4000.0</v>
      </c>
      <c r="J61" s="31" t="s">
        <v>3</v>
      </c>
    </row>
    <row r="62" hidden="1">
      <c r="A62" s="52">
        <v>45833.0</v>
      </c>
      <c r="B62" s="29" t="s">
        <v>54</v>
      </c>
      <c r="C62" s="53">
        <v>245.0</v>
      </c>
      <c r="D62" s="22" t="str">
        <f>IF(Tabla_3[COD]="","",VLOOKUP(Tabla_3[COD],'Stock inicial'!A:D,2,FALSE))</f>
        <v>ARIEL ECO (VERDE) 1L</v>
      </c>
      <c r="E62" s="34">
        <v>3.0</v>
      </c>
      <c r="F62" s="34">
        <v>890.0</v>
      </c>
      <c r="G62" s="25">
        <v>228.6</v>
      </c>
      <c r="H62" s="35">
        <f t="shared" si="1"/>
        <v>685.8</v>
      </c>
      <c r="I62" s="36">
        <v>2670.0</v>
      </c>
      <c r="J62" s="34" t="s">
        <v>3</v>
      </c>
    </row>
    <row r="63" hidden="1">
      <c r="A63" s="54">
        <v>45833.0</v>
      </c>
      <c r="B63" s="29"/>
      <c r="C63" s="53">
        <v>251.0</v>
      </c>
      <c r="D63" s="22" t="str">
        <f>IF(Tabla_3[COD]="","",VLOOKUP(Tabla_3[COD],'Stock inicial'!A:D,2,FALSE))</f>
        <v>VIVERE ECO (CELESTE) 1L</v>
      </c>
      <c r="E63" s="31">
        <v>3.0</v>
      </c>
      <c r="F63" s="31">
        <v>990.0</v>
      </c>
      <c r="G63" s="25">
        <v>296.0</v>
      </c>
      <c r="H63" s="32">
        <f t="shared" si="1"/>
        <v>888</v>
      </c>
      <c r="I63" s="33">
        <v>2970.0</v>
      </c>
      <c r="J63" s="31" t="s">
        <v>3</v>
      </c>
    </row>
    <row r="64" hidden="1">
      <c r="A64" s="52">
        <v>45833.0</v>
      </c>
      <c r="B64" s="29"/>
      <c r="C64" s="53">
        <v>257.0</v>
      </c>
      <c r="D64" s="22" t="str">
        <f>IF(Tabla_3[COD]="","",VLOOKUP(Tabla_3[COD],'Stock inicial'!A:D,2,FALSE))</f>
        <v>MAGISTRAL ECO (LIMON AMARILLO) 1L</v>
      </c>
      <c r="E64" s="34">
        <v>3.0</v>
      </c>
      <c r="F64" s="34">
        <v>999.0</v>
      </c>
      <c r="G64" s="25">
        <v>280.0</v>
      </c>
      <c r="H64" s="35">
        <f t="shared" si="1"/>
        <v>840</v>
      </c>
      <c r="I64" s="36">
        <v>2997.0</v>
      </c>
      <c r="J64" s="34" t="s">
        <v>3</v>
      </c>
    </row>
    <row r="65" hidden="1">
      <c r="A65" s="54">
        <v>45833.0</v>
      </c>
      <c r="B65" s="29"/>
      <c r="C65" s="53">
        <v>266.0</v>
      </c>
      <c r="D65" s="22" t="str">
        <f>IF(Tabla_3[COD]="","",VLOOKUP(Tabla_3[COD],'Stock inicial'!A:D,2,FALSE))</f>
        <v>DESENGRASANTE COCINA 1L</v>
      </c>
      <c r="E65" s="31">
        <v>3.0</v>
      </c>
      <c r="F65" s="31">
        <v>799.0</v>
      </c>
      <c r="G65" s="25">
        <v>200.0</v>
      </c>
      <c r="H65" s="32">
        <f t="shared" si="1"/>
        <v>600</v>
      </c>
      <c r="I65" s="33">
        <v>2397.0</v>
      </c>
      <c r="J65" s="31" t="s">
        <v>3</v>
      </c>
    </row>
    <row r="66" hidden="1">
      <c r="A66" s="52">
        <v>45833.0</v>
      </c>
      <c r="B66" s="29"/>
      <c r="C66" s="53">
        <v>279.0</v>
      </c>
      <c r="D66" s="22" t="str">
        <f>IF(Tabla_3[COD]="","",VLOOKUP(Tabla_3[COD],'Stock inicial'!A:D,2,FALSE))</f>
        <v>PERFUMINA LISOFORM 1L</v>
      </c>
      <c r="E66" s="34">
        <v>1.0</v>
      </c>
      <c r="F66" s="34">
        <v>599.0</v>
      </c>
      <c r="G66" s="25">
        <v>57.45</v>
      </c>
      <c r="H66" s="35">
        <f t="shared" si="1"/>
        <v>57.45</v>
      </c>
      <c r="I66" s="36">
        <v>599.0</v>
      </c>
      <c r="J66" s="34" t="s">
        <v>3</v>
      </c>
    </row>
    <row r="67" hidden="1">
      <c r="A67" s="54">
        <v>45833.0</v>
      </c>
      <c r="B67" s="29"/>
      <c r="C67" s="55">
        <v>277.0</v>
      </c>
      <c r="D67" s="22" t="str">
        <f>IF(Tabla_3[COD]="","",VLOOKUP(Tabla_3[COD],'Stock inicial'!A:D,2,FALSE))</f>
        <v>PERFUMINA LIMON 1L</v>
      </c>
      <c r="E67" s="31">
        <v>2.0</v>
      </c>
      <c r="F67" s="31">
        <v>599.0</v>
      </c>
      <c r="G67" s="25">
        <v>57.45</v>
      </c>
      <c r="H67" s="32">
        <f t="shared" si="1"/>
        <v>114.9</v>
      </c>
      <c r="I67" s="33">
        <v>1198.0</v>
      </c>
      <c r="J67" s="31" t="s">
        <v>3</v>
      </c>
    </row>
    <row r="68" hidden="1">
      <c r="A68" s="52">
        <v>45833.0</v>
      </c>
      <c r="B68" s="29"/>
      <c r="C68" s="30"/>
      <c r="D68" s="22" t="s">
        <v>51</v>
      </c>
      <c r="E68" s="34">
        <v>3.0</v>
      </c>
      <c r="F68" s="34">
        <v>-287.0</v>
      </c>
      <c r="G68" s="27"/>
      <c r="H68" s="34">
        <f t="shared" si="1"/>
        <v>0</v>
      </c>
      <c r="I68" s="36">
        <v>-861.0</v>
      </c>
      <c r="J68" s="34" t="s">
        <v>3</v>
      </c>
    </row>
    <row r="69" hidden="1">
      <c r="A69" s="54">
        <v>45833.0</v>
      </c>
      <c r="B69" s="29" t="s">
        <v>55</v>
      </c>
      <c r="C69" s="55">
        <v>234.0</v>
      </c>
      <c r="D69" s="22" t="str">
        <f>IF(Tabla_3[COD]="","",VLOOKUP(Tabla_3[COD],'Stock inicial'!A:D,2,FALSE))</f>
        <v>CAT CHOW ADULTO CARNE POLLO</v>
      </c>
      <c r="E69" s="31">
        <v>1.0</v>
      </c>
      <c r="F69" s="31">
        <v>3586.66</v>
      </c>
      <c r="G69" s="25">
        <v>3586.66</v>
      </c>
      <c r="H69" s="32">
        <f t="shared" si="1"/>
        <v>3586.66</v>
      </c>
      <c r="I69" s="33">
        <v>3586.66</v>
      </c>
      <c r="J69" s="31" t="s">
        <v>3</v>
      </c>
    </row>
    <row r="70" hidden="1">
      <c r="A70" s="52">
        <v>45833.0</v>
      </c>
      <c r="B70" s="29" t="s">
        <v>56</v>
      </c>
      <c r="C70" s="53">
        <v>245.0</v>
      </c>
      <c r="D70" s="22" t="str">
        <f>IF(Tabla_3[COD]="","",VLOOKUP(Tabla_3[COD],'Stock inicial'!A:D,2,FALSE))</f>
        <v>ARIEL ECO (VERDE) 1L</v>
      </c>
      <c r="E70" s="34">
        <v>3.0</v>
      </c>
      <c r="F70" s="34">
        <v>890.0</v>
      </c>
      <c r="G70" s="25">
        <v>228.6</v>
      </c>
      <c r="H70" s="35">
        <f t="shared" si="1"/>
        <v>685.8</v>
      </c>
      <c r="I70" s="36">
        <v>2670.0</v>
      </c>
      <c r="J70" s="34" t="s">
        <v>3</v>
      </c>
    </row>
    <row r="71" hidden="1">
      <c r="A71" s="54">
        <v>45833.0</v>
      </c>
      <c r="B71" s="29"/>
      <c r="C71" s="53">
        <v>251.0</v>
      </c>
      <c r="D71" s="22" t="str">
        <f>IF(Tabla_3[COD]="","",VLOOKUP(Tabla_3[COD],'Stock inicial'!A:D,2,FALSE))</f>
        <v>VIVERE ECO (CELESTE) 1L</v>
      </c>
      <c r="E71" s="31">
        <v>3.0</v>
      </c>
      <c r="F71" s="31">
        <v>990.0</v>
      </c>
      <c r="G71" s="25">
        <v>296.0</v>
      </c>
      <c r="H71" s="32">
        <f t="shared" si="1"/>
        <v>888</v>
      </c>
      <c r="I71" s="33">
        <v>2970.0</v>
      </c>
      <c r="J71" s="31" t="s">
        <v>3</v>
      </c>
    </row>
    <row r="72" hidden="1">
      <c r="A72" s="52">
        <v>45833.0</v>
      </c>
      <c r="B72" s="29"/>
      <c r="C72" s="53">
        <v>259.0</v>
      </c>
      <c r="D72" s="22" t="str">
        <f>IF(Tabla_3[COD]="","",VLOOKUP(Tabla_3[COD],'Stock inicial'!A:D,2,FALSE))</f>
        <v>ALOE VERA (VERDE) 1L</v>
      </c>
      <c r="E72" s="34">
        <v>1.0</v>
      </c>
      <c r="F72" s="34">
        <v>1299.0</v>
      </c>
      <c r="G72" s="25">
        <v>412.0</v>
      </c>
      <c r="H72" s="35">
        <f t="shared" si="1"/>
        <v>412</v>
      </c>
      <c r="I72" s="36">
        <v>1299.0</v>
      </c>
      <c r="J72" s="34" t="s">
        <v>3</v>
      </c>
    </row>
    <row r="73" hidden="1">
      <c r="A73" s="54">
        <v>45833.0</v>
      </c>
      <c r="B73" s="29"/>
      <c r="C73" s="53">
        <v>257.0</v>
      </c>
      <c r="D73" s="22" t="str">
        <f>IF(Tabla_3[COD]="","",VLOOKUP(Tabla_3[COD],'Stock inicial'!A:D,2,FALSE))</f>
        <v>MAGISTRAL ECO (LIMON AMARILLO) 1L</v>
      </c>
      <c r="E73" s="31">
        <v>2.0</v>
      </c>
      <c r="F73" s="31">
        <v>999.0</v>
      </c>
      <c r="G73" s="25">
        <v>280.0</v>
      </c>
      <c r="H73" s="32">
        <f t="shared" si="1"/>
        <v>560</v>
      </c>
      <c r="I73" s="33">
        <v>1998.0</v>
      </c>
      <c r="J73" s="31" t="s">
        <v>3</v>
      </c>
    </row>
    <row r="74" hidden="1">
      <c r="A74" s="52">
        <v>45833.0</v>
      </c>
      <c r="B74" s="29"/>
      <c r="C74" s="53">
        <v>266.0</v>
      </c>
      <c r="D74" s="22" t="str">
        <f>IF(Tabla_3[COD]="","",VLOOKUP(Tabla_3[COD],'Stock inicial'!A:D,2,FALSE))</f>
        <v>DESENGRASANTE COCINA 1L</v>
      </c>
      <c r="E74" s="34">
        <v>3.0</v>
      </c>
      <c r="F74" s="34">
        <v>799.0</v>
      </c>
      <c r="G74" s="25">
        <v>200.0</v>
      </c>
      <c r="H74" s="35">
        <f t="shared" si="1"/>
        <v>600</v>
      </c>
      <c r="I74" s="36">
        <v>2397.0</v>
      </c>
      <c r="J74" s="34" t="s">
        <v>3</v>
      </c>
    </row>
    <row r="75" hidden="1">
      <c r="A75" s="54">
        <v>45833.0</v>
      </c>
      <c r="B75" s="29"/>
      <c r="C75" s="53">
        <v>273.0</v>
      </c>
      <c r="D75" s="22" t="str">
        <f>IF(Tabla_3[COD]="","",VLOOKUP(Tabla_3[COD],'Stock inicial'!A:D,2,FALSE))</f>
        <v>PERFUMINA CHERRY 1L</v>
      </c>
      <c r="E75" s="31">
        <v>1.0</v>
      </c>
      <c r="F75" s="31">
        <v>599.0</v>
      </c>
      <c r="G75" s="25">
        <v>57.45</v>
      </c>
      <c r="H75" s="32">
        <f t="shared" si="1"/>
        <v>57.45</v>
      </c>
      <c r="I75" s="33">
        <v>599.0</v>
      </c>
      <c r="J75" s="31" t="s">
        <v>3</v>
      </c>
    </row>
    <row r="76" hidden="1">
      <c r="A76" s="52">
        <v>45833.0</v>
      </c>
      <c r="B76" s="29"/>
      <c r="C76" s="55">
        <v>277.0</v>
      </c>
      <c r="D76" s="22" t="str">
        <f>IF(Tabla_3[COD]="","",VLOOKUP(Tabla_3[COD],'Stock inicial'!A:D,2,FALSE))</f>
        <v>PERFUMINA LIMON 1L</v>
      </c>
      <c r="E76" s="34">
        <v>1.0</v>
      </c>
      <c r="F76" s="34">
        <v>599.0</v>
      </c>
      <c r="G76" s="25">
        <v>57.45</v>
      </c>
      <c r="H76" s="35">
        <f t="shared" si="1"/>
        <v>57.45</v>
      </c>
      <c r="I76" s="36">
        <v>599.0</v>
      </c>
      <c r="J76" s="34" t="s">
        <v>3</v>
      </c>
    </row>
    <row r="77" hidden="1">
      <c r="A77" s="54">
        <v>45833.0</v>
      </c>
      <c r="B77" s="29"/>
      <c r="C77" s="55">
        <v>279.0</v>
      </c>
      <c r="D77" s="22" t="str">
        <f>IF(Tabla_3[COD]="","",VLOOKUP(Tabla_3[COD],'Stock inicial'!A:D,2,FALSE))</f>
        <v>PERFUMINA LISOFORM 1L</v>
      </c>
      <c r="E77" s="31">
        <v>1.0</v>
      </c>
      <c r="F77" s="31">
        <v>599.0</v>
      </c>
      <c r="G77" s="25">
        <v>57.45</v>
      </c>
      <c r="H77" s="32">
        <f t="shared" si="1"/>
        <v>57.45</v>
      </c>
      <c r="I77" s="33">
        <v>599.0</v>
      </c>
      <c r="J77" s="31" t="s">
        <v>3</v>
      </c>
    </row>
    <row r="78" hidden="1">
      <c r="A78" s="52">
        <v>45833.0</v>
      </c>
      <c r="B78" s="29"/>
      <c r="C78" s="55"/>
      <c r="D78" s="39" t="s">
        <v>51</v>
      </c>
      <c r="E78" s="34">
        <v>3.0</v>
      </c>
      <c r="F78" s="34">
        <v>-387.0</v>
      </c>
      <c r="G78" s="27"/>
      <c r="H78" s="34">
        <f t="shared" si="1"/>
        <v>0</v>
      </c>
      <c r="I78" s="36">
        <v>-1161.0</v>
      </c>
      <c r="J78" s="34" t="s">
        <v>3</v>
      </c>
    </row>
    <row r="79" hidden="1">
      <c r="A79" s="54">
        <v>45833.0</v>
      </c>
      <c r="B79" s="29" t="s">
        <v>57</v>
      </c>
      <c r="C79" s="56">
        <v>245.0</v>
      </c>
      <c r="D79" s="42" t="str">
        <f>IF(Tabla_3[COD]="","",VLOOKUP(Tabla_3[COD],'Stock inicial'!A:D,2,FALSE))</f>
        <v>ARIEL ECO (VERDE) 1L</v>
      </c>
      <c r="E79" s="43">
        <v>1.0</v>
      </c>
      <c r="F79" s="31">
        <v>890.0</v>
      </c>
      <c r="G79" s="25">
        <v>228.6</v>
      </c>
      <c r="H79" s="32">
        <f t="shared" si="1"/>
        <v>228.6</v>
      </c>
      <c r="I79" s="33">
        <v>890.0</v>
      </c>
      <c r="J79" s="31" t="s">
        <v>3</v>
      </c>
    </row>
    <row r="80" hidden="1">
      <c r="A80" s="28">
        <v>45833.0</v>
      </c>
      <c r="B80" s="29"/>
      <c r="C80" s="57">
        <v>251.0</v>
      </c>
      <c r="D80" s="45" t="str">
        <f>IF(Tabla_3[COD]="","",VLOOKUP(Tabla_3[COD],'Stock inicial'!A:D,2,FALSE))</f>
        <v>VIVERE ECO (CELESTE) 1L</v>
      </c>
      <c r="E80" s="58">
        <v>1.0</v>
      </c>
      <c r="F80" s="34">
        <v>990.0</v>
      </c>
      <c r="G80" s="25">
        <v>296.0</v>
      </c>
      <c r="H80" s="35">
        <f t="shared" si="1"/>
        <v>296</v>
      </c>
      <c r="I80" s="36">
        <v>990.0</v>
      </c>
      <c r="J80" s="34" t="s">
        <v>3</v>
      </c>
    </row>
    <row r="81" hidden="1">
      <c r="A81" s="28">
        <v>45833.0</v>
      </c>
      <c r="B81" s="29"/>
      <c r="C81" s="56">
        <v>259.0</v>
      </c>
      <c r="D81" s="47" t="str">
        <f>IF(Tabla_3[COD]="","",VLOOKUP(Tabla_3[COD],'Stock inicial'!A:D,2,FALSE))</f>
        <v>ALOE VERA (VERDE) 1L</v>
      </c>
      <c r="E81" s="59">
        <v>1.0</v>
      </c>
      <c r="F81" s="31">
        <v>1299.0</v>
      </c>
      <c r="G81" s="25">
        <v>412.0</v>
      </c>
      <c r="H81" s="32">
        <f t="shared" si="1"/>
        <v>412</v>
      </c>
      <c r="I81" s="33">
        <v>1299.0</v>
      </c>
      <c r="J81" s="31" t="s">
        <v>3</v>
      </c>
    </row>
    <row r="82" hidden="1">
      <c r="A82" s="28">
        <v>45833.0</v>
      </c>
      <c r="B82" s="29"/>
      <c r="C82" s="57">
        <v>266.0</v>
      </c>
      <c r="D82" s="45" t="str">
        <f>IF(Tabla_3[COD]="","",VLOOKUP(Tabla_3[COD],'Stock inicial'!A:D,2,FALSE))</f>
        <v>DESENGRASANTE COCINA 1L</v>
      </c>
      <c r="E82" s="58">
        <v>1.0</v>
      </c>
      <c r="F82" s="34">
        <v>799.0</v>
      </c>
      <c r="G82" s="25">
        <v>200.0</v>
      </c>
      <c r="H82" s="35">
        <f t="shared" si="1"/>
        <v>200</v>
      </c>
      <c r="I82" s="36">
        <v>799.0</v>
      </c>
      <c r="J82" s="34" t="s">
        <v>3</v>
      </c>
    </row>
    <row r="83" hidden="1">
      <c r="A83" s="28">
        <v>45833.0</v>
      </c>
      <c r="B83" s="60"/>
      <c r="C83" s="56">
        <v>279.0</v>
      </c>
      <c r="D83" s="47" t="str">
        <f>IF(Tabla_3[COD]="","",VLOOKUP(Tabla_3[COD],'Stock inicial'!A:D,2,FALSE))</f>
        <v>PERFUMINA LISOFORM 1L</v>
      </c>
      <c r="E83" s="59">
        <v>1.0</v>
      </c>
      <c r="F83" s="31">
        <v>599.0</v>
      </c>
      <c r="G83" s="25">
        <v>57.45</v>
      </c>
      <c r="H83" s="32">
        <f t="shared" si="1"/>
        <v>57.45</v>
      </c>
      <c r="I83" s="33">
        <v>599.0</v>
      </c>
      <c r="J83" s="31" t="s">
        <v>3</v>
      </c>
    </row>
    <row r="84" hidden="1">
      <c r="A84" s="28">
        <v>45833.0</v>
      </c>
      <c r="B84" s="60"/>
      <c r="C84" s="61"/>
      <c r="D84" s="62" t="s">
        <v>51</v>
      </c>
      <c r="E84" s="58">
        <v>1.0</v>
      </c>
      <c r="F84" s="34">
        <v>-587.0</v>
      </c>
      <c r="G84" s="27"/>
      <c r="H84" s="34">
        <f t="shared" si="1"/>
        <v>0</v>
      </c>
      <c r="I84" s="36">
        <v>-587.0</v>
      </c>
      <c r="J84" s="34" t="s">
        <v>3</v>
      </c>
    </row>
    <row r="85" hidden="1">
      <c r="A85" s="28">
        <v>45833.0</v>
      </c>
      <c r="B85" s="29" t="s">
        <v>58</v>
      </c>
      <c r="C85" s="55">
        <v>259.0</v>
      </c>
      <c r="D85" s="47" t="str">
        <f>IF(Tabla_3[COD]="","",VLOOKUP(Tabla_3[COD],'Stock inicial'!A:D,2,FALSE))</f>
        <v>ALOE VERA (VERDE) 1L</v>
      </c>
      <c r="E85" s="27">
        <v>1.0</v>
      </c>
      <c r="F85" s="31">
        <v>1299.0</v>
      </c>
      <c r="G85" s="25">
        <v>412.0</v>
      </c>
      <c r="H85" s="32">
        <f t="shared" si="1"/>
        <v>412</v>
      </c>
      <c r="I85" s="33">
        <v>1299.0</v>
      </c>
      <c r="J85" s="27" t="s">
        <v>3</v>
      </c>
    </row>
    <row r="86" hidden="1">
      <c r="A86" s="28">
        <v>45833.0</v>
      </c>
      <c r="B86" s="29" t="s">
        <v>59</v>
      </c>
      <c r="C86" s="57">
        <v>245.0</v>
      </c>
      <c r="D86" s="39" t="str">
        <f>IF(Tabla_3[COD]="","",VLOOKUP(Tabla_3[COD],'Stock inicial'!A:D,2,FALSE))</f>
        <v>ARIEL ECO (VERDE) 1L</v>
      </c>
      <c r="E86" s="58">
        <v>1.0</v>
      </c>
      <c r="F86" s="27">
        <v>890.0</v>
      </c>
      <c r="G86" s="25">
        <v>228.6</v>
      </c>
      <c r="H86" s="35">
        <f t="shared" si="1"/>
        <v>228.6</v>
      </c>
      <c r="I86" s="36">
        <v>890.0</v>
      </c>
      <c r="J86" s="27" t="s">
        <v>3</v>
      </c>
    </row>
    <row r="87" hidden="1">
      <c r="A87" s="28">
        <v>45833.0</v>
      </c>
      <c r="B87" s="60"/>
      <c r="C87" s="56">
        <v>251.0</v>
      </c>
      <c r="D87" s="47" t="str">
        <f>IF(Tabla_3[COD]="","",VLOOKUP(Tabla_3[COD],'Stock inicial'!A:D,2,FALSE))</f>
        <v>VIVERE ECO (CELESTE) 1L</v>
      </c>
      <c r="E87" s="59">
        <v>1.0</v>
      </c>
      <c r="F87" s="27">
        <v>990.0</v>
      </c>
      <c r="G87" s="25">
        <v>296.0</v>
      </c>
      <c r="H87" s="32">
        <f t="shared" si="1"/>
        <v>296</v>
      </c>
      <c r="I87" s="33">
        <v>990.0</v>
      </c>
      <c r="J87" s="27" t="s">
        <v>3</v>
      </c>
    </row>
    <row r="88" hidden="1">
      <c r="A88" s="28">
        <v>45833.0</v>
      </c>
      <c r="B88" s="60"/>
      <c r="C88" s="57">
        <v>257.0</v>
      </c>
      <c r="D88" s="45" t="str">
        <f>IF(Tabla_3[COD]="","",VLOOKUP(Tabla_3[COD],'Stock inicial'!A:D,2,FALSE))</f>
        <v>MAGISTRAL ECO (LIMON AMARILLO) 1L</v>
      </c>
      <c r="E88" s="58">
        <v>1.0</v>
      </c>
      <c r="F88" s="27">
        <v>999.0</v>
      </c>
      <c r="G88" s="25">
        <v>280.0</v>
      </c>
      <c r="H88" s="35">
        <f t="shared" si="1"/>
        <v>280</v>
      </c>
      <c r="I88" s="36">
        <v>999.0</v>
      </c>
      <c r="J88" s="27" t="s">
        <v>3</v>
      </c>
    </row>
    <row r="89" hidden="1">
      <c r="A89" s="28">
        <v>45833.0</v>
      </c>
      <c r="B89" s="60"/>
      <c r="C89" s="56">
        <v>266.0</v>
      </c>
      <c r="D89" s="47" t="str">
        <f>IF(Tabla_3[COD]="","",VLOOKUP(Tabla_3[COD],'Stock inicial'!A:D,2,FALSE))</f>
        <v>DESENGRASANTE COCINA 1L</v>
      </c>
      <c r="E89" s="59">
        <v>1.0</v>
      </c>
      <c r="F89" s="27">
        <v>799.0</v>
      </c>
      <c r="G89" s="25">
        <v>200.0</v>
      </c>
      <c r="H89" s="32">
        <f t="shared" si="1"/>
        <v>200</v>
      </c>
      <c r="I89" s="33">
        <v>799.0</v>
      </c>
      <c r="J89" s="27" t="s">
        <v>3</v>
      </c>
    </row>
    <row r="90" hidden="1">
      <c r="A90" s="28">
        <v>45833.0</v>
      </c>
      <c r="B90" s="60"/>
      <c r="C90" s="57">
        <v>279.0</v>
      </c>
      <c r="D90" s="45" t="str">
        <f>IF(Tabla_3[COD]="","",VLOOKUP(Tabla_3[COD],'Stock inicial'!A:D,2,FALSE))</f>
        <v>PERFUMINA LISOFORM 1L</v>
      </c>
      <c r="E90" s="58">
        <v>1.0</v>
      </c>
      <c r="F90" s="27">
        <v>599.0</v>
      </c>
      <c r="G90" s="25">
        <v>57.45</v>
      </c>
      <c r="H90" s="35">
        <f t="shared" si="1"/>
        <v>57.45</v>
      </c>
      <c r="I90" s="36">
        <v>599.0</v>
      </c>
      <c r="J90" s="27" t="s">
        <v>3</v>
      </c>
    </row>
    <row r="91" hidden="1">
      <c r="A91" s="28">
        <v>45833.0</v>
      </c>
      <c r="B91" s="60"/>
      <c r="C91" s="63"/>
      <c r="D91" s="47" t="s">
        <v>51</v>
      </c>
      <c r="E91" s="59">
        <v>1.0</v>
      </c>
      <c r="F91" s="27">
        <v>-287.0</v>
      </c>
      <c r="G91" s="27"/>
      <c r="H91" s="31">
        <f t="shared" si="1"/>
        <v>0</v>
      </c>
      <c r="I91" s="33">
        <v>-287.0</v>
      </c>
      <c r="J91" s="27" t="s">
        <v>3</v>
      </c>
    </row>
    <row r="92" hidden="1">
      <c r="A92" s="28">
        <v>45833.0</v>
      </c>
      <c r="B92" s="29" t="s">
        <v>60</v>
      </c>
      <c r="C92" s="57">
        <v>245.0</v>
      </c>
      <c r="D92" s="39" t="str">
        <f>IF(Tabla_3[COD]="","",VLOOKUP(Tabla_3[COD],'Stock inicial'!A:D,2,FALSE))</f>
        <v>ARIEL ECO (VERDE) 1L</v>
      </c>
      <c r="E92" s="29">
        <v>1.0</v>
      </c>
      <c r="F92" s="27">
        <v>890.0</v>
      </c>
      <c r="G92" s="25">
        <v>228.6</v>
      </c>
      <c r="H92" s="35">
        <f t="shared" si="1"/>
        <v>228.6</v>
      </c>
      <c r="I92" s="36">
        <v>890.0</v>
      </c>
      <c r="J92" s="27" t="s">
        <v>3</v>
      </c>
    </row>
    <row r="93" hidden="1">
      <c r="A93" s="28">
        <v>45833.0</v>
      </c>
      <c r="B93" s="60"/>
      <c r="C93" s="56">
        <v>251.0</v>
      </c>
      <c r="D93" s="47" t="str">
        <f>IF(Tabla_3[COD]="","",VLOOKUP(Tabla_3[COD],'Stock inicial'!A:D,2,FALSE))</f>
        <v>VIVERE ECO (CELESTE) 1L</v>
      </c>
      <c r="E93" s="29">
        <v>1.0</v>
      </c>
      <c r="F93" s="27">
        <v>990.0</v>
      </c>
      <c r="G93" s="25">
        <v>296.0</v>
      </c>
      <c r="H93" s="32">
        <f t="shared" si="1"/>
        <v>296</v>
      </c>
      <c r="I93" s="33">
        <v>990.0</v>
      </c>
      <c r="J93" s="27" t="s">
        <v>3</v>
      </c>
    </row>
    <row r="94" hidden="1">
      <c r="A94" s="28">
        <v>45833.0</v>
      </c>
      <c r="B94" s="60"/>
      <c r="C94" s="57">
        <v>257.0</v>
      </c>
      <c r="D94" s="45" t="str">
        <f>IF(Tabla_3[COD]="","",VLOOKUP(Tabla_3[COD],'Stock inicial'!A:D,2,FALSE))</f>
        <v>MAGISTRAL ECO (LIMON AMARILLO) 1L</v>
      </c>
      <c r="E94" s="29">
        <v>1.0</v>
      </c>
      <c r="F94" s="27">
        <v>999.0</v>
      </c>
      <c r="G94" s="25">
        <v>280.0</v>
      </c>
      <c r="H94" s="35">
        <f t="shared" si="1"/>
        <v>280</v>
      </c>
      <c r="I94" s="36">
        <v>999.0</v>
      </c>
      <c r="J94" s="27" t="s">
        <v>3</v>
      </c>
    </row>
    <row r="95" hidden="1">
      <c r="A95" s="28">
        <v>45833.0</v>
      </c>
      <c r="B95" s="60"/>
      <c r="C95" s="56">
        <v>266.0</v>
      </c>
      <c r="D95" s="47" t="str">
        <f>IF(Tabla_3[COD]="","",VLOOKUP(Tabla_3[COD],'Stock inicial'!A:D,2,FALSE))</f>
        <v>DESENGRASANTE COCINA 1L</v>
      </c>
      <c r="E95" s="29">
        <v>1.0</v>
      </c>
      <c r="F95" s="27">
        <v>799.0</v>
      </c>
      <c r="G95" s="25">
        <v>200.0</v>
      </c>
      <c r="H95" s="32">
        <f t="shared" si="1"/>
        <v>200</v>
      </c>
      <c r="I95" s="33">
        <v>799.0</v>
      </c>
      <c r="J95" s="27" t="s">
        <v>3</v>
      </c>
    </row>
    <row r="96" hidden="1">
      <c r="A96" s="28">
        <v>45833.0</v>
      </c>
      <c r="B96" s="60"/>
      <c r="C96" s="57">
        <v>279.0</v>
      </c>
      <c r="D96" s="45" t="str">
        <f>IF(Tabla_3[COD]="","",VLOOKUP(Tabla_3[COD],'Stock inicial'!A:D,2,FALSE))</f>
        <v>PERFUMINA LISOFORM 1L</v>
      </c>
      <c r="E96" s="29">
        <v>1.0</v>
      </c>
      <c r="F96" s="27">
        <v>599.0</v>
      </c>
      <c r="G96" s="25">
        <v>57.45</v>
      </c>
      <c r="H96" s="35">
        <f t="shared" si="1"/>
        <v>57.45</v>
      </c>
      <c r="I96" s="36">
        <v>599.0</v>
      </c>
      <c r="J96" s="27" t="s">
        <v>3</v>
      </c>
    </row>
    <row r="97" hidden="1">
      <c r="A97" s="28">
        <v>45833.0</v>
      </c>
      <c r="B97" s="60"/>
      <c r="C97" s="64"/>
      <c r="D97" s="47" t="s">
        <v>51</v>
      </c>
      <c r="E97" s="29">
        <v>1.0</v>
      </c>
      <c r="F97" s="27">
        <v>-287.0</v>
      </c>
      <c r="G97" s="27"/>
      <c r="H97" s="31">
        <f t="shared" si="1"/>
        <v>0</v>
      </c>
      <c r="I97" s="33">
        <v>-287.0</v>
      </c>
      <c r="J97" s="27" t="s">
        <v>3</v>
      </c>
    </row>
    <row r="98" hidden="1">
      <c r="A98" s="28">
        <v>45833.0</v>
      </c>
      <c r="B98" s="29" t="s">
        <v>61</v>
      </c>
      <c r="C98" s="57">
        <v>245.0</v>
      </c>
      <c r="D98" s="45" t="str">
        <f>IF(Tabla_3[COD]="","",VLOOKUP(Tabla_3[COD],'Stock inicial'!A:D,2,FALSE))</f>
        <v>ARIEL ECO (VERDE) 1L</v>
      </c>
      <c r="E98" s="29">
        <v>1.0</v>
      </c>
      <c r="F98" s="27">
        <v>890.0</v>
      </c>
      <c r="G98" s="25">
        <v>228.6</v>
      </c>
      <c r="H98" s="35">
        <f t="shared" si="1"/>
        <v>228.6</v>
      </c>
      <c r="I98" s="36">
        <v>890.0</v>
      </c>
      <c r="J98" s="27" t="s">
        <v>3</v>
      </c>
    </row>
    <row r="99" hidden="1">
      <c r="A99" s="28">
        <v>45833.0</v>
      </c>
      <c r="B99" s="60"/>
      <c r="C99" s="56">
        <v>251.0</v>
      </c>
      <c r="D99" s="47" t="str">
        <f>IF(Tabla_3[COD]="","",VLOOKUP(Tabla_3[COD],'Stock inicial'!A:D,2,FALSE))</f>
        <v>VIVERE ECO (CELESTE) 1L</v>
      </c>
      <c r="E99" s="29">
        <v>1.0</v>
      </c>
      <c r="F99" s="27">
        <v>990.0</v>
      </c>
      <c r="G99" s="25">
        <v>296.0</v>
      </c>
      <c r="H99" s="32">
        <f t="shared" si="1"/>
        <v>296</v>
      </c>
      <c r="I99" s="33">
        <v>990.0</v>
      </c>
      <c r="J99" s="27" t="s">
        <v>3</v>
      </c>
    </row>
    <row r="100" hidden="1">
      <c r="A100" s="28">
        <v>45833.0</v>
      </c>
      <c r="B100" s="60"/>
      <c r="C100" s="57">
        <v>257.0</v>
      </c>
      <c r="D100" s="45" t="str">
        <f>IF(Tabla_3[COD]="","",VLOOKUP(Tabla_3[COD],'Stock inicial'!A:D,2,FALSE))</f>
        <v>MAGISTRAL ECO (LIMON AMARILLO) 1L</v>
      </c>
      <c r="E100" s="29">
        <v>1.0</v>
      </c>
      <c r="F100" s="27">
        <v>999.0</v>
      </c>
      <c r="G100" s="25">
        <v>280.0</v>
      </c>
      <c r="H100" s="35">
        <f t="shared" si="1"/>
        <v>280</v>
      </c>
      <c r="I100" s="36">
        <v>999.0</v>
      </c>
      <c r="J100" s="27" t="s">
        <v>3</v>
      </c>
    </row>
    <row r="101" hidden="1">
      <c r="A101" s="28">
        <v>45833.0</v>
      </c>
      <c r="B101" s="60"/>
      <c r="C101" s="56">
        <v>266.0</v>
      </c>
      <c r="D101" s="47" t="str">
        <f>IF(Tabla_3[COD]="","",VLOOKUP(Tabla_3[COD],'Stock inicial'!A:D,2,FALSE))</f>
        <v>DESENGRASANTE COCINA 1L</v>
      </c>
      <c r="E101" s="29">
        <v>1.0</v>
      </c>
      <c r="F101" s="27">
        <v>799.0</v>
      </c>
      <c r="G101" s="25">
        <v>200.0</v>
      </c>
      <c r="H101" s="32">
        <f t="shared" si="1"/>
        <v>200</v>
      </c>
      <c r="I101" s="33">
        <v>799.0</v>
      </c>
      <c r="J101" s="27" t="s">
        <v>3</v>
      </c>
    </row>
    <row r="102" hidden="1">
      <c r="A102" s="28">
        <v>45833.0</v>
      </c>
      <c r="B102" s="60"/>
      <c r="C102" s="57">
        <v>273.0</v>
      </c>
      <c r="D102" s="45" t="str">
        <f>IF(Tabla_3[COD]="","",VLOOKUP(Tabla_3[COD],'Stock inicial'!A:D,2,FALSE))</f>
        <v>PERFUMINA CHERRY 1L</v>
      </c>
      <c r="E102" s="29">
        <v>1.0</v>
      </c>
      <c r="F102" s="27">
        <v>599.0</v>
      </c>
      <c r="G102" s="25">
        <v>57.45</v>
      </c>
      <c r="H102" s="35">
        <f t="shared" si="1"/>
        <v>57.45</v>
      </c>
      <c r="I102" s="36">
        <v>599.0</v>
      </c>
      <c r="J102" s="27" t="s">
        <v>3</v>
      </c>
    </row>
    <row r="103" hidden="1">
      <c r="A103" s="28">
        <v>45833.0</v>
      </c>
      <c r="B103" s="60"/>
      <c r="C103" s="64"/>
      <c r="D103" s="29" t="s">
        <v>51</v>
      </c>
      <c r="E103" s="29">
        <v>1.0</v>
      </c>
      <c r="F103" s="27">
        <v>-287.0</v>
      </c>
      <c r="G103" s="27"/>
      <c r="H103" s="31">
        <f t="shared" si="1"/>
        <v>0</v>
      </c>
      <c r="I103" s="33">
        <v>-287.0</v>
      </c>
      <c r="J103" s="27" t="s">
        <v>3</v>
      </c>
    </row>
    <row r="104" hidden="1">
      <c r="A104" s="28">
        <v>45833.0</v>
      </c>
      <c r="B104" s="29" t="s">
        <v>62</v>
      </c>
      <c r="C104" s="57">
        <v>246.0</v>
      </c>
      <c r="D104" s="45" t="str">
        <f>IF(Tabla_3[COD]="","",VLOOKUP(Tabla_3[COD],'Stock inicial'!A:D,2,FALSE))</f>
        <v>ARIEL ECO (VERDE) 5L</v>
      </c>
      <c r="E104" s="29">
        <v>1.0</v>
      </c>
      <c r="F104" s="34">
        <v>2500.0</v>
      </c>
      <c r="G104" s="25">
        <v>1143.0</v>
      </c>
      <c r="H104" s="35">
        <f t="shared" si="1"/>
        <v>1143</v>
      </c>
      <c r="I104" s="36">
        <v>2500.0</v>
      </c>
      <c r="J104" s="27" t="s">
        <v>3</v>
      </c>
    </row>
    <row r="105" hidden="1">
      <c r="A105" s="28">
        <v>45833.0</v>
      </c>
      <c r="B105" s="60"/>
      <c r="C105" s="56">
        <v>252.0</v>
      </c>
      <c r="D105" s="47" t="str">
        <f>IF(Tabla_3[COD]="","",VLOOKUP(Tabla_3[COD],'Stock inicial'!A:D,2,FALSE))</f>
        <v>VIVERE ECO (CELESTE) 5L</v>
      </c>
      <c r="E105" s="29">
        <v>1.0</v>
      </c>
      <c r="F105" s="31">
        <v>2900.0</v>
      </c>
      <c r="G105" s="25">
        <v>1480.0</v>
      </c>
      <c r="H105" s="32">
        <f t="shared" si="1"/>
        <v>1480</v>
      </c>
      <c r="I105" s="33">
        <v>2900.0</v>
      </c>
      <c r="J105" s="27" t="s">
        <v>3</v>
      </c>
    </row>
    <row r="106" hidden="1">
      <c r="A106" s="28">
        <v>45833.0</v>
      </c>
      <c r="B106" s="60"/>
      <c r="C106" s="57">
        <v>258.0</v>
      </c>
      <c r="D106" s="45" t="str">
        <f>IF(Tabla_3[COD]="","",VLOOKUP(Tabla_3[COD],'Stock inicial'!A:D,2,FALSE))</f>
        <v>MAGISTRAL ECO (LIMON AMARILLO) 5L</v>
      </c>
      <c r="E106" s="29">
        <v>1.0</v>
      </c>
      <c r="F106" s="34">
        <v>2199.0</v>
      </c>
      <c r="G106" s="25">
        <v>1400.0</v>
      </c>
      <c r="H106" s="35">
        <f t="shared" si="1"/>
        <v>1400</v>
      </c>
      <c r="I106" s="36">
        <v>2199.0</v>
      </c>
      <c r="J106" s="27" t="s">
        <v>3</v>
      </c>
    </row>
    <row r="107" hidden="1">
      <c r="A107" s="28">
        <v>45833.0</v>
      </c>
      <c r="B107" s="60"/>
      <c r="C107" s="56">
        <v>267.0</v>
      </c>
      <c r="D107" s="47" t="str">
        <f>IF(Tabla_3[COD]="","",VLOOKUP(Tabla_3[COD],'Stock inicial'!A:D,2,FALSE))</f>
        <v>DESENGRASANTE COCINA 5L</v>
      </c>
      <c r="E107" s="29">
        <v>1.0</v>
      </c>
      <c r="F107" s="31">
        <v>2799.0</v>
      </c>
      <c r="G107" s="25">
        <v>1000.0</v>
      </c>
      <c r="H107" s="32">
        <f t="shared" si="1"/>
        <v>1000</v>
      </c>
      <c r="I107" s="33">
        <v>2799.0</v>
      </c>
      <c r="J107" s="27" t="s">
        <v>3</v>
      </c>
    </row>
    <row r="108" hidden="1">
      <c r="A108" s="28">
        <v>45833.0</v>
      </c>
      <c r="B108" s="60"/>
      <c r="C108" s="57">
        <v>278.0</v>
      </c>
      <c r="D108" s="45" t="str">
        <f>IF(Tabla_3[COD]="","",VLOOKUP(Tabla_3[COD],'Stock inicial'!A:D,2,FALSE))</f>
        <v>PERFUMINA LIMON 5L</v>
      </c>
      <c r="E108" s="29">
        <v>1.0</v>
      </c>
      <c r="F108" s="27">
        <v>1499.0</v>
      </c>
      <c r="G108" s="25">
        <v>287.25</v>
      </c>
      <c r="H108" s="35">
        <f t="shared" si="1"/>
        <v>287.25</v>
      </c>
      <c r="I108" s="36">
        <v>1499.0</v>
      </c>
      <c r="J108" s="27" t="s">
        <v>3</v>
      </c>
    </row>
    <row r="109" hidden="1">
      <c r="A109" s="28">
        <v>45833.0</v>
      </c>
      <c r="B109" s="60"/>
      <c r="C109" s="65"/>
      <c r="D109" s="66" t="s">
        <v>51</v>
      </c>
      <c r="E109" s="67">
        <v>1.0</v>
      </c>
      <c r="F109" s="27">
        <v>-907.0</v>
      </c>
      <c r="G109" s="27"/>
      <c r="H109" s="31">
        <f t="shared" si="1"/>
        <v>0</v>
      </c>
      <c r="I109" s="33">
        <v>-907.0</v>
      </c>
      <c r="J109" s="27" t="s">
        <v>3</v>
      </c>
    </row>
    <row r="110" hidden="1">
      <c r="A110" s="28">
        <v>45833.0</v>
      </c>
      <c r="B110" s="29" t="s">
        <v>63</v>
      </c>
      <c r="C110" s="57">
        <v>246.0</v>
      </c>
      <c r="D110" s="45" t="str">
        <f>IF(Tabla_3[COD]="","",VLOOKUP(Tabla_3[COD],'Stock inicial'!A:D,2,FALSE))</f>
        <v>ARIEL ECO (VERDE) 5L</v>
      </c>
      <c r="E110" s="29">
        <v>1.0</v>
      </c>
      <c r="F110" s="34">
        <v>2500.0</v>
      </c>
      <c r="G110" s="25">
        <v>1143.0</v>
      </c>
      <c r="H110" s="35">
        <f t="shared" si="1"/>
        <v>1143</v>
      </c>
      <c r="I110" s="36">
        <v>2500.0</v>
      </c>
      <c r="J110" s="27" t="s">
        <v>3</v>
      </c>
    </row>
    <row r="111" hidden="1">
      <c r="A111" s="28">
        <v>45833.0</v>
      </c>
      <c r="B111" s="60"/>
      <c r="C111" s="56">
        <v>252.0</v>
      </c>
      <c r="D111" s="47" t="str">
        <f>IF(Tabla_3[COD]="","",VLOOKUP(Tabla_3[COD],'Stock inicial'!A:D,2,FALSE))</f>
        <v>VIVERE ECO (CELESTE) 5L</v>
      </c>
      <c r="E111" s="29">
        <v>1.0</v>
      </c>
      <c r="F111" s="31">
        <v>2900.0</v>
      </c>
      <c r="G111" s="25">
        <v>1480.0</v>
      </c>
      <c r="H111" s="32">
        <f t="shared" si="1"/>
        <v>1480</v>
      </c>
      <c r="I111" s="33">
        <v>2900.0</v>
      </c>
      <c r="J111" s="27" t="s">
        <v>3</v>
      </c>
    </row>
    <row r="112" hidden="1">
      <c r="A112" s="28">
        <v>45833.0</v>
      </c>
      <c r="B112" s="60"/>
      <c r="C112" s="57">
        <v>258.0</v>
      </c>
      <c r="D112" s="45" t="str">
        <f>IF(Tabla_3[COD]="","",VLOOKUP(Tabla_3[COD],'Stock inicial'!A:D,2,FALSE))</f>
        <v>MAGISTRAL ECO (LIMON AMARILLO) 5L</v>
      </c>
      <c r="E112" s="29">
        <v>1.0</v>
      </c>
      <c r="F112" s="34">
        <v>2199.0</v>
      </c>
      <c r="G112" s="25">
        <v>1400.0</v>
      </c>
      <c r="H112" s="35">
        <f t="shared" si="1"/>
        <v>1400</v>
      </c>
      <c r="I112" s="36">
        <v>2199.0</v>
      </c>
      <c r="J112" s="27" t="s">
        <v>3</v>
      </c>
    </row>
    <row r="113" hidden="1">
      <c r="A113" s="28">
        <v>45833.0</v>
      </c>
      <c r="B113" s="60"/>
      <c r="C113" s="56">
        <v>267.0</v>
      </c>
      <c r="D113" s="47" t="str">
        <f>IF(Tabla_3[COD]="","",VLOOKUP(Tabla_3[COD],'Stock inicial'!A:D,2,FALSE))</f>
        <v>DESENGRASANTE COCINA 5L</v>
      </c>
      <c r="E113" s="29">
        <v>1.0</v>
      </c>
      <c r="F113" s="31">
        <v>2799.0</v>
      </c>
      <c r="G113" s="25">
        <v>1000.0</v>
      </c>
      <c r="H113" s="32">
        <f t="shared" si="1"/>
        <v>1000</v>
      </c>
      <c r="I113" s="33">
        <v>2799.0</v>
      </c>
      <c r="J113" s="27" t="s">
        <v>3</v>
      </c>
    </row>
    <row r="114" hidden="1">
      <c r="A114" s="28">
        <v>45833.0</v>
      </c>
      <c r="B114" s="60"/>
      <c r="C114" s="57">
        <v>274.0</v>
      </c>
      <c r="D114" s="45" t="str">
        <f>IF(Tabla_3[COD]="","",VLOOKUP(Tabla_3[COD],'Stock inicial'!A:D,2,FALSE))</f>
        <v>PERFUMINA CHERRY 5L</v>
      </c>
      <c r="E114" s="29">
        <v>1.0</v>
      </c>
      <c r="F114" s="27">
        <v>1499.0</v>
      </c>
      <c r="G114" s="25">
        <v>287.25</v>
      </c>
      <c r="H114" s="35">
        <f t="shared" si="1"/>
        <v>287.25</v>
      </c>
      <c r="I114" s="36">
        <v>1499.0</v>
      </c>
      <c r="J114" s="27" t="s">
        <v>3</v>
      </c>
    </row>
    <row r="115" hidden="1">
      <c r="A115" s="28">
        <v>45833.0</v>
      </c>
      <c r="B115" s="60"/>
      <c r="C115" s="65"/>
      <c r="D115" s="47" t="s">
        <v>44</v>
      </c>
      <c r="E115" s="67">
        <v>1.0</v>
      </c>
      <c r="F115" s="27">
        <v>-907.0</v>
      </c>
      <c r="G115" s="27"/>
      <c r="H115" s="31">
        <f t="shared" si="1"/>
        <v>0</v>
      </c>
      <c r="I115" s="33">
        <v>-907.0</v>
      </c>
      <c r="J115" s="27" t="s">
        <v>3</v>
      </c>
    </row>
    <row r="116" hidden="1">
      <c r="A116" s="28">
        <v>45833.0</v>
      </c>
      <c r="B116" s="29" t="s">
        <v>64</v>
      </c>
      <c r="C116" s="68">
        <v>278.0</v>
      </c>
      <c r="D116" s="39" t="str">
        <f>IF(Tabla_3[COD]="","",VLOOKUP(Tabla_3[COD],'Stock inicial'!A:D,2,FALSE))</f>
        <v>PERFUMINA LIMON 5L</v>
      </c>
      <c r="E116" s="69">
        <v>1.0</v>
      </c>
      <c r="F116" s="27">
        <v>999.0</v>
      </c>
      <c r="G116" s="25">
        <v>287.25</v>
      </c>
      <c r="H116" s="35">
        <f t="shared" si="1"/>
        <v>287.25</v>
      </c>
      <c r="I116" s="36">
        <v>999.0</v>
      </c>
      <c r="J116" s="27" t="s">
        <v>11</v>
      </c>
    </row>
    <row r="117" hidden="1">
      <c r="A117" s="28">
        <v>45833.0</v>
      </c>
      <c r="B117" s="60"/>
      <c r="C117" s="70">
        <v>290.0</v>
      </c>
      <c r="D117" s="47" t="str">
        <f>IF(Tabla_3[COD]="","",VLOOKUP(Tabla_3[COD],'Stock inicial'!A:D,2,FALSE))</f>
        <v>LAVANDINA 5L</v>
      </c>
      <c r="E117" s="67">
        <v>1.0</v>
      </c>
      <c r="F117" s="27">
        <v>1990.0</v>
      </c>
      <c r="G117" s="25">
        <v>1080.0</v>
      </c>
      <c r="H117" s="32">
        <f t="shared" si="1"/>
        <v>1080</v>
      </c>
      <c r="I117" s="33">
        <v>1990.0</v>
      </c>
      <c r="J117" s="27" t="s">
        <v>3</v>
      </c>
    </row>
    <row r="118" hidden="1">
      <c r="A118" s="28">
        <v>45833.0</v>
      </c>
      <c r="B118" s="60"/>
      <c r="C118" s="68">
        <v>257.0</v>
      </c>
      <c r="D118" s="45" t="str">
        <f>IF(Tabla_3[COD]="","",VLOOKUP(Tabla_3[COD],'Stock inicial'!A:D,2,FALSE))</f>
        <v>MAGISTRAL ECO (LIMON AMARILLO) 1L</v>
      </c>
      <c r="E118" s="69">
        <v>2.0</v>
      </c>
      <c r="F118" s="27">
        <v>999.0</v>
      </c>
      <c r="G118" s="25">
        <v>280.0</v>
      </c>
      <c r="H118" s="35">
        <f t="shared" si="1"/>
        <v>560</v>
      </c>
      <c r="I118" s="36">
        <v>1998.0</v>
      </c>
      <c r="J118" s="27" t="s">
        <v>11</v>
      </c>
    </row>
    <row r="119" hidden="1">
      <c r="A119" s="28">
        <v>45833.0</v>
      </c>
      <c r="B119" s="60"/>
      <c r="C119" s="70">
        <v>226.0</v>
      </c>
      <c r="D119" s="47" t="str">
        <f>IF(Tabla_3[COD]="","",VLOOKUP(Tabla_3[COD],'Stock inicial'!A:D,2,FALSE))</f>
        <v>GATI GATO CARNE Y POLLO</v>
      </c>
      <c r="E119" s="67">
        <v>1.11</v>
      </c>
      <c r="F119" s="27">
        <v>2700.0</v>
      </c>
      <c r="G119" s="25">
        <v>2073.33</v>
      </c>
      <c r="H119" s="32">
        <f t="shared" si="1"/>
        <v>2301.3963</v>
      </c>
      <c r="I119" s="33">
        <v>2997.0000000000005</v>
      </c>
      <c r="J119" s="27" t="s">
        <v>11</v>
      </c>
    </row>
    <row r="120" hidden="1">
      <c r="A120" s="28">
        <v>45833.0</v>
      </c>
      <c r="B120" s="29"/>
      <c r="C120" s="68">
        <v>354.0</v>
      </c>
      <c r="D120" s="49" t="str">
        <f>IF(Tabla_3[COD]="","",VLOOKUP(Tabla_3[COD],'Stock inicial'!A:D,2,FALSE))</f>
        <v>ROLLISEC "EL COLOSO" 40 X3 </v>
      </c>
      <c r="E120" s="69">
        <v>1.0</v>
      </c>
      <c r="F120" s="27">
        <v>1350.0</v>
      </c>
      <c r="G120" s="25">
        <v>1035.0</v>
      </c>
      <c r="H120" s="35">
        <f t="shared" si="1"/>
        <v>1035</v>
      </c>
      <c r="I120" s="36">
        <v>1350.0</v>
      </c>
      <c r="J120" s="27" t="s">
        <v>3</v>
      </c>
    </row>
    <row r="121" hidden="1">
      <c r="A121" s="28">
        <v>45833.0</v>
      </c>
      <c r="B121" s="29" t="s">
        <v>65</v>
      </c>
      <c r="C121" s="70">
        <v>157.0</v>
      </c>
      <c r="D121" s="48" t="str">
        <f>IF(Tabla_3[COD]="","",VLOOKUP(Tabla_3[COD],'Stock inicial'!A:D,2,FALSE))</f>
        <v>PELLET SANITARIO X 15KG</v>
      </c>
      <c r="E121" s="67">
        <v>3.3</v>
      </c>
      <c r="F121" s="27">
        <v>900.0</v>
      </c>
      <c r="G121" s="25">
        <v>528.59</v>
      </c>
      <c r="H121" s="32">
        <f t="shared" si="1"/>
        <v>1744.347</v>
      </c>
      <c r="I121" s="33">
        <v>2970.0</v>
      </c>
      <c r="J121" s="27" t="s">
        <v>11</v>
      </c>
    </row>
    <row r="122" hidden="1">
      <c r="A122" s="28">
        <v>45833.0</v>
      </c>
      <c r="B122" s="71"/>
      <c r="C122" s="72">
        <v>212.0</v>
      </c>
      <c r="D122" s="45" t="str">
        <f>IF(Tabla_3[COD]="","",VLOOKUP(Tabla_3[COD],'Stock inicial'!A:D,2,FALSE))</f>
        <v>DOGPRO ADULTO MORDIDA PEQUEñA XKG</v>
      </c>
      <c r="E122" s="29">
        <v>1.0</v>
      </c>
      <c r="F122" s="27" t="s">
        <v>66</v>
      </c>
      <c r="G122" s="25"/>
      <c r="H122" s="25">
        <f t="shared" si="1"/>
        <v>0</v>
      </c>
      <c r="I122" s="27">
        <v>0.0</v>
      </c>
      <c r="J122" s="73"/>
    </row>
    <row r="123" hidden="1">
      <c r="A123" s="74">
        <v>45834.0</v>
      </c>
      <c r="B123" s="75" t="s">
        <v>67</v>
      </c>
      <c r="C123" s="76">
        <v>104.0</v>
      </c>
      <c r="D123" s="77" t="str">
        <f>IF(Tabla_3[COD]="","",VLOOKUP(Tabla_3[COD],'Stock inicial'!A:D,2,FALSE))</f>
        <v>COLLAR C/PANUELO 3.0 EXTRA LARGE</v>
      </c>
      <c r="E123" s="67">
        <v>1.0</v>
      </c>
      <c r="F123" s="27">
        <v>5000.0</v>
      </c>
      <c r="G123" s="25">
        <v>2800.0</v>
      </c>
      <c r="H123" s="25">
        <f t="shared" si="1"/>
        <v>2800</v>
      </c>
      <c r="I123" s="27">
        <v>5000.0</v>
      </c>
      <c r="J123" s="27" t="s">
        <v>11</v>
      </c>
    </row>
    <row r="124" hidden="1">
      <c r="A124" s="78">
        <v>45834.0</v>
      </c>
      <c r="B124" s="79"/>
      <c r="C124" s="80">
        <v>212.0</v>
      </c>
      <c r="D124" s="81" t="str">
        <f>IF(Tabla_3[COD]="","",VLOOKUP(Tabla_3[COD],'Stock inicial'!A:D,2,FALSE))</f>
        <v>DOGPRO ADULTO MORDIDA PEQUEñA XKG</v>
      </c>
      <c r="E124" s="69">
        <v>2.21</v>
      </c>
      <c r="F124" s="27">
        <v>3700.0</v>
      </c>
      <c r="G124" s="25">
        <v>2778.13</v>
      </c>
      <c r="H124" s="25">
        <f t="shared" si="1"/>
        <v>6139.6673</v>
      </c>
      <c r="I124" s="27">
        <v>8177.0</v>
      </c>
      <c r="J124" s="27" t="s">
        <v>11</v>
      </c>
    </row>
    <row r="125" hidden="1">
      <c r="A125" s="74">
        <v>45834.0</v>
      </c>
      <c r="B125" s="75" t="s">
        <v>68</v>
      </c>
      <c r="C125" s="76">
        <v>219.0</v>
      </c>
      <c r="D125" s="77" t="str">
        <f>IF(Tabla_3[COD]="","",VLOOKUP(Tabla_3[COD],'Stock inicial'!A:D,2,FALSE))</f>
        <v>VITAL BALANCED CACHORRO PUPPY</v>
      </c>
      <c r="E125" s="67">
        <v>0.622</v>
      </c>
      <c r="F125" s="27">
        <v>5700.0</v>
      </c>
      <c r="G125" s="25">
        <v>3968.92</v>
      </c>
      <c r="H125" s="25">
        <f t="shared" si="1"/>
        <v>2468.66824</v>
      </c>
      <c r="I125" s="27">
        <v>3545.4</v>
      </c>
      <c r="J125" s="27" t="s">
        <v>3</v>
      </c>
    </row>
    <row r="126" hidden="1">
      <c r="A126" s="78">
        <v>45834.0</v>
      </c>
      <c r="B126" s="82" t="s">
        <v>69</v>
      </c>
      <c r="C126" s="83">
        <v>246.0</v>
      </c>
      <c r="D126" s="84" t="str">
        <f>IF(Tabla_3[COD]="","",VLOOKUP(Tabla_3[COD],'Stock inicial'!A:D,2,FALSE))</f>
        <v>ARIEL ECO (VERDE) 5L</v>
      </c>
      <c r="E126" s="69">
        <v>1.0</v>
      </c>
      <c r="F126" s="34">
        <v>2500.0</v>
      </c>
      <c r="G126" s="25">
        <v>1143.0</v>
      </c>
      <c r="H126" s="25">
        <f t="shared" si="1"/>
        <v>1143</v>
      </c>
      <c r="I126" s="27">
        <v>2500.0</v>
      </c>
      <c r="J126" s="27" t="s">
        <v>11</v>
      </c>
    </row>
    <row r="127" hidden="1">
      <c r="A127" s="74">
        <v>45834.0</v>
      </c>
      <c r="B127" s="85"/>
      <c r="C127" s="86">
        <v>252.0</v>
      </c>
      <c r="D127" s="87" t="str">
        <f>IF(Tabla_3[COD]="","",VLOOKUP(Tabla_3[COD],'Stock inicial'!A:D,2,FALSE))</f>
        <v>VIVERE ECO (CELESTE) 5L</v>
      </c>
      <c r="E127" s="67">
        <v>1.0</v>
      </c>
      <c r="F127" s="31">
        <v>2900.0</v>
      </c>
      <c r="G127" s="25">
        <v>1480.0</v>
      </c>
      <c r="H127" s="25">
        <f t="shared" si="1"/>
        <v>1480</v>
      </c>
      <c r="I127" s="27">
        <v>2900.0</v>
      </c>
      <c r="J127" s="27" t="s">
        <v>11</v>
      </c>
    </row>
    <row r="128" hidden="1">
      <c r="A128" s="78">
        <v>45834.0</v>
      </c>
      <c r="B128" s="79"/>
      <c r="C128" s="88">
        <v>258.0</v>
      </c>
      <c r="D128" s="81" t="str">
        <f>IF(Tabla_3[COD]="","",VLOOKUP(Tabla_3[COD],'Stock inicial'!A:D,2,FALSE))</f>
        <v>MAGISTRAL ECO (LIMON AMARILLO) 5L</v>
      </c>
      <c r="E128" s="69">
        <v>1.0</v>
      </c>
      <c r="F128" s="34">
        <v>2199.0</v>
      </c>
      <c r="G128" s="25">
        <v>1400.0</v>
      </c>
      <c r="H128" s="25">
        <f t="shared" si="1"/>
        <v>1400</v>
      </c>
      <c r="I128" s="27">
        <v>2199.0</v>
      </c>
      <c r="J128" s="27" t="s">
        <v>11</v>
      </c>
    </row>
    <row r="129" hidden="1">
      <c r="A129" s="74">
        <v>45834.0</v>
      </c>
      <c r="B129" s="85"/>
      <c r="C129" s="86">
        <v>267.0</v>
      </c>
      <c r="D129" s="87" t="str">
        <f>IF(Tabla_3[COD]="","",VLOOKUP(Tabla_3[COD],'Stock inicial'!A:D,2,FALSE))</f>
        <v>DESENGRASANTE COCINA 5L</v>
      </c>
      <c r="E129" s="67">
        <v>1.0</v>
      </c>
      <c r="F129" s="31">
        <v>2799.0</v>
      </c>
      <c r="G129" s="25">
        <v>1000.0</v>
      </c>
      <c r="H129" s="25">
        <f t="shared" si="1"/>
        <v>1000</v>
      </c>
      <c r="I129" s="27">
        <v>2799.0</v>
      </c>
      <c r="J129" s="27" t="s">
        <v>11</v>
      </c>
    </row>
    <row r="130" hidden="1">
      <c r="A130" s="78">
        <v>45834.0</v>
      </c>
      <c r="B130" s="79"/>
      <c r="C130" s="88">
        <v>282.0</v>
      </c>
      <c r="D130" s="81" t="str">
        <f>IF(Tabla_3[COD]="","",VLOOKUP(Tabla_3[COD],'Stock inicial'!A:D,2,FALSE))</f>
        <v>PERFUMINA VAINILLA 5L</v>
      </c>
      <c r="E130" s="69">
        <v>1.0</v>
      </c>
      <c r="F130" s="27">
        <v>1499.0</v>
      </c>
      <c r="G130" s="25">
        <v>287.25</v>
      </c>
      <c r="H130" s="25">
        <f t="shared" si="1"/>
        <v>287.25</v>
      </c>
      <c r="I130" s="27">
        <v>1499.0</v>
      </c>
      <c r="J130" s="27" t="s">
        <v>11</v>
      </c>
    </row>
    <row r="131" hidden="1">
      <c r="A131" s="74">
        <v>45834.0</v>
      </c>
      <c r="B131" s="85"/>
      <c r="C131" s="89"/>
      <c r="D131" s="87" t="s">
        <v>44</v>
      </c>
      <c r="E131" s="67">
        <v>1.0</v>
      </c>
      <c r="F131" s="27">
        <v>-907.0</v>
      </c>
      <c r="G131" s="27"/>
      <c r="H131" s="27">
        <f t="shared" si="1"/>
        <v>0</v>
      </c>
      <c r="I131" s="27">
        <v>-907.0</v>
      </c>
      <c r="J131" s="27" t="s">
        <v>11</v>
      </c>
    </row>
    <row r="132" hidden="1">
      <c r="A132" s="78">
        <v>45834.0</v>
      </c>
      <c r="B132" s="79"/>
      <c r="C132" s="80">
        <v>290.0</v>
      </c>
      <c r="D132" s="81" t="str">
        <f>IF(Tabla_3[COD]="","",VLOOKUP(Tabla_3[COD],'Stock inicial'!A:D,2,FALSE))</f>
        <v>LAVANDINA 5L</v>
      </c>
      <c r="E132" s="69">
        <v>1.0</v>
      </c>
      <c r="F132" s="27">
        <v>1990.0</v>
      </c>
      <c r="G132" s="25">
        <v>1080.0</v>
      </c>
      <c r="H132" s="25">
        <f t="shared" si="1"/>
        <v>1080</v>
      </c>
      <c r="I132" s="27">
        <v>1990.0</v>
      </c>
      <c r="J132" s="27" t="s">
        <v>11</v>
      </c>
    </row>
    <row r="133" hidden="1">
      <c r="A133" s="74">
        <v>45834.0</v>
      </c>
      <c r="B133" s="75" t="s">
        <v>70</v>
      </c>
      <c r="C133" s="76">
        <v>253.0</v>
      </c>
      <c r="D133" s="77" t="str">
        <f>IF(Tabla_3[COD]="","",VLOOKUP(Tabla_3[COD],'Stock inicial'!A:D,2,FALSE))</f>
        <v>COMFORT PREMIUM (ROSA) 1L</v>
      </c>
      <c r="E133" s="67">
        <v>1.0</v>
      </c>
      <c r="F133" s="27">
        <v>1050.0</v>
      </c>
      <c r="G133" s="25">
        <v>324.0</v>
      </c>
      <c r="H133" s="25">
        <f t="shared" si="1"/>
        <v>324</v>
      </c>
      <c r="I133" s="27">
        <v>1050.0</v>
      </c>
      <c r="J133" s="27" t="s">
        <v>3</v>
      </c>
    </row>
    <row r="134" hidden="1">
      <c r="A134" s="78">
        <v>45834.0</v>
      </c>
      <c r="B134" s="79"/>
      <c r="C134" s="80">
        <v>162.0</v>
      </c>
      <c r="D134" s="81" t="str">
        <f>IF(Tabla_3[COD]="","",VLOOKUP(Tabla_3[COD],'Stock inicial'!A:D,2,FALSE))</f>
        <v>PIEDRA SANITARIA THEBEST X20KG</v>
      </c>
      <c r="E134" s="69">
        <v>3.45</v>
      </c>
      <c r="F134" s="27">
        <v>580.0</v>
      </c>
      <c r="G134" s="25">
        <v>430.0</v>
      </c>
      <c r="H134" s="25">
        <f t="shared" si="1"/>
        <v>1483.5</v>
      </c>
      <c r="I134" s="27">
        <v>2001.0</v>
      </c>
      <c r="J134" s="27" t="s">
        <v>3</v>
      </c>
    </row>
    <row r="135" hidden="1">
      <c r="A135" s="74">
        <v>45834.0</v>
      </c>
      <c r="B135" s="75" t="s">
        <v>71</v>
      </c>
      <c r="C135" s="90">
        <v>245.0</v>
      </c>
      <c r="D135" s="77" t="str">
        <f>IF(Tabla_3[COD]="","",VLOOKUP(Tabla_3[COD],'Stock inicial'!A:D,2,FALSE))</f>
        <v>ARIEL ECO (VERDE) 1L</v>
      </c>
      <c r="E135" s="67">
        <v>5.0</v>
      </c>
      <c r="F135" s="27">
        <v>890.0</v>
      </c>
      <c r="G135" s="25">
        <v>228.6</v>
      </c>
      <c r="H135" s="25">
        <f t="shared" si="1"/>
        <v>1143</v>
      </c>
      <c r="I135" s="27">
        <v>4450.0</v>
      </c>
      <c r="J135" s="27" t="s">
        <v>11</v>
      </c>
    </row>
    <row r="136" hidden="1">
      <c r="A136" s="78">
        <v>45834.0</v>
      </c>
      <c r="B136" s="79"/>
      <c r="C136" s="88">
        <v>251.0</v>
      </c>
      <c r="D136" s="81" t="str">
        <f>IF(Tabla_3[COD]="","",VLOOKUP(Tabla_3[COD],'Stock inicial'!A:D,2,FALSE))</f>
        <v>VIVERE ECO (CELESTE) 1L</v>
      </c>
      <c r="E136" s="69">
        <v>5.0</v>
      </c>
      <c r="F136" s="27">
        <v>990.0</v>
      </c>
      <c r="G136" s="25">
        <v>296.0</v>
      </c>
      <c r="H136" s="25">
        <f t="shared" si="1"/>
        <v>1480</v>
      </c>
      <c r="I136" s="27">
        <v>4950.0</v>
      </c>
      <c r="J136" s="27" t="s">
        <v>11</v>
      </c>
    </row>
    <row r="137" hidden="1">
      <c r="A137" s="74">
        <v>45834.0</v>
      </c>
      <c r="B137" s="85"/>
      <c r="C137" s="86">
        <v>257.0</v>
      </c>
      <c r="D137" s="87" t="str">
        <f>IF(Tabla_3[COD]="","",VLOOKUP(Tabla_3[COD],'Stock inicial'!A:D,2,FALSE))</f>
        <v>MAGISTRAL ECO (LIMON AMARILLO) 1L</v>
      </c>
      <c r="E137" s="67">
        <v>5.0</v>
      </c>
      <c r="F137" s="27">
        <v>999.0</v>
      </c>
      <c r="G137" s="25">
        <v>280.0</v>
      </c>
      <c r="H137" s="25">
        <f t="shared" si="1"/>
        <v>1400</v>
      </c>
      <c r="I137" s="27">
        <v>4995.0</v>
      </c>
      <c r="J137" s="27" t="s">
        <v>11</v>
      </c>
    </row>
    <row r="138" hidden="1">
      <c r="A138" s="78">
        <v>45834.0</v>
      </c>
      <c r="B138" s="91"/>
      <c r="C138" s="88">
        <v>266.0</v>
      </c>
      <c r="D138" s="81" t="str">
        <f>IF(Tabla_3[COD]="","",VLOOKUP(Tabla_3[COD],'Stock inicial'!A:D,2,FALSE))</f>
        <v>DESENGRASANTE COCINA 1L</v>
      </c>
      <c r="E138" s="58">
        <v>5.0</v>
      </c>
      <c r="F138" s="27">
        <v>799.0</v>
      </c>
      <c r="G138" s="25">
        <v>200.0</v>
      </c>
      <c r="H138" s="25">
        <f t="shared" si="1"/>
        <v>1000</v>
      </c>
      <c r="I138" s="27">
        <v>3995.0</v>
      </c>
      <c r="J138" s="27" t="s">
        <v>11</v>
      </c>
    </row>
    <row r="139" hidden="1">
      <c r="A139" s="74">
        <v>45834.0</v>
      </c>
      <c r="B139" s="92"/>
      <c r="C139" s="86">
        <v>273.0</v>
      </c>
      <c r="D139" s="87" t="str">
        <f>IF(Tabla_3[COD]="","",VLOOKUP(Tabla_3[COD],'Stock inicial'!A:D,2,FALSE))</f>
        <v>PERFUMINA CHERRY 1L</v>
      </c>
      <c r="E139" s="59">
        <v>1.0</v>
      </c>
      <c r="F139" s="27">
        <v>599.0</v>
      </c>
      <c r="G139" s="25">
        <v>57.45</v>
      </c>
      <c r="H139" s="25">
        <f t="shared" si="1"/>
        <v>57.45</v>
      </c>
      <c r="I139" s="27">
        <v>599.0</v>
      </c>
      <c r="J139" s="27" t="s">
        <v>11</v>
      </c>
    </row>
    <row r="140" hidden="1">
      <c r="A140" s="78">
        <v>45834.0</v>
      </c>
      <c r="B140" s="91"/>
      <c r="C140" s="93">
        <v>275.0</v>
      </c>
      <c r="D140" s="81" t="str">
        <f>IF(Tabla_3[COD]="","",VLOOKUP(Tabla_3[COD],'Stock inicial'!A:D,2,FALSE))</f>
        <v>PERFUMINA UVA 1L</v>
      </c>
      <c r="E140" s="58">
        <v>1.0</v>
      </c>
      <c r="F140" s="27">
        <v>599.0</v>
      </c>
      <c r="G140" s="25">
        <v>57.45</v>
      </c>
      <c r="H140" s="25">
        <f t="shared" si="1"/>
        <v>57.45</v>
      </c>
      <c r="I140" s="27">
        <v>599.0</v>
      </c>
      <c r="J140" s="27" t="s">
        <v>11</v>
      </c>
    </row>
    <row r="141" hidden="1">
      <c r="A141" s="74">
        <v>45834.0</v>
      </c>
      <c r="B141" s="92"/>
      <c r="C141" s="94">
        <v>277.0</v>
      </c>
      <c r="D141" s="87" t="str">
        <f>IF(Tabla_3[COD]="","",VLOOKUP(Tabla_3[COD],'Stock inicial'!A:D,2,FALSE))</f>
        <v>PERFUMINA LIMON 1L</v>
      </c>
      <c r="E141" s="59">
        <v>1.0</v>
      </c>
      <c r="F141" s="27">
        <v>599.0</v>
      </c>
      <c r="G141" s="25">
        <v>57.45</v>
      </c>
      <c r="H141" s="25">
        <f t="shared" si="1"/>
        <v>57.45</v>
      </c>
      <c r="I141" s="27">
        <v>599.0</v>
      </c>
      <c r="J141" s="27" t="s">
        <v>11</v>
      </c>
    </row>
    <row r="142" hidden="1">
      <c r="A142" s="78">
        <v>45834.0</v>
      </c>
      <c r="B142" s="91"/>
      <c r="C142" s="93">
        <v>279.0</v>
      </c>
      <c r="D142" s="81" t="str">
        <f>IF(Tabla_3[COD]="","",VLOOKUP(Tabla_3[COD],'Stock inicial'!A:D,2,FALSE))</f>
        <v>PERFUMINA LISOFORM 1L</v>
      </c>
      <c r="E142" s="58">
        <v>1.0</v>
      </c>
      <c r="F142" s="27">
        <v>599.0</v>
      </c>
      <c r="G142" s="25">
        <v>57.45</v>
      </c>
      <c r="H142" s="25">
        <f t="shared" si="1"/>
        <v>57.45</v>
      </c>
      <c r="I142" s="27">
        <v>599.0</v>
      </c>
      <c r="J142" s="27" t="s">
        <v>11</v>
      </c>
    </row>
    <row r="143" hidden="1">
      <c r="A143" s="74">
        <v>45834.0</v>
      </c>
      <c r="B143" s="92"/>
      <c r="C143" s="94">
        <v>281.0</v>
      </c>
      <c r="D143" s="87" t="str">
        <f>IF(Tabla_3[COD]="","",VLOOKUP(Tabla_3[COD],'Stock inicial'!A:D,2,FALSE))</f>
        <v>PERFUMINA VAINILLA 1L</v>
      </c>
      <c r="E143" s="59">
        <v>1.0</v>
      </c>
      <c r="F143" s="27">
        <v>599.0</v>
      </c>
      <c r="G143" s="25">
        <v>57.45</v>
      </c>
      <c r="H143" s="25">
        <f t="shared" si="1"/>
        <v>57.45</v>
      </c>
      <c r="I143" s="27">
        <v>599.0</v>
      </c>
      <c r="J143" s="27" t="s">
        <v>11</v>
      </c>
    </row>
    <row r="144" hidden="1">
      <c r="A144" s="78">
        <v>45834.0</v>
      </c>
      <c r="B144" s="91"/>
      <c r="C144" s="95"/>
      <c r="D144" s="81" t="s">
        <v>51</v>
      </c>
      <c r="E144" s="58">
        <v>5.0</v>
      </c>
      <c r="F144" s="27">
        <v>-287.0</v>
      </c>
      <c r="G144" s="27"/>
      <c r="H144" s="27">
        <f t="shared" si="1"/>
        <v>0</v>
      </c>
      <c r="I144" s="27">
        <v>-1435.0</v>
      </c>
      <c r="J144" s="27" t="s">
        <v>11</v>
      </c>
    </row>
    <row r="145" hidden="1">
      <c r="A145" s="74">
        <v>45834.0</v>
      </c>
      <c r="B145" s="75" t="s">
        <v>72</v>
      </c>
      <c r="C145" s="96">
        <v>246.0</v>
      </c>
      <c r="D145" s="77" t="str">
        <f>IF(Tabla_3[COD]="","",VLOOKUP(Tabla_3[COD],'Stock inicial'!A:D,2,FALSE))</f>
        <v>ARIEL ECO (VERDE) 5L</v>
      </c>
      <c r="E145" s="59">
        <v>1.0</v>
      </c>
      <c r="F145" s="27">
        <v>1990.0</v>
      </c>
      <c r="G145" s="25">
        <v>1143.0</v>
      </c>
      <c r="H145" s="25">
        <f t="shared" si="1"/>
        <v>1143</v>
      </c>
      <c r="I145" s="27">
        <v>1990.0</v>
      </c>
      <c r="J145" s="27" t="s">
        <v>3</v>
      </c>
    </row>
    <row r="146" hidden="1">
      <c r="A146" s="78">
        <v>45834.0</v>
      </c>
      <c r="B146" s="82" t="s">
        <v>73</v>
      </c>
      <c r="C146" s="97">
        <v>288.0</v>
      </c>
      <c r="D146" s="84" t="str">
        <f>IF(Tabla_3[COD]="","",VLOOKUP(Tabla_3[COD],'Stock inicial'!A:D,2,FALSE))</f>
        <v>ACONDICIONADOR PANTENE 1/2L</v>
      </c>
      <c r="E146" s="58">
        <v>2.0</v>
      </c>
      <c r="F146" s="27">
        <v>1499.0</v>
      </c>
      <c r="G146" s="25">
        <v>225.0</v>
      </c>
      <c r="H146" s="25">
        <f t="shared" si="1"/>
        <v>450</v>
      </c>
      <c r="I146" s="27">
        <v>2998.0</v>
      </c>
      <c r="J146" s="27" t="s">
        <v>11</v>
      </c>
    </row>
    <row r="147" hidden="1">
      <c r="A147" s="74">
        <v>45834.0</v>
      </c>
      <c r="B147" s="92"/>
      <c r="C147" s="98">
        <v>287.0</v>
      </c>
      <c r="D147" s="87" t="str">
        <f>IF(Tabla_3[COD]="","",VLOOKUP(Tabla_3[COD],'Stock inicial'!A:D,2,FALSE))</f>
        <v>SHAMPOO DOVE 1/2L</v>
      </c>
      <c r="E147" s="59">
        <v>2.0</v>
      </c>
      <c r="F147" s="27">
        <v>1499.0</v>
      </c>
      <c r="G147" s="25">
        <v>225.0</v>
      </c>
      <c r="H147" s="25">
        <f t="shared" si="1"/>
        <v>450</v>
      </c>
      <c r="I147" s="27">
        <v>2998.0</v>
      </c>
      <c r="J147" s="27" t="s">
        <v>11</v>
      </c>
    </row>
    <row r="148" hidden="1">
      <c r="A148" s="78">
        <v>45834.0</v>
      </c>
      <c r="B148" s="91"/>
      <c r="C148" s="99">
        <v>283.0</v>
      </c>
      <c r="D148" s="81" t="str">
        <f>IF(Tabla_3[COD]="","",VLOOKUP(Tabla_3[COD],'Stock inicial'!A:D,2,FALSE))</f>
        <v>TICKET ROPA 1L</v>
      </c>
      <c r="E148" s="58">
        <v>2.0</v>
      </c>
      <c r="F148" s="27">
        <v>999.0</v>
      </c>
      <c r="G148" s="25">
        <v>179.5</v>
      </c>
      <c r="H148" s="25">
        <f t="shared" si="1"/>
        <v>359</v>
      </c>
      <c r="I148" s="27">
        <v>1998.0</v>
      </c>
      <c r="J148" s="27" t="s">
        <v>11</v>
      </c>
    </row>
    <row r="149" hidden="1">
      <c r="A149" s="74">
        <v>45834.0</v>
      </c>
      <c r="B149" s="92"/>
      <c r="C149" s="98">
        <v>284.0</v>
      </c>
      <c r="D149" s="87" t="str">
        <f>IF(Tabla_3[COD]="","",VLOOKUP(Tabla_3[COD],'Stock inicial'!A:D,2,FALSE))</f>
        <v>VAINILLA/COCO ROPA 1L</v>
      </c>
      <c r="E149" s="59">
        <v>2.0</v>
      </c>
      <c r="F149" s="27">
        <v>999.0</v>
      </c>
      <c r="G149" s="25">
        <v>179.5</v>
      </c>
      <c r="H149" s="25">
        <f t="shared" si="1"/>
        <v>359</v>
      </c>
      <c r="I149" s="27">
        <v>1998.0</v>
      </c>
      <c r="J149" s="27" t="s">
        <v>11</v>
      </c>
    </row>
    <row r="150" hidden="1">
      <c r="A150" s="78">
        <v>45834.0</v>
      </c>
      <c r="B150" s="82" t="s">
        <v>74</v>
      </c>
      <c r="C150" s="97">
        <v>288.0</v>
      </c>
      <c r="D150" s="84" t="str">
        <f>IF(Tabla_3[COD]="","",VLOOKUP(Tabla_3[COD],'Stock inicial'!A:D,2,FALSE))</f>
        <v>ACONDICIONADOR PANTENE 1/2L</v>
      </c>
      <c r="E150" s="58">
        <v>1.0</v>
      </c>
      <c r="F150" s="27">
        <v>1499.0</v>
      </c>
      <c r="G150" s="25">
        <v>225.0</v>
      </c>
      <c r="H150" s="25">
        <f t="shared" si="1"/>
        <v>225</v>
      </c>
      <c r="I150" s="27">
        <v>1499.0</v>
      </c>
      <c r="J150" s="27" t="s">
        <v>3</v>
      </c>
    </row>
    <row r="151" hidden="1">
      <c r="A151" s="74">
        <v>45834.0</v>
      </c>
      <c r="B151" s="92"/>
      <c r="C151" s="98">
        <v>257.0</v>
      </c>
      <c r="D151" s="87" t="str">
        <f>IF(Tabla_3[COD]="","",VLOOKUP(Tabla_3[COD],'Stock inicial'!A:D,2,FALSE))</f>
        <v>MAGISTRAL ECO (LIMON AMARILLO) 1L</v>
      </c>
      <c r="E151" s="59">
        <v>1.0</v>
      </c>
      <c r="F151" s="27">
        <v>999.0</v>
      </c>
      <c r="G151" s="25">
        <v>280.0</v>
      </c>
      <c r="H151" s="25">
        <f t="shared" si="1"/>
        <v>280</v>
      </c>
      <c r="I151" s="27">
        <v>999.0</v>
      </c>
      <c r="J151" s="27" t="s">
        <v>3</v>
      </c>
    </row>
    <row r="152" hidden="1">
      <c r="A152" s="78">
        <v>45834.0</v>
      </c>
      <c r="B152" s="91"/>
      <c r="C152" s="99">
        <v>212.0</v>
      </c>
      <c r="D152" s="81" t="str">
        <f>IF(Tabla_3[COD]="","",VLOOKUP(Tabla_3[COD],'Stock inicial'!A:D,2,FALSE))</f>
        <v>DOGPRO ADULTO MORDIDA PEQUEñA XKG</v>
      </c>
      <c r="E152" s="58">
        <v>0.68</v>
      </c>
      <c r="F152" s="27">
        <v>3700.0</v>
      </c>
      <c r="G152" s="25">
        <v>2778.13</v>
      </c>
      <c r="H152" s="25">
        <f t="shared" si="1"/>
        <v>1889.1284</v>
      </c>
      <c r="I152" s="27">
        <v>2516.0</v>
      </c>
      <c r="J152" s="27" t="s">
        <v>3</v>
      </c>
    </row>
    <row r="153" hidden="1">
      <c r="A153" s="74">
        <v>45834.0</v>
      </c>
      <c r="B153" s="100"/>
      <c r="C153" s="98">
        <v>250.0</v>
      </c>
      <c r="D153" s="87" t="str">
        <f>IF(Tabla_3[COD]="","",VLOOKUP(Tabla_3[COD],'Stock inicial'!A:D,2,FALSE))</f>
        <v>ARIEL. EXT. PERF. (VERDE CON SUAVIZANTE) 5L</v>
      </c>
      <c r="E153" s="59">
        <v>1.0</v>
      </c>
      <c r="F153" s="27">
        <v>4000.0</v>
      </c>
      <c r="G153" s="25">
        <v>2430.0</v>
      </c>
      <c r="H153" s="25">
        <f t="shared" si="1"/>
        <v>2430</v>
      </c>
      <c r="I153" s="27">
        <v>4000.0</v>
      </c>
      <c r="J153" s="27" t="s">
        <v>3</v>
      </c>
    </row>
    <row r="154" hidden="1">
      <c r="A154" s="78">
        <v>45834.0</v>
      </c>
      <c r="B154" s="82" t="s">
        <v>75</v>
      </c>
      <c r="C154" s="97">
        <v>257.0</v>
      </c>
      <c r="D154" s="84" t="str">
        <f>IF(Tabla_3[COD]="","",VLOOKUP(Tabla_3[COD],'Stock inicial'!A:D,2,FALSE))</f>
        <v>MAGISTRAL ECO (LIMON AMARILLO) 1L</v>
      </c>
      <c r="E154" s="58">
        <v>1.0</v>
      </c>
      <c r="F154" s="27">
        <v>999.0</v>
      </c>
      <c r="G154" s="25">
        <v>280.0</v>
      </c>
      <c r="H154" s="25">
        <f t="shared" si="1"/>
        <v>280</v>
      </c>
      <c r="I154" s="27">
        <v>999.0</v>
      </c>
      <c r="J154" s="27" t="s">
        <v>11</v>
      </c>
    </row>
    <row r="155" hidden="1">
      <c r="A155" s="74">
        <v>45834.0</v>
      </c>
      <c r="B155" s="92"/>
      <c r="C155" s="98">
        <v>216.0</v>
      </c>
      <c r="D155" s="87" t="str">
        <f>IF(Tabla_3[COD]="","",VLOOKUP(Tabla_3[COD],'Stock inicial'!A:D,2,FALSE))</f>
        <v>EXCELLENT PUPPY FORMULA XKG</v>
      </c>
      <c r="E155" s="59">
        <v>1.0</v>
      </c>
      <c r="F155" s="27">
        <v>3400.0</v>
      </c>
      <c r="G155" s="25">
        <v>2361.8</v>
      </c>
      <c r="H155" s="25">
        <f t="shared" si="1"/>
        <v>2361.8</v>
      </c>
      <c r="I155" s="27">
        <v>3400.0</v>
      </c>
      <c r="J155" s="27" t="s">
        <v>11</v>
      </c>
    </row>
    <row r="156" hidden="1">
      <c r="A156" s="78">
        <v>45834.0</v>
      </c>
      <c r="B156" s="82" t="s">
        <v>76</v>
      </c>
      <c r="C156" s="97">
        <v>250.0</v>
      </c>
      <c r="D156" s="84" t="str">
        <f>IF(Tabla_3[COD]="","",VLOOKUP(Tabla_3[COD],'Stock inicial'!A:D,2,FALSE))</f>
        <v>ARIEL. EXT. PERF. (VERDE CON SUAVIZANTE) 5L</v>
      </c>
      <c r="E156" s="58">
        <v>1.0</v>
      </c>
      <c r="F156" s="27">
        <v>4500.0</v>
      </c>
      <c r="G156" s="25">
        <v>2430.0</v>
      </c>
      <c r="H156" s="25">
        <f t="shared" si="1"/>
        <v>2430</v>
      </c>
      <c r="I156" s="27">
        <v>4500.0</v>
      </c>
      <c r="J156" s="27" t="s">
        <v>3</v>
      </c>
    </row>
    <row r="157" hidden="1">
      <c r="A157" s="74">
        <v>45834.0</v>
      </c>
      <c r="B157" s="75" t="s">
        <v>77</v>
      </c>
      <c r="C157" s="96">
        <v>213.0</v>
      </c>
      <c r="D157" s="77" t="str">
        <f>IF(Tabla_3[COD]="","",VLOOKUP(Tabla_3[COD],'Stock inicial'!A:D,2,FALSE))</f>
        <v>DOGPRO CACHORRO XKG</v>
      </c>
      <c r="E157" s="59">
        <v>1.028</v>
      </c>
      <c r="F157" s="27">
        <v>3900.0</v>
      </c>
      <c r="G157" s="25">
        <v>2953.8</v>
      </c>
      <c r="H157" s="25">
        <f t="shared" si="1"/>
        <v>3036.5064</v>
      </c>
      <c r="I157" s="27">
        <v>4009.2000000000003</v>
      </c>
      <c r="J157" s="27" t="s">
        <v>11</v>
      </c>
    </row>
    <row r="158" hidden="1">
      <c r="A158" s="78">
        <v>45835.0</v>
      </c>
      <c r="B158" s="82" t="s">
        <v>78</v>
      </c>
      <c r="C158" s="97">
        <v>227.0</v>
      </c>
      <c r="D158" s="84" t="str">
        <f>IF(Tabla_3[COD]="","",VLOOKUP(Tabla_3[COD],'Stock inicial'!A:D,2,FALSE))</f>
        <v>CATPRO GATO ADULTO</v>
      </c>
      <c r="E158" s="58">
        <v>1.0</v>
      </c>
      <c r="F158" s="27">
        <v>5250.0</v>
      </c>
      <c r="G158" s="25">
        <v>3657.41</v>
      </c>
      <c r="H158" s="25">
        <f t="shared" si="1"/>
        <v>3657.41</v>
      </c>
      <c r="I158" s="27">
        <v>5250.0</v>
      </c>
      <c r="J158" s="27" t="s">
        <v>11</v>
      </c>
    </row>
    <row r="159" hidden="1">
      <c r="A159" s="74">
        <v>45835.0</v>
      </c>
      <c r="B159" s="85"/>
      <c r="C159" s="101"/>
      <c r="D159" s="102" t="s">
        <v>79</v>
      </c>
      <c r="E159" s="59">
        <v>1.0</v>
      </c>
      <c r="F159" s="27">
        <v>450.0</v>
      </c>
      <c r="G159" s="27"/>
      <c r="H159" s="27">
        <f t="shared" si="1"/>
        <v>0</v>
      </c>
      <c r="I159" s="27">
        <v>450.0</v>
      </c>
      <c r="J159" s="27" t="s">
        <v>11</v>
      </c>
    </row>
    <row r="160" hidden="1">
      <c r="A160" s="78">
        <v>45835.0</v>
      </c>
      <c r="B160" s="82" t="s">
        <v>80</v>
      </c>
      <c r="C160" s="97">
        <v>274.0</v>
      </c>
      <c r="D160" s="84" t="str">
        <f>IF(Tabla_3[COD]="","",VLOOKUP(Tabla_3[COD],'Stock inicial'!A:D,2,FALSE))</f>
        <v>PERFUMINA CHERRY 5L</v>
      </c>
      <c r="E160" s="58">
        <v>1.0</v>
      </c>
      <c r="F160" s="27">
        <v>1499.0</v>
      </c>
      <c r="G160" s="25">
        <v>287.25</v>
      </c>
      <c r="H160" s="25">
        <f t="shared" si="1"/>
        <v>287.25</v>
      </c>
      <c r="I160" s="27">
        <v>1499.0</v>
      </c>
      <c r="J160" s="27" t="s">
        <v>11</v>
      </c>
    </row>
    <row r="161" hidden="1">
      <c r="A161" s="74">
        <v>45835.0</v>
      </c>
      <c r="B161" s="85"/>
      <c r="C161" s="98">
        <v>365.0</v>
      </c>
      <c r="D161" s="87" t="str">
        <f>IF(Tabla_3[COD]="","",VLOOKUP(Tabla_3[COD],'Stock inicial'!A:D,2,FALSE))</f>
        <v>CAMITAS 1x70</v>
      </c>
      <c r="E161" s="59">
        <v>1.0</v>
      </c>
      <c r="F161" s="103">
        <v>19500.0</v>
      </c>
      <c r="G161" s="25">
        <v>13000.0</v>
      </c>
      <c r="H161" s="25">
        <f t="shared" si="1"/>
        <v>13000</v>
      </c>
      <c r="I161" s="27">
        <v>19500.0</v>
      </c>
      <c r="J161" s="27" t="s">
        <v>11</v>
      </c>
    </row>
    <row r="162" hidden="1">
      <c r="A162" s="78">
        <v>45835.0</v>
      </c>
      <c r="B162" s="104" t="s">
        <v>81</v>
      </c>
      <c r="C162" s="105">
        <v>212.0</v>
      </c>
      <c r="D162" s="106" t="str">
        <f>IF(Tabla_3[COD]="","",VLOOKUP(Tabla_3[COD],'Stock inicial'!A:D,2,FALSE))</f>
        <v>DOGPRO ADULTO MORDIDA PEQUEñA XKG</v>
      </c>
      <c r="E162" s="58">
        <v>1.5</v>
      </c>
      <c r="F162" s="103">
        <v>3700.0</v>
      </c>
      <c r="G162" s="25">
        <v>2778.13</v>
      </c>
      <c r="H162" s="25">
        <f t="shared" si="1"/>
        <v>4167.195</v>
      </c>
      <c r="I162" s="27">
        <v>5550.0</v>
      </c>
      <c r="J162" s="27" t="s">
        <v>3</v>
      </c>
    </row>
    <row r="163" hidden="1">
      <c r="A163" s="74">
        <v>45835.0</v>
      </c>
      <c r="B163" s="107"/>
      <c r="C163" s="108">
        <v>230.0</v>
      </c>
      <c r="D163" s="109" t="str">
        <f>IF(Tabla_3[COD]="","",VLOOKUP(Tabla_3[COD],'Stock inicial'!A:D,2,FALSE))</f>
        <v>EXCELLENT PERRO ADULTO BONUS 20K +2</v>
      </c>
      <c r="E163" s="59">
        <v>1.0</v>
      </c>
      <c r="F163" s="103">
        <v>3900.0</v>
      </c>
      <c r="G163" s="25">
        <v>2690.89</v>
      </c>
      <c r="H163" s="25">
        <f t="shared" si="1"/>
        <v>2690.89</v>
      </c>
      <c r="I163" s="27">
        <v>3900.0</v>
      </c>
      <c r="J163" s="27" t="s">
        <v>3</v>
      </c>
    </row>
    <row r="164" hidden="1">
      <c r="A164" s="78">
        <v>45835.0</v>
      </c>
      <c r="B164" s="107"/>
      <c r="C164" s="108">
        <v>3622.0</v>
      </c>
      <c r="D164" s="109" t="str">
        <f>IF(Tabla_3[COD]="","",VLOOKUP(Tabla_3[COD],'Stock inicial'!A:D,2,FALSE))</f>
        <v>ROPA PERRO TALLE 6</v>
      </c>
      <c r="E164" s="58">
        <v>1.0</v>
      </c>
      <c r="F164" s="27">
        <v>6000.0</v>
      </c>
      <c r="G164" s="27"/>
      <c r="H164" s="25">
        <f t="shared" si="1"/>
        <v>0</v>
      </c>
      <c r="I164" s="27">
        <v>6000.0</v>
      </c>
      <c r="J164" s="27" t="s">
        <v>3</v>
      </c>
    </row>
    <row r="165" hidden="1">
      <c r="A165" s="74">
        <v>45835.0</v>
      </c>
      <c r="B165" s="110" t="s">
        <v>82</v>
      </c>
      <c r="C165" s="111">
        <v>246.0</v>
      </c>
      <c r="D165" s="112" t="str">
        <f>IF(Tabla_3[COD]="","",VLOOKUP(Tabla_3[COD],'Stock inicial'!A:D,2,FALSE))</f>
        <v>ARIEL ECO (VERDE) 5L</v>
      </c>
      <c r="E165" s="59">
        <v>1.0</v>
      </c>
      <c r="F165" s="103">
        <v>2500.0</v>
      </c>
      <c r="G165" s="25">
        <v>1143.0</v>
      </c>
      <c r="H165" s="25">
        <f t="shared" si="1"/>
        <v>1143</v>
      </c>
      <c r="I165" s="27">
        <v>2500.0</v>
      </c>
      <c r="J165" s="27" t="s">
        <v>3</v>
      </c>
    </row>
    <row r="166" hidden="1">
      <c r="A166" s="78">
        <v>45835.0</v>
      </c>
      <c r="B166" s="113"/>
      <c r="C166" s="114">
        <v>252.0</v>
      </c>
      <c r="D166" s="115" t="str">
        <f>IF(Tabla_3[COD]="","",VLOOKUP(Tabla_3[COD],'Stock inicial'!A:D,2,FALSE))</f>
        <v>VIVERE ECO (CELESTE) 5L</v>
      </c>
      <c r="E166" s="58">
        <v>1.0</v>
      </c>
      <c r="F166" s="103">
        <v>2900.0</v>
      </c>
      <c r="G166" s="25">
        <v>1480.0</v>
      </c>
      <c r="H166" s="25">
        <f t="shared" si="1"/>
        <v>1480</v>
      </c>
      <c r="I166" s="27">
        <v>2900.0</v>
      </c>
      <c r="J166" s="27" t="s">
        <v>3</v>
      </c>
    </row>
    <row r="167" hidden="1">
      <c r="A167" s="74">
        <v>45835.0</v>
      </c>
      <c r="B167" s="113"/>
      <c r="C167" s="114">
        <v>258.0</v>
      </c>
      <c r="D167" s="115" t="str">
        <f>IF(Tabla_3[COD]="","",VLOOKUP(Tabla_3[COD],'Stock inicial'!A:D,2,FALSE))</f>
        <v>MAGISTRAL ECO (LIMON AMARILLO) 5L</v>
      </c>
      <c r="E167" s="59">
        <v>1.0</v>
      </c>
      <c r="F167" s="103">
        <v>2799.0</v>
      </c>
      <c r="G167" s="25">
        <v>1400.0</v>
      </c>
      <c r="H167" s="25">
        <f t="shared" si="1"/>
        <v>1400</v>
      </c>
      <c r="I167" s="27">
        <v>2799.0</v>
      </c>
      <c r="J167" s="27" t="s">
        <v>3</v>
      </c>
    </row>
    <row r="168" hidden="1">
      <c r="A168" s="78">
        <v>45835.0</v>
      </c>
      <c r="B168" s="116"/>
      <c r="C168" s="114">
        <v>267.0</v>
      </c>
      <c r="D168" s="115" t="str">
        <f>IF(Tabla_3[COD]="","",VLOOKUP(Tabla_3[COD],'Stock inicial'!A:D,2,FALSE))</f>
        <v>DESENGRASANTE COCINA 5L</v>
      </c>
      <c r="E168" s="58">
        <v>1.0</v>
      </c>
      <c r="F168" s="103">
        <v>2199.0</v>
      </c>
      <c r="G168" s="25">
        <v>1000.0</v>
      </c>
      <c r="H168" s="25">
        <f t="shared" si="1"/>
        <v>1000</v>
      </c>
      <c r="I168" s="27">
        <v>2199.0</v>
      </c>
      <c r="J168" s="27" t="s">
        <v>3</v>
      </c>
    </row>
    <row r="169" hidden="1">
      <c r="A169" s="74">
        <v>45835.0</v>
      </c>
      <c r="B169" s="116"/>
      <c r="C169" s="114">
        <v>280.0</v>
      </c>
      <c r="D169" s="115" t="str">
        <f>IF(Tabla_3[COD]="","",VLOOKUP(Tabla_3[COD],'Stock inicial'!A:D,2,FALSE))</f>
        <v>PERFUMINA LISOFORM 1/2</v>
      </c>
      <c r="E169" s="59">
        <v>1.0</v>
      </c>
      <c r="F169" s="103">
        <v>1499.0</v>
      </c>
      <c r="G169" s="25">
        <v>287.25</v>
      </c>
      <c r="H169" s="25">
        <f t="shared" si="1"/>
        <v>287.25</v>
      </c>
      <c r="I169" s="27">
        <v>1499.0</v>
      </c>
      <c r="J169" s="27" t="s">
        <v>3</v>
      </c>
    </row>
    <row r="170" hidden="1">
      <c r="A170" s="78">
        <v>45835.0</v>
      </c>
      <c r="B170" s="116"/>
      <c r="C170" s="117"/>
      <c r="D170" s="115" t="s">
        <v>44</v>
      </c>
      <c r="E170" s="58">
        <v>1.0</v>
      </c>
      <c r="F170" s="27">
        <v>-907.0</v>
      </c>
      <c r="G170" s="27"/>
      <c r="H170" s="27">
        <f t="shared" si="1"/>
        <v>0</v>
      </c>
      <c r="I170" s="27">
        <v>-907.0</v>
      </c>
      <c r="J170" s="27" t="s">
        <v>3</v>
      </c>
    </row>
    <row r="171" hidden="1">
      <c r="A171" s="74">
        <v>45835.0</v>
      </c>
      <c r="B171" s="104" t="s">
        <v>83</v>
      </c>
      <c r="C171" s="118">
        <v>245.0</v>
      </c>
      <c r="D171" s="106" t="str">
        <f>IF(Tabla_3[COD]="","",VLOOKUP(Tabla_3[COD],'Stock inicial'!A:D,2,FALSE))</f>
        <v>ARIEL ECO (VERDE) 1L</v>
      </c>
      <c r="E171" s="59">
        <v>1.0</v>
      </c>
      <c r="F171" s="103">
        <v>890.0</v>
      </c>
      <c r="G171" s="25">
        <v>228.6</v>
      </c>
      <c r="H171" s="25">
        <f t="shared" si="1"/>
        <v>228.6</v>
      </c>
      <c r="I171" s="27">
        <v>890.0</v>
      </c>
      <c r="J171" s="27" t="s">
        <v>3</v>
      </c>
    </row>
    <row r="172" hidden="1">
      <c r="A172" s="78">
        <v>45835.0</v>
      </c>
      <c r="B172" s="119"/>
      <c r="C172" s="120">
        <v>251.0</v>
      </c>
      <c r="D172" s="109" t="str">
        <f>IF(Tabla_3[COD]="","",VLOOKUP(Tabla_3[COD],'Stock inicial'!A:D,2,FALSE))</f>
        <v>VIVERE ECO (CELESTE) 1L</v>
      </c>
      <c r="E172" s="58">
        <v>1.0</v>
      </c>
      <c r="F172" s="103">
        <v>990.0</v>
      </c>
      <c r="G172" s="25">
        <v>296.0</v>
      </c>
      <c r="H172" s="25">
        <f t="shared" si="1"/>
        <v>296</v>
      </c>
      <c r="I172" s="27">
        <v>990.0</v>
      </c>
      <c r="J172" s="27" t="s">
        <v>3</v>
      </c>
    </row>
    <row r="173" hidden="1">
      <c r="A173" s="74">
        <v>45835.0</v>
      </c>
      <c r="B173" s="119"/>
      <c r="C173" s="120">
        <v>257.0</v>
      </c>
      <c r="D173" s="109" t="str">
        <f>IF(Tabla_3[COD]="","",VLOOKUP(Tabla_3[COD],'Stock inicial'!A:D,2,FALSE))</f>
        <v>MAGISTRAL ECO (LIMON AMARILLO) 1L</v>
      </c>
      <c r="E173" s="59">
        <v>1.0</v>
      </c>
      <c r="F173" s="103">
        <v>999.0</v>
      </c>
      <c r="G173" s="25">
        <v>280.0</v>
      </c>
      <c r="H173" s="25">
        <f t="shared" si="1"/>
        <v>280</v>
      </c>
      <c r="I173" s="27">
        <v>999.0</v>
      </c>
      <c r="J173" s="27" t="s">
        <v>3</v>
      </c>
    </row>
    <row r="174" hidden="1">
      <c r="A174" s="78">
        <v>45835.0</v>
      </c>
      <c r="B174" s="119"/>
      <c r="C174" s="120">
        <v>266.0</v>
      </c>
      <c r="D174" s="109" t="str">
        <f>IF(Tabla_3[COD]="","",VLOOKUP(Tabla_3[COD],'Stock inicial'!A:D,2,FALSE))</f>
        <v>DESENGRASANTE COCINA 1L</v>
      </c>
      <c r="E174" s="58">
        <v>1.0</v>
      </c>
      <c r="F174" s="103">
        <v>799.0</v>
      </c>
      <c r="G174" s="25">
        <v>200.0</v>
      </c>
      <c r="H174" s="25">
        <f t="shared" si="1"/>
        <v>200</v>
      </c>
      <c r="I174" s="27">
        <v>799.0</v>
      </c>
      <c r="J174" s="27" t="s">
        <v>3</v>
      </c>
    </row>
    <row r="175" hidden="1">
      <c r="A175" s="74">
        <v>45835.0</v>
      </c>
      <c r="B175" s="119"/>
      <c r="C175" s="120">
        <v>279.0</v>
      </c>
      <c r="D175" s="109" t="str">
        <f>IF(Tabla_3[COD]="","",VLOOKUP(Tabla_3[COD],'Stock inicial'!A:D,2,FALSE))</f>
        <v>PERFUMINA LISOFORM 1L</v>
      </c>
      <c r="E175" s="59">
        <v>1.0</v>
      </c>
      <c r="F175" s="103">
        <v>599.0</v>
      </c>
      <c r="G175" s="25">
        <v>57.45</v>
      </c>
      <c r="H175" s="25">
        <f t="shared" si="1"/>
        <v>57.45</v>
      </c>
      <c r="I175" s="27">
        <v>599.0</v>
      </c>
      <c r="J175" s="27" t="s">
        <v>3</v>
      </c>
    </row>
    <row r="176" hidden="1">
      <c r="A176" s="78">
        <v>45835.0</v>
      </c>
      <c r="B176" s="119"/>
      <c r="C176" s="121"/>
      <c r="D176" s="109" t="s">
        <v>51</v>
      </c>
      <c r="E176" s="58">
        <v>1.0</v>
      </c>
      <c r="F176" s="27">
        <v>-287.0</v>
      </c>
      <c r="G176" s="27"/>
      <c r="H176" s="27">
        <f t="shared" si="1"/>
        <v>0</v>
      </c>
      <c r="I176" s="27">
        <v>-287.0</v>
      </c>
      <c r="J176" s="27" t="s">
        <v>3</v>
      </c>
    </row>
    <row r="177" hidden="1">
      <c r="A177" s="74">
        <v>45835.0</v>
      </c>
      <c r="B177" s="122"/>
      <c r="C177" s="123">
        <v>285.0</v>
      </c>
      <c r="D177" s="124" t="str">
        <f>IF(Tabla_3[COD]="","",VLOOKUP(Tabla_3[COD],'Stock inicial'!A:D,2,FALSE))</f>
        <v>JABON LIQUIDO  P/MANOS COCO 1/2L</v>
      </c>
      <c r="E177" s="59">
        <v>1.0</v>
      </c>
      <c r="F177" s="27" t="s">
        <v>84</v>
      </c>
      <c r="G177" s="25">
        <v>199.0</v>
      </c>
      <c r="H177" s="25">
        <f t="shared" si="1"/>
        <v>199</v>
      </c>
      <c r="I177" s="27"/>
      <c r="J177" s="73"/>
    </row>
    <row r="178" hidden="1">
      <c r="A178" s="78">
        <v>45835.0</v>
      </c>
      <c r="B178" s="125" t="s">
        <v>85</v>
      </c>
      <c r="C178" s="126">
        <v>342.0</v>
      </c>
      <c r="D178" s="127" t="str">
        <f>IF(Tabla_3[COD]="","",VLOOKUP(Tabla_3[COD],'Stock inicial'!A:D,2,FALSE))</f>
        <v>BOLSA R 45X60</v>
      </c>
      <c r="E178" s="58">
        <v>1.0</v>
      </c>
      <c r="F178" s="103">
        <v>899.0</v>
      </c>
      <c r="G178" s="25">
        <v>532.0</v>
      </c>
      <c r="H178" s="25">
        <f t="shared" si="1"/>
        <v>532</v>
      </c>
      <c r="I178" s="27">
        <v>899.0</v>
      </c>
      <c r="J178" s="27" t="s">
        <v>3</v>
      </c>
    </row>
    <row r="179" hidden="1">
      <c r="A179" s="74">
        <v>45835.0</v>
      </c>
      <c r="B179" s="100" t="s">
        <v>86</v>
      </c>
      <c r="C179" s="98">
        <v>257.0</v>
      </c>
      <c r="D179" s="87" t="str">
        <f>IF(Tabla_3[COD]="","",VLOOKUP(Tabla_3[COD],'Stock inicial'!A:D,2,FALSE))</f>
        <v>MAGISTRAL ECO (LIMON AMARILLO) 1L</v>
      </c>
      <c r="E179" s="59">
        <v>1.0</v>
      </c>
      <c r="F179" s="103">
        <v>999.0</v>
      </c>
      <c r="G179" s="25">
        <v>280.0</v>
      </c>
      <c r="H179" s="25">
        <f t="shared" si="1"/>
        <v>280</v>
      </c>
      <c r="I179" s="27">
        <v>999.0</v>
      </c>
      <c r="J179" s="27" t="s">
        <v>3</v>
      </c>
    </row>
    <row r="180" hidden="1">
      <c r="A180" s="78">
        <v>45835.0</v>
      </c>
      <c r="B180" s="68" t="s">
        <v>87</v>
      </c>
      <c r="C180" s="128">
        <v>242.0</v>
      </c>
      <c r="D180" s="129" t="str">
        <f>IF(Tabla_3[COD]="","",VLOOKUP(Tabla_3[COD],'Stock inicial'!A:D,2,FALSE))</f>
        <v>PEDIGREE POUCH AD. PEQ POLLO</v>
      </c>
      <c r="E180" s="58">
        <v>2.0</v>
      </c>
      <c r="F180" s="103">
        <v>1100.0</v>
      </c>
      <c r="G180" s="25">
        <v>787.5</v>
      </c>
      <c r="H180" s="25">
        <f t="shared" si="1"/>
        <v>1575</v>
      </c>
      <c r="I180" s="27">
        <v>2200.0</v>
      </c>
      <c r="J180" s="27" t="s">
        <v>3</v>
      </c>
    </row>
    <row r="181" hidden="1">
      <c r="A181" s="74">
        <v>45836.0</v>
      </c>
      <c r="B181" s="130" t="s">
        <v>88</v>
      </c>
      <c r="C181" s="120">
        <v>246.0</v>
      </c>
      <c r="D181" s="109" t="str">
        <f>IF(Tabla_3[COD]="","",VLOOKUP(Tabla_3[COD],'Stock inicial'!A:D,2,FALSE))</f>
        <v>ARIEL ECO (VERDE) 5L</v>
      </c>
      <c r="E181" s="59">
        <v>1.0</v>
      </c>
      <c r="F181" s="103">
        <v>2500.0</v>
      </c>
      <c r="G181" s="25">
        <v>1143.0</v>
      </c>
      <c r="H181" s="25">
        <f t="shared" si="1"/>
        <v>1143</v>
      </c>
      <c r="I181" s="27">
        <v>2500.0</v>
      </c>
      <c r="J181" s="27" t="s">
        <v>3</v>
      </c>
    </row>
    <row r="182" hidden="1">
      <c r="A182" s="78">
        <v>45836.0</v>
      </c>
      <c r="B182" s="119"/>
      <c r="C182" s="120">
        <v>252.0</v>
      </c>
      <c r="D182" s="109" t="str">
        <f>IF(Tabla_3[COD]="","",VLOOKUP(Tabla_3[COD],'Stock inicial'!A:D,2,FALSE))</f>
        <v>VIVERE ECO (CELESTE) 5L</v>
      </c>
      <c r="E182" s="58">
        <v>1.0</v>
      </c>
      <c r="F182" s="103">
        <v>2900.0</v>
      </c>
      <c r="G182" s="25">
        <v>1480.0</v>
      </c>
      <c r="H182" s="25">
        <f t="shared" si="1"/>
        <v>1480</v>
      </c>
      <c r="I182" s="27">
        <v>2900.0</v>
      </c>
      <c r="J182" s="27" t="s">
        <v>3</v>
      </c>
    </row>
    <row r="183" hidden="1">
      <c r="A183" s="74">
        <v>45836.0</v>
      </c>
      <c r="B183" s="119"/>
      <c r="C183" s="120">
        <v>258.0</v>
      </c>
      <c r="D183" s="109" t="str">
        <f>IF(Tabla_3[COD]="","",VLOOKUP(Tabla_3[COD],'Stock inicial'!A:D,2,FALSE))</f>
        <v>MAGISTRAL ECO (LIMON AMARILLO) 5L</v>
      </c>
      <c r="E183" s="59">
        <v>1.0</v>
      </c>
      <c r="F183" s="103">
        <v>2799.0</v>
      </c>
      <c r="G183" s="25">
        <v>1400.0</v>
      </c>
      <c r="H183" s="25">
        <f t="shared" si="1"/>
        <v>1400</v>
      </c>
      <c r="I183" s="27">
        <v>2799.0</v>
      </c>
      <c r="J183" s="27" t="s">
        <v>3</v>
      </c>
    </row>
    <row r="184" hidden="1">
      <c r="A184" s="78">
        <v>45836.0</v>
      </c>
      <c r="B184" s="119"/>
      <c r="C184" s="120">
        <v>267.0</v>
      </c>
      <c r="D184" s="109" t="str">
        <f>IF(Tabla_3[COD]="","",VLOOKUP(Tabla_3[COD],'Stock inicial'!A:D,2,FALSE))</f>
        <v>DESENGRASANTE COCINA 5L</v>
      </c>
      <c r="E184" s="58">
        <v>1.0</v>
      </c>
      <c r="F184" s="103">
        <v>2199.0</v>
      </c>
      <c r="G184" s="25">
        <v>1000.0</v>
      </c>
      <c r="H184" s="25">
        <f t="shared" si="1"/>
        <v>1000</v>
      </c>
      <c r="I184" s="27">
        <v>2199.0</v>
      </c>
      <c r="J184" s="27" t="s">
        <v>3</v>
      </c>
    </row>
    <row r="185" hidden="1">
      <c r="A185" s="74">
        <v>45836.0</v>
      </c>
      <c r="B185" s="119"/>
      <c r="C185" s="120">
        <v>280.0</v>
      </c>
      <c r="D185" s="109" t="str">
        <f>IF(Tabla_3[COD]="","",VLOOKUP(Tabla_3[COD],'Stock inicial'!A:D,2,FALSE))</f>
        <v>PERFUMINA LISOFORM 1/2</v>
      </c>
      <c r="E185" s="59">
        <v>1.0</v>
      </c>
      <c r="F185" s="103">
        <v>1499.0</v>
      </c>
      <c r="G185" s="25">
        <v>287.25</v>
      </c>
      <c r="H185" s="25">
        <f t="shared" si="1"/>
        <v>287.25</v>
      </c>
      <c r="I185" s="27">
        <v>1499.0</v>
      </c>
      <c r="J185" s="27" t="s">
        <v>3</v>
      </c>
    </row>
    <row r="186" hidden="1">
      <c r="A186" s="78">
        <v>45836.0</v>
      </c>
      <c r="B186" s="119"/>
      <c r="C186" s="121"/>
      <c r="D186" s="109" t="s">
        <v>44</v>
      </c>
      <c r="E186" s="58">
        <v>1.0</v>
      </c>
      <c r="F186" s="27">
        <v>-907.0</v>
      </c>
      <c r="G186" s="27"/>
      <c r="H186" s="27">
        <f t="shared" si="1"/>
        <v>0</v>
      </c>
      <c r="I186" s="27">
        <v>-907.0</v>
      </c>
      <c r="J186" s="27" t="s">
        <v>3</v>
      </c>
    </row>
    <row r="187" hidden="1">
      <c r="A187" s="74">
        <v>45836.0</v>
      </c>
      <c r="B187" s="110" t="s">
        <v>89</v>
      </c>
      <c r="C187" s="131">
        <v>245.0</v>
      </c>
      <c r="D187" s="112" t="str">
        <f>IF(Tabla_3[COD]="","",VLOOKUP(Tabla_3[COD],'Stock inicial'!A:D,2,FALSE))</f>
        <v>ARIEL ECO (VERDE) 1L</v>
      </c>
      <c r="E187" s="59">
        <v>1.0</v>
      </c>
      <c r="F187" s="103">
        <v>600.0</v>
      </c>
      <c r="G187" s="25">
        <v>228.6</v>
      </c>
      <c r="H187" s="25">
        <f t="shared" si="1"/>
        <v>228.6</v>
      </c>
      <c r="I187" s="27">
        <v>600.0</v>
      </c>
      <c r="J187" s="27" t="s">
        <v>3</v>
      </c>
    </row>
    <row r="188" hidden="1">
      <c r="A188" s="78">
        <v>45836.0</v>
      </c>
      <c r="B188" s="116"/>
      <c r="C188" s="132">
        <v>251.0</v>
      </c>
      <c r="D188" s="115" t="str">
        <f>IF(Tabla_3[COD]="","",VLOOKUP(Tabla_3[COD],'Stock inicial'!A:D,2,FALSE))</f>
        <v>VIVERE ECO (CELESTE) 1L</v>
      </c>
      <c r="E188" s="58">
        <v>1.0</v>
      </c>
      <c r="F188" s="103">
        <v>690.0</v>
      </c>
      <c r="G188" s="25">
        <v>296.0</v>
      </c>
      <c r="H188" s="25">
        <f t="shared" si="1"/>
        <v>296</v>
      </c>
      <c r="I188" s="27">
        <v>690.0</v>
      </c>
      <c r="J188" s="27" t="s">
        <v>3</v>
      </c>
    </row>
    <row r="189" hidden="1">
      <c r="A189" s="74">
        <v>45836.0</v>
      </c>
      <c r="B189" s="116"/>
      <c r="C189" s="132">
        <v>277.0</v>
      </c>
      <c r="D189" s="115" t="str">
        <f>IF(Tabla_3[COD]="","",VLOOKUP(Tabla_3[COD],'Stock inicial'!A:D,2,FALSE))</f>
        <v>PERFUMINA LIMON 1L</v>
      </c>
      <c r="E189" s="59">
        <v>1.0</v>
      </c>
      <c r="F189" s="103">
        <v>290.0</v>
      </c>
      <c r="G189" s="25">
        <v>57.45</v>
      </c>
      <c r="H189" s="25">
        <f t="shared" si="1"/>
        <v>57.45</v>
      </c>
      <c r="I189" s="27">
        <v>290.0</v>
      </c>
      <c r="J189" s="27" t="s">
        <v>3</v>
      </c>
    </row>
    <row r="190" hidden="1">
      <c r="A190" s="78">
        <v>45836.0</v>
      </c>
      <c r="B190" s="116"/>
      <c r="C190" s="132">
        <v>289.0</v>
      </c>
      <c r="D190" s="115" t="str">
        <f>IF(Tabla_3[COD]="","",VLOOKUP(Tabla_3[COD],'Stock inicial'!A:D,2,FALSE))</f>
        <v>LAVANDINA 1L</v>
      </c>
      <c r="E190" s="58">
        <v>1.0</v>
      </c>
      <c r="F190" s="103">
        <v>499.0</v>
      </c>
      <c r="G190" s="25">
        <v>216.0</v>
      </c>
      <c r="H190" s="25">
        <f t="shared" si="1"/>
        <v>216</v>
      </c>
      <c r="I190" s="27">
        <v>499.0</v>
      </c>
      <c r="J190" s="27" t="s">
        <v>3</v>
      </c>
    </row>
    <row r="191" hidden="1">
      <c r="A191" s="74">
        <v>45836.0</v>
      </c>
      <c r="B191" s="104" t="s">
        <v>90</v>
      </c>
      <c r="C191" s="105">
        <v>223.0</v>
      </c>
      <c r="D191" s="106" t="str">
        <f>IF(Tabla_3[COD]="","",VLOOKUP(Tabla_3[COD],'Stock inicial'!A:D,2,FALSE))</f>
        <v>VORAZ PERRO ADULTO MIX</v>
      </c>
      <c r="E191" s="59">
        <v>1.0</v>
      </c>
      <c r="F191" s="103">
        <v>1100.0</v>
      </c>
      <c r="G191" s="25">
        <v>819.5</v>
      </c>
      <c r="H191" s="25">
        <f t="shared" si="1"/>
        <v>819.5</v>
      </c>
      <c r="I191" s="27">
        <v>1100.0</v>
      </c>
      <c r="J191" s="27" t="s">
        <v>3</v>
      </c>
    </row>
    <row r="192" hidden="1">
      <c r="A192" s="78">
        <v>45836.0</v>
      </c>
      <c r="B192" s="82"/>
      <c r="C192" s="97">
        <v>364.0</v>
      </c>
      <c r="D192" s="84" t="str">
        <f>IF(Tabla_3[COD]="","",VLOOKUP(Tabla_3[COD],'Stock inicial'!A:D,2,FALSE))</f>
        <v>CAMITAS  70x70</v>
      </c>
      <c r="E192" s="58">
        <v>1.0</v>
      </c>
      <c r="F192" s="103"/>
      <c r="G192" s="25">
        <v>11000.0</v>
      </c>
      <c r="H192" s="25">
        <f t="shared" si="1"/>
        <v>11000</v>
      </c>
      <c r="I192" s="27"/>
      <c r="J192" s="27" t="s">
        <v>3</v>
      </c>
    </row>
    <row r="193" hidden="1">
      <c r="A193" s="74">
        <v>45836.0</v>
      </c>
      <c r="B193" s="75" t="s">
        <v>91</v>
      </c>
      <c r="C193" s="96">
        <v>223.0</v>
      </c>
      <c r="D193" s="77" t="str">
        <f>IF(Tabla_3[COD]="","",VLOOKUP(Tabla_3[COD],'Stock inicial'!A:D,2,FALSE))</f>
        <v>VORAZ PERRO ADULTO MIX</v>
      </c>
      <c r="E193" s="59">
        <v>3.65</v>
      </c>
      <c r="F193" s="103">
        <v>1100.0</v>
      </c>
      <c r="G193" s="25">
        <v>819.5</v>
      </c>
      <c r="H193" s="25">
        <f t="shared" si="1"/>
        <v>2991.175</v>
      </c>
      <c r="I193" s="27">
        <v>4015.0</v>
      </c>
      <c r="J193" s="27" t="s">
        <v>3</v>
      </c>
    </row>
    <row r="194" hidden="1">
      <c r="A194" s="78">
        <v>45836.0</v>
      </c>
      <c r="B194" s="104" t="s">
        <v>92</v>
      </c>
      <c r="C194" s="118">
        <v>246.0</v>
      </c>
      <c r="D194" s="106" t="str">
        <f>IF(Tabla_3[COD]="","",VLOOKUP(Tabla_3[COD],'Stock inicial'!A:D,2,FALSE))</f>
        <v>ARIEL ECO (VERDE) 5L</v>
      </c>
      <c r="E194" s="58">
        <v>1.0</v>
      </c>
      <c r="F194" s="103">
        <v>2500.0</v>
      </c>
      <c r="G194" s="25">
        <v>1143.0</v>
      </c>
      <c r="H194" s="25">
        <f t="shared" si="1"/>
        <v>1143</v>
      </c>
      <c r="I194" s="27">
        <v>2500.0</v>
      </c>
      <c r="J194" s="27" t="s">
        <v>11</v>
      </c>
    </row>
    <row r="195" hidden="1">
      <c r="A195" s="74">
        <v>45836.0</v>
      </c>
      <c r="B195" s="119"/>
      <c r="C195" s="120">
        <v>252.0</v>
      </c>
      <c r="D195" s="109" t="str">
        <f>IF(Tabla_3[COD]="","",VLOOKUP(Tabla_3[COD],'Stock inicial'!A:D,2,FALSE))</f>
        <v>VIVERE ECO (CELESTE) 5L</v>
      </c>
      <c r="E195" s="59">
        <v>1.0</v>
      </c>
      <c r="F195" s="103">
        <v>2900.0</v>
      </c>
      <c r="G195" s="25">
        <v>1480.0</v>
      </c>
      <c r="H195" s="25">
        <f t="shared" si="1"/>
        <v>1480</v>
      </c>
      <c r="I195" s="27">
        <v>2900.0</v>
      </c>
      <c r="J195" s="27" t="s">
        <v>11</v>
      </c>
    </row>
    <row r="196" hidden="1">
      <c r="A196" s="78">
        <v>45836.0</v>
      </c>
      <c r="B196" s="119"/>
      <c r="C196" s="120">
        <v>258.0</v>
      </c>
      <c r="D196" s="109" t="str">
        <f>IF(Tabla_3[COD]="","",VLOOKUP(Tabla_3[COD],'Stock inicial'!A:D,2,FALSE))</f>
        <v>MAGISTRAL ECO (LIMON AMARILLO) 5L</v>
      </c>
      <c r="E196" s="58">
        <v>1.0</v>
      </c>
      <c r="F196" s="103">
        <v>2799.0</v>
      </c>
      <c r="G196" s="25">
        <v>1400.0</v>
      </c>
      <c r="H196" s="25">
        <f t="shared" si="1"/>
        <v>1400</v>
      </c>
      <c r="I196" s="27">
        <v>2799.0</v>
      </c>
      <c r="J196" s="27" t="s">
        <v>11</v>
      </c>
    </row>
    <row r="197" hidden="1">
      <c r="A197" s="74">
        <v>45836.0</v>
      </c>
      <c r="B197" s="119"/>
      <c r="C197" s="120">
        <v>2912.0</v>
      </c>
      <c r="D197" s="109" t="str">
        <f>IF(Tabla_3[COD]="","",VLOOKUP(Tabla_3[COD],'Stock inicial'!A:D,2,FALSE))</f>
        <v>CLORO 5L</v>
      </c>
      <c r="E197" s="59">
        <v>1.0</v>
      </c>
      <c r="F197" s="103">
        <v>2900.0</v>
      </c>
      <c r="G197" s="25">
        <v>1080.0</v>
      </c>
      <c r="H197" s="25">
        <f t="shared" si="1"/>
        <v>1080</v>
      </c>
      <c r="I197" s="27">
        <v>2900.0</v>
      </c>
      <c r="J197" s="27" t="s">
        <v>11</v>
      </c>
    </row>
    <row r="198" hidden="1">
      <c r="A198" s="78">
        <v>45836.0</v>
      </c>
      <c r="B198" s="119"/>
      <c r="C198" s="120">
        <v>274.0</v>
      </c>
      <c r="D198" s="109" t="str">
        <f>IF(Tabla_3[COD]="","",VLOOKUP(Tabla_3[COD],'Stock inicial'!A:D,2,FALSE))</f>
        <v>PERFUMINA CHERRY 5L</v>
      </c>
      <c r="E198" s="58">
        <v>1.0</v>
      </c>
      <c r="F198" s="103">
        <v>1499.0</v>
      </c>
      <c r="G198" s="25">
        <v>287.25</v>
      </c>
      <c r="H198" s="25">
        <f t="shared" si="1"/>
        <v>287.25</v>
      </c>
      <c r="I198" s="27">
        <v>1499.0</v>
      </c>
      <c r="J198" s="27" t="s">
        <v>11</v>
      </c>
    </row>
    <row r="199" hidden="1">
      <c r="A199" s="74">
        <v>45836.0</v>
      </c>
      <c r="B199" s="119"/>
      <c r="C199" s="120"/>
      <c r="D199" s="109" t="s">
        <v>93</v>
      </c>
      <c r="E199" s="59">
        <v>1.0</v>
      </c>
      <c r="F199" s="27">
        <v>-1607.0</v>
      </c>
      <c r="G199" s="27"/>
      <c r="H199" s="27">
        <f t="shared" si="1"/>
        <v>0</v>
      </c>
      <c r="I199" s="27">
        <v>-1607.0</v>
      </c>
      <c r="J199" s="27" t="s">
        <v>11</v>
      </c>
    </row>
    <row r="200" hidden="1">
      <c r="A200" s="78">
        <v>45836.0</v>
      </c>
      <c r="B200" s="91"/>
      <c r="C200" s="120">
        <v>2912.0</v>
      </c>
      <c r="D200" s="109" t="str">
        <f>IF(Tabla_3[COD]="","",VLOOKUP(Tabla_3[COD],'Stock inicial'!A:D,2,FALSE))</f>
        <v>CLORO 5L</v>
      </c>
      <c r="E200" s="58">
        <v>1.0</v>
      </c>
      <c r="F200" s="103">
        <v>2900.0</v>
      </c>
      <c r="G200" s="25">
        <v>1080.0</v>
      </c>
      <c r="H200" s="25">
        <f t="shared" si="1"/>
        <v>1080</v>
      </c>
      <c r="I200" s="27">
        <v>2900.0</v>
      </c>
      <c r="J200" s="27" t="s">
        <v>11</v>
      </c>
    </row>
    <row r="201" hidden="1">
      <c r="A201" s="74">
        <v>45836.0</v>
      </c>
      <c r="B201" s="110" t="s">
        <v>94</v>
      </c>
      <c r="C201" s="111">
        <v>159.0</v>
      </c>
      <c r="D201" s="112" t="str">
        <f>IF(Tabla_3[COD]="","",VLOOKUP(Tabla_3[COD],'Stock inicial'!A:D,2,FALSE))</f>
        <v>ABSORSOL ALTA GAMA NEGRA X3.6KG</v>
      </c>
      <c r="E201" s="59">
        <v>1.0</v>
      </c>
      <c r="F201" s="103">
        <v>5490.0</v>
      </c>
      <c r="G201" s="25">
        <v>3800.0</v>
      </c>
      <c r="H201" s="25">
        <f t="shared" si="1"/>
        <v>3800</v>
      </c>
      <c r="I201" s="27">
        <v>5490.0</v>
      </c>
      <c r="J201" s="27" t="s">
        <v>3</v>
      </c>
    </row>
    <row r="202" hidden="1">
      <c r="A202" s="78">
        <v>45836.0</v>
      </c>
      <c r="B202" s="116"/>
      <c r="C202" s="114">
        <v>229.0</v>
      </c>
      <c r="D202" s="115" t="str">
        <f>IF(Tabla_3[COD]="","",VLOOKUP(Tabla_3[COD],'Stock inicial'!A:D,2,FALSE))</f>
        <v>EXCELLENT GATO ADULTO</v>
      </c>
      <c r="E202" s="58">
        <v>1.09</v>
      </c>
      <c r="F202" s="103">
        <v>7500.0</v>
      </c>
      <c r="G202" s="25">
        <v>5239.88</v>
      </c>
      <c r="H202" s="25">
        <f t="shared" si="1"/>
        <v>5711.4692</v>
      </c>
      <c r="I202" s="27">
        <v>8175.000000000001</v>
      </c>
      <c r="J202" s="27" t="s">
        <v>3</v>
      </c>
    </row>
    <row r="203" hidden="1">
      <c r="A203" s="74">
        <v>45837.0</v>
      </c>
      <c r="B203" s="110" t="s">
        <v>95</v>
      </c>
      <c r="C203" s="111">
        <v>226.0</v>
      </c>
      <c r="D203" s="112" t="str">
        <f>IF(Tabla_3[COD]="","",VLOOKUP(Tabla_3[COD],'Stock inicial'!A:D,2,FALSE))</f>
        <v>GATI GATO CARNE Y POLLO</v>
      </c>
      <c r="E203" s="59">
        <v>2.0</v>
      </c>
      <c r="F203" s="103">
        <v>2700.0</v>
      </c>
      <c r="G203" s="25">
        <v>2073.33</v>
      </c>
      <c r="H203" s="25">
        <f t="shared" si="1"/>
        <v>4146.66</v>
      </c>
      <c r="I203" s="27">
        <v>5400.0</v>
      </c>
      <c r="J203" s="27" t="s">
        <v>11</v>
      </c>
    </row>
    <row r="204" hidden="1">
      <c r="A204" s="78">
        <v>45837.0</v>
      </c>
      <c r="B204" s="116"/>
      <c r="C204" s="114">
        <v>261.0</v>
      </c>
      <c r="D204" s="115" t="str">
        <f>IF(Tabla_3[COD]="","",VLOOKUP(Tabla_3[COD],'Stock inicial'!A:D,2,FALSE))</f>
        <v>LAVANDINA EN GEL</v>
      </c>
      <c r="E204" s="58">
        <v>1.0</v>
      </c>
      <c r="F204" s="103">
        <v>1499.0</v>
      </c>
      <c r="G204" s="25">
        <v>649.0</v>
      </c>
      <c r="H204" s="25">
        <f t="shared" si="1"/>
        <v>649</v>
      </c>
      <c r="I204" s="27">
        <v>1499.0</v>
      </c>
      <c r="J204" s="27" t="s">
        <v>11</v>
      </c>
    </row>
    <row r="205" hidden="1">
      <c r="A205" s="74">
        <v>45837.0</v>
      </c>
      <c r="B205" s="116"/>
      <c r="C205" s="114">
        <v>268.0</v>
      </c>
      <c r="D205" s="115" t="str">
        <f>IF(Tabla_3[COD]="","",VLOOKUP(Tabla_3[COD],'Stock inicial'!A:D,2,FALSE))</f>
        <v>LIMPIAVIDRIOS 1L</v>
      </c>
      <c r="E205" s="59">
        <v>1.0</v>
      </c>
      <c r="F205" s="103">
        <v>899.0</v>
      </c>
      <c r="G205" s="25">
        <v>252.0</v>
      </c>
      <c r="H205" s="25">
        <f t="shared" si="1"/>
        <v>252</v>
      </c>
      <c r="I205" s="27">
        <v>899.0</v>
      </c>
      <c r="J205" s="27" t="s">
        <v>11</v>
      </c>
    </row>
    <row r="206" hidden="1">
      <c r="A206" s="78">
        <v>45837.0</v>
      </c>
      <c r="B206" s="116"/>
      <c r="C206" s="114">
        <v>284.0</v>
      </c>
      <c r="D206" s="115" t="str">
        <f>IF(Tabla_3[COD]="","",VLOOKUP(Tabla_3[COD],'Stock inicial'!A:D,2,FALSE))</f>
        <v>VAINILLA/COCO ROPA 1L</v>
      </c>
      <c r="E206" s="58">
        <v>1.0</v>
      </c>
      <c r="F206" s="103">
        <v>999.0</v>
      </c>
      <c r="G206" s="25">
        <v>179.5</v>
      </c>
      <c r="H206" s="25">
        <f t="shared" si="1"/>
        <v>179.5</v>
      </c>
      <c r="I206" s="27">
        <v>999.0</v>
      </c>
      <c r="J206" s="27" t="s">
        <v>11</v>
      </c>
    </row>
    <row r="207" hidden="1">
      <c r="A207" s="74">
        <v>45837.0</v>
      </c>
      <c r="B207" s="116"/>
      <c r="C207" s="114">
        <v>273.0</v>
      </c>
      <c r="D207" s="115" t="str">
        <f>IF(Tabla_3[COD]="","",VLOOKUP(Tabla_3[COD],'Stock inicial'!A:D,2,FALSE))</f>
        <v>PERFUMINA CHERRY 1L</v>
      </c>
      <c r="E207" s="59">
        <v>1.0</v>
      </c>
      <c r="F207" s="103">
        <v>599.0</v>
      </c>
      <c r="G207" s="25">
        <v>57.45</v>
      </c>
      <c r="H207" s="25">
        <f t="shared" si="1"/>
        <v>57.45</v>
      </c>
      <c r="I207" s="27">
        <v>599.0</v>
      </c>
      <c r="J207" s="27" t="s">
        <v>11</v>
      </c>
    </row>
    <row r="208" hidden="1">
      <c r="A208" s="78">
        <v>45837.0</v>
      </c>
      <c r="B208" s="116"/>
      <c r="C208" s="114">
        <v>160.0</v>
      </c>
      <c r="D208" s="115" t="str">
        <f>IF(Tabla_3[COD]="","",VLOOKUP(Tabla_3[COD],'Stock inicial'!A:D,2,FALSE))</f>
        <v>ABSORSOL PIEDRA SANIT. LAVAND</v>
      </c>
      <c r="E208" s="58">
        <v>1.0</v>
      </c>
      <c r="F208" s="103">
        <v>6900.0</v>
      </c>
      <c r="G208" s="25">
        <v>4800.0</v>
      </c>
      <c r="H208" s="25">
        <f t="shared" si="1"/>
        <v>4800</v>
      </c>
      <c r="I208" s="27">
        <v>6900.0</v>
      </c>
      <c r="J208" s="27" t="s">
        <v>11</v>
      </c>
    </row>
    <row r="209" hidden="1">
      <c r="A209" s="74">
        <v>45837.0</v>
      </c>
      <c r="B209" s="116"/>
      <c r="C209" s="114">
        <v>148.0</v>
      </c>
      <c r="D209" s="115" t="str">
        <f>IF(Tabla_3[COD]="","",VLOOKUP(Tabla_3[COD],'Stock inicial'!A:D,2,FALSE))</f>
        <v>MOISTYCREAM GATO PESCADO</v>
      </c>
      <c r="E209" s="59">
        <v>1.0</v>
      </c>
      <c r="F209" s="103">
        <v>2600.0</v>
      </c>
      <c r="G209" s="25">
        <v>1288.0</v>
      </c>
      <c r="H209" s="25">
        <f t="shared" si="1"/>
        <v>1288</v>
      </c>
      <c r="I209" s="27">
        <v>2600.0</v>
      </c>
      <c r="J209" s="27" t="s">
        <v>11</v>
      </c>
    </row>
    <row r="210" hidden="1">
      <c r="A210" s="78">
        <v>45837.0</v>
      </c>
      <c r="B210" s="116"/>
      <c r="C210" s="114">
        <v>2912.0</v>
      </c>
      <c r="D210" s="115" t="str">
        <f>IF(Tabla_3[COD]="","",VLOOKUP(Tabla_3[COD],'Stock inicial'!A:D,2,FALSE))</f>
        <v>CLORO 5L</v>
      </c>
      <c r="E210" s="58">
        <v>1.0</v>
      </c>
      <c r="F210" s="103">
        <v>2900.0</v>
      </c>
      <c r="G210" s="25">
        <v>1080.0</v>
      </c>
      <c r="H210" s="25">
        <f t="shared" si="1"/>
        <v>1080</v>
      </c>
      <c r="I210" s="27">
        <v>2900.0</v>
      </c>
      <c r="J210" s="27" t="s">
        <v>11</v>
      </c>
    </row>
    <row r="211" hidden="1">
      <c r="A211" s="74">
        <v>45837.0</v>
      </c>
      <c r="B211" s="116"/>
      <c r="C211" s="114">
        <v>291.0</v>
      </c>
      <c r="D211" s="115" t="str">
        <f>IF(Tabla_3[COD]="","",VLOOKUP(Tabla_3[COD],'Stock inicial'!A:D,2,FALSE))</f>
        <v>SHAMPOO P/AUTO </v>
      </c>
      <c r="E211" s="59">
        <v>1.0</v>
      </c>
      <c r="F211" s="103">
        <v>1499.0</v>
      </c>
      <c r="G211" s="25">
        <v>549.0</v>
      </c>
      <c r="H211" s="25">
        <f t="shared" si="1"/>
        <v>549</v>
      </c>
      <c r="I211" s="27">
        <v>1499.0</v>
      </c>
      <c r="J211" s="27" t="s">
        <v>11</v>
      </c>
    </row>
    <row r="212" hidden="1">
      <c r="A212" s="78">
        <v>45837.0</v>
      </c>
      <c r="B212" s="116"/>
      <c r="C212" s="114">
        <v>303.0</v>
      </c>
      <c r="D212" s="115" t="str">
        <f>IF(Tabla_3[COD]="","",VLOOKUP(Tabla_3[COD],'Stock inicial'!A:D,2,FALSE))</f>
        <v>JABON EN PAN SIGNO 200G</v>
      </c>
      <c r="E212" s="58">
        <v>1.0</v>
      </c>
      <c r="F212" s="103">
        <v>999.0</v>
      </c>
      <c r="G212" s="25">
        <v>550.0</v>
      </c>
      <c r="H212" s="25">
        <f t="shared" si="1"/>
        <v>550</v>
      </c>
      <c r="I212" s="27">
        <v>999.0</v>
      </c>
      <c r="J212" s="27" t="s">
        <v>11</v>
      </c>
    </row>
    <row r="213" hidden="1">
      <c r="A213" s="74">
        <v>45837.0</v>
      </c>
      <c r="B213" s="116"/>
      <c r="C213" s="114">
        <v>312.0</v>
      </c>
      <c r="D213" s="115" t="str">
        <f>IF(Tabla_3[COD]="","",VLOOKUP(Tabla_3[COD],'Stock inicial'!A:D,2,FALSE))</f>
        <v>PANUELITOS ELITE PACK X6</v>
      </c>
      <c r="E213" s="59">
        <v>1.0</v>
      </c>
      <c r="F213" s="103">
        <v>2299.0</v>
      </c>
      <c r="G213" s="25">
        <v>1763.0</v>
      </c>
      <c r="H213" s="25">
        <f t="shared" si="1"/>
        <v>1763</v>
      </c>
      <c r="I213" s="27">
        <v>2299.0</v>
      </c>
      <c r="J213" s="27" t="s">
        <v>11</v>
      </c>
    </row>
    <row r="214" hidden="1">
      <c r="A214" s="78">
        <v>45837.0</v>
      </c>
      <c r="B214" s="116"/>
      <c r="C214" s="114">
        <v>134.0</v>
      </c>
      <c r="D214" s="115" t="str">
        <f>IF(Tabla_3[COD]="","",VLOOKUP(Tabla_3[COD],'Stock inicial'!A:D,2,FALSE))</f>
        <v>PALITO C/PELOTA Y SOGA</v>
      </c>
      <c r="E214" s="58">
        <v>1.0</v>
      </c>
      <c r="F214" s="103">
        <v>2400.0</v>
      </c>
      <c r="G214" s="25">
        <v>1564.0</v>
      </c>
      <c r="H214" s="25">
        <f t="shared" si="1"/>
        <v>1564</v>
      </c>
      <c r="I214" s="27">
        <v>2400.0</v>
      </c>
      <c r="J214" s="27" t="s">
        <v>11</v>
      </c>
    </row>
    <row r="215" hidden="1">
      <c r="A215" s="74">
        <v>45837.0</v>
      </c>
      <c r="B215" s="116"/>
      <c r="C215" s="114">
        <v>322.0</v>
      </c>
      <c r="D215" s="115" t="str">
        <f>IF(Tabla_3[COD]="","",VLOOKUP(Tabla_3[COD],'Stock inicial'!A:D,2,FALSE))</f>
        <v>MOPA</v>
      </c>
      <c r="E215" s="59">
        <v>1.0</v>
      </c>
      <c r="F215" s="103">
        <v>3490.0</v>
      </c>
      <c r="G215" s="25">
        <v>2470.0</v>
      </c>
      <c r="H215" s="25">
        <f t="shared" si="1"/>
        <v>2470</v>
      </c>
      <c r="I215" s="27">
        <v>3490.0</v>
      </c>
      <c r="J215" s="27" t="s">
        <v>11</v>
      </c>
    </row>
    <row r="216" hidden="1">
      <c r="A216" s="78">
        <v>45837.0</v>
      </c>
      <c r="B216" s="116"/>
      <c r="C216" s="114">
        <v>314.0</v>
      </c>
      <c r="D216" s="115" t="str">
        <f>IF(Tabla_3[COD]="","",VLOOKUP(Tabla_3[COD],'Stock inicial'!A:D,2,FALSE))</f>
        <v>VALERINA CHICA</v>
      </c>
      <c r="E216" s="58">
        <v>1.0</v>
      </c>
      <c r="F216" s="103">
        <v>899.0</v>
      </c>
      <c r="G216" s="25">
        <v>342.0</v>
      </c>
      <c r="H216" s="25">
        <f t="shared" si="1"/>
        <v>342</v>
      </c>
      <c r="I216" s="27">
        <v>899.0</v>
      </c>
      <c r="J216" s="27" t="s">
        <v>11</v>
      </c>
    </row>
    <row r="217" hidden="1">
      <c r="A217" s="74">
        <v>45837.0</v>
      </c>
      <c r="B217" s="116"/>
      <c r="C217" s="114">
        <v>341.0</v>
      </c>
      <c r="D217" s="115" t="str">
        <f>IF(Tabla_3[COD]="","",VLOOKUP(Tabla_3[COD],'Stock inicial'!A:D,2,FALSE))</f>
        <v>BOLSA C 60X90</v>
      </c>
      <c r="E217" s="59">
        <v>1.0</v>
      </c>
      <c r="F217" s="103">
        <v>799.0</v>
      </c>
      <c r="G217" s="25">
        <v>497.0</v>
      </c>
      <c r="H217" s="25">
        <f t="shared" si="1"/>
        <v>497</v>
      </c>
      <c r="I217" s="27">
        <v>799.0</v>
      </c>
      <c r="J217" s="27" t="s">
        <v>11</v>
      </c>
    </row>
    <row r="218" hidden="1">
      <c r="A218" s="78">
        <v>45837.0</v>
      </c>
      <c r="B218" s="116"/>
      <c r="C218" s="114">
        <v>347.0</v>
      </c>
      <c r="D218" s="115" t="str">
        <f>IF(Tabla_3[COD]="","",VLOOKUP(Tabla_3[COD],'Stock inicial'!A:D,2,FALSE))</f>
        <v>ESPONJA GIGANTE BRONCE HELP</v>
      </c>
      <c r="E218" s="58">
        <v>1.0</v>
      </c>
      <c r="F218" s="103">
        <v>490.0</v>
      </c>
      <c r="G218" s="25">
        <v>360.0</v>
      </c>
      <c r="H218" s="25">
        <f t="shared" si="1"/>
        <v>360</v>
      </c>
      <c r="I218" s="27">
        <v>490.0</v>
      </c>
      <c r="J218" s="27" t="s">
        <v>11</v>
      </c>
    </row>
    <row r="219" hidden="1">
      <c r="A219" s="74">
        <v>45837.0</v>
      </c>
      <c r="B219" s="116"/>
      <c r="C219" s="114">
        <v>354.0</v>
      </c>
      <c r="D219" s="115" t="str">
        <f>IF(Tabla_3[COD]="","",VLOOKUP(Tabla_3[COD],'Stock inicial'!A:D,2,FALSE))</f>
        <v>ROLLISEC "EL COLOSO" 40 X3 </v>
      </c>
      <c r="E219" s="59">
        <v>1.0</v>
      </c>
      <c r="F219" s="103">
        <v>1350.0</v>
      </c>
      <c r="G219" s="25">
        <v>1035.0</v>
      </c>
      <c r="H219" s="25">
        <f t="shared" si="1"/>
        <v>1035</v>
      </c>
      <c r="I219" s="27">
        <v>1350.0</v>
      </c>
      <c r="J219" s="27" t="s">
        <v>11</v>
      </c>
    </row>
    <row r="220" hidden="1">
      <c r="A220" s="78">
        <v>45837.0</v>
      </c>
      <c r="B220" s="116"/>
      <c r="C220" s="114">
        <v>370.0</v>
      </c>
      <c r="D220" s="115" t="str">
        <f>IF(Tabla_3[COD]="","",VLOOKUP(Tabla_3[COD],'Stock inicial'!A:D,2,FALSE))</f>
        <v>CUBO 3 POSICIONES</v>
      </c>
      <c r="E220" s="58">
        <v>1.0</v>
      </c>
      <c r="F220" s="27">
        <v>24590.0</v>
      </c>
      <c r="G220" s="25">
        <v>20000.0</v>
      </c>
      <c r="H220" s="25">
        <f t="shared" si="1"/>
        <v>20000</v>
      </c>
      <c r="I220" s="27">
        <v>24590.0</v>
      </c>
      <c r="J220" s="27" t="s">
        <v>11</v>
      </c>
    </row>
    <row r="221" hidden="1">
      <c r="A221" s="74">
        <v>45837.0</v>
      </c>
      <c r="B221" s="116"/>
      <c r="C221" s="114">
        <v>245.0</v>
      </c>
      <c r="D221" s="115" t="str">
        <f>IF(Tabla_3[COD]="","",VLOOKUP(Tabla_3[COD],'Stock inicial'!A:D,2,FALSE))</f>
        <v>ARIEL ECO (VERDE) 1L</v>
      </c>
      <c r="E221" s="59">
        <v>1.0</v>
      </c>
      <c r="F221" s="103">
        <v>890.0</v>
      </c>
      <c r="G221" s="25">
        <v>228.6</v>
      </c>
      <c r="H221" s="25">
        <f t="shared" si="1"/>
        <v>228.6</v>
      </c>
      <c r="I221" s="27">
        <v>890.0</v>
      </c>
      <c r="J221" s="27" t="s">
        <v>11</v>
      </c>
    </row>
    <row r="222" hidden="1">
      <c r="A222" s="78">
        <v>45837.0</v>
      </c>
      <c r="B222" s="116"/>
      <c r="C222" s="114">
        <v>251.0</v>
      </c>
      <c r="D222" s="115" t="str">
        <f>IF(Tabla_3[COD]="","",VLOOKUP(Tabla_3[COD],'Stock inicial'!A:D,2,FALSE))</f>
        <v>VIVERE ECO (CELESTE) 1L</v>
      </c>
      <c r="E222" s="58">
        <v>1.0</v>
      </c>
      <c r="F222" s="103">
        <v>990.0</v>
      </c>
      <c r="G222" s="25">
        <v>296.0</v>
      </c>
      <c r="H222" s="25">
        <f t="shared" si="1"/>
        <v>296</v>
      </c>
      <c r="I222" s="27">
        <v>990.0</v>
      </c>
      <c r="J222" s="27" t="s">
        <v>11</v>
      </c>
    </row>
    <row r="223" hidden="1">
      <c r="A223" s="74">
        <v>45837.0</v>
      </c>
      <c r="B223" s="116"/>
      <c r="C223" s="114">
        <v>257.0</v>
      </c>
      <c r="D223" s="115" t="str">
        <f>IF(Tabla_3[COD]="","",VLOOKUP(Tabla_3[COD],'Stock inicial'!A:D,2,FALSE))</f>
        <v>MAGISTRAL ECO (LIMON AMARILLO) 1L</v>
      </c>
      <c r="E223" s="59">
        <v>1.0</v>
      </c>
      <c r="F223" s="103">
        <v>999.0</v>
      </c>
      <c r="G223" s="25">
        <v>280.0</v>
      </c>
      <c r="H223" s="25">
        <f t="shared" si="1"/>
        <v>280</v>
      </c>
      <c r="I223" s="27">
        <v>999.0</v>
      </c>
      <c r="J223" s="27" t="s">
        <v>11</v>
      </c>
    </row>
    <row r="224" hidden="1">
      <c r="A224" s="78">
        <v>45837.0</v>
      </c>
      <c r="B224" s="116"/>
      <c r="C224" s="114">
        <v>266.0</v>
      </c>
      <c r="D224" s="115" t="str">
        <f>IF(Tabla_3[COD]="","",VLOOKUP(Tabla_3[COD],'Stock inicial'!A:D,2,FALSE))</f>
        <v>DESENGRASANTE COCINA 1L</v>
      </c>
      <c r="E224" s="58">
        <v>1.0</v>
      </c>
      <c r="F224" s="103">
        <v>799.0</v>
      </c>
      <c r="G224" s="25">
        <v>200.0</v>
      </c>
      <c r="H224" s="25">
        <f t="shared" si="1"/>
        <v>200</v>
      </c>
      <c r="I224" s="27">
        <v>799.0</v>
      </c>
      <c r="J224" s="27" t="s">
        <v>11</v>
      </c>
    </row>
    <row r="225" hidden="1">
      <c r="A225" s="74">
        <v>45837.0</v>
      </c>
      <c r="B225" s="116"/>
      <c r="C225" s="114">
        <v>281.0</v>
      </c>
      <c r="D225" s="115" t="str">
        <f>IF(Tabla_3[COD]="","",VLOOKUP(Tabla_3[COD],'Stock inicial'!A:D,2,FALSE))</f>
        <v>PERFUMINA VAINILLA 1L</v>
      </c>
      <c r="E225" s="59">
        <v>1.0</v>
      </c>
      <c r="F225" s="103">
        <v>599.0</v>
      </c>
      <c r="G225" s="25">
        <v>57.45</v>
      </c>
      <c r="H225" s="25">
        <f t="shared" si="1"/>
        <v>57.45</v>
      </c>
      <c r="I225" s="27">
        <v>599.0</v>
      </c>
      <c r="J225" s="27" t="s">
        <v>11</v>
      </c>
    </row>
    <row r="226" ht="20.25" hidden="1" customHeight="1">
      <c r="A226" s="78">
        <v>45837.0</v>
      </c>
      <c r="B226" s="116"/>
      <c r="C226" s="117"/>
      <c r="D226" s="115" t="s">
        <v>51</v>
      </c>
      <c r="E226" s="58">
        <v>1.0</v>
      </c>
      <c r="F226" s="27">
        <v>-287.0</v>
      </c>
      <c r="G226" s="27"/>
      <c r="H226" s="27">
        <f t="shared" si="1"/>
        <v>0</v>
      </c>
      <c r="I226" s="27">
        <v>-287.0</v>
      </c>
      <c r="J226" s="27" t="s">
        <v>11</v>
      </c>
    </row>
    <row r="227" hidden="1">
      <c r="A227" s="74">
        <v>45838.0</v>
      </c>
      <c r="B227" s="75" t="s">
        <v>96</v>
      </c>
      <c r="C227" s="133">
        <v>223.0</v>
      </c>
      <c r="D227" s="77" t="str">
        <f>IF(Tabla_3[COD]="","",VLOOKUP(Tabla_3[COD],'Stock inicial'!A:D,2,FALSE))</f>
        <v>VORAZ PERRO ADULTO MIX</v>
      </c>
      <c r="E227" s="59">
        <v>3.09</v>
      </c>
      <c r="F227" s="103">
        <v>1100.0</v>
      </c>
      <c r="G227" s="25">
        <v>819.5</v>
      </c>
      <c r="H227" s="25">
        <f t="shared" si="1"/>
        <v>2532.255</v>
      </c>
      <c r="I227" s="27">
        <v>3399.0</v>
      </c>
      <c r="J227" s="27" t="s">
        <v>3</v>
      </c>
    </row>
    <row r="228" hidden="1">
      <c r="A228" s="78">
        <v>45838.0</v>
      </c>
      <c r="B228" s="82" t="s">
        <v>97</v>
      </c>
      <c r="C228" s="97">
        <v>275.0</v>
      </c>
      <c r="D228" s="84" t="str">
        <f>IF(Tabla_3[COD]="","",VLOOKUP(Tabla_3[COD],'Stock inicial'!A:D,2,FALSE))</f>
        <v>PERFUMINA UVA 1L</v>
      </c>
      <c r="E228" s="58">
        <v>1.0</v>
      </c>
      <c r="F228" s="103">
        <v>599.0</v>
      </c>
      <c r="G228" s="25">
        <v>57.45</v>
      </c>
      <c r="H228" s="25">
        <f t="shared" si="1"/>
        <v>57.45</v>
      </c>
      <c r="I228" s="27">
        <v>599.0</v>
      </c>
      <c r="J228" s="27" t="s">
        <v>3</v>
      </c>
    </row>
    <row r="229" hidden="1">
      <c r="A229" s="74">
        <v>45838.0</v>
      </c>
      <c r="B229" s="92"/>
      <c r="C229" s="98">
        <v>213.0</v>
      </c>
      <c r="D229" s="87" t="str">
        <f>IF(Tabla_3[COD]="","",VLOOKUP(Tabla_3[COD],'Stock inicial'!A:D,2,FALSE))</f>
        <v>DOGPRO CACHORRO XKG</v>
      </c>
      <c r="E229" s="59">
        <v>2.58</v>
      </c>
      <c r="F229" s="103">
        <v>3900.0</v>
      </c>
      <c r="G229" s="25">
        <v>2953.8</v>
      </c>
      <c r="H229" s="25">
        <f t="shared" si="1"/>
        <v>7620.804</v>
      </c>
      <c r="I229" s="27">
        <v>10062.0</v>
      </c>
      <c r="J229" s="27" t="s">
        <v>3</v>
      </c>
    </row>
    <row r="230" hidden="1">
      <c r="A230" s="78">
        <v>45838.0</v>
      </c>
      <c r="B230" s="82" t="s">
        <v>98</v>
      </c>
      <c r="C230" s="97">
        <v>223.0</v>
      </c>
      <c r="D230" s="84" t="str">
        <f>IF(Tabla_3[COD]="","",VLOOKUP(Tabla_3[COD],'Stock inicial'!A:D,2,FALSE))</f>
        <v>VORAZ PERRO ADULTO MIX</v>
      </c>
      <c r="E230" s="58">
        <v>3.25</v>
      </c>
      <c r="F230" s="103">
        <v>1100.0</v>
      </c>
      <c r="G230" s="25">
        <v>819.5</v>
      </c>
      <c r="H230" s="25">
        <f t="shared" si="1"/>
        <v>2663.375</v>
      </c>
      <c r="I230" s="27">
        <v>3575.0</v>
      </c>
      <c r="J230" s="27" t="s">
        <v>3</v>
      </c>
    </row>
    <row r="231" hidden="1">
      <c r="A231" s="74">
        <v>45838.0</v>
      </c>
      <c r="B231" s="92"/>
      <c r="C231" s="98">
        <v>235.0</v>
      </c>
      <c r="D231" s="87" t="str">
        <f>IF(Tabla_3[COD]="","",VLOOKUP(Tabla_3[COD],'Stock inicial'!A:D,2,FALSE))</f>
        <v>CATCHOW POUCH ADULTO POLLO</v>
      </c>
      <c r="E231" s="59">
        <v>1.0</v>
      </c>
      <c r="F231" s="103">
        <v>1500.0</v>
      </c>
      <c r="G231" s="25">
        <v>876.04</v>
      </c>
      <c r="H231" s="25">
        <f t="shared" si="1"/>
        <v>876.04</v>
      </c>
      <c r="I231" s="27">
        <v>1500.0</v>
      </c>
      <c r="J231" s="27" t="s">
        <v>3</v>
      </c>
    </row>
    <row r="232" hidden="1">
      <c r="A232" s="78">
        <v>45838.0</v>
      </c>
      <c r="B232" s="82" t="s">
        <v>99</v>
      </c>
      <c r="C232" s="97">
        <v>212.0</v>
      </c>
      <c r="D232" s="84" t="str">
        <f>IF(Tabla_3[COD]="","",VLOOKUP(Tabla_3[COD],'Stock inicial'!A:D,2,FALSE))</f>
        <v>DOGPRO ADULTO MORDIDA PEQUEñA XKG</v>
      </c>
      <c r="E232" s="58">
        <v>2.97</v>
      </c>
      <c r="F232" s="103">
        <v>3700.0</v>
      </c>
      <c r="G232" s="25">
        <v>2778.13</v>
      </c>
      <c r="H232" s="25">
        <f t="shared" si="1"/>
        <v>8251.0461</v>
      </c>
      <c r="I232" s="27">
        <v>10989.0</v>
      </c>
      <c r="J232" s="27" t="s">
        <v>11</v>
      </c>
    </row>
    <row r="233" hidden="1">
      <c r="A233" s="74">
        <v>45838.0</v>
      </c>
      <c r="B233" s="92"/>
      <c r="C233" s="98">
        <v>327.0</v>
      </c>
      <c r="D233" s="87" t="str">
        <f>IF(Tabla_3[COD]="","",VLOOKUP(Tabla_3[COD],'Stock inicial'!A:D,2,FALSE))</f>
        <v>TRAPO DE PISO - ECO 45X58CM</v>
      </c>
      <c r="E233" s="59">
        <v>1.0</v>
      </c>
      <c r="F233" s="103">
        <v>799.0</v>
      </c>
      <c r="G233" s="25">
        <v>400.0</v>
      </c>
      <c r="H233" s="25">
        <f t="shared" si="1"/>
        <v>400</v>
      </c>
      <c r="I233" s="27">
        <v>799.0</v>
      </c>
      <c r="J233" s="27" t="s">
        <v>11</v>
      </c>
    </row>
    <row r="234" hidden="1">
      <c r="A234" s="78">
        <v>45838.0</v>
      </c>
      <c r="B234" s="91"/>
      <c r="C234" s="99">
        <v>279.0</v>
      </c>
      <c r="D234" s="81" t="str">
        <f>IF(Tabla_3[COD]="","",VLOOKUP(Tabla_3[COD],'Stock inicial'!A:D,2,FALSE))</f>
        <v>PERFUMINA LISOFORM 1L</v>
      </c>
      <c r="E234" s="58">
        <v>1.0</v>
      </c>
      <c r="F234" s="103">
        <v>599.0</v>
      </c>
      <c r="G234" s="25">
        <v>57.45</v>
      </c>
      <c r="H234" s="25">
        <f t="shared" si="1"/>
        <v>57.45</v>
      </c>
      <c r="I234" s="27">
        <v>599.0</v>
      </c>
      <c r="J234" s="27" t="s">
        <v>11</v>
      </c>
    </row>
    <row r="235" hidden="1">
      <c r="A235" s="74">
        <v>45838.0</v>
      </c>
      <c r="B235" s="92"/>
      <c r="C235" s="98">
        <v>247.0</v>
      </c>
      <c r="D235" s="87" t="str">
        <f>IF(Tabla_3[COD]="","",VLOOKUP(Tabla_3[COD],'Stock inicial'!A:D,2,FALSE))</f>
        <v>ARIEL PREMIUM (VERDE) 1L</v>
      </c>
      <c r="E235" s="59">
        <v>1.0</v>
      </c>
      <c r="F235" s="103">
        <v>1200.0</v>
      </c>
      <c r="G235" s="25">
        <v>323.1</v>
      </c>
      <c r="H235" s="25">
        <f t="shared" si="1"/>
        <v>323.1</v>
      </c>
      <c r="I235" s="27">
        <v>1200.0</v>
      </c>
      <c r="J235" s="27" t="s">
        <v>11</v>
      </c>
    </row>
    <row r="236" hidden="1">
      <c r="A236" s="78">
        <v>45838.0</v>
      </c>
      <c r="B236" s="91"/>
      <c r="C236" s="99">
        <v>259.0</v>
      </c>
      <c r="D236" s="81" t="str">
        <f>IF(Tabla_3[COD]="","",VLOOKUP(Tabla_3[COD],'Stock inicial'!A:D,2,FALSE))</f>
        <v>ALOE VERA (VERDE) 1L</v>
      </c>
      <c r="E236" s="58">
        <v>1.0</v>
      </c>
      <c r="F236" s="103">
        <v>1299.0</v>
      </c>
      <c r="G236" s="25">
        <v>412.0</v>
      </c>
      <c r="H236" s="25">
        <f t="shared" si="1"/>
        <v>412</v>
      </c>
      <c r="I236" s="27">
        <v>1299.0</v>
      </c>
      <c r="J236" s="27" t="s">
        <v>11</v>
      </c>
    </row>
    <row r="237" hidden="1">
      <c r="A237" s="74">
        <v>45838.0</v>
      </c>
      <c r="B237" s="92"/>
      <c r="C237" s="98">
        <v>268.0</v>
      </c>
      <c r="D237" s="87" t="str">
        <f>IF(Tabla_3[COD]="","",VLOOKUP(Tabla_3[COD],'Stock inicial'!A:D,2,FALSE))</f>
        <v>LIMPIAVIDRIOS 1L</v>
      </c>
      <c r="E237" s="59">
        <v>1.0</v>
      </c>
      <c r="F237" s="103">
        <v>899.0</v>
      </c>
      <c r="G237" s="25">
        <v>252.0</v>
      </c>
      <c r="H237" s="25">
        <f t="shared" si="1"/>
        <v>252</v>
      </c>
      <c r="I237" s="27">
        <v>899.0</v>
      </c>
      <c r="J237" s="27" t="s">
        <v>11</v>
      </c>
    </row>
    <row r="238" hidden="1">
      <c r="A238" s="78">
        <v>45838.0</v>
      </c>
      <c r="B238" s="91"/>
      <c r="C238" s="95"/>
      <c r="D238" s="81" t="s">
        <v>100</v>
      </c>
      <c r="E238" s="58">
        <v>1.0</v>
      </c>
      <c r="F238" s="27">
        <v>-507.0</v>
      </c>
      <c r="G238" s="27"/>
      <c r="H238" s="27">
        <f t="shared" si="1"/>
        <v>0</v>
      </c>
      <c r="I238" s="27">
        <v>-507.0</v>
      </c>
      <c r="J238" s="27" t="s">
        <v>11</v>
      </c>
    </row>
    <row r="239" hidden="1">
      <c r="A239" s="74">
        <v>45838.0</v>
      </c>
      <c r="B239" s="75" t="s">
        <v>101</v>
      </c>
      <c r="C239" s="96">
        <v>294.0</v>
      </c>
      <c r="D239" s="77" t="str">
        <f>IF(Tabla_3[COD]="","",VLOOKUP(Tabla_3[COD],'Stock inicial'!A:D,2,FALSE))</f>
        <v>SILICONA DE VAINI/COCO</v>
      </c>
      <c r="E239" s="59">
        <v>1.0</v>
      </c>
      <c r="F239" s="103">
        <v>5499.0</v>
      </c>
      <c r="G239" s="25">
        <v>3199.0</v>
      </c>
      <c r="H239" s="25">
        <f t="shared" si="1"/>
        <v>3199</v>
      </c>
      <c r="I239" s="27">
        <v>5499.0</v>
      </c>
      <c r="J239" s="27" t="s">
        <v>3</v>
      </c>
    </row>
    <row r="240" hidden="1">
      <c r="A240" s="78">
        <v>45838.0</v>
      </c>
      <c r="B240" s="82" t="s">
        <v>102</v>
      </c>
      <c r="C240" s="97">
        <v>226.0</v>
      </c>
      <c r="D240" s="84" t="str">
        <f>IF(Tabla_3[COD]="","",VLOOKUP(Tabla_3[COD],'Stock inicial'!A:D,2,FALSE))</f>
        <v>GATI GATO CARNE Y POLLO</v>
      </c>
      <c r="E240" s="58">
        <v>0.928</v>
      </c>
      <c r="F240" s="103">
        <v>2700.0</v>
      </c>
      <c r="G240" s="25">
        <v>2073.33</v>
      </c>
      <c r="H240" s="25">
        <f t="shared" si="1"/>
        <v>1924.05024</v>
      </c>
      <c r="I240" s="27">
        <v>2505.6</v>
      </c>
      <c r="J240" s="27" t="s">
        <v>3</v>
      </c>
    </row>
    <row r="241" hidden="1">
      <c r="A241" s="74">
        <v>45838.0</v>
      </c>
      <c r="B241" s="92"/>
      <c r="C241" s="98">
        <v>234.0</v>
      </c>
      <c r="D241" s="87" t="str">
        <f>IF(Tabla_3[COD]="","",VLOOKUP(Tabla_3[COD],'Stock inicial'!A:D,2,FALSE))</f>
        <v>CAT CHOW ADULTO CARNE POLLO</v>
      </c>
      <c r="E241" s="59">
        <v>0.53</v>
      </c>
      <c r="F241" s="103">
        <v>4700.0</v>
      </c>
      <c r="G241" s="25">
        <v>3586.66</v>
      </c>
      <c r="H241" s="25">
        <f t="shared" si="1"/>
        <v>1900.9298</v>
      </c>
      <c r="I241" s="27">
        <v>2491.0</v>
      </c>
      <c r="J241" s="27" t="s">
        <v>3</v>
      </c>
    </row>
    <row r="242" hidden="1">
      <c r="A242" s="78">
        <v>45838.0</v>
      </c>
      <c r="B242" s="82" t="s">
        <v>103</v>
      </c>
      <c r="C242" s="97">
        <v>223.0</v>
      </c>
      <c r="D242" s="84" t="str">
        <f>IF(Tabla_3[COD]="","",VLOOKUP(Tabla_3[COD],'Stock inicial'!A:D,2,FALSE))</f>
        <v>VORAZ PERRO ADULTO MIX</v>
      </c>
      <c r="E242" s="58">
        <v>1.19</v>
      </c>
      <c r="F242" s="103">
        <v>1100.0</v>
      </c>
      <c r="G242" s="25">
        <v>819.5</v>
      </c>
      <c r="H242" s="25">
        <f t="shared" si="1"/>
        <v>975.205</v>
      </c>
      <c r="I242" s="27">
        <v>1309.0</v>
      </c>
      <c r="J242" s="27" t="s">
        <v>3</v>
      </c>
    </row>
    <row r="243" hidden="1">
      <c r="A243" s="74">
        <v>45838.0</v>
      </c>
      <c r="B243" s="75" t="s">
        <v>104</v>
      </c>
      <c r="C243" s="96">
        <v>212.0</v>
      </c>
      <c r="D243" s="77" t="str">
        <f>IF(Tabla_3[COD]="","",VLOOKUP(Tabla_3[COD],'Stock inicial'!A:D,2,FALSE))</f>
        <v>DOGPRO ADULTO MORDIDA PEQUEñA XKG</v>
      </c>
      <c r="E243" s="59">
        <v>1.9</v>
      </c>
      <c r="F243" s="103">
        <v>3700.0</v>
      </c>
      <c r="G243" s="25">
        <v>2778.13</v>
      </c>
      <c r="H243" s="25">
        <f t="shared" si="1"/>
        <v>5278.447</v>
      </c>
      <c r="I243" s="27">
        <v>7030.0</v>
      </c>
      <c r="J243" s="27" t="s">
        <v>3</v>
      </c>
    </row>
    <row r="244" hidden="1">
      <c r="A244" s="78">
        <v>45838.0</v>
      </c>
      <c r="B244" s="82" t="s">
        <v>105</v>
      </c>
      <c r="C244" s="97">
        <v>3622.0</v>
      </c>
      <c r="D244" s="84" t="str">
        <f>IF(Tabla_3[COD]="","",VLOOKUP(Tabla_3[COD],'Stock inicial'!A:D,2,FALSE))</f>
        <v>ROPA PERRO TALLE 6</v>
      </c>
      <c r="E244" s="58">
        <v>1.0</v>
      </c>
      <c r="F244" s="27">
        <v>6000.0</v>
      </c>
      <c r="G244" s="27">
        <v>3000.0</v>
      </c>
      <c r="H244" s="27">
        <f t="shared" si="1"/>
        <v>3000</v>
      </c>
      <c r="I244" s="27">
        <v>6000.0</v>
      </c>
      <c r="J244" s="27" t="s">
        <v>11</v>
      </c>
    </row>
    <row r="245" hidden="1">
      <c r="A245" s="74">
        <v>45839.0</v>
      </c>
      <c r="B245" s="75" t="s">
        <v>106</v>
      </c>
      <c r="C245" s="134"/>
      <c r="D245" s="77" t="s">
        <v>107</v>
      </c>
      <c r="E245" s="59">
        <v>1.0</v>
      </c>
      <c r="F245" s="27">
        <v>62800.0</v>
      </c>
      <c r="G245" s="27">
        <v>55700.0</v>
      </c>
      <c r="H245" s="27">
        <f t="shared" si="1"/>
        <v>55700</v>
      </c>
      <c r="I245" s="27">
        <v>62800.0</v>
      </c>
      <c r="J245" s="27" t="s">
        <v>11</v>
      </c>
    </row>
    <row r="246" hidden="1">
      <c r="A246" s="78">
        <v>45839.0</v>
      </c>
      <c r="B246" s="82" t="s">
        <v>108</v>
      </c>
      <c r="C246" s="135">
        <v>292.0</v>
      </c>
      <c r="D246" s="84" t="str">
        <f>IF(Tabla_3[COD]="","",VLOOKUP(Tabla_3[COD],'Stock inicial'!A:D,2,FALSE))</f>
        <v>KAUCHO</v>
      </c>
      <c r="E246" s="58">
        <v>1.0</v>
      </c>
      <c r="F246" s="103">
        <v>1899.0</v>
      </c>
      <c r="G246" s="25">
        <v>699.0</v>
      </c>
      <c r="H246" s="25">
        <f t="shared" si="1"/>
        <v>699</v>
      </c>
      <c r="I246" s="27">
        <v>1899.0</v>
      </c>
      <c r="J246" s="27" t="s">
        <v>3</v>
      </c>
    </row>
    <row r="247" hidden="1">
      <c r="A247" s="74">
        <v>45839.0</v>
      </c>
      <c r="B247" s="85"/>
      <c r="C247" s="136">
        <v>280.0</v>
      </c>
      <c r="D247" s="87" t="str">
        <f>IF(Tabla_3[COD]="","",VLOOKUP(Tabla_3[COD],'Stock inicial'!A:D,2,FALSE))</f>
        <v>PERFUMINA LISOFORM 1/2</v>
      </c>
      <c r="E247" s="59">
        <v>1.0</v>
      </c>
      <c r="F247" s="103">
        <v>1499.0</v>
      </c>
      <c r="G247" s="25">
        <v>287.25</v>
      </c>
      <c r="H247" s="25">
        <f t="shared" si="1"/>
        <v>287.25</v>
      </c>
      <c r="I247" s="27">
        <v>1499.0</v>
      </c>
      <c r="J247" s="27" t="s">
        <v>3</v>
      </c>
    </row>
    <row r="248" hidden="1">
      <c r="A248" s="78">
        <v>45839.0</v>
      </c>
      <c r="B248" s="82" t="s">
        <v>109</v>
      </c>
      <c r="C248" s="97">
        <v>248.0</v>
      </c>
      <c r="D248" s="84" t="str">
        <f>IF(Tabla_3[COD]="","",VLOOKUP(Tabla_3[COD],'Stock inicial'!A:D,2,FALSE))</f>
        <v>ARIEL PREMIUM (VERDE) 5L</v>
      </c>
      <c r="E248" s="58">
        <v>1.0</v>
      </c>
      <c r="F248" s="103">
        <v>2700.0</v>
      </c>
      <c r="G248" s="25">
        <v>1615.5</v>
      </c>
      <c r="H248" s="25">
        <f t="shared" si="1"/>
        <v>1615.5</v>
      </c>
      <c r="I248" s="27">
        <v>2700.0</v>
      </c>
      <c r="J248" s="27" t="s">
        <v>3</v>
      </c>
    </row>
    <row r="249" hidden="1">
      <c r="A249" s="74">
        <v>45839.0</v>
      </c>
      <c r="B249" s="92"/>
      <c r="C249" s="98">
        <v>254.0</v>
      </c>
      <c r="D249" s="87" t="str">
        <f>IF(Tabla_3[COD]="","",VLOOKUP(Tabla_3[COD],'Stock inicial'!A:D,2,FALSE))</f>
        <v>COMFORT PREMIUM (ROSA) 5L</v>
      </c>
      <c r="E249" s="59">
        <v>1.0</v>
      </c>
      <c r="F249" s="103">
        <v>2700.0</v>
      </c>
      <c r="G249" s="25">
        <v>1620.0</v>
      </c>
      <c r="H249" s="25">
        <f t="shared" si="1"/>
        <v>1620</v>
      </c>
      <c r="I249" s="27">
        <v>2700.0</v>
      </c>
      <c r="J249" s="27" t="s">
        <v>3</v>
      </c>
    </row>
    <row r="250" hidden="1">
      <c r="A250" s="78">
        <v>45839.0</v>
      </c>
      <c r="B250" s="91"/>
      <c r="C250" s="99">
        <v>290.0</v>
      </c>
      <c r="D250" s="81" t="str">
        <f>IF(Tabla_3[COD]="","",VLOOKUP(Tabla_3[COD],'Stock inicial'!A:D,2,FALSE))</f>
        <v>LAVANDINA 5L</v>
      </c>
      <c r="E250" s="58">
        <v>1.0</v>
      </c>
      <c r="F250" s="103">
        <v>1990.0</v>
      </c>
      <c r="G250" s="25">
        <v>1080.0</v>
      </c>
      <c r="H250" s="25">
        <f t="shared" si="1"/>
        <v>1080</v>
      </c>
      <c r="I250" s="27">
        <v>1990.0</v>
      </c>
      <c r="J250" s="27" t="s">
        <v>3</v>
      </c>
    </row>
    <row r="251" hidden="1">
      <c r="A251" s="74">
        <v>45839.0</v>
      </c>
      <c r="B251" s="92"/>
      <c r="C251" s="98">
        <v>312.0</v>
      </c>
      <c r="D251" s="87" t="str">
        <f>IF(Tabla_3[COD]="","",VLOOKUP(Tabla_3[COD],'Stock inicial'!A:D,2,FALSE))</f>
        <v>PANUELITOS ELITE PACK X6</v>
      </c>
      <c r="E251" s="59">
        <v>1.0</v>
      </c>
      <c r="F251" s="103">
        <v>2299.0</v>
      </c>
      <c r="G251" s="25">
        <v>1763.0</v>
      </c>
      <c r="H251" s="25">
        <f t="shared" si="1"/>
        <v>1763</v>
      </c>
      <c r="I251" s="27">
        <v>2299.0</v>
      </c>
      <c r="J251" s="27" t="s">
        <v>3</v>
      </c>
    </row>
    <row r="252" hidden="1">
      <c r="A252" s="78">
        <v>45839.0</v>
      </c>
      <c r="B252" s="91"/>
      <c r="C252" s="99">
        <v>314.0</v>
      </c>
      <c r="D252" s="81" t="str">
        <f>IF(Tabla_3[COD]="","",VLOOKUP(Tabla_3[COD],'Stock inicial'!A:D,2,FALSE))</f>
        <v>VALERINA CHICA</v>
      </c>
      <c r="E252" s="58">
        <v>1.0</v>
      </c>
      <c r="F252" s="103">
        <v>899.0</v>
      </c>
      <c r="G252" s="25">
        <v>342.0</v>
      </c>
      <c r="H252" s="25">
        <f t="shared" si="1"/>
        <v>342</v>
      </c>
      <c r="I252" s="27">
        <v>899.0</v>
      </c>
      <c r="J252" s="27" t="s">
        <v>3</v>
      </c>
    </row>
    <row r="253" hidden="1">
      <c r="A253" s="74">
        <v>45839.0</v>
      </c>
      <c r="B253" s="92"/>
      <c r="C253" s="98">
        <v>328.0</v>
      </c>
      <c r="D253" s="87" t="str">
        <f>IF(Tabla_3[COD]="","",VLOOKUP(Tabla_3[COD],'Stock inicial'!A:D,2,FALSE))</f>
        <v>TRAPO DE PISO "ESTRELLA" 48X60CM</v>
      </c>
      <c r="E253" s="59">
        <v>1.0</v>
      </c>
      <c r="F253" s="103">
        <v>999.0</v>
      </c>
      <c r="G253" s="25">
        <v>595.0</v>
      </c>
      <c r="H253" s="25">
        <f t="shared" si="1"/>
        <v>595</v>
      </c>
      <c r="I253" s="27">
        <v>999.0</v>
      </c>
      <c r="J253" s="27" t="s">
        <v>3</v>
      </c>
    </row>
    <row r="254" hidden="1">
      <c r="A254" s="78">
        <v>45839.0</v>
      </c>
      <c r="B254" s="91"/>
      <c r="C254" s="99">
        <v>333.0</v>
      </c>
      <c r="D254" s="81" t="str">
        <f>IF(Tabla_3[COD]="","",VLOOKUP(Tabla_3[COD],'Stock inicial'!A:D,2,FALSE))</f>
        <v>SECADOR N40 "NAZAR"</v>
      </c>
      <c r="E254" s="58">
        <v>1.0</v>
      </c>
      <c r="F254" s="103">
        <v>1999.0</v>
      </c>
      <c r="G254" s="25">
        <v>1400.0</v>
      </c>
      <c r="H254" s="25">
        <f t="shared" si="1"/>
        <v>1400</v>
      </c>
      <c r="I254" s="27">
        <v>1999.0</v>
      </c>
      <c r="J254" s="27" t="s">
        <v>3</v>
      </c>
    </row>
    <row r="255" hidden="1">
      <c r="A255" s="74">
        <v>45839.0</v>
      </c>
      <c r="B255" s="92"/>
      <c r="C255" s="98">
        <v>324.0</v>
      </c>
      <c r="D255" s="87" t="str">
        <f>IF(Tabla_3[COD]="","",VLOOKUP(Tabla_3[COD],'Stock inicial'!A:D,2,FALSE))</f>
        <v>REJILLA SUPER  "ENTRESOL" 40X42CM</v>
      </c>
      <c r="E255" s="59">
        <v>1.0</v>
      </c>
      <c r="F255" s="27">
        <v>0.0</v>
      </c>
      <c r="G255" s="25">
        <v>321.0</v>
      </c>
      <c r="H255" s="25">
        <f t="shared" si="1"/>
        <v>321</v>
      </c>
      <c r="I255" s="27">
        <v>0.0</v>
      </c>
      <c r="J255" s="27" t="s">
        <v>3</v>
      </c>
    </row>
    <row r="256" hidden="1">
      <c r="A256" s="78">
        <v>45839.0</v>
      </c>
      <c r="B256" s="82" t="s">
        <v>110</v>
      </c>
      <c r="C256" s="97">
        <v>249.0</v>
      </c>
      <c r="D256" s="84" t="str">
        <f>IF(Tabla_3[COD]="","",VLOOKUP(Tabla_3[COD],'Stock inicial'!A:D,2,FALSE))</f>
        <v>ARIEL. EXT. PERF. (VERDE CON SUAVIZANTE) 1L</v>
      </c>
      <c r="E256" s="58">
        <v>1.0</v>
      </c>
      <c r="F256" s="103">
        <v>1500.0</v>
      </c>
      <c r="G256" s="25">
        <v>486.0</v>
      </c>
      <c r="H256" s="25">
        <f t="shared" si="1"/>
        <v>486</v>
      </c>
      <c r="I256" s="27">
        <v>1500.0</v>
      </c>
      <c r="J256" s="27" t="s">
        <v>3</v>
      </c>
    </row>
    <row r="257" hidden="1">
      <c r="A257" s="74">
        <v>45839.0</v>
      </c>
      <c r="B257" s="75" t="s">
        <v>111</v>
      </c>
      <c r="C257" s="96">
        <v>366.0</v>
      </c>
      <c r="D257" s="77" t="str">
        <f>IF(Tabla_3[COD]="","",VLOOKUP(Tabla_3[COD],'Stock inicial'!A:D,2,FALSE))</f>
        <v>CAMITAS 1x1.20</v>
      </c>
      <c r="E257" s="59">
        <v>1.0</v>
      </c>
      <c r="F257" s="27">
        <v>24900.0</v>
      </c>
      <c r="G257" s="25">
        <v>20000.0</v>
      </c>
      <c r="H257" s="25">
        <f t="shared" si="1"/>
        <v>20000</v>
      </c>
      <c r="I257" s="27">
        <v>24900.0</v>
      </c>
      <c r="J257" s="27" t="s">
        <v>11</v>
      </c>
    </row>
    <row r="258" hidden="1">
      <c r="A258" s="78">
        <v>45839.0</v>
      </c>
      <c r="B258" s="79"/>
      <c r="C258" s="99">
        <v>249.0</v>
      </c>
      <c r="D258" s="81" t="str">
        <f>IF(Tabla_3[COD]="","",VLOOKUP(Tabla_3[COD],'Stock inicial'!A:D,2,FALSE))</f>
        <v>ARIEL. EXT. PERF. (VERDE CON SUAVIZANTE) 1L</v>
      </c>
      <c r="E258" s="58">
        <v>1.0</v>
      </c>
      <c r="F258" s="103">
        <v>1500.0</v>
      </c>
      <c r="G258" s="25">
        <v>486.0</v>
      </c>
      <c r="H258" s="25">
        <f t="shared" si="1"/>
        <v>486</v>
      </c>
      <c r="I258" s="27">
        <v>1500.0</v>
      </c>
      <c r="J258" s="27" t="s">
        <v>11</v>
      </c>
    </row>
    <row r="259" hidden="1">
      <c r="A259" s="74">
        <v>45839.0</v>
      </c>
      <c r="B259" s="85"/>
      <c r="C259" s="89"/>
      <c r="D259" s="87" t="s">
        <v>112</v>
      </c>
      <c r="E259" s="59">
        <v>1.0</v>
      </c>
      <c r="F259" s="27">
        <v>-1041.45</v>
      </c>
      <c r="G259" s="27"/>
      <c r="H259" s="27">
        <f t="shared" si="1"/>
        <v>0</v>
      </c>
      <c r="I259" s="27">
        <v>-1041.45</v>
      </c>
      <c r="J259" s="27" t="s">
        <v>11</v>
      </c>
    </row>
    <row r="260" hidden="1">
      <c r="A260" s="78">
        <v>45839.0</v>
      </c>
      <c r="B260" s="82" t="s">
        <v>113</v>
      </c>
      <c r="C260" s="97">
        <v>214.0</v>
      </c>
      <c r="D260" s="84" t="str">
        <f>IF(Tabla_3[COD]="","",VLOOKUP(Tabla_3[COD],'Stock inicial'!A:D,2,FALSE))</f>
        <v>DOGPRO ADULTO SUPER PREMIUM XKG</v>
      </c>
      <c r="E260" s="58">
        <v>1.0</v>
      </c>
      <c r="F260" s="103">
        <v>3100.0</v>
      </c>
      <c r="G260" s="25">
        <v>2115.2</v>
      </c>
      <c r="H260" s="25">
        <f t="shared" si="1"/>
        <v>2115.2</v>
      </c>
      <c r="I260" s="27">
        <v>3100.0</v>
      </c>
      <c r="J260" s="27" t="s">
        <v>3</v>
      </c>
    </row>
    <row r="261" hidden="1">
      <c r="A261" s="74">
        <v>45839.0</v>
      </c>
      <c r="B261" s="75" t="s">
        <v>114</v>
      </c>
      <c r="C261" s="96">
        <v>223.0</v>
      </c>
      <c r="D261" s="77" t="str">
        <f>IF(Tabla_3[COD]="","",VLOOKUP(Tabla_3[COD],'Stock inicial'!A:D,2,FALSE))</f>
        <v>VORAZ PERRO ADULTO MIX</v>
      </c>
      <c r="E261" s="59">
        <v>2.0</v>
      </c>
      <c r="F261" s="103">
        <v>1100.0</v>
      </c>
      <c r="G261" s="25">
        <v>819.5</v>
      </c>
      <c r="H261" s="25">
        <f t="shared" si="1"/>
        <v>1639</v>
      </c>
      <c r="I261" s="27">
        <v>2200.0</v>
      </c>
      <c r="J261" s="27" t="s">
        <v>11</v>
      </c>
    </row>
    <row r="262" hidden="1">
      <c r="A262" s="78">
        <v>45839.0</v>
      </c>
      <c r="B262" s="91"/>
      <c r="C262" s="99">
        <v>275.0</v>
      </c>
      <c r="D262" s="81" t="str">
        <f>IF(Tabla_3[COD]="","",VLOOKUP(Tabla_3[COD],'Stock inicial'!A:D,2,FALSE))</f>
        <v>PERFUMINA UVA 1L</v>
      </c>
      <c r="E262" s="58">
        <v>1.0</v>
      </c>
      <c r="F262" s="103">
        <v>599.0</v>
      </c>
      <c r="G262" s="25">
        <v>57.45</v>
      </c>
      <c r="H262" s="25">
        <f t="shared" si="1"/>
        <v>57.45</v>
      </c>
      <c r="I262" s="27">
        <v>599.0</v>
      </c>
      <c r="J262" s="27" t="s">
        <v>11</v>
      </c>
    </row>
    <row r="263" hidden="1">
      <c r="A263" s="74">
        <v>45839.0</v>
      </c>
      <c r="B263" s="75" t="s">
        <v>115</v>
      </c>
      <c r="C263" s="96">
        <v>342.0</v>
      </c>
      <c r="D263" s="77" t="str">
        <f>IF(Tabla_3[COD]="","",VLOOKUP(Tabla_3[COD],'Stock inicial'!A:D,2,FALSE))</f>
        <v>BOLSA R 45X60</v>
      </c>
      <c r="E263" s="59">
        <v>1.0</v>
      </c>
      <c r="F263" s="103">
        <v>899.0</v>
      </c>
      <c r="G263" s="25">
        <v>532.0</v>
      </c>
      <c r="H263" s="25">
        <f t="shared" si="1"/>
        <v>532</v>
      </c>
      <c r="I263" s="27">
        <v>899.0</v>
      </c>
      <c r="J263" s="27" t="s">
        <v>3</v>
      </c>
    </row>
    <row r="264" hidden="1">
      <c r="A264" s="78">
        <v>45839.0</v>
      </c>
      <c r="B264" s="82" t="s">
        <v>116</v>
      </c>
      <c r="C264" s="137"/>
      <c r="D264" s="84" t="s">
        <v>117</v>
      </c>
      <c r="E264" s="58">
        <v>1.0</v>
      </c>
      <c r="F264" s="27">
        <v>30000.0</v>
      </c>
      <c r="G264" s="27">
        <v>25500.0</v>
      </c>
      <c r="H264" s="27">
        <f t="shared" si="1"/>
        <v>25500</v>
      </c>
      <c r="I264" s="27">
        <v>30000.0</v>
      </c>
      <c r="J264" s="27" t="s">
        <v>3</v>
      </c>
    </row>
    <row r="265" hidden="1">
      <c r="A265" s="74">
        <v>45840.0</v>
      </c>
      <c r="B265" s="75" t="s">
        <v>118</v>
      </c>
      <c r="C265" s="96">
        <v>223.0</v>
      </c>
      <c r="D265" s="77" t="str">
        <f>IF(Tabla_3[COD]="","",VLOOKUP(Tabla_3[COD],'Stock inicial'!A:D,2,FALSE))</f>
        <v>VORAZ PERRO ADULTO MIX</v>
      </c>
      <c r="E265" s="59">
        <v>3.0</v>
      </c>
      <c r="F265" s="103">
        <v>1100.0</v>
      </c>
      <c r="G265" s="25">
        <v>819.5</v>
      </c>
      <c r="H265" s="25">
        <f t="shared" si="1"/>
        <v>2458.5</v>
      </c>
      <c r="I265" s="27">
        <v>3300.0</v>
      </c>
      <c r="J265" s="27" t="s">
        <v>3</v>
      </c>
    </row>
    <row r="266" hidden="1">
      <c r="A266" s="78">
        <v>45840.0</v>
      </c>
      <c r="B266" s="82" t="s">
        <v>119</v>
      </c>
      <c r="C266" s="97">
        <v>276.0</v>
      </c>
      <c r="D266" s="84" t="str">
        <f>IF(Tabla_3[COD]="","",VLOOKUP(Tabla_3[COD],'Stock inicial'!A:D,2,FALSE))</f>
        <v>PERFUMINA UVA 5L</v>
      </c>
      <c r="E266" s="58">
        <v>1.0</v>
      </c>
      <c r="F266" s="103">
        <v>990.0</v>
      </c>
      <c r="G266" s="25">
        <v>287.25</v>
      </c>
      <c r="H266" s="25">
        <f t="shared" si="1"/>
        <v>287.25</v>
      </c>
      <c r="I266" s="27">
        <v>990.0</v>
      </c>
      <c r="J266" s="27" t="s">
        <v>3</v>
      </c>
    </row>
    <row r="267" hidden="1">
      <c r="A267" s="74">
        <v>45840.0</v>
      </c>
      <c r="B267" s="75" t="s">
        <v>120</v>
      </c>
      <c r="C267" s="96">
        <v>273.0</v>
      </c>
      <c r="D267" s="77" t="str">
        <f>IF(Tabla_3[COD]="","",VLOOKUP(Tabla_3[COD],'Stock inicial'!A:D,2,FALSE))</f>
        <v>PERFUMINA CHERRY 1L</v>
      </c>
      <c r="E267" s="59">
        <v>1.0</v>
      </c>
      <c r="F267" s="103">
        <v>599.0</v>
      </c>
      <c r="G267" s="25">
        <v>57.45</v>
      </c>
      <c r="H267" s="25">
        <f t="shared" si="1"/>
        <v>57.45</v>
      </c>
      <c r="I267" s="27">
        <v>599.0</v>
      </c>
      <c r="J267" s="27" t="s">
        <v>3</v>
      </c>
    </row>
    <row r="268" hidden="1">
      <c r="A268" s="78">
        <v>45840.0</v>
      </c>
      <c r="B268" s="91"/>
      <c r="C268" s="99">
        <v>247.0</v>
      </c>
      <c r="D268" s="81" t="str">
        <f>IF(Tabla_3[COD]="","",VLOOKUP(Tabla_3[COD],'Stock inicial'!A:D,2,FALSE))</f>
        <v>ARIEL PREMIUM (VERDE) 1L</v>
      </c>
      <c r="E268" s="58">
        <v>1.0</v>
      </c>
      <c r="F268" s="103">
        <v>1200.0</v>
      </c>
      <c r="G268" s="25">
        <v>323.1</v>
      </c>
      <c r="H268" s="25">
        <f t="shared" si="1"/>
        <v>323.1</v>
      </c>
      <c r="I268" s="27">
        <v>1200.0</v>
      </c>
      <c r="J268" s="27" t="s">
        <v>3</v>
      </c>
    </row>
    <row r="269" hidden="1">
      <c r="A269" s="74">
        <v>45840.0</v>
      </c>
      <c r="B269" s="92"/>
      <c r="C269" s="98">
        <v>259.0</v>
      </c>
      <c r="D269" s="87" t="str">
        <f>IF(Tabla_3[COD]="","",VLOOKUP(Tabla_3[COD],'Stock inicial'!A:D,2,FALSE))</f>
        <v>ALOE VERA (VERDE) 1L</v>
      </c>
      <c r="E269" s="59">
        <v>1.0</v>
      </c>
      <c r="F269" s="103">
        <v>1299.0</v>
      </c>
      <c r="G269" s="25">
        <v>412.0</v>
      </c>
      <c r="H269" s="25">
        <f t="shared" si="1"/>
        <v>412</v>
      </c>
      <c r="I269" s="27">
        <v>1299.0</v>
      </c>
      <c r="J269" s="27" t="s">
        <v>3</v>
      </c>
    </row>
    <row r="270" hidden="1">
      <c r="A270" s="78">
        <v>45840.0</v>
      </c>
      <c r="B270" s="91"/>
      <c r="C270" s="99">
        <v>268.0</v>
      </c>
      <c r="D270" s="81" t="str">
        <f>IF(Tabla_3[COD]="","",VLOOKUP(Tabla_3[COD],'Stock inicial'!A:D,2,FALSE))</f>
        <v>LIMPIAVIDRIOS 1L</v>
      </c>
      <c r="E270" s="58">
        <v>1.0</v>
      </c>
      <c r="F270" s="103">
        <v>899.0</v>
      </c>
      <c r="G270" s="25">
        <v>252.0</v>
      </c>
      <c r="H270" s="25">
        <f t="shared" si="1"/>
        <v>252</v>
      </c>
      <c r="I270" s="27">
        <v>899.0</v>
      </c>
      <c r="J270" s="27" t="s">
        <v>3</v>
      </c>
    </row>
    <row r="271" hidden="1">
      <c r="A271" s="74">
        <v>45840.0</v>
      </c>
      <c r="B271" s="92"/>
      <c r="C271" s="101"/>
      <c r="D271" s="87" t="s">
        <v>100</v>
      </c>
      <c r="E271" s="59">
        <v>1.0</v>
      </c>
      <c r="F271" s="27">
        <v>-507.0</v>
      </c>
      <c r="G271" s="27"/>
      <c r="H271" s="27">
        <f t="shared" si="1"/>
        <v>0</v>
      </c>
      <c r="I271" s="27">
        <v>-507.0</v>
      </c>
      <c r="J271" s="27" t="s">
        <v>3</v>
      </c>
    </row>
    <row r="272" hidden="1">
      <c r="A272" s="78">
        <v>45840.0</v>
      </c>
      <c r="B272" s="82" t="s">
        <v>121</v>
      </c>
      <c r="C272" s="97">
        <v>2991.0</v>
      </c>
      <c r="D272" s="84" t="str">
        <f>IF(Tabla_3[COD]="","",VLOOKUP(Tabla_3[COD],'Stock inicial'!A:D,2,FALSE))</f>
        <v>REPASADOR CUADRADITOS </v>
      </c>
      <c r="E272" s="58">
        <v>1.0</v>
      </c>
      <c r="F272" s="103">
        <v>3000.0</v>
      </c>
      <c r="G272" s="25">
        <v>2100.0</v>
      </c>
      <c r="H272" s="25">
        <f t="shared" si="1"/>
        <v>2100</v>
      </c>
      <c r="I272" s="27">
        <v>3000.0</v>
      </c>
      <c r="J272" s="27" t="s">
        <v>11</v>
      </c>
    </row>
    <row r="273" hidden="1">
      <c r="A273" s="74">
        <v>45840.0</v>
      </c>
      <c r="B273" s="92"/>
      <c r="C273" s="98">
        <v>229.0</v>
      </c>
      <c r="D273" s="87" t="str">
        <f>IF(Tabla_3[COD]="","",VLOOKUP(Tabla_3[COD],'Stock inicial'!A:D,2,FALSE))</f>
        <v>EXCELLENT GATO ADULTO</v>
      </c>
      <c r="E273" s="59">
        <v>1.0</v>
      </c>
      <c r="F273" s="103">
        <v>7500.0</v>
      </c>
      <c r="G273" s="25">
        <v>5239.88</v>
      </c>
      <c r="H273" s="25">
        <f t="shared" si="1"/>
        <v>5239.88</v>
      </c>
      <c r="I273" s="27">
        <v>7500.0</v>
      </c>
      <c r="J273" s="27" t="s">
        <v>11</v>
      </c>
    </row>
    <row r="274" hidden="1">
      <c r="A274" s="78">
        <v>45840.0</v>
      </c>
      <c r="B274" s="91"/>
      <c r="C274" s="99">
        <v>303.0</v>
      </c>
      <c r="D274" s="81" t="str">
        <f>IF(Tabla_3[COD]="","",VLOOKUP(Tabla_3[COD],'Stock inicial'!A:D,2,FALSE))</f>
        <v>JABON EN PAN SIGNO 200G</v>
      </c>
      <c r="E274" s="58">
        <v>1.0</v>
      </c>
      <c r="F274" s="103">
        <v>999.0</v>
      </c>
      <c r="G274" s="25">
        <v>550.0</v>
      </c>
      <c r="H274" s="25">
        <f t="shared" si="1"/>
        <v>550</v>
      </c>
      <c r="I274" s="27">
        <v>999.0</v>
      </c>
      <c r="J274" s="27" t="s">
        <v>11</v>
      </c>
    </row>
    <row r="275" hidden="1">
      <c r="A275" s="74">
        <v>45841.0</v>
      </c>
      <c r="B275" s="75" t="s">
        <v>122</v>
      </c>
      <c r="C275" s="138"/>
      <c r="D275" s="77" t="s">
        <v>123</v>
      </c>
      <c r="E275" s="59">
        <v>1.0</v>
      </c>
      <c r="F275" s="27">
        <v>16500.0</v>
      </c>
      <c r="G275" s="27">
        <v>12500.0</v>
      </c>
      <c r="H275" s="27">
        <f t="shared" si="1"/>
        <v>12500</v>
      </c>
      <c r="I275" s="27">
        <v>16500.0</v>
      </c>
      <c r="J275" s="27" t="s">
        <v>3</v>
      </c>
    </row>
    <row r="276" hidden="1">
      <c r="A276" s="78">
        <v>45841.0</v>
      </c>
      <c r="B276" s="82" t="s">
        <v>124</v>
      </c>
      <c r="C276" s="97">
        <v>226.0</v>
      </c>
      <c r="D276" s="84" t="str">
        <f>IF(Tabla_3[COD]="","",VLOOKUP(Tabla_3[COD],'Stock inicial'!A:D,2,FALSE))</f>
        <v>GATI GATO CARNE Y POLLO</v>
      </c>
      <c r="E276" s="58">
        <v>0.74</v>
      </c>
      <c r="F276" s="103">
        <v>2700.0</v>
      </c>
      <c r="G276" s="25">
        <v>2073.33</v>
      </c>
      <c r="H276" s="25">
        <f t="shared" si="1"/>
        <v>1534.2642</v>
      </c>
      <c r="I276" s="27">
        <v>1998.0</v>
      </c>
      <c r="J276" s="27" t="s">
        <v>11</v>
      </c>
    </row>
    <row r="277" hidden="1">
      <c r="A277" s="74">
        <v>45841.0</v>
      </c>
      <c r="B277" s="75" t="s">
        <v>125</v>
      </c>
      <c r="C277" s="96">
        <v>225.0</v>
      </c>
      <c r="D277" s="77" t="str">
        <f>IF(Tabla_3[COD]="","",VLOOKUP(Tabla_3[COD],'Stock inicial'!A:D,2,FALSE))</f>
        <v>GATI GATO PESCADO Y SALMON</v>
      </c>
      <c r="E277" s="59">
        <v>0.34</v>
      </c>
      <c r="F277" s="103">
        <v>2900.0</v>
      </c>
      <c r="G277" s="25">
        <v>2206.0</v>
      </c>
      <c r="H277" s="25">
        <f t="shared" si="1"/>
        <v>750.04</v>
      </c>
      <c r="I277" s="27">
        <v>986.0000000000001</v>
      </c>
      <c r="J277" s="27" t="s">
        <v>3</v>
      </c>
    </row>
    <row r="278" hidden="1">
      <c r="A278" s="78">
        <v>45841.0</v>
      </c>
      <c r="B278" s="82" t="s">
        <v>126</v>
      </c>
      <c r="C278" s="97">
        <v>225.0</v>
      </c>
      <c r="D278" s="84" t="str">
        <f>IF(Tabla_3[COD]="","",VLOOKUP(Tabla_3[COD],'Stock inicial'!A:D,2,FALSE))</f>
        <v>GATI GATO PESCADO Y SALMON</v>
      </c>
      <c r="E278" s="58">
        <v>0.71</v>
      </c>
      <c r="F278" s="103">
        <v>2900.0</v>
      </c>
      <c r="G278" s="25">
        <v>2206.0</v>
      </c>
      <c r="H278" s="25">
        <f t="shared" si="1"/>
        <v>1566.26</v>
      </c>
      <c r="I278" s="27">
        <v>2059.0</v>
      </c>
      <c r="J278" s="27" t="s">
        <v>3</v>
      </c>
    </row>
    <row r="279" hidden="1">
      <c r="A279" s="74">
        <v>45841.0</v>
      </c>
      <c r="B279" s="85"/>
      <c r="C279" s="98">
        <v>137.0</v>
      </c>
      <c r="D279" s="87" t="str">
        <f>IF(Tabla_3[COD]="","",VLOOKUP(Tabla_3[COD],'Stock inicial'!A:D,2,FALSE))</f>
        <v>PELOTA SOFT</v>
      </c>
      <c r="E279" s="59">
        <v>1.0</v>
      </c>
      <c r="F279" s="103">
        <v>1000.0</v>
      </c>
      <c r="G279" s="25">
        <v>659.33</v>
      </c>
      <c r="H279" s="25">
        <f t="shared" si="1"/>
        <v>659.33</v>
      </c>
      <c r="I279" s="27">
        <v>1000.0</v>
      </c>
      <c r="J279" s="27" t="s">
        <v>3</v>
      </c>
    </row>
    <row r="280" hidden="1">
      <c r="A280" s="78">
        <v>45841.0</v>
      </c>
      <c r="B280" s="82" t="s">
        <v>127</v>
      </c>
      <c r="C280" s="97">
        <v>250.0</v>
      </c>
      <c r="D280" s="84" t="str">
        <f>IF(Tabla_3[COD]="","",VLOOKUP(Tabla_3[COD],'Stock inicial'!A:D,2,FALSE))</f>
        <v>ARIEL. EXT. PERF. (VERDE CON SUAVIZANTE) 5L</v>
      </c>
      <c r="E280" s="58">
        <v>1.0</v>
      </c>
      <c r="F280" s="103">
        <v>4000.0</v>
      </c>
      <c r="G280" s="25">
        <v>2430.0</v>
      </c>
      <c r="H280" s="25">
        <f t="shared" si="1"/>
        <v>2430</v>
      </c>
      <c r="I280" s="27">
        <v>4000.0</v>
      </c>
      <c r="J280" s="27" t="s">
        <v>11</v>
      </c>
    </row>
    <row r="281" hidden="1">
      <c r="A281" s="74">
        <v>45841.0</v>
      </c>
      <c r="B281" s="85"/>
      <c r="C281" s="98">
        <v>357.0</v>
      </c>
      <c r="D281" s="87" t="str">
        <f>IF(Tabla_3[COD]="","",VLOOKUP(Tabla_3[COD],'Stock inicial'!A:D,2,FALSE))</f>
        <v>PAPEL HIGIENICO "ELEGANTE"</v>
      </c>
      <c r="E281" s="59">
        <v>1.0</v>
      </c>
      <c r="F281" s="103">
        <v>1899.0</v>
      </c>
      <c r="G281" s="25">
        <v>1299.0</v>
      </c>
      <c r="H281" s="25">
        <f t="shared" si="1"/>
        <v>1299</v>
      </c>
      <c r="I281" s="27">
        <v>1899.0</v>
      </c>
      <c r="J281" s="27" t="s">
        <v>11</v>
      </c>
    </row>
    <row r="282" hidden="1">
      <c r="A282" s="78">
        <v>45841.0</v>
      </c>
      <c r="B282" s="82" t="s">
        <v>128</v>
      </c>
      <c r="C282" s="97">
        <v>3624.0</v>
      </c>
      <c r="D282" s="84" t="str">
        <f>IF(Tabla_3[COD]="","",VLOOKUP(Tabla_3[COD],'Stock inicial'!A:D,2,FALSE))</f>
        <v>ROPA PERRO TALLE 8</v>
      </c>
      <c r="E282" s="58">
        <v>1.0</v>
      </c>
      <c r="F282" s="103">
        <v>9000.0</v>
      </c>
      <c r="G282" s="25">
        <v>3000.0</v>
      </c>
      <c r="H282" s="25">
        <f t="shared" si="1"/>
        <v>3000</v>
      </c>
      <c r="I282" s="27">
        <v>9000.0</v>
      </c>
      <c r="J282" s="27" t="s">
        <v>11</v>
      </c>
    </row>
    <row r="283" hidden="1">
      <c r="A283" s="74">
        <v>45841.0</v>
      </c>
      <c r="B283" s="75" t="s">
        <v>129</v>
      </c>
      <c r="C283" s="96">
        <v>234.0</v>
      </c>
      <c r="D283" s="77" t="str">
        <f>IF(Tabla_3[COD]="","",VLOOKUP(Tabla_3[COD],'Stock inicial'!A:D,2,FALSE))</f>
        <v>CAT CHOW ADULTO CARNE POLLO</v>
      </c>
      <c r="E283" s="59">
        <v>0.5</v>
      </c>
      <c r="F283" s="103">
        <v>4700.0</v>
      </c>
      <c r="G283" s="25">
        <v>3586.66</v>
      </c>
      <c r="H283" s="25">
        <f t="shared" si="1"/>
        <v>1793.33</v>
      </c>
      <c r="I283" s="27">
        <v>2350.0</v>
      </c>
      <c r="J283" s="27" t="s">
        <v>3</v>
      </c>
    </row>
    <row r="284" hidden="1">
      <c r="A284" s="78">
        <v>45841.0</v>
      </c>
      <c r="B284" s="91"/>
      <c r="C284" s="99">
        <v>212.0</v>
      </c>
      <c r="D284" s="81" t="str">
        <f>IF(Tabla_3[COD]="","",VLOOKUP(Tabla_3[COD],'Stock inicial'!A:D,2,FALSE))</f>
        <v>DOGPRO ADULTO MORDIDA PEQUEñA XKG</v>
      </c>
      <c r="E284" s="58">
        <v>0.5</v>
      </c>
      <c r="F284" s="103">
        <v>3700.0</v>
      </c>
      <c r="G284" s="25">
        <v>2778.13</v>
      </c>
      <c r="H284" s="25">
        <f t="shared" si="1"/>
        <v>1389.065</v>
      </c>
      <c r="I284" s="27">
        <v>1850.0</v>
      </c>
      <c r="J284" s="27" t="s">
        <v>3</v>
      </c>
    </row>
    <row r="285" hidden="1">
      <c r="A285" s="74">
        <v>45841.0</v>
      </c>
      <c r="B285" s="92"/>
      <c r="C285" s="98">
        <v>241.0</v>
      </c>
      <c r="D285" s="87" t="str">
        <f>IF(Tabla_3[COD]="","",VLOOKUP(Tabla_3[COD],'Stock inicial'!A:D,2,FALSE))</f>
        <v>PEDIGREE POUCH AD. POLLO</v>
      </c>
      <c r="E285" s="59">
        <v>1.0</v>
      </c>
      <c r="F285" s="103">
        <v>1100.0</v>
      </c>
      <c r="G285" s="25">
        <v>787.5</v>
      </c>
      <c r="H285" s="25">
        <f t="shared" si="1"/>
        <v>787.5</v>
      </c>
      <c r="I285" s="27">
        <v>1100.0</v>
      </c>
      <c r="J285" s="27" t="s">
        <v>3</v>
      </c>
    </row>
    <row r="286" hidden="1">
      <c r="A286" s="78">
        <v>45842.0</v>
      </c>
      <c r="B286" s="82" t="s">
        <v>130</v>
      </c>
      <c r="C286" s="97">
        <v>223.0</v>
      </c>
      <c r="D286" s="84" t="str">
        <f>IF(Tabla_3[COD]="","",VLOOKUP(Tabla_3[COD],'Stock inicial'!A:D,2,FALSE))</f>
        <v>VORAZ PERRO ADULTO MIX</v>
      </c>
      <c r="E286" s="58">
        <v>1.36</v>
      </c>
      <c r="F286" s="103">
        <v>1100.0</v>
      </c>
      <c r="G286" s="25">
        <v>819.5</v>
      </c>
      <c r="H286" s="25">
        <f t="shared" si="1"/>
        <v>1114.52</v>
      </c>
      <c r="I286" s="27">
        <v>1496.0</v>
      </c>
      <c r="J286" s="27" t="s">
        <v>3</v>
      </c>
    </row>
    <row r="287" hidden="1">
      <c r="A287" s="74">
        <v>45842.0</v>
      </c>
      <c r="B287" s="70" t="s">
        <v>131</v>
      </c>
      <c r="C287" s="123">
        <v>212.0</v>
      </c>
      <c r="D287" s="124" t="str">
        <f>IF(Tabla_3[COD]="","",VLOOKUP(Tabla_3[COD],'Stock inicial'!A:D,2,FALSE))</f>
        <v>DOGPRO ADULTO MORDIDA PEQUEñA XKG</v>
      </c>
      <c r="E287" s="59">
        <v>0.5</v>
      </c>
      <c r="F287" s="103">
        <v>3700.0</v>
      </c>
      <c r="G287" s="25">
        <v>2778.13</v>
      </c>
      <c r="H287" s="25">
        <f t="shared" si="1"/>
        <v>1389.065</v>
      </c>
      <c r="I287" s="27">
        <v>1850.0</v>
      </c>
      <c r="J287" s="27" t="s">
        <v>3</v>
      </c>
    </row>
    <row r="288" hidden="1">
      <c r="A288" s="78">
        <v>45842.0</v>
      </c>
      <c r="B288" s="139" t="s">
        <v>132</v>
      </c>
      <c r="C288" s="99">
        <v>285.0</v>
      </c>
      <c r="D288" s="81" t="str">
        <f>IF(Tabla_3[COD]="","",VLOOKUP(Tabla_3[COD],'Stock inicial'!A:D,2,FALSE))</f>
        <v>JABON LIQUIDO  P/MANOS COCO 1/2L</v>
      </c>
      <c r="E288" s="58">
        <v>1.0</v>
      </c>
      <c r="F288" s="103">
        <v>999.0</v>
      </c>
      <c r="G288" s="25">
        <v>199.0</v>
      </c>
      <c r="H288" s="25">
        <f t="shared" si="1"/>
        <v>199</v>
      </c>
      <c r="I288" s="27">
        <v>999.0</v>
      </c>
      <c r="J288" s="27" t="s">
        <v>3</v>
      </c>
    </row>
    <row r="289" hidden="1">
      <c r="A289" s="74">
        <v>45842.0</v>
      </c>
      <c r="B289" s="92"/>
      <c r="C289" s="98">
        <v>308.0</v>
      </c>
      <c r="D289" s="87" t="str">
        <f>IF(Tabla_3[COD]="","",VLOOKUP(Tabla_3[COD],'Stock inicial'!A:D,2,FALSE))</f>
        <v>BLEM AEROSOL LUSTRAMUEBLES CLASICO 360</v>
      </c>
      <c r="E289" s="59">
        <v>1.0</v>
      </c>
      <c r="F289" s="103">
        <v>4790.0</v>
      </c>
      <c r="G289" s="25">
        <v>4375.0</v>
      </c>
      <c r="H289" s="25">
        <f t="shared" si="1"/>
        <v>4375</v>
      </c>
      <c r="I289" s="27">
        <v>4790.0</v>
      </c>
      <c r="J289" s="27" t="s">
        <v>3</v>
      </c>
    </row>
    <row r="290" hidden="1">
      <c r="A290" s="78">
        <v>45842.0</v>
      </c>
      <c r="B290" s="82" t="s">
        <v>133</v>
      </c>
      <c r="C290" s="97">
        <v>354.0</v>
      </c>
      <c r="D290" s="84" t="str">
        <f>IF(Tabla_3[COD]="","",VLOOKUP(Tabla_3[COD],'Stock inicial'!A:D,2,FALSE))</f>
        <v>ROLLISEC "EL COLOSO" 40 X3 </v>
      </c>
      <c r="E290" s="58">
        <v>1.0</v>
      </c>
      <c r="F290" s="103">
        <v>1350.0</v>
      </c>
      <c r="G290" s="25">
        <v>1035.0</v>
      </c>
      <c r="H290" s="25">
        <f t="shared" si="1"/>
        <v>1035</v>
      </c>
      <c r="I290" s="27">
        <v>1350.0</v>
      </c>
      <c r="J290" s="27" t="s">
        <v>3</v>
      </c>
    </row>
    <row r="291" hidden="1">
      <c r="A291" s="74">
        <v>45842.0</v>
      </c>
      <c r="B291" s="75" t="s">
        <v>134</v>
      </c>
      <c r="C291" s="96">
        <v>226.0</v>
      </c>
      <c r="D291" s="77" t="str">
        <f>IF(Tabla_3[COD]="","",VLOOKUP(Tabla_3[COD],'Stock inicial'!A:D,2,FALSE))</f>
        <v>GATI GATO CARNE Y POLLO</v>
      </c>
      <c r="E291" s="59">
        <v>1.0</v>
      </c>
      <c r="F291" s="103">
        <v>2700.0</v>
      </c>
      <c r="G291" s="25">
        <v>2073.33</v>
      </c>
      <c r="H291" s="25">
        <f t="shared" si="1"/>
        <v>2073.33</v>
      </c>
      <c r="I291" s="27">
        <v>2700.0</v>
      </c>
      <c r="J291" s="27" t="s">
        <v>11</v>
      </c>
    </row>
    <row r="292" hidden="1">
      <c r="A292" s="78">
        <v>45842.0</v>
      </c>
      <c r="B292" s="91"/>
      <c r="C292" s="99">
        <v>134.0</v>
      </c>
      <c r="D292" s="81" t="str">
        <f>IF(Tabla_3[COD]="","",VLOOKUP(Tabla_3[COD],'Stock inicial'!A:D,2,FALSE))</f>
        <v>PALITO C/PELOTA Y SOGA</v>
      </c>
      <c r="E292" s="58">
        <v>1.0</v>
      </c>
      <c r="F292" s="103">
        <v>2400.0</v>
      </c>
      <c r="G292" s="25">
        <v>1564.0</v>
      </c>
      <c r="H292" s="25">
        <f t="shared" si="1"/>
        <v>1564</v>
      </c>
      <c r="I292" s="27">
        <v>2400.0</v>
      </c>
      <c r="J292" s="27" t="s">
        <v>11</v>
      </c>
    </row>
    <row r="293" hidden="1">
      <c r="A293" s="74">
        <v>45842.0</v>
      </c>
      <c r="B293" s="92"/>
      <c r="C293" s="98">
        <v>235.0</v>
      </c>
      <c r="D293" s="87" t="str">
        <f>IF(Tabla_3[COD]="","",VLOOKUP(Tabla_3[COD],'Stock inicial'!A:D,2,FALSE))</f>
        <v>CATCHOW POUCH ADULTO POLLO</v>
      </c>
      <c r="E293" s="59">
        <v>2.0</v>
      </c>
      <c r="F293" s="103">
        <v>1500.0</v>
      </c>
      <c r="G293" s="25">
        <v>876.04</v>
      </c>
      <c r="H293" s="25">
        <f t="shared" si="1"/>
        <v>1752.08</v>
      </c>
      <c r="I293" s="27">
        <v>3000.0</v>
      </c>
      <c r="J293" s="27" t="s">
        <v>11</v>
      </c>
    </row>
    <row r="294" hidden="1">
      <c r="A294" s="78">
        <v>45842.0</v>
      </c>
      <c r="B294" s="82" t="s">
        <v>135</v>
      </c>
      <c r="C294" s="97">
        <v>234.0</v>
      </c>
      <c r="D294" s="84" t="str">
        <f>IF(Tabla_3[COD]="","",VLOOKUP(Tabla_3[COD],'Stock inicial'!A:D,2,FALSE))</f>
        <v>CAT CHOW ADULTO CARNE POLLO</v>
      </c>
      <c r="E294" s="58">
        <v>0.55</v>
      </c>
      <c r="F294" s="103">
        <v>4700.0</v>
      </c>
      <c r="G294" s="25">
        <v>3586.66</v>
      </c>
      <c r="H294" s="25">
        <f t="shared" si="1"/>
        <v>1972.663</v>
      </c>
      <c r="I294" s="27">
        <v>2585.0</v>
      </c>
      <c r="J294" s="27" t="s">
        <v>3</v>
      </c>
    </row>
    <row r="295" hidden="1">
      <c r="A295" s="74"/>
      <c r="B295" s="140"/>
      <c r="C295" s="96">
        <v>284.0</v>
      </c>
      <c r="D295" s="77" t="str">
        <f>IF(Tabla_3[COD]="","",VLOOKUP(Tabla_3[COD],'Stock inicial'!A:D,2,FALSE))</f>
        <v>VAINILLA/COCO ROPA 1L</v>
      </c>
      <c r="E295" s="59">
        <v>1.0</v>
      </c>
      <c r="F295" s="141">
        <v>0.0</v>
      </c>
      <c r="G295" s="142">
        <v>210.0</v>
      </c>
      <c r="H295" s="143">
        <v>210.0</v>
      </c>
      <c r="I295" s="141">
        <v>0.0</v>
      </c>
      <c r="J295" s="27" t="s">
        <v>136</v>
      </c>
    </row>
    <row r="296" hidden="1">
      <c r="A296" s="144"/>
      <c r="B296" s="91"/>
      <c r="C296" s="99">
        <v>3622.0</v>
      </c>
      <c r="D296" s="81" t="str">
        <f>IF(Tabla_3[COD]="","",VLOOKUP(Tabla_3[COD],'Stock inicial'!A:D,2,FALSE))</f>
        <v>ROPA PERRO TALLE 6</v>
      </c>
      <c r="E296" s="58">
        <v>1.0</v>
      </c>
      <c r="F296" s="141">
        <v>0.0</v>
      </c>
      <c r="G296" s="142">
        <v>3000.0</v>
      </c>
      <c r="H296" s="143">
        <v>3000.0</v>
      </c>
      <c r="I296" s="141">
        <v>0.0</v>
      </c>
      <c r="J296" s="27" t="s">
        <v>136</v>
      </c>
    </row>
    <row r="297" hidden="1">
      <c r="A297" s="74">
        <v>45843.0</v>
      </c>
      <c r="B297" s="75" t="s">
        <v>137</v>
      </c>
      <c r="C297" s="96">
        <v>166.0</v>
      </c>
      <c r="D297" s="77" t="str">
        <f>IF(Tabla_3[COD]="","",VLOOKUP(Tabla_3[COD],'Stock inicial'!A:D,2,FALSE))</f>
        <v>SHAMP. OSSPRET MEDICADO</v>
      </c>
      <c r="E297" s="59">
        <v>1.0</v>
      </c>
      <c r="F297" s="103">
        <v>7600.0</v>
      </c>
      <c r="G297" s="25">
        <v>5060.0</v>
      </c>
      <c r="H297" s="25">
        <f t="shared" ref="H297:H412" si="2">G297*E297</f>
        <v>5060</v>
      </c>
      <c r="I297" s="103">
        <v>7600.0</v>
      </c>
      <c r="J297" s="27" t="s">
        <v>11</v>
      </c>
    </row>
    <row r="298" hidden="1">
      <c r="A298" s="78">
        <v>45843.0</v>
      </c>
      <c r="B298" s="82" t="s">
        <v>138</v>
      </c>
      <c r="C298" s="40">
        <v>278.0</v>
      </c>
      <c r="D298" s="84" t="str">
        <f>IF(Tabla_3[COD]="","",VLOOKUP(Tabla_3[COD],'Stock inicial'!A:D,2,FALSE))</f>
        <v>PERFUMINA LIMON 5L</v>
      </c>
      <c r="E298" s="58">
        <v>1.0</v>
      </c>
      <c r="F298" s="103">
        <v>1499.0</v>
      </c>
      <c r="G298" s="25">
        <v>287.25</v>
      </c>
      <c r="H298" s="25">
        <f t="shared" si="2"/>
        <v>287.25</v>
      </c>
      <c r="I298" s="103">
        <v>1499.0</v>
      </c>
      <c r="J298" s="27" t="s">
        <v>3</v>
      </c>
    </row>
    <row r="299" hidden="1">
      <c r="A299" s="74">
        <v>45843.0</v>
      </c>
      <c r="B299" s="92"/>
      <c r="C299" s="51">
        <v>2912.0</v>
      </c>
      <c r="D299" s="87" t="str">
        <f>IF(Tabla_3[COD]="","",VLOOKUP(Tabla_3[COD],'Stock inicial'!A:D,2,FALSE))</f>
        <v>CLORO 5L</v>
      </c>
      <c r="E299" s="59">
        <v>1.0</v>
      </c>
      <c r="F299" s="103">
        <v>2900.0</v>
      </c>
      <c r="G299" s="25">
        <v>1080.0</v>
      </c>
      <c r="H299" s="25">
        <f t="shared" si="2"/>
        <v>1080</v>
      </c>
      <c r="I299" s="103">
        <v>2900.0</v>
      </c>
      <c r="J299" s="27" t="s">
        <v>3</v>
      </c>
    </row>
    <row r="300" hidden="1">
      <c r="A300" s="78">
        <v>45843.0</v>
      </c>
      <c r="B300" s="145"/>
      <c r="C300" s="146">
        <v>3622.0</v>
      </c>
      <c r="D300" s="127" t="str">
        <f>IF(Tabla_3[COD]="","",VLOOKUP(Tabla_3[COD],'Stock inicial'!A:D,2,FALSE))</f>
        <v>ROPA PERRO TALLE 6</v>
      </c>
      <c r="E300" s="58">
        <v>1.0</v>
      </c>
      <c r="F300" s="103">
        <v>8000.0</v>
      </c>
      <c r="G300" s="25">
        <v>3000.0</v>
      </c>
      <c r="H300" s="25">
        <f t="shared" si="2"/>
        <v>3000</v>
      </c>
      <c r="I300" s="103">
        <v>8000.0</v>
      </c>
      <c r="J300" s="27" t="s">
        <v>3</v>
      </c>
    </row>
    <row r="301" hidden="1">
      <c r="A301" s="74">
        <v>45843.0</v>
      </c>
      <c r="B301" s="100" t="s">
        <v>139</v>
      </c>
      <c r="C301" s="51">
        <v>152.0</v>
      </c>
      <c r="D301" s="87" t="str">
        <f>IF(Tabla_3[COD]="","",VLOOKUP(Tabla_3[COD],'Stock inicial'!A:D,2,FALSE))</f>
        <v>OREJAS BOVINAS</v>
      </c>
      <c r="E301" s="59">
        <v>1.0</v>
      </c>
      <c r="F301" s="103">
        <v>800.0</v>
      </c>
      <c r="G301" s="25">
        <v>303.6</v>
      </c>
      <c r="H301" s="25">
        <f t="shared" si="2"/>
        <v>303.6</v>
      </c>
      <c r="I301" s="103">
        <v>800.0</v>
      </c>
      <c r="J301" s="27" t="s">
        <v>11</v>
      </c>
    </row>
    <row r="302" hidden="1">
      <c r="A302" s="78">
        <v>45843.0</v>
      </c>
      <c r="B302" s="79"/>
      <c r="C302" s="50">
        <v>230.0</v>
      </c>
      <c r="D302" s="81" t="str">
        <f>IF(Tabla_3[COD]="","",VLOOKUP(Tabla_3[COD],'Stock inicial'!A:D,2,FALSE))</f>
        <v>EXCELLENT PERRO ADULTO BONUS 20K +2</v>
      </c>
      <c r="E302" s="58">
        <v>3.0</v>
      </c>
      <c r="F302" s="103">
        <v>3900.0</v>
      </c>
      <c r="G302" s="25">
        <v>2690.89</v>
      </c>
      <c r="H302" s="25">
        <f t="shared" si="2"/>
        <v>8072.67</v>
      </c>
      <c r="I302" s="103">
        <v>11700.0</v>
      </c>
      <c r="J302" s="27" t="s">
        <v>11</v>
      </c>
    </row>
    <row r="303" hidden="1">
      <c r="A303" s="74">
        <v>45843.0</v>
      </c>
      <c r="B303" s="85"/>
      <c r="C303" s="98">
        <v>136.0</v>
      </c>
      <c r="D303" s="87" t="str">
        <f>IF(Tabla_3[COD]="","",VLOOKUP(Tabla_3[COD],'Stock inicial'!A:D,2,FALSE))</f>
        <v>PELOTA C/CHIF DEPORTES</v>
      </c>
      <c r="E303" s="59">
        <v>3.0</v>
      </c>
      <c r="F303" s="103">
        <v>1600.0</v>
      </c>
      <c r="G303" s="25">
        <v>797.33</v>
      </c>
      <c r="H303" s="25">
        <f t="shared" si="2"/>
        <v>2391.99</v>
      </c>
      <c r="I303" s="103">
        <v>4800.0</v>
      </c>
      <c r="J303" s="27" t="s">
        <v>11</v>
      </c>
    </row>
    <row r="304" hidden="1">
      <c r="A304" s="78">
        <v>45843.0</v>
      </c>
      <c r="B304" s="82" t="s">
        <v>140</v>
      </c>
      <c r="C304" s="97">
        <v>3622.0</v>
      </c>
      <c r="D304" s="84" t="str">
        <f>IF(Tabla_3[COD]="","",VLOOKUP(Tabla_3[COD],'Stock inicial'!A:D,2,FALSE))</f>
        <v>ROPA PERRO TALLE 6</v>
      </c>
      <c r="E304" s="58">
        <v>1.0</v>
      </c>
      <c r="F304" s="103">
        <v>8000.0</v>
      </c>
      <c r="G304" s="25">
        <v>3000.0</v>
      </c>
      <c r="H304" s="25">
        <f t="shared" si="2"/>
        <v>3000</v>
      </c>
      <c r="I304" s="103">
        <v>8000.0</v>
      </c>
      <c r="J304" s="27" t="s">
        <v>3</v>
      </c>
    </row>
    <row r="305" hidden="1">
      <c r="A305" s="74">
        <v>45843.0</v>
      </c>
      <c r="B305" s="70" t="s">
        <v>141</v>
      </c>
      <c r="C305" s="123">
        <v>273.0</v>
      </c>
      <c r="D305" s="124" t="str">
        <f>IF(Tabla_3[COD]="","",VLOOKUP(Tabla_3[COD],'Stock inicial'!A:D,2,FALSE))</f>
        <v>PERFUMINA CHERRY 1L</v>
      </c>
      <c r="E305" s="59">
        <v>2.0</v>
      </c>
      <c r="F305" s="103">
        <v>290.0</v>
      </c>
      <c r="G305" s="25">
        <v>57.45</v>
      </c>
      <c r="H305" s="25">
        <f t="shared" si="2"/>
        <v>114.9</v>
      </c>
      <c r="I305" s="103">
        <v>580.0</v>
      </c>
      <c r="J305" s="27" t="s">
        <v>3</v>
      </c>
    </row>
    <row r="306" hidden="1">
      <c r="A306" s="78">
        <v>45843.0</v>
      </c>
      <c r="B306" s="139" t="s">
        <v>142</v>
      </c>
      <c r="C306" s="99">
        <v>162.0</v>
      </c>
      <c r="D306" s="81" t="str">
        <f>IF(Tabla_3[COD]="","",VLOOKUP(Tabla_3[COD],'Stock inicial'!A:D,2,FALSE))</f>
        <v>PIEDRA SANITARIA THEBEST X20KG</v>
      </c>
      <c r="E306" s="58">
        <v>2.0</v>
      </c>
      <c r="F306" s="103">
        <v>580.0</v>
      </c>
      <c r="G306" s="25">
        <v>430.0</v>
      </c>
      <c r="H306" s="25">
        <f t="shared" si="2"/>
        <v>860</v>
      </c>
      <c r="I306" s="103">
        <v>1160.0</v>
      </c>
      <c r="J306" s="27" t="s">
        <v>3</v>
      </c>
    </row>
    <row r="307" hidden="1">
      <c r="A307" s="74">
        <v>45843.0</v>
      </c>
      <c r="B307" s="92"/>
      <c r="C307" s="98">
        <v>228.0</v>
      </c>
      <c r="D307" s="87" t="str">
        <f>IF(Tabla_3[COD]="","",VLOOKUP(Tabla_3[COD],'Stock inicial'!A:D,2,FALSE))</f>
        <v>CATPRO KITTEN</v>
      </c>
      <c r="E307" s="59">
        <v>0.6</v>
      </c>
      <c r="F307" s="103">
        <v>5900.0</v>
      </c>
      <c r="G307" s="25">
        <v>4091.23</v>
      </c>
      <c r="H307" s="25">
        <f t="shared" si="2"/>
        <v>2454.738</v>
      </c>
      <c r="I307" s="103">
        <v>3540.0</v>
      </c>
      <c r="J307" s="27" t="s">
        <v>3</v>
      </c>
    </row>
    <row r="308" hidden="1">
      <c r="A308" s="78">
        <v>45843.0</v>
      </c>
      <c r="B308" s="82" t="s">
        <v>143</v>
      </c>
      <c r="C308" s="97">
        <v>223.0</v>
      </c>
      <c r="D308" s="84" t="str">
        <f>IF(Tabla_3[COD]="","",VLOOKUP(Tabla_3[COD],'Stock inicial'!A:D,2,FALSE))</f>
        <v>VORAZ PERRO ADULTO MIX</v>
      </c>
      <c r="E308" s="58">
        <v>3.64</v>
      </c>
      <c r="F308" s="103">
        <v>1100.0</v>
      </c>
      <c r="G308" s="25">
        <v>819.5</v>
      </c>
      <c r="H308" s="25">
        <f t="shared" si="2"/>
        <v>2982.98</v>
      </c>
      <c r="I308" s="103">
        <v>4004.0</v>
      </c>
      <c r="J308" s="27" t="s">
        <v>3</v>
      </c>
    </row>
    <row r="309" hidden="1">
      <c r="A309" s="74">
        <v>45843.0</v>
      </c>
      <c r="B309" s="75" t="s">
        <v>144</v>
      </c>
      <c r="C309" s="96">
        <v>257.0</v>
      </c>
      <c r="D309" s="77" t="str">
        <f>IF(Tabla_3[COD]="","",VLOOKUP(Tabla_3[COD],'Stock inicial'!A:D,2,FALSE))</f>
        <v>MAGISTRAL ECO (LIMON AMARILLO) 1L</v>
      </c>
      <c r="E309" s="59">
        <v>1.0</v>
      </c>
      <c r="F309" s="103">
        <v>999.0</v>
      </c>
      <c r="G309" s="25">
        <v>280.0</v>
      </c>
      <c r="H309" s="25">
        <f t="shared" si="2"/>
        <v>280</v>
      </c>
      <c r="I309" s="103">
        <v>999.0</v>
      </c>
      <c r="J309" s="27" t="s">
        <v>3</v>
      </c>
    </row>
    <row r="310" hidden="1">
      <c r="A310" s="78">
        <v>45843.0</v>
      </c>
      <c r="B310" s="91"/>
      <c r="C310" s="99">
        <v>248.0</v>
      </c>
      <c r="D310" s="81" t="str">
        <f>IF(Tabla_3[COD]="","",VLOOKUP(Tabla_3[COD],'Stock inicial'!A:D,2,FALSE))</f>
        <v>ARIEL PREMIUM (VERDE) 5L</v>
      </c>
      <c r="E310" s="58">
        <v>1.0</v>
      </c>
      <c r="F310" s="103">
        <v>2700.0</v>
      </c>
      <c r="G310" s="25">
        <v>1615.5</v>
      </c>
      <c r="H310" s="25">
        <f t="shared" si="2"/>
        <v>1615.5</v>
      </c>
      <c r="I310" s="103">
        <v>2700.0</v>
      </c>
      <c r="J310" s="27" t="s">
        <v>3</v>
      </c>
    </row>
    <row r="311" hidden="1">
      <c r="A311" s="74">
        <v>45843.0</v>
      </c>
      <c r="B311" s="75" t="s">
        <v>145</v>
      </c>
      <c r="C311" s="96">
        <v>235.0</v>
      </c>
      <c r="D311" s="77" t="str">
        <f>IF(Tabla_3[COD]="","",VLOOKUP(Tabla_3[COD],'Stock inicial'!A:D,2,FALSE))</f>
        <v>CATCHOW POUCH ADULTO POLLO</v>
      </c>
      <c r="E311" s="59">
        <v>1.0</v>
      </c>
      <c r="F311" s="103">
        <v>1500.0</v>
      </c>
      <c r="G311" s="25">
        <v>876.04</v>
      </c>
      <c r="H311" s="25">
        <f t="shared" si="2"/>
        <v>876.04</v>
      </c>
      <c r="I311" s="103">
        <v>1500.0</v>
      </c>
      <c r="J311" s="27" t="s">
        <v>3</v>
      </c>
    </row>
    <row r="312" hidden="1">
      <c r="A312" s="78">
        <v>45843.0</v>
      </c>
      <c r="B312" s="91"/>
      <c r="C312" s="99">
        <v>273.0</v>
      </c>
      <c r="D312" s="81" t="str">
        <f>IF(Tabla_3[COD]="","",VLOOKUP(Tabla_3[COD],'Stock inicial'!A:D,2,FALSE))</f>
        <v>PERFUMINA CHERRY 1L</v>
      </c>
      <c r="E312" s="58">
        <v>1.0</v>
      </c>
      <c r="F312" s="103">
        <v>599.0</v>
      </c>
      <c r="G312" s="25">
        <v>57.45</v>
      </c>
      <c r="H312" s="25">
        <f t="shared" si="2"/>
        <v>57.45</v>
      </c>
      <c r="I312" s="103">
        <v>599.0</v>
      </c>
      <c r="J312" s="27" t="s">
        <v>3</v>
      </c>
    </row>
    <row r="313" hidden="1">
      <c r="A313" s="147">
        <v>45885.0</v>
      </c>
      <c r="B313" s="104" t="s">
        <v>146</v>
      </c>
      <c r="C313" s="105">
        <v>152.0</v>
      </c>
      <c r="D313" s="106" t="str">
        <f>IF(Tabla_3[COD]="","",VLOOKUP(Tabla_3[COD],'Stock inicial'!A:D,2,FALSE))</f>
        <v>OREJAS BOVINAS</v>
      </c>
      <c r="E313" s="148">
        <v>4.0</v>
      </c>
      <c r="F313" s="149">
        <v>800.0</v>
      </c>
      <c r="G313" s="143">
        <v>303.6</v>
      </c>
      <c r="H313" s="143">
        <f t="shared" si="2"/>
        <v>1214.4</v>
      </c>
      <c r="I313" s="141">
        <v>7900.0</v>
      </c>
      <c r="J313" s="141" t="s">
        <v>11</v>
      </c>
      <c r="K313" s="150"/>
    </row>
    <row r="314" hidden="1">
      <c r="A314" s="147">
        <v>45885.0</v>
      </c>
      <c r="B314" s="119"/>
      <c r="C314" s="108">
        <v>196.0</v>
      </c>
      <c r="D314" s="109" t="str">
        <f>IF(Tabla_3[COD]="","",VLOOKUP(Tabla_3[COD],'Stock inicial'!A:D,2,FALSE))</f>
        <v>COMPRIMID. POWER DE 5.1 A 10</v>
      </c>
      <c r="E314" s="148">
        <v>1.0</v>
      </c>
      <c r="F314" s="141">
        <f>VLOOKUP( C314 , 'Stock inicial'!$A:$G , 7 , FALSE )</f>
        <v>9000</v>
      </c>
      <c r="G314" s="142">
        <f>VLOOKUP( C314 , 'Stock inicial'!$A:$F , 5 , FALSE )</f>
        <v>7250</v>
      </c>
      <c r="H314" s="143">
        <f t="shared" si="2"/>
        <v>7250</v>
      </c>
      <c r="I314" s="141">
        <f t="shared" ref="I314:I317" si="3">F314*E314</f>
        <v>9000</v>
      </c>
      <c r="J314" s="141" t="s">
        <v>11</v>
      </c>
    </row>
    <row r="315" hidden="1">
      <c r="A315" s="147">
        <v>45885.0</v>
      </c>
      <c r="B315" s="119"/>
      <c r="C315" s="108">
        <v>195.0</v>
      </c>
      <c r="D315" s="109" t="str">
        <f>IF(Tabla_3[COD]="","",VLOOKUP(Tabla_3[COD],'Stock inicial'!A:D,2,FALSE))</f>
        <v>COMPRIMID. POWER DE 2.5 A 5</v>
      </c>
      <c r="E315" s="148">
        <v>1.0</v>
      </c>
      <c r="F315" s="141">
        <f>VLOOKUP( C315 , 'Stock inicial'!$A:$G , 7 , FALSE )</f>
        <v>8000</v>
      </c>
      <c r="G315" s="142">
        <f>VLOOKUP( C315 , 'Stock inicial'!$A:$F , 5 , FALSE )</f>
        <v>6500</v>
      </c>
      <c r="H315" s="143">
        <f t="shared" si="2"/>
        <v>6500</v>
      </c>
      <c r="I315" s="141">
        <f t="shared" si="3"/>
        <v>8000</v>
      </c>
      <c r="J315" s="141" t="s">
        <v>11</v>
      </c>
    </row>
    <row r="316" hidden="1">
      <c r="A316" s="147">
        <v>45885.0</v>
      </c>
      <c r="B316" s="119"/>
      <c r="C316" s="108">
        <v>200.0</v>
      </c>
      <c r="D316" s="109" t="str">
        <f>IF(Tabla_3[COD]="","",VLOOKUP(Tabla_3[COD],'Stock inicial'!A:D,2,FALSE))</f>
        <v>LA PIPETA OSSPRET GATO HASTA 4KG</v>
      </c>
      <c r="E316" s="148">
        <v>1.0</v>
      </c>
      <c r="F316" s="141">
        <f>VLOOKUP( C316 , 'Stock inicial'!$A:$G , 7 , FALSE )</f>
        <v>3500</v>
      </c>
      <c r="G316" s="142">
        <f>VLOOKUP( C316 , 'Stock inicial'!$A:$F , 5 , FALSE )</f>
        <v>2030</v>
      </c>
      <c r="H316" s="143">
        <f t="shared" si="2"/>
        <v>2030</v>
      </c>
      <c r="I316" s="141">
        <f t="shared" si="3"/>
        <v>3500</v>
      </c>
      <c r="J316" s="141" t="s">
        <v>11</v>
      </c>
    </row>
    <row r="317" hidden="1">
      <c r="A317" s="147">
        <v>45885.0</v>
      </c>
      <c r="B317" s="119"/>
      <c r="C317" s="108">
        <v>206.0</v>
      </c>
      <c r="D317" s="109" t="str">
        <f>IF(Tabla_3[COD]="","",VLOOKUP(Tabla_3[COD],'Stock inicial'!A:D,2,FALSE))</f>
        <v>PIPETA POWER ULTRA DE 5 A 10KG</v>
      </c>
      <c r="E317" s="148">
        <v>1.0</v>
      </c>
      <c r="F317" s="141">
        <f>VLOOKUP( C317 , 'Stock inicial'!$A:$G , 7 , FALSE )</f>
        <v>5500</v>
      </c>
      <c r="G317" s="142">
        <f>VLOOKUP( C317 , 'Stock inicial'!$A:$F , 5 , FALSE )</f>
        <v>3700</v>
      </c>
      <c r="H317" s="143">
        <f t="shared" si="2"/>
        <v>3700</v>
      </c>
      <c r="I317" s="141">
        <f t="shared" si="3"/>
        <v>5500</v>
      </c>
      <c r="J317" s="141" t="s">
        <v>11</v>
      </c>
    </row>
    <row r="318" hidden="1">
      <c r="A318" s="147">
        <v>45885.0</v>
      </c>
      <c r="B318" s="119"/>
      <c r="C318" s="108">
        <v>135.0</v>
      </c>
      <c r="D318" s="109" t="str">
        <f>IF(Tabla_3[COD]="","",VLOOKUP(Tabla_3[COD],'Stock inicial'!A:D,2,FALSE))</f>
        <v>PALITO C/FIBRAS Y CASCABELL</v>
      </c>
      <c r="E318" s="148">
        <v>2.0</v>
      </c>
      <c r="F318" s="149">
        <v>1800.0</v>
      </c>
      <c r="G318" s="143">
        <v>1196.0</v>
      </c>
      <c r="H318" s="143">
        <f t="shared" si="2"/>
        <v>2392</v>
      </c>
      <c r="I318" s="149">
        <v>3600.0</v>
      </c>
      <c r="J318" s="141" t="s">
        <v>11</v>
      </c>
    </row>
    <row r="319" hidden="1">
      <c r="A319" s="74">
        <v>45843.0</v>
      </c>
      <c r="B319" s="75" t="s">
        <v>147</v>
      </c>
      <c r="C319" s="96">
        <v>120.0</v>
      </c>
      <c r="D319" s="77" t="str">
        <f>IF(Tabla_3[COD]="","",VLOOKUP(Tabla_3[COD],'Stock inicial'!A:D,2,FALSE))</f>
        <v>COMEDERO OVAL GRANDE</v>
      </c>
      <c r="E319" s="59">
        <v>1.0</v>
      </c>
      <c r="F319" s="103">
        <v>3800.0</v>
      </c>
      <c r="G319" s="25">
        <v>1858.4</v>
      </c>
      <c r="H319" s="25">
        <f t="shared" si="2"/>
        <v>1858.4</v>
      </c>
      <c r="I319" s="103">
        <v>3800.0</v>
      </c>
      <c r="J319" s="27" t="s">
        <v>11</v>
      </c>
    </row>
    <row r="320" hidden="1">
      <c r="A320" s="78">
        <v>45843.0</v>
      </c>
      <c r="B320" s="82" t="s">
        <v>148</v>
      </c>
      <c r="C320" s="97">
        <v>227.0</v>
      </c>
      <c r="D320" s="84" t="str">
        <f>IF(Tabla_3[COD]="","",VLOOKUP(Tabla_3[COD],'Stock inicial'!A:D,2,FALSE))</f>
        <v>CATPRO GATO ADULTO</v>
      </c>
      <c r="E320" s="58">
        <v>0.63</v>
      </c>
      <c r="F320" s="103">
        <v>5250.0</v>
      </c>
      <c r="G320" s="25">
        <v>3657.41</v>
      </c>
      <c r="H320" s="25">
        <f t="shared" si="2"/>
        <v>2304.1683</v>
      </c>
      <c r="I320" s="103">
        <v>3307.5</v>
      </c>
      <c r="J320" s="27" t="s">
        <v>3</v>
      </c>
    </row>
    <row r="321" hidden="1">
      <c r="A321" s="74">
        <v>45843.0</v>
      </c>
      <c r="B321" s="75" t="s">
        <v>149</v>
      </c>
      <c r="C321" s="138"/>
      <c r="D321" s="77" t="s">
        <v>150</v>
      </c>
      <c r="E321" s="59">
        <v>1.0</v>
      </c>
      <c r="F321" s="27">
        <v>50000.0</v>
      </c>
      <c r="G321" s="27">
        <v>45500.0</v>
      </c>
      <c r="H321" s="27">
        <f t="shared" si="2"/>
        <v>45500</v>
      </c>
      <c r="I321" s="27">
        <v>50000.0</v>
      </c>
      <c r="J321" s="27" t="s">
        <v>11</v>
      </c>
    </row>
    <row r="322" hidden="1">
      <c r="A322" s="78">
        <v>45845.0</v>
      </c>
      <c r="B322" s="82" t="s">
        <v>151</v>
      </c>
      <c r="C322" s="97">
        <v>223.0</v>
      </c>
      <c r="D322" s="84" t="str">
        <f>IF(Tabla_3[COD]="","",VLOOKUP(Tabla_3[COD],'Stock inicial'!A:D,2,FALSE))</f>
        <v>VORAZ PERRO ADULTO MIX</v>
      </c>
      <c r="E322" s="58">
        <v>3.0</v>
      </c>
      <c r="F322" s="103">
        <v>1100.0</v>
      </c>
      <c r="G322" s="25">
        <v>819.5</v>
      </c>
      <c r="H322" s="25">
        <f t="shared" si="2"/>
        <v>2458.5</v>
      </c>
      <c r="I322" s="103">
        <v>3300.0</v>
      </c>
      <c r="J322" s="27" t="s">
        <v>3</v>
      </c>
    </row>
    <row r="323" hidden="1">
      <c r="A323" s="74">
        <v>45845.0</v>
      </c>
      <c r="B323" s="92"/>
      <c r="C323" s="98">
        <v>149.0</v>
      </c>
      <c r="D323" s="87" t="str">
        <f>IF(Tabla_3[COD]="","",VLOOKUP(Tabla_3[COD],'Stock inicial'!A:D,2,FALSE))</f>
        <v>PALITOS MASTICABLES IZZY x6</v>
      </c>
      <c r="E323" s="59">
        <v>1.0</v>
      </c>
      <c r="F323" s="103">
        <v>600.0</v>
      </c>
      <c r="G323" s="25">
        <v>238.56</v>
      </c>
      <c r="H323" s="25">
        <f t="shared" si="2"/>
        <v>238.56</v>
      </c>
      <c r="I323" s="103">
        <v>600.0</v>
      </c>
      <c r="J323" s="27" t="s">
        <v>3</v>
      </c>
    </row>
    <row r="324" hidden="1">
      <c r="A324" s="78">
        <v>45845.0</v>
      </c>
      <c r="B324" s="91"/>
      <c r="C324" s="95"/>
      <c r="D324" s="81" t="s">
        <v>152</v>
      </c>
      <c r="E324" s="58">
        <v>1.0</v>
      </c>
      <c r="F324" s="27">
        <v>-300.0</v>
      </c>
      <c r="G324" s="27"/>
      <c r="H324" s="27">
        <f t="shared" si="2"/>
        <v>0</v>
      </c>
      <c r="I324" s="103">
        <v>-300.0</v>
      </c>
      <c r="J324" s="27" t="s">
        <v>3</v>
      </c>
    </row>
    <row r="325" hidden="1">
      <c r="A325" s="74">
        <v>45845.0</v>
      </c>
      <c r="B325" s="75" t="s">
        <v>153</v>
      </c>
      <c r="C325" s="96">
        <v>199.0</v>
      </c>
      <c r="D325" s="77" t="str">
        <f>IF(Tabla_3[COD]="","",VLOOKUP(Tabla_3[COD],'Stock inicial'!A:D,2,FALSE))</f>
        <v>LA PIPETA OSSPRET GATO D 4 A 8KG</v>
      </c>
      <c r="E325" s="59">
        <v>1.0</v>
      </c>
      <c r="F325" s="103">
        <v>3000.0</v>
      </c>
      <c r="G325" s="25">
        <v>2024.0</v>
      </c>
      <c r="H325" s="25">
        <f t="shared" si="2"/>
        <v>2024</v>
      </c>
      <c r="I325" s="103">
        <v>3000.0</v>
      </c>
      <c r="J325" s="27" t="s">
        <v>3</v>
      </c>
    </row>
    <row r="326" hidden="1">
      <c r="A326" s="78">
        <v>45845.0</v>
      </c>
      <c r="B326" s="91"/>
      <c r="C326" s="99">
        <v>250.0</v>
      </c>
      <c r="D326" s="81" t="str">
        <f>IF(Tabla_3[COD]="","",VLOOKUP(Tabla_3[COD],'Stock inicial'!A:D,2,FALSE))</f>
        <v>ARIEL. EXT. PERF. (VERDE CON SUAVIZANTE) 5L</v>
      </c>
      <c r="E326" s="58">
        <v>1.0</v>
      </c>
      <c r="F326" s="103">
        <v>4000.0</v>
      </c>
      <c r="G326" s="25">
        <v>2430.0</v>
      </c>
      <c r="H326" s="25">
        <f t="shared" si="2"/>
        <v>2430</v>
      </c>
      <c r="I326" s="103">
        <v>4000.0</v>
      </c>
      <c r="J326" s="27" t="s">
        <v>3</v>
      </c>
    </row>
    <row r="327" hidden="1">
      <c r="A327" s="74">
        <v>45845.0</v>
      </c>
      <c r="B327" s="92"/>
      <c r="C327" s="98">
        <v>175.0</v>
      </c>
      <c r="D327" s="87" t="str">
        <f>IF(Tabla_3[COD]="","",VLOOKUP(Tabla_3[COD],'Stock inicial'!A:D,2,FALSE))</f>
        <v>GELTEK JERINGA HORMIGAS</v>
      </c>
      <c r="E327" s="59">
        <v>1.0</v>
      </c>
      <c r="F327" s="103">
        <v>3100.0</v>
      </c>
      <c r="G327" s="25">
        <v>2346.0</v>
      </c>
      <c r="H327" s="25">
        <f t="shared" si="2"/>
        <v>2346</v>
      </c>
      <c r="I327" s="103">
        <v>3100.0</v>
      </c>
      <c r="J327" s="27" t="s">
        <v>3</v>
      </c>
    </row>
    <row r="328" hidden="1">
      <c r="A328" s="78">
        <v>45845.0</v>
      </c>
      <c r="B328" s="91"/>
      <c r="C328" s="99">
        <v>227.0</v>
      </c>
      <c r="D328" s="81" t="str">
        <f>IF(Tabla_3[COD]="","",VLOOKUP(Tabla_3[COD],'Stock inicial'!A:D,2,FALSE))</f>
        <v>CATPRO GATO ADULTO</v>
      </c>
      <c r="E328" s="58">
        <v>1.0</v>
      </c>
      <c r="F328" s="103">
        <v>5250.0</v>
      </c>
      <c r="G328" s="25">
        <v>3657.41</v>
      </c>
      <c r="H328" s="25">
        <f t="shared" si="2"/>
        <v>3657.41</v>
      </c>
      <c r="I328" s="103">
        <v>5250.0</v>
      </c>
      <c r="J328" s="27" t="s">
        <v>3</v>
      </c>
    </row>
    <row r="329" hidden="1">
      <c r="A329" s="74">
        <v>45845.0</v>
      </c>
      <c r="B329" s="92"/>
      <c r="C329" s="98">
        <v>314.0</v>
      </c>
      <c r="D329" s="87" t="str">
        <f>IF(Tabla_3[COD]="","",VLOOKUP(Tabla_3[COD],'Stock inicial'!A:D,2,FALSE))</f>
        <v>VALERINA CHICA</v>
      </c>
      <c r="E329" s="59">
        <v>1.0</v>
      </c>
      <c r="F329" s="103">
        <v>899.0</v>
      </c>
      <c r="G329" s="25">
        <v>342.0</v>
      </c>
      <c r="H329" s="25">
        <f t="shared" si="2"/>
        <v>342</v>
      </c>
      <c r="I329" s="103">
        <v>899.0</v>
      </c>
      <c r="J329" s="27" t="s">
        <v>3</v>
      </c>
    </row>
    <row r="330" hidden="1">
      <c r="A330" s="78">
        <v>45845.0</v>
      </c>
      <c r="B330" s="82" t="s">
        <v>154</v>
      </c>
      <c r="C330" s="97">
        <v>232.0</v>
      </c>
      <c r="D330" s="84" t="str">
        <f>IF(Tabla_3[COD]="","",VLOOKUP(Tabla_3[COD],'Stock inicial'!A:D,2,FALSE))</f>
        <v>NUTRIBON URINARY XKG</v>
      </c>
      <c r="E330" s="58">
        <v>2.0</v>
      </c>
      <c r="F330" s="103">
        <v>4000.0</v>
      </c>
      <c r="G330" s="25">
        <v>2837.5</v>
      </c>
      <c r="H330" s="25">
        <f t="shared" si="2"/>
        <v>5675</v>
      </c>
      <c r="I330" s="103">
        <v>8000.0</v>
      </c>
      <c r="J330" s="27" t="s">
        <v>11</v>
      </c>
    </row>
    <row r="331" hidden="1">
      <c r="A331" s="74">
        <v>45845.0</v>
      </c>
      <c r="B331" s="92"/>
      <c r="C331" s="98">
        <v>250.0</v>
      </c>
      <c r="D331" s="87" t="str">
        <f>IF(Tabla_3[COD]="","",VLOOKUP(Tabla_3[COD],'Stock inicial'!A:D,2,FALSE))</f>
        <v>ARIEL. EXT. PERF. (VERDE CON SUAVIZANTE) 5L</v>
      </c>
      <c r="E331" s="59">
        <v>1.0</v>
      </c>
      <c r="F331" s="103">
        <v>4000.0</v>
      </c>
      <c r="G331" s="25">
        <v>2430.0</v>
      </c>
      <c r="H331" s="25">
        <f t="shared" si="2"/>
        <v>2430</v>
      </c>
      <c r="I331" s="103">
        <v>4000.0</v>
      </c>
      <c r="J331" s="27" t="s">
        <v>11</v>
      </c>
    </row>
    <row r="332" hidden="1">
      <c r="A332" s="78">
        <v>45845.0</v>
      </c>
      <c r="B332" s="82" t="s">
        <v>155</v>
      </c>
      <c r="C332" s="97">
        <v>249.0</v>
      </c>
      <c r="D332" s="84" t="str">
        <f>IF(Tabla_3[COD]="","",VLOOKUP(Tabla_3[COD],'Stock inicial'!A:D,2,FALSE))</f>
        <v>ARIEL. EXT. PERF. (VERDE CON SUAVIZANTE) 1L</v>
      </c>
      <c r="E332" s="58">
        <v>1.5</v>
      </c>
      <c r="F332" s="103">
        <v>1200.0</v>
      </c>
      <c r="G332" s="25">
        <v>486.0</v>
      </c>
      <c r="H332" s="25">
        <f t="shared" si="2"/>
        <v>729</v>
      </c>
      <c r="I332" s="103">
        <v>1800.0</v>
      </c>
      <c r="J332" s="27" t="s">
        <v>3</v>
      </c>
    </row>
    <row r="333" hidden="1">
      <c r="A333" s="74">
        <v>45845.0</v>
      </c>
      <c r="B333" s="75" t="s">
        <v>156</v>
      </c>
      <c r="C333" s="96">
        <v>270.0</v>
      </c>
      <c r="D333" s="77" t="str">
        <f>IF(Tabla_3[COD]="","",VLOOKUP(Tabla_3[COD],'Stock inicial'!A:D,2,FALSE))</f>
        <v>HECHO EN BALDE 1L</v>
      </c>
      <c r="E333" s="59">
        <v>1.0</v>
      </c>
      <c r="F333" s="103">
        <v>1299.0</v>
      </c>
      <c r="G333" s="25">
        <v>410.4</v>
      </c>
      <c r="H333" s="25">
        <f t="shared" si="2"/>
        <v>410.4</v>
      </c>
      <c r="I333" s="103">
        <v>1299.0</v>
      </c>
      <c r="J333" s="27" t="s">
        <v>3</v>
      </c>
    </row>
    <row r="334" hidden="1">
      <c r="A334" s="78">
        <v>45845.0</v>
      </c>
      <c r="B334" s="91"/>
      <c r="C334" s="99">
        <v>303.0</v>
      </c>
      <c r="D334" s="81" t="str">
        <f>IF(Tabla_3[COD]="","",VLOOKUP(Tabla_3[COD],'Stock inicial'!A:D,2,FALSE))</f>
        <v>JABON EN PAN SIGNO 200G</v>
      </c>
      <c r="E334" s="58">
        <v>1.0</v>
      </c>
      <c r="F334" s="103">
        <v>999.0</v>
      </c>
      <c r="G334" s="25">
        <v>550.0</v>
      </c>
      <c r="H334" s="25">
        <f t="shared" si="2"/>
        <v>550</v>
      </c>
      <c r="I334" s="103">
        <v>999.0</v>
      </c>
      <c r="J334" s="27" t="s">
        <v>3</v>
      </c>
    </row>
    <row r="335" hidden="1">
      <c r="A335" s="74">
        <v>45845.0</v>
      </c>
      <c r="B335" s="75" t="s">
        <v>157</v>
      </c>
      <c r="C335" s="96">
        <v>278.0</v>
      </c>
      <c r="D335" s="77" t="str">
        <f>IF(Tabla_3[COD]="","",VLOOKUP(Tabla_3[COD],'Stock inicial'!A:D,2,FALSE))</f>
        <v>PERFUMINA LIMON 5L</v>
      </c>
      <c r="E335" s="59">
        <v>1.0</v>
      </c>
      <c r="F335" s="103">
        <v>1499.0</v>
      </c>
      <c r="G335" s="25">
        <v>287.25</v>
      </c>
      <c r="H335" s="25">
        <f t="shared" si="2"/>
        <v>287.25</v>
      </c>
      <c r="I335" s="103">
        <v>1499.0</v>
      </c>
      <c r="J335" s="27" t="s">
        <v>3</v>
      </c>
    </row>
    <row r="336" hidden="1">
      <c r="A336" s="78">
        <v>45845.0</v>
      </c>
      <c r="B336" s="91"/>
      <c r="C336" s="99">
        <v>246.0</v>
      </c>
      <c r="D336" s="81" t="str">
        <f>IF(Tabla_3[COD]="","",VLOOKUP(Tabla_3[COD],'Stock inicial'!A:D,2,FALSE))</f>
        <v>ARIEL ECO (VERDE) 5L</v>
      </c>
      <c r="E336" s="58">
        <v>1.0</v>
      </c>
      <c r="F336" s="103">
        <v>2500.0</v>
      </c>
      <c r="G336" s="25">
        <v>1143.0</v>
      </c>
      <c r="H336" s="25">
        <f t="shared" si="2"/>
        <v>1143</v>
      </c>
      <c r="I336" s="103">
        <v>2500.0</v>
      </c>
      <c r="J336" s="27" t="s">
        <v>3</v>
      </c>
    </row>
    <row r="337" hidden="1">
      <c r="A337" s="74">
        <v>45845.0</v>
      </c>
      <c r="B337" s="92"/>
      <c r="C337" s="98">
        <v>260.0</v>
      </c>
      <c r="D337" s="87" t="str">
        <f>IF(Tabla_3[COD]="","",VLOOKUP(Tabla_3[COD],'Stock inicial'!A:D,2,FALSE))</f>
        <v>ALOE VERA (VERDE) 5L</v>
      </c>
      <c r="E337" s="59">
        <v>1.0</v>
      </c>
      <c r="F337" s="103">
        <v>3999.0</v>
      </c>
      <c r="G337" s="25">
        <v>2060.0</v>
      </c>
      <c r="H337" s="25">
        <f t="shared" si="2"/>
        <v>2060</v>
      </c>
      <c r="I337" s="103">
        <v>3999.0</v>
      </c>
      <c r="J337" s="27" t="s">
        <v>3</v>
      </c>
    </row>
    <row r="338" hidden="1">
      <c r="A338" s="78">
        <v>45845.0</v>
      </c>
      <c r="B338" s="91"/>
      <c r="C338" s="99">
        <v>290.0</v>
      </c>
      <c r="D338" s="81" t="str">
        <f>IF(Tabla_3[COD]="","",VLOOKUP(Tabla_3[COD],'Stock inicial'!A:D,2,FALSE))</f>
        <v>LAVANDINA 5L</v>
      </c>
      <c r="E338" s="58">
        <v>1.0</v>
      </c>
      <c r="F338" s="103">
        <v>2499.0</v>
      </c>
      <c r="G338" s="25">
        <v>1080.0</v>
      </c>
      <c r="H338" s="25">
        <f t="shared" si="2"/>
        <v>1080</v>
      </c>
      <c r="I338" s="103">
        <v>2499.0</v>
      </c>
      <c r="J338" s="27" t="s">
        <v>3</v>
      </c>
    </row>
    <row r="339" hidden="1">
      <c r="A339" s="74">
        <v>45845.0</v>
      </c>
      <c r="B339" s="92"/>
      <c r="C339" s="98">
        <v>252.0</v>
      </c>
      <c r="D339" s="87" t="str">
        <f>IF(Tabla_3[COD]="","",VLOOKUP(Tabla_3[COD],'Stock inicial'!A:D,2,FALSE))</f>
        <v>VIVERE ECO (CELESTE) 5L</v>
      </c>
      <c r="E339" s="59">
        <v>1.0</v>
      </c>
      <c r="F339" s="103">
        <v>2900.0</v>
      </c>
      <c r="G339" s="25">
        <v>1480.0</v>
      </c>
      <c r="H339" s="25">
        <f t="shared" si="2"/>
        <v>1480</v>
      </c>
      <c r="I339" s="103">
        <v>2900.0</v>
      </c>
      <c r="J339" s="27" t="s">
        <v>3</v>
      </c>
    </row>
    <row r="340" hidden="1">
      <c r="A340" s="78">
        <v>45845.0</v>
      </c>
      <c r="B340" s="91"/>
      <c r="C340" s="95"/>
      <c r="D340" s="81" t="s">
        <v>158</v>
      </c>
      <c r="E340" s="58">
        <v>1.0</v>
      </c>
      <c r="F340" s="27">
        <v>-2407.0</v>
      </c>
      <c r="G340" s="27"/>
      <c r="H340" s="27">
        <f t="shared" si="2"/>
        <v>0</v>
      </c>
      <c r="I340" s="103">
        <v>-2407.0</v>
      </c>
      <c r="J340" s="27" t="s">
        <v>3</v>
      </c>
    </row>
    <row r="341" hidden="1">
      <c r="A341" s="74">
        <v>45845.0</v>
      </c>
      <c r="B341" s="75" t="s">
        <v>159</v>
      </c>
      <c r="C341" s="96">
        <v>249.0</v>
      </c>
      <c r="D341" s="77" t="str">
        <f>IF(Tabla_3[COD]="","",VLOOKUP(Tabla_3[COD],'Stock inicial'!A:D,2,FALSE))</f>
        <v>ARIEL. EXT. PERF. (VERDE CON SUAVIZANTE) 1L</v>
      </c>
      <c r="E341" s="59">
        <v>1.0</v>
      </c>
      <c r="F341" s="103">
        <v>1500.0</v>
      </c>
      <c r="G341" s="25">
        <v>486.0</v>
      </c>
      <c r="H341" s="25">
        <f t="shared" si="2"/>
        <v>486</v>
      </c>
      <c r="I341" s="103">
        <v>1500.0</v>
      </c>
      <c r="J341" s="27" t="s">
        <v>3</v>
      </c>
    </row>
    <row r="342" hidden="1">
      <c r="A342" s="78">
        <v>45845.0</v>
      </c>
      <c r="B342" s="82" t="s">
        <v>160</v>
      </c>
      <c r="C342" s="97">
        <v>300.0</v>
      </c>
      <c r="D342" s="84" t="str">
        <f>IF(Tabla_3[COD]="","",VLOOKUP(Tabla_3[COD],'Stock inicial'!A:D,2,FALSE))</f>
        <v>ESCOBA TEMPRA PREMIUM NUEVA</v>
      </c>
      <c r="E342" s="58">
        <v>1.0</v>
      </c>
      <c r="F342" s="103">
        <v>2990.0</v>
      </c>
      <c r="G342" s="25">
        <v>2050.0</v>
      </c>
      <c r="H342" s="25">
        <f t="shared" si="2"/>
        <v>2050</v>
      </c>
      <c r="I342" s="103">
        <v>2990.0</v>
      </c>
      <c r="J342" s="27" t="s">
        <v>3</v>
      </c>
    </row>
    <row r="343" hidden="1">
      <c r="A343" s="74">
        <v>45845.0</v>
      </c>
      <c r="B343" s="75" t="s">
        <v>161</v>
      </c>
      <c r="C343" s="96">
        <v>251.0</v>
      </c>
      <c r="D343" s="77" t="str">
        <f>IF(Tabla_3[COD]="","",VLOOKUP(Tabla_3[COD],'Stock inicial'!A:D,2,FALSE))</f>
        <v>VIVERE ECO (CELESTE) 1L</v>
      </c>
      <c r="E343" s="59">
        <v>1.0</v>
      </c>
      <c r="F343" s="103">
        <v>990.0</v>
      </c>
      <c r="G343" s="25">
        <v>296.0</v>
      </c>
      <c r="H343" s="25">
        <f t="shared" si="2"/>
        <v>296</v>
      </c>
      <c r="I343" s="103">
        <v>990.0</v>
      </c>
      <c r="J343" s="27" t="s">
        <v>3</v>
      </c>
    </row>
    <row r="344" hidden="1">
      <c r="A344" s="78">
        <v>45845.0</v>
      </c>
      <c r="B344" s="82" t="s">
        <v>162</v>
      </c>
      <c r="C344" s="97">
        <v>234.0</v>
      </c>
      <c r="D344" s="84" t="str">
        <f>IF(Tabla_3[COD]="","",VLOOKUP(Tabla_3[COD],'Stock inicial'!A:D,2,FALSE))</f>
        <v>CAT CHOW ADULTO CARNE POLLO</v>
      </c>
      <c r="E344" s="58">
        <v>1.0</v>
      </c>
      <c r="F344" s="103">
        <v>4700.0</v>
      </c>
      <c r="G344" s="25">
        <v>3586.66</v>
      </c>
      <c r="H344" s="25">
        <f t="shared" si="2"/>
        <v>3586.66</v>
      </c>
      <c r="I344" s="103">
        <v>4700.0</v>
      </c>
      <c r="J344" s="27" t="s">
        <v>11</v>
      </c>
    </row>
    <row r="345" hidden="1">
      <c r="A345" s="74">
        <v>45845.0</v>
      </c>
      <c r="B345" s="75" t="s">
        <v>163</v>
      </c>
      <c r="C345" s="96">
        <v>250.0</v>
      </c>
      <c r="D345" s="77" t="str">
        <f>IF(Tabla_3[COD]="","",VLOOKUP(Tabla_3[COD],'Stock inicial'!A:D,2,FALSE))</f>
        <v>ARIEL. EXT. PERF. (VERDE CON SUAVIZANTE) 5L</v>
      </c>
      <c r="E345" s="59">
        <v>1.0</v>
      </c>
      <c r="F345" s="103">
        <v>4000.0</v>
      </c>
      <c r="G345" s="25">
        <v>2430.0</v>
      </c>
      <c r="H345" s="25">
        <f t="shared" si="2"/>
        <v>2430</v>
      </c>
      <c r="I345" s="103">
        <v>4000.0</v>
      </c>
      <c r="J345" s="27" t="s">
        <v>3</v>
      </c>
    </row>
    <row r="346" hidden="1">
      <c r="A346" s="78">
        <v>45845.0</v>
      </c>
      <c r="B346" s="82" t="s">
        <v>164</v>
      </c>
      <c r="C346" s="97">
        <v>250.0</v>
      </c>
      <c r="D346" s="84" t="str">
        <f>IF(Tabla_3[COD]="","",VLOOKUP(Tabla_3[COD],'Stock inicial'!A:D,2,FALSE))</f>
        <v>ARIEL. EXT. PERF. (VERDE CON SUAVIZANTE) 5L</v>
      </c>
      <c r="E346" s="58">
        <v>1.0</v>
      </c>
      <c r="F346" s="103">
        <v>4000.0</v>
      </c>
      <c r="G346" s="25">
        <v>2430.0</v>
      </c>
      <c r="H346" s="25">
        <f t="shared" si="2"/>
        <v>2430</v>
      </c>
      <c r="I346" s="103">
        <v>4000.0</v>
      </c>
      <c r="J346" s="27" t="s">
        <v>11</v>
      </c>
    </row>
    <row r="347" hidden="1">
      <c r="A347" s="74">
        <v>45845.0</v>
      </c>
      <c r="B347" s="75" t="s">
        <v>165</v>
      </c>
      <c r="C347" s="96">
        <v>241.0</v>
      </c>
      <c r="D347" s="77" t="str">
        <f>IF(Tabla_3[COD]="","",VLOOKUP(Tabla_3[COD],'Stock inicial'!A:D,2,FALSE))</f>
        <v>PEDIGREE POUCH AD. POLLO</v>
      </c>
      <c r="E347" s="59">
        <v>1.0</v>
      </c>
      <c r="F347" s="103">
        <v>1100.0</v>
      </c>
      <c r="G347" s="25">
        <v>787.5</v>
      </c>
      <c r="H347" s="25">
        <f t="shared" si="2"/>
        <v>787.5</v>
      </c>
      <c r="I347" s="103">
        <v>1100.0</v>
      </c>
      <c r="J347" s="27" t="s">
        <v>3</v>
      </c>
    </row>
    <row r="348" hidden="1">
      <c r="A348" s="78">
        <v>45845.0</v>
      </c>
      <c r="B348" s="82" t="s">
        <v>166</v>
      </c>
      <c r="C348" s="97">
        <v>163.0</v>
      </c>
      <c r="D348" s="84" t="str">
        <f>IF(Tabla_3[COD]="","",VLOOKUP(Tabla_3[COD],'Stock inicial'!A:D,2,FALSE))</f>
        <v>SHAMPOO ANTISEP CACH X 300CC</v>
      </c>
      <c r="E348" s="58">
        <v>1.0</v>
      </c>
      <c r="F348" s="103">
        <v>5800.0</v>
      </c>
      <c r="G348" s="25">
        <v>4416.0</v>
      </c>
      <c r="H348" s="25">
        <f t="shared" si="2"/>
        <v>4416</v>
      </c>
      <c r="I348" s="103">
        <v>5800.0</v>
      </c>
      <c r="J348" s="27" t="s">
        <v>3</v>
      </c>
    </row>
    <row r="349" hidden="1">
      <c r="A349" s="74">
        <v>45846.0</v>
      </c>
      <c r="B349" s="75" t="s">
        <v>167</v>
      </c>
      <c r="C349" s="96">
        <v>149.0</v>
      </c>
      <c r="D349" s="77" t="str">
        <f>IF(Tabla_3[COD]="","",VLOOKUP(Tabla_3[COD],'Stock inicial'!A:D,2,FALSE))</f>
        <v>PALITOS MASTICABLES IZZY x6</v>
      </c>
      <c r="E349" s="59">
        <v>1.0</v>
      </c>
      <c r="F349" s="103">
        <v>600.0</v>
      </c>
      <c r="G349" s="25">
        <v>238.56</v>
      </c>
      <c r="H349" s="25">
        <f t="shared" si="2"/>
        <v>238.56</v>
      </c>
      <c r="I349" s="103">
        <v>600.0</v>
      </c>
      <c r="J349" s="27" t="s">
        <v>11</v>
      </c>
    </row>
    <row r="350" hidden="1">
      <c r="A350" s="78">
        <v>45846.0</v>
      </c>
      <c r="B350" s="145"/>
      <c r="C350" s="126">
        <v>216.0</v>
      </c>
      <c r="D350" s="127" t="str">
        <f>IF(Tabla_3[COD]="","",VLOOKUP(Tabla_3[COD],'Stock inicial'!A:D,2,FALSE))</f>
        <v>EXCELLENT PUPPY FORMULA XKG</v>
      </c>
      <c r="E350" s="58">
        <v>1.0</v>
      </c>
      <c r="F350" s="103">
        <v>3400.0</v>
      </c>
      <c r="G350" s="25">
        <v>2361.8</v>
      </c>
      <c r="H350" s="25">
        <f t="shared" si="2"/>
        <v>2361.8</v>
      </c>
      <c r="I350" s="103">
        <v>3400.0</v>
      </c>
      <c r="J350" s="27" t="s">
        <v>11</v>
      </c>
    </row>
    <row r="351" hidden="1">
      <c r="A351" s="28">
        <v>45846.0</v>
      </c>
      <c r="B351" s="66" t="s">
        <v>168</v>
      </c>
      <c r="C351" s="151"/>
      <c r="D351" s="48" t="s">
        <v>169</v>
      </c>
      <c r="E351" s="27">
        <v>1.0</v>
      </c>
      <c r="F351" s="27">
        <v>72450.0</v>
      </c>
      <c r="G351" s="27">
        <v>64500.0</v>
      </c>
      <c r="H351" s="27">
        <f t="shared" si="2"/>
        <v>64500</v>
      </c>
      <c r="I351" s="27">
        <v>72450.0</v>
      </c>
      <c r="J351" s="27" t="s">
        <v>11</v>
      </c>
    </row>
    <row r="352" hidden="1">
      <c r="A352" s="152">
        <v>45853.0</v>
      </c>
      <c r="B352" s="153" t="s">
        <v>170</v>
      </c>
      <c r="C352" s="149"/>
      <c r="D352" s="153" t="s">
        <v>171</v>
      </c>
      <c r="E352" s="141">
        <v>1.0</v>
      </c>
      <c r="F352" s="141">
        <v>30000.0</v>
      </c>
      <c r="G352" s="141">
        <v>25000.0</v>
      </c>
      <c r="H352" s="141">
        <f t="shared" si="2"/>
        <v>25000</v>
      </c>
      <c r="I352" s="141">
        <v>30000.0</v>
      </c>
      <c r="J352" s="141" t="s">
        <v>3</v>
      </c>
    </row>
    <row r="353" hidden="1">
      <c r="A353" s="28">
        <v>45847.0</v>
      </c>
      <c r="B353" s="29" t="s">
        <v>172</v>
      </c>
      <c r="C353" s="103"/>
      <c r="D353" s="22" t="s">
        <v>173</v>
      </c>
      <c r="E353" s="27">
        <v>1.0</v>
      </c>
      <c r="F353" s="27">
        <v>33500.0</v>
      </c>
      <c r="G353" s="27">
        <v>27700.0</v>
      </c>
      <c r="H353" s="27">
        <f t="shared" si="2"/>
        <v>27700</v>
      </c>
      <c r="I353" s="27">
        <v>33500.0</v>
      </c>
      <c r="J353" s="27" t="s">
        <v>11</v>
      </c>
    </row>
    <row r="354" hidden="1">
      <c r="A354" s="28">
        <v>45847.0</v>
      </c>
      <c r="B354" s="72" t="s">
        <v>174</v>
      </c>
      <c r="C354" s="154"/>
      <c r="D354" s="39" t="s">
        <v>175</v>
      </c>
      <c r="E354" s="27">
        <v>1.0</v>
      </c>
      <c r="F354" s="27">
        <v>65000.0</v>
      </c>
      <c r="G354" s="27">
        <v>55900.0</v>
      </c>
      <c r="H354" s="27">
        <f t="shared" si="2"/>
        <v>55900</v>
      </c>
      <c r="I354" s="27">
        <v>65000.0</v>
      </c>
      <c r="J354" s="27" t="s">
        <v>11</v>
      </c>
    </row>
    <row r="355" hidden="1">
      <c r="A355" s="74">
        <v>45846.0</v>
      </c>
      <c r="B355" s="75" t="s">
        <v>176</v>
      </c>
      <c r="C355" s="155">
        <v>273.0</v>
      </c>
      <c r="D355" s="77" t="str">
        <f>IF(Tabla_3[COD]="","",VLOOKUP(Tabla_3[COD],'Stock inicial'!A:D,2,FALSE))</f>
        <v>PERFUMINA CHERRY 1L</v>
      </c>
      <c r="E355" s="59">
        <v>1.0</v>
      </c>
      <c r="F355" s="103">
        <v>599.0</v>
      </c>
      <c r="G355" s="25">
        <v>57.45</v>
      </c>
      <c r="H355" s="25">
        <f t="shared" si="2"/>
        <v>57.45</v>
      </c>
      <c r="I355" s="27">
        <v>599.0</v>
      </c>
      <c r="J355" s="27" t="s">
        <v>3</v>
      </c>
    </row>
    <row r="356" hidden="1">
      <c r="A356" s="78">
        <v>45846.0</v>
      </c>
      <c r="B356" s="91"/>
      <c r="C356" s="50">
        <v>285.0</v>
      </c>
      <c r="D356" s="81" t="str">
        <f>IF(Tabla_3[COD]="","",VLOOKUP(Tabla_3[COD],'Stock inicial'!A:D,2,FALSE))</f>
        <v>JABON LIQUIDO  P/MANOS COCO 1/2L</v>
      </c>
      <c r="E356" s="58">
        <v>1.0</v>
      </c>
      <c r="F356" s="103">
        <v>999.0</v>
      </c>
      <c r="G356" s="25">
        <v>199.0</v>
      </c>
      <c r="H356" s="25">
        <f t="shared" si="2"/>
        <v>199</v>
      </c>
      <c r="I356" s="27">
        <v>999.0</v>
      </c>
      <c r="J356" s="27" t="s">
        <v>3</v>
      </c>
    </row>
    <row r="357" hidden="1">
      <c r="A357" s="74">
        <v>45846.0</v>
      </c>
      <c r="B357" s="92"/>
      <c r="C357" s="51">
        <v>290.0</v>
      </c>
      <c r="D357" s="87" t="str">
        <f>IF(Tabla_3[COD]="","",VLOOKUP(Tabla_3[COD],'Stock inicial'!A:D,2,FALSE))</f>
        <v>LAVANDINA 5L</v>
      </c>
      <c r="E357" s="59">
        <v>1.0</v>
      </c>
      <c r="F357" s="103">
        <v>2499.0</v>
      </c>
      <c r="G357" s="25">
        <v>1080.0</v>
      </c>
      <c r="H357" s="25">
        <f t="shared" si="2"/>
        <v>1080</v>
      </c>
      <c r="I357" s="27">
        <v>2499.0</v>
      </c>
      <c r="J357" s="27" t="s">
        <v>3</v>
      </c>
    </row>
    <row r="358" hidden="1">
      <c r="A358" s="78">
        <v>45846.0</v>
      </c>
      <c r="B358" s="91"/>
      <c r="C358" s="99">
        <v>212.0</v>
      </c>
      <c r="D358" s="81" t="str">
        <f>IF(Tabla_3[COD]="","",VLOOKUP(Tabla_3[COD],'Stock inicial'!A:D,2,FALSE))</f>
        <v>DOGPRO ADULTO MORDIDA PEQUEñA XKG</v>
      </c>
      <c r="E358" s="58">
        <v>1.0</v>
      </c>
      <c r="F358" s="103">
        <v>3700.0</v>
      </c>
      <c r="G358" s="25">
        <v>2778.13</v>
      </c>
      <c r="H358" s="25">
        <f t="shared" si="2"/>
        <v>2778.13</v>
      </c>
      <c r="I358" s="27">
        <v>3700.0</v>
      </c>
      <c r="J358" s="27" t="s">
        <v>3</v>
      </c>
    </row>
    <row r="359" hidden="1">
      <c r="A359" s="74">
        <v>45846.0</v>
      </c>
      <c r="B359" s="70" t="s">
        <v>177</v>
      </c>
      <c r="C359" s="123">
        <v>162.0</v>
      </c>
      <c r="D359" s="124" t="str">
        <f>IF(Tabla_3[COD]="","",VLOOKUP(Tabla_3[COD],'Stock inicial'!A:D,2,FALSE))</f>
        <v>PIEDRA SANITARIA THEBEST X20KG</v>
      </c>
      <c r="E359" s="59">
        <v>3.5</v>
      </c>
      <c r="F359" s="103">
        <v>580.0</v>
      </c>
      <c r="G359" s="25">
        <v>430.0</v>
      </c>
      <c r="H359" s="25">
        <f t="shared" si="2"/>
        <v>1505</v>
      </c>
      <c r="I359" s="27">
        <v>2030.0</v>
      </c>
      <c r="J359" s="27" t="s">
        <v>3</v>
      </c>
    </row>
    <row r="360" hidden="1">
      <c r="A360" s="28">
        <v>45846.0</v>
      </c>
      <c r="B360" s="156"/>
      <c r="C360" s="157">
        <v>357.0</v>
      </c>
      <c r="D360" s="49" t="str">
        <f>IF(Tabla_3[COD]="","",VLOOKUP(Tabla_3[COD],'Stock inicial'!A:D,2,FALSE))</f>
        <v>PAPEL HIGIENICO "ELEGANTE"</v>
      </c>
      <c r="E360" s="27">
        <v>1.0</v>
      </c>
      <c r="F360" s="158">
        <f>VLOOKUP( C360 , 'Stock inicial'!$A:$G , 7 , FALSE )</f>
        <v>1900</v>
      </c>
      <c r="G360" s="25">
        <v>1299.0</v>
      </c>
      <c r="H360" s="25">
        <f t="shared" si="2"/>
        <v>1299</v>
      </c>
      <c r="I360" s="27">
        <f t="shared" ref="I360:I361" si="4">F360*E360</f>
        <v>1900</v>
      </c>
      <c r="J360" s="27" t="s">
        <v>3</v>
      </c>
    </row>
    <row r="361" hidden="1">
      <c r="A361" s="28">
        <v>45846.0</v>
      </c>
      <c r="B361" s="159"/>
      <c r="C361" s="31">
        <v>277.0</v>
      </c>
      <c r="D361" s="42" t="str">
        <f>IF(Tabla_3[COD]="","",VLOOKUP(Tabla_3[COD],'Stock inicial'!A:D,2,FALSE))</f>
        <v>PERFUMINA LIMON 1L</v>
      </c>
      <c r="E361" s="27">
        <v>1.0</v>
      </c>
      <c r="F361" s="158">
        <f>VLOOKUP( C361 , 'Stock inicial'!$A:$G , 7 , FALSE )</f>
        <v>290</v>
      </c>
      <c r="G361" s="25">
        <v>57.45</v>
      </c>
      <c r="H361" s="25">
        <f t="shared" si="2"/>
        <v>57.45</v>
      </c>
      <c r="I361" s="27">
        <f t="shared" si="4"/>
        <v>290</v>
      </c>
      <c r="J361" s="27" t="s">
        <v>3</v>
      </c>
    </row>
    <row r="362" hidden="1">
      <c r="A362" s="78">
        <v>45846.0</v>
      </c>
      <c r="B362" s="82" t="s">
        <v>178</v>
      </c>
      <c r="C362" s="97">
        <v>226.0</v>
      </c>
      <c r="D362" s="84" t="str">
        <f>IF(Tabla_3[COD]="","",VLOOKUP(Tabla_3[COD],'Stock inicial'!A:D,2,FALSE))</f>
        <v>GATI GATO CARNE Y POLLO</v>
      </c>
      <c r="E362" s="58">
        <v>1.0</v>
      </c>
      <c r="F362" s="103">
        <v>2700.0</v>
      </c>
      <c r="G362" s="25">
        <v>2073.33</v>
      </c>
      <c r="H362" s="25">
        <f t="shared" si="2"/>
        <v>2073.33</v>
      </c>
      <c r="I362" s="27">
        <v>2700.0</v>
      </c>
      <c r="J362" s="27" t="s">
        <v>11</v>
      </c>
    </row>
    <row r="363" hidden="1">
      <c r="A363" s="74">
        <v>45846.0</v>
      </c>
      <c r="B363" s="75" t="s">
        <v>179</v>
      </c>
      <c r="C363" s="96">
        <v>246.0</v>
      </c>
      <c r="D363" s="77" t="str">
        <f>IF(Tabla_3[COD]="","",VLOOKUP(Tabla_3[COD],'Stock inicial'!A:D,2,FALSE))</f>
        <v>ARIEL ECO (VERDE) 5L</v>
      </c>
      <c r="E363" s="59">
        <v>1.0</v>
      </c>
      <c r="F363" s="103">
        <v>2500.0</v>
      </c>
      <c r="G363" s="25">
        <v>1143.0</v>
      </c>
      <c r="H363" s="25">
        <f t="shared" si="2"/>
        <v>1143</v>
      </c>
      <c r="I363" s="27">
        <v>2500.0</v>
      </c>
      <c r="J363" s="27" t="s">
        <v>11</v>
      </c>
    </row>
    <row r="364" hidden="1">
      <c r="A364" s="78">
        <v>45846.0</v>
      </c>
      <c r="B364" s="82" t="s">
        <v>180</v>
      </c>
      <c r="C364" s="97">
        <v>273.0</v>
      </c>
      <c r="D364" s="84" t="str">
        <f>IF(Tabla_3[COD]="","",VLOOKUP(Tabla_3[COD],'Stock inicial'!A:D,2,FALSE))</f>
        <v>PERFUMINA CHERRY 1L</v>
      </c>
      <c r="E364" s="58">
        <v>1.0</v>
      </c>
      <c r="F364" s="103">
        <v>599.0</v>
      </c>
      <c r="G364" s="25">
        <v>57.45</v>
      </c>
      <c r="H364" s="25">
        <f t="shared" si="2"/>
        <v>57.45</v>
      </c>
      <c r="I364" s="27">
        <v>599.0</v>
      </c>
      <c r="J364" s="27" t="s">
        <v>3</v>
      </c>
    </row>
    <row r="365" hidden="1">
      <c r="A365" s="74">
        <v>45846.0</v>
      </c>
      <c r="B365" s="92"/>
      <c r="C365" s="98">
        <v>226.0</v>
      </c>
      <c r="D365" s="87" t="str">
        <f>IF(Tabla_3[COD]="","",VLOOKUP(Tabla_3[COD],'Stock inicial'!A:D,2,FALSE))</f>
        <v>GATI GATO CARNE Y POLLO</v>
      </c>
      <c r="E365" s="59">
        <v>1.0</v>
      </c>
      <c r="F365" s="103">
        <v>2700.0</v>
      </c>
      <c r="G365" s="25">
        <v>2073.33</v>
      </c>
      <c r="H365" s="25">
        <f t="shared" si="2"/>
        <v>2073.33</v>
      </c>
      <c r="I365" s="27">
        <v>2700.0</v>
      </c>
      <c r="J365" s="27" t="s">
        <v>3</v>
      </c>
    </row>
    <row r="366" hidden="1">
      <c r="A366" s="78">
        <v>45847.0</v>
      </c>
      <c r="B366" s="82" t="s">
        <v>149</v>
      </c>
      <c r="C366" s="97">
        <v>223.0</v>
      </c>
      <c r="D366" s="84" t="str">
        <f>IF(Tabla_3[COD]="","",VLOOKUP(Tabla_3[COD],'Stock inicial'!A:D,2,FALSE))</f>
        <v>VORAZ PERRO ADULTO MIX</v>
      </c>
      <c r="E366" s="58">
        <v>1.0</v>
      </c>
      <c r="F366" s="103">
        <v>1100.0</v>
      </c>
      <c r="G366" s="25">
        <v>819.5</v>
      </c>
      <c r="H366" s="25">
        <f t="shared" si="2"/>
        <v>819.5</v>
      </c>
      <c r="I366" s="27">
        <v>1100.0</v>
      </c>
      <c r="J366" s="27" t="s">
        <v>3</v>
      </c>
    </row>
    <row r="367" hidden="1">
      <c r="A367" s="74">
        <v>45847.0</v>
      </c>
      <c r="B367" s="70" t="s">
        <v>181</v>
      </c>
      <c r="C367" s="123">
        <v>212.0</v>
      </c>
      <c r="D367" s="124" t="str">
        <f>IF(Tabla_3[COD]="","",VLOOKUP(Tabla_3[COD],'Stock inicial'!A:D,2,FALSE))</f>
        <v>DOGPRO ADULTO MORDIDA PEQUEñA XKG</v>
      </c>
      <c r="E367" s="59">
        <v>0.54</v>
      </c>
      <c r="F367" s="103">
        <v>3700.0</v>
      </c>
      <c r="G367" s="25">
        <v>2778.13</v>
      </c>
      <c r="H367" s="25">
        <f t="shared" si="2"/>
        <v>1500.1902</v>
      </c>
      <c r="I367" s="27">
        <v>1998.0000000000002</v>
      </c>
      <c r="J367" s="27" t="s">
        <v>3</v>
      </c>
    </row>
    <row r="368" hidden="1">
      <c r="A368" s="28">
        <v>45847.0</v>
      </c>
      <c r="B368" s="68" t="s">
        <v>182</v>
      </c>
      <c r="C368" s="157">
        <v>212.0</v>
      </c>
      <c r="D368" s="49" t="str">
        <f>IF(Tabla_3[COD]="","",VLOOKUP(Tabla_3[COD],'Stock inicial'!A:D,2,FALSE))</f>
        <v>DOGPRO ADULTO MORDIDA PEQUEñA XKG</v>
      </c>
      <c r="E368" s="27">
        <v>2.0</v>
      </c>
      <c r="F368" s="103">
        <v>3700.0</v>
      </c>
      <c r="G368" s="25">
        <v>2778.13</v>
      </c>
      <c r="H368" s="25">
        <f t="shared" si="2"/>
        <v>5556.26</v>
      </c>
      <c r="I368" s="27">
        <v>7400.0</v>
      </c>
      <c r="J368" s="27" t="s">
        <v>11</v>
      </c>
    </row>
    <row r="369" hidden="1">
      <c r="A369" s="28">
        <v>45847.0</v>
      </c>
      <c r="B369" s="75" t="s">
        <v>183</v>
      </c>
      <c r="C369" s="31">
        <v>227.0</v>
      </c>
      <c r="D369" s="42" t="str">
        <f>IF(Tabla_3[COD]="","",VLOOKUP(Tabla_3[COD],'Stock inicial'!A:D,2,FALSE))</f>
        <v>CATPRO GATO ADULTO</v>
      </c>
      <c r="E369" s="27">
        <v>0.39</v>
      </c>
      <c r="F369" s="103">
        <v>5250.0</v>
      </c>
      <c r="G369" s="25">
        <v>3657.41</v>
      </c>
      <c r="H369" s="25">
        <f t="shared" si="2"/>
        <v>1426.3899</v>
      </c>
      <c r="I369" s="27">
        <v>2047.5</v>
      </c>
      <c r="J369" s="27" t="s">
        <v>3</v>
      </c>
    </row>
    <row r="370" hidden="1">
      <c r="A370" s="78">
        <v>45847.0</v>
      </c>
      <c r="B370" s="82" t="s">
        <v>184</v>
      </c>
      <c r="C370" s="97">
        <v>1611.0</v>
      </c>
      <c r="D370" s="84" t="str">
        <f>IF(Tabla_3[COD]="","",VLOOKUP(Tabla_3[COD],'Stock inicial'!A:D,2,FALSE))</f>
        <v>ZOOTEC PIEDRA AGLUTINANTE X 4KG</v>
      </c>
      <c r="E370" s="58">
        <v>1.0</v>
      </c>
      <c r="F370" s="103">
        <v>4590.0</v>
      </c>
      <c r="G370" s="25">
        <v>2990.0</v>
      </c>
      <c r="H370" s="25">
        <f t="shared" si="2"/>
        <v>2990</v>
      </c>
      <c r="I370" s="27">
        <v>4590.0</v>
      </c>
      <c r="J370" s="27" t="s">
        <v>11</v>
      </c>
    </row>
    <row r="371" hidden="1">
      <c r="A371" s="74">
        <v>45847.0</v>
      </c>
      <c r="B371" s="92"/>
      <c r="C371" s="98">
        <v>227.0</v>
      </c>
      <c r="D371" s="87" t="str">
        <f>IF(Tabla_3[COD]="","",VLOOKUP(Tabla_3[COD],'Stock inicial'!A:D,2,FALSE))</f>
        <v>CATPRO GATO ADULTO</v>
      </c>
      <c r="E371" s="59">
        <v>0.58</v>
      </c>
      <c r="F371" s="103">
        <v>5250.0</v>
      </c>
      <c r="G371" s="25">
        <v>3657.41</v>
      </c>
      <c r="H371" s="25">
        <f t="shared" si="2"/>
        <v>2121.2978</v>
      </c>
      <c r="I371" s="27">
        <v>3045.0</v>
      </c>
      <c r="J371" s="27" t="s">
        <v>11</v>
      </c>
    </row>
    <row r="372" hidden="1">
      <c r="A372" s="78">
        <v>45847.0</v>
      </c>
      <c r="B372" s="82" t="s">
        <v>185</v>
      </c>
      <c r="C372" s="97">
        <v>227.0</v>
      </c>
      <c r="D372" s="84" t="str">
        <f>IF(Tabla_3[COD]="","",VLOOKUP(Tabla_3[COD],'Stock inicial'!A:D,2,FALSE))</f>
        <v>CATPRO GATO ADULTO</v>
      </c>
      <c r="E372" s="58">
        <v>0.38</v>
      </c>
      <c r="F372" s="103">
        <v>5250.0</v>
      </c>
      <c r="G372" s="25">
        <v>3657.41</v>
      </c>
      <c r="H372" s="25">
        <f t="shared" si="2"/>
        <v>1389.8158</v>
      </c>
      <c r="I372" s="27">
        <v>1995.0</v>
      </c>
      <c r="J372" s="27" t="s">
        <v>11</v>
      </c>
    </row>
    <row r="373" hidden="1">
      <c r="A373" s="74">
        <v>45847.0</v>
      </c>
      <c r="B373" s="92"/>
      <c r="C373" s="98">
        <v>214.0</v>
      </c>
      <c r="D373" s="87" t="str">
        <f>IF(Tabla_3[COD]="","",VLOOKUP(Tabla_3[COD],'Stock inicial'!A:D,2,FALSE))</f>
        <v>DOGPRO ADULTO SUPER PREMIUM XKG</v>
      </c>
      <c r="E373" s="59">
        <v>0.65</v>
      </c>
      <c r="F373" s="103">
        <v>3100.0</v>
      </c>
      <c r="G373" s="25">
        <v>2115.2</v>
      </c>
      <c r="H373" s="25">
        <f t="shared" si="2"/>
        <v>1374.88</v>
      </c>
      <c r="I373" s="27">
        <v>2015.0</v>
      </c>
      <c r="J373" s="27" t="s">
        <v>11</v>
      </c>
    </row>
    <row r="374" hidden="1">
      <c r="A374" s="78">
        <v>45847.0</v>
      </c>
      <c r="B374" s="82" t="s">
        <v>186</v>
      </c>
      <c r="C374" s="97">
        <v>149.0</v>
      </c>
      <c r="D374" s="84" t="str">
        <f>IF(Tabla_3[COD]="","",VLOOKUP(Tabla_3[COD],'Stock inicial'!A:D,2,FALSE))</f>
        <v>PALITOS MASTICABLES IZZY x6</v>
      </c>
      <c r="E374" s="58">
        <v>2.0</v>
      </c>
      <c r="F374" s="103">
        <v>600.0</v>
      </c>
      <c r="G374" s="25">
        <v>238.56</v>
      </c>
      <c r="H374" s="25">
        <f t="shared" si="2"/>
        <v>477.12</v>
      </c>
      <c r="I374" s="27">
        <v>1200.0</v>
      </c>
      <c r="J374" s="27" t="s">
        <v>11</v>
      </c>
    </row>
    <row r="375" hidden="1">
      <c r="A375" s="74">
        <v>45847.0</v>
      </c>
      <c r="B375" s="75" t="s">
        <v>187</v>
      </c>
      <c r="C375" s="96">
        <v>363.0</v>
      </c>
      <c r="D375" s="77" t="str">
        <f>IF(Tabla_3[COD]="","",VLOOKUP(Tabla_3[COD],'Stock inicial'!A:D,2,FALSE))</f>
        <v>CAMITAS 70x50</v>
      </c>
      <c r="E375" s="59">
        <v>1.0</v>
      </c>
      <c r="F375" s="103">
        <v>13500.0</v>
      </c>
      <c r="G375" s="25">
        <v>9000.0</v>
      </c>
      <c r="H375" s="25">
        <f t="shared" si="2"/>
        <v>9000</v>
      </c>
      <c r="I375" s="27">
        <v>13500.0</v>
      </c>
      <c r="J375" s="27" t="s">
        <v>3</v>
      </c>
    </row>
    <row r="376" hidden="1">
      <c r="A376" s="78">
        <v>45848.0</v>
      </c>
      <c r="B376" s="68" t="s">
        <v>188</v>
      </c>
      <c r="C376" s="128">
        <v>286.0</v>
      </c>
      <c r="D376" s="129" t="str">
        <f>IF(Tabla_3[COD]="","",VLOOKUP(Tabla_3[COD],'Stock inicial'!A:D,2,FALSE))</f>
        <v>JABON LIQUIDO ESPADOL P/MANOS 1/2L</v>
      </c>
      <c r="E376" s="58">
        <v>3.0</v>
      </c>
      <c r="F376" s="103">
        <v>999.0</v>
      </c>
      <c r="G376" s="25">
        <v>199.0</v>
      </c>
      <c r="H376" s="25">
        <f t="shared" si="2"/>
        <v>597</v>
      </c>
      <c r="I376" s="27">
        <v>2997.0</v>
      </c>
      <c r="J376" s="27" t="s">
        <v>3</v>
      </c>
    </row>
    <row r="377" hidden="1">
      <c r="A377" s="74">
        <v>45848.0</v>
      </c>
      <c r="B377" s="100" t="s">
        <v>189</v>
      </c>
      <c r="C377" s="98">
        <v>357.0</v>
      </c>
      <c r="D377" s="87" t="str">
        <f>IF(Tabla_3[COD]="","",VLOOKUP(Tabla_3[COD],'Stock inicial'!A:D,2,FALSE))</f>
        <v>PAPEL HIGIENICO "ELEGANTE"</v>
      </c>
      <c r="E377" s="59">
        <v>1.0</v>
      </c>
      <c r="F377" s="103">
        <v>1899.0</v>
      </c>
      <c r="G377" s="25">
        <v>1299.0</v>
      </c>
      <c r="H377" s="25">
        <f t="shared" si="2"/>
        <v>1299</v>
      </c>
      <c r="I377" s="27">
        <v>1899.0</v>
      </c>
      <c r="J377" s="27" t="s">
        <v>3</v>
      </c>
    </row>
    <row r="378" hidden="1">
      <c r="A378" s="78">
        <v>45848.0</v>
      </c>
      <c r="B378" s="91"/>
      <c r="C378" s="99">
        <v>289.0</v>
      </c>
      <c r="D378" s="81" t="str">
        <f>IF(Tabla_3[COD]="","",VLOOKUP(Tabla_3[COD],'Stock inicial'!A:D,2,FALSE))</f>
        <v>LAVANDINA 1L</v>
      </c>
      <c r="E378" s="58">
        <v>1.0</v>
      </c>
      <c r="F378" s="103">
        <v>499.0</v>
      </c>
      <c r="G378" s="25">
        <v>216.0</v>
      </c>
      <c r="H378" s="25">
        <f t="shared" si="2"/>
        <v>216</v>
      </c>
      <c r="I378" s="27">
        <v>499.0</v>
      </c>
      <c r="J378" s="27" t="s">
        <v>3</v>
      </c>
    </row>
    <row r="379" hidden="1">
      <c r="A379" s="74">
        <v>45848.0</v>
      </c>
      <c r="B379" s="75" t="s">
        <v>190</v>
      </c>
      <c r="C379" s="96">
        <v>140.0</v>
      </c>
      <c r="D379" s="77" t="str">
        <f>IF(Tabla_3[COD]="","",VLOOKUP(Tabla_3[COD],'Stock inicial'!A:D,2,FALSE))</f>
        <v>GOLOCAN HUESO HORNEADO CARNE</v>
      </c>
      <c r="E379" s="59">
        <v>1.0</v>
      </c>
      <c r="F379" s="103">
        <v>900.0</v>
      </c>
      <c r="G379" s="25">
        <v>437.0</v>
      </c>
      <c r="H379" s="25">
        <f t="shared" si="2"/>
        <v>437</v>
      </c>
      <c r="I379" s="27">
        <v>900.0</v>
      </c>
      <c r="J379" s="27" t="s">
        <v>3</v>
      </c>
    </row>
    <row r="380" hidden="1">
      <c r="A380" s="78">
        <v>45848.0</v>
      </c>
      <c r="B380" s="91"/>
      <c r="C380" s="99">
        <v>149.0</v>
      </c>
      <c r="D380" s="81" t="str">
        <f>IF(Tabla_3[COD]="","",VLOOKUP(Tabla_3[COD],'Stock inicial'!A:D,2,FALSE))</f>
        <v>PALITOS MASTICABLES IZZY x6</v>
      </c>
      <c r="E380" s="58">
        <v>2.0</v>
      </c>
      <c r="F380" s="103">
        <v>600.0</v>
      </c>
      <c r="G380" s="25">
        <v>238.56</v>
      </c>
      <c r="H380" s="25">
        <f t="shared" si="2"/>
        <v>477.12</v>
      </c>
      <c r="I380" s="27">
        <v>1200.0</v>
      </c>
      <c r="J380" s="27" t="s">
        <v>3</v>
      </c>
    </row>
    <row r="381" hidden="1">
      <c r="A381" s="74">
        <v>45848.0</v>
      </c>
      <c r="B381" s="75" t="s">
        <v>191</v>
      </c>
      <c r="C381" s="96">
        <v>249.0</v>
      </c>
      <c r="D381" s="77" t="str">
        <f>IF(Tabla_3[COD]="","",VLOOKUP(Tabla_3[COD],'Stock inicial'!A:D,2,FALSE))</f>
        <v>ARIEL. EXT. PERF. (VERDE CON SUAVIZANTE) 1L</v>
      </c>
      <c r="E381" s="59">
        <v>1.0</v>
      </c>
      <c r="F381" s="103">
        <v>1500.0</v>
      </c>
      <c r="G381" s="25">
        <v>486.0</v>
      </c>
      <c r="H381" s="25">
        <f t="shared" si="2"/>
        <v>486</v>
      </c>
      <c r="I381" s="27">
        <v>1500.0</v>
      </c>
      <c r="J381" s="27" t="s">
        <v>3</v>
      </c>
    </row>
    <row r="382" hidden="1">
      <c r="A382" s="78">
        <v>45848.0</v>
      </c>
      <c r="B382" s="68" t="s">
        <v>192</v>
      </c>
      <c r="C382" s="128">
        <v>364.0</v>
      </c>
      <c r="D382" s="129" t="str">
        <f>IF(Tabla_3[COD]="","",VLOOKUP(Tabla_3[COD],'Stock inicial'!A:D,2,FALSE))</f>
        <v>CAMITAS  70x70</v>
      </c>
      <c r="E382" s="58">
        <v>1.0</v>
      </c>
      <c r="F382" s="103">
        <v>16500.0</v>
      </c>
      <c r="G382" s="25">
        <v>11000.0</v>
      </c>
      <c r="H382" s="25">
        <f t="shared" si="2"/>
        <v>11000</v>
      </c>
      <c r="I382" s="27">
        <v>16500.0</v>
      </c>
      <c r="J382" s="27" t="s">
        <v>3</v>
      </c>
    </row>
    <row r="383" hidden="1">
      <c r="A383" s="74">
        <v>45848.0</v>
      </c>
      <c r="B383" s="100" t="s">
        <v>193</v>
      </c>
      <c r="C383" s="98">
        <v>366.0</v>
      </c>
      <c r="D383" s="87" t="str">
        <f>IF(Tabla_3[COD]="","",VLOOKUP(Tabla_3[COD],'Stock inicial'!A:D,2,FALSE))</f>
        <v>CAMITAS 1x1.20</v>
      </c>
      <c r="E383" s="59">
        <v>1.0</v>
      </c>
      <c r="F383" s="103">
        <v>30000.0</v>
      </c>
      <c r="G383" s="25">
        <v>20000.0</v>
      </c>
      <c r="H383" s="25">
        <f t="shared" si="2"/>
        <v>20000</v>
      </c>
      <c r="I383" s="27">
        <v>30000.0</v>
      </c>
      <c r="J383" s="27" t="s">
        <v>11</v>
      </c>
    </row>
    <row r="384" hidden="1">
      <c r="A384" s="78">
        <v>45848.0</v>
      </c>
      <c r="B384" s="82" t="s">
        <v>194</v>
      </c>
      <c r="C384" s="97">
        <v>255.0</v>
      </c>
      <c r="D384" s="84" t="str">
        <f>IF(Tabla_3[COD]="","",VLOOKUP(Tabla_3[COD],'Stock inicial'!A:D,2,FALSE))</f>
        <v>VIVERE EXT. PERF. (CELESTE) 1L</v>
      </c>
      <c r="E384" s="58">
        <v>1.0</v>
      </c>
      <c r="F384" s="103">
        <v>999.0</v>
      </c>
      <c r="G384" s="25">
        <v>354.0</v>
      </c>
      <c r="H384" s="25">
        <f t="shared" si="2"/>
        <v>354</v>
      </c>
      <c r="I384" s="27">
        <v>999.0</v>
      </c>
      <c r="J384" s="27" t="s">
        <v>3</v>
      </c>
    </row>
    <row r="385" hidden="1">
      <c r="A385" s="74">
        <v>45848.0</v>
      </c>
      <c r="B385" s="75" t="s">
        <v>195</v>
      </c>
      <c r="C385" s="96">
        <v>213.0</v>
      </c>
      <c r="D385" s="77" t="str">
        <f>IF(Tabla_3[COD]="","",VLOOKUP(Tabla_3[COD],'Stock inicial'!A:D,2,FALSE))</f>
        <v>DOGPRO CACHORRO XKG</v>
      </c>
      <c r="E385" s="59">
        <v>2.0</v>
      </c>
      <c r="F385" s="103">
        <v>3900.0</v>
      </c>
      <c r="G385" s="25">
        <v>2953.8</v>
      </c>
      <c r="H385" s="25">
        <f t="shared" si="2"/>
        <v>5907.6</v>
      </c>
      <c r="I385" s="27">
        <v>7800.0</v>
      </c>
      <c r="J385" s="27" t="s">
        <v>11</v>
      </c>
    </row>
    <row r="386" hidden="1">
      <c r="A386" s="78">
        <v>45848.0</v>
      </c>
      <c r="B386" s="82" t="s">
        <v>196</v>
      </c>
      <c r="C386" s="97">
        <v>241.0</v>
      </c>
      <c r="D386" s="84" t="str">
        <f>IF(Tabla_3[COD]="","",VLOOKUP(Tabla_3[COD],'Stock inicial'!A:D,2,FALSE))</f>
        <v>PEDIGREE POUCH AD. POLLO</v>
      </c>
      <c r="E386" s="58">
        <v>1.0</v>
      </c>
      <c r="F386" s="103">
        <v>1100.0</v>
      </c>
      <c r="G386" s="25">
        <v>787.5</v>
      </c>
      <c r="H386" s="25">
        <f t="shared" si="2"/>
        <v>787.5</v>
      </c>
      <c r="I386" s="27">
        <v>1100.0</v>
      </c>
      <c r="J386" s="27" t="s">
        <v>3</v>
      </c>
    </row>
    <row r="387" hidden="1">
      <c r="A387" s="74">
        <v>45848.0</v>
      </c>
      <c r="B387" s="75" t="s">
        <v>197</v>
      </c>
      <c r="C387" s="96">
        <v>230.0</v>
      </c>
      <c r="D387" s="77" t="str">
        <f>IF(Tabla_3[COD]="","",VLOOKUP(Tabla_3[COD],'Stock inicial'!A:D,2,FALSE))</f>
        <v>EXCELLENT PERRO ADULTO BONUS 20K +2</v>
      </c>
      <c r="E387" s="59">
        <v>2.0</v>
      </c>
      <c r="F387" s="103">
        <v>3900.0</v>
      </c>
      <c r="G387" s="25">
        <v>2690.89</v>
      </c>
      <c r="H387" s="25">
        <f t="shared" si="2"/>
        <v>5381.78</v>
      </c>
      <c r="I387" s="27">
        <v>7800.0</v>
      </c>
      <c r="J387" s="27" t="s">
        <v>11</v>
      </c>
    </row>
    <row r="388" hidden="1">
      <c r="A388" s="78">
        <v>45848.0</v>
      </c>
      <c r="B388" s="91"/>
      <c r="C388" s="99">
        <v>279.0</v>
      </c>
      <c r="D388" s="81" t="str">
        <f>IF(Tabla_3[COD]="","",VLOOKUP(Tabla_3[COD],'Stock inicial'!A:D,2,FALSE))</f>
        <v>PERFUMINA LISOFORM 1L</v>
      </c>
      <c r="E388" s="58">
        <v>1.0</v>
      </c>
      <c r="F388" s="103">
        <v>599.0</v>
      </c>
      <c r="G388" s="25">
        <v>57.45</v>
      </c>
      <c r="H388" s="25">
        <f t="shared" si="2"/>
        <v>57.45</v>
      </c>
      <c r="I388" s="27">
        <v>599.0</v>
      </c>
      <c r="J388" s="27" t="s">
        <v>11</v>
      </c>
    </row>
    <row r="389" hidden="1">
      <c r="A389" s="74">
        <v>45848.0</v>
      </c>
      <c r="B389" s="92"/>
      <c r="C389" s="98">
        <v>212.0</v>
      </c>
      <c r="D389" s="87" t="str">
        <f>IF(Tabla_3[COD]="","",VLOOKUP(Tabla_3[COD],'Stock inicial'!A:D,2,FALSE))</f>
        <v>DOGPRO ADULTO MORDIDA PEQUEñA XKG</v>
      </c>
      <c r="E389" s="59">
        <v>1.0</v>
      </c>
      <c r="F389" s="103">
        <v>3700.0</v>
      </c>
      <c r="G389" s="25">
        <v>2778.13</v>
      </c>
      <c r="H389" s="25">
        <f t="shared" si="2"/>
        <v>2778.13</v>
      </c>
      <c r="I389" s="27">
        <v>3700.0</v>
      </c>
      <c r="J389" s="27" t="s">
        <v>11</v>
      </c>
    </row>
    <row r="390" hidden="1">
      <c r="A390" s="78">
        <v>45848.0</v>
      </c>
      <c r="B390" s="82" t="s">
        <v>198</v>
      </c>
      <c r="C390" s="97">
        <v>250.0</v>
      </c>
      <c r="D390" s="84" t="str">
        <f>IF(Tabla_3[COD]="","",VLOOKUP(Tabla_3[COD],'Stock inicial'!A:D,2,FALSE))</f>
        <v>ARIEL. EXT. PERF. (VERDE CON SUAVIZANTE) 5L</v>
      </c>
      <c r="E390" s="58">
        <v>1.0</v>
      </c>
      <c r="F390" s="103">
        <v>4000.0</v>
      </c>
      <c r="G390" s="25">
        <v>2430.0</v>
      </c>
      <c r="H390" s="25">
        <f t="shared" si="2"/>
        <v>2430</v>
      </c>
      <c r="I390" s="27">
        <v>4000.0</v>
      </c>
      <c r="J390" s="27" t="s">
        <v>3</v>
      </c>
    </row>
    <row r="391" hidden="1">
      <c r="A391" s="74">
        <v>45848.0</v>
      </c>
      <c r="B391" s="75" t="s">
        <v>199</v>
      </c>
      <c r="C391" s="96">
        <v>257.0</v>
      </c>
      <c r="D391" s="77" t="str">
        <f>IF(Tabla_3[COD]="","",VLOOKUP(Tabla_3[COD],'Stock inicial'!A:D,2,FALSE))</f>
        <v>MAGISTRAL ECO (LIMON AMARILLO) 1L</v>
      </c>
      <c r="E391" s="59">
        <v>1.0</v>
      </c>
      <c r="F391" s="103">
        <v>690.0</v>
      </c>
      <c r="G391" s="25">
        <v>280.0</v>
      </c>
      <c r="H391" s="25">
        <f t="shared" si="2"/>
        <v>280</v>
      </c>
      <c r="I391" s="27">
        <v>690.0</v>
      </c>
      <c r="J391" s="141" t="s">
        <v>11</v>
      </c>
    </row>
    <row r="392" hidden="1">
      <c r="A392" s="78">
        <v>45848.0</v>
      </c>
      <c r="B392" s="91"/>
      <c r="C392" s="99">
        <v>285.0</v>
      </c>
      <c r="D392" s="81" t="str">
        <f>IF(Tabla_3[COD]="","",VLOOKUP(Tabla_3[COD],'Stock inicial'!A:D,2,FALSE))</f>
        <v>JABON LIQUIDO  P/MANOS COCO 1/2L</v>
      </c>
      <c r="E392" s="58">
        <v>1.0</v>
      </c>
      <c r="F392" s="103">
        <v>999.0</v>
      </c>
      <c r="G392" s="25">
        <v>199.0</v>
      </c>
      <c r="H392" s="25">
        <f t="shared" si="2"/>
        <v>199</v>
      </c>
      <c r="I392" s="27">
        <v>999.0</v>
      </c>
      <c r="J392" s="141" t="s">
        <v>11</v>
      </c>
    </row>
    <row r="393" hidden="1">
      <c r="A393" s="74">
        <v>45848.0</v>
      </c>
      <c r="B393" s="92"/>
      <c r="C393" s="98">
        <v>226.0</v>
      </c>
      <c r="D393" s="87" t="str">
        <f>IF(Tabla_3[COD]="","",VLOOKUP(Tabla_3[COD],'Stock inicial'!A:D,2,FALSE))</f>
        <v>GATI GATO CARNE Y POLLO</v>
      </c>
      <c r="E393" s="59">
        <v>1.0</v>
      </c>
      <c r="F393" s="103">
        <v>2700.0</v>
      </c>
      <c r="G393" s="25">
        <v>2073.33</v>
      </c>
      <c r="H393" s="25">
        <f t="shared" si="2"/>
        <v>2073.33</v>
      </c>
      <c r="I393" s="27">
        <v>2700.0</v>
      </c>
      <c r="J393" s="141" t="s">
        <v>11</v>
      </c>
    </row>
    <row r="394" hidden="1">
      <c r="A394" s="78">
        <v>45848.0</v>
      </c>
      <c r="B394" s="82" t="s">
        <v>200</v>
      </c>
      <c r="C394" s="40">
        <v>246.0</v>
      </c>
      <c r="D394" s="84" t="str">
        <f>IF(Tabla_3[COD]="","",VLOOKUP(Tabla_3[COD],'Stock inicial'!A:D,2,FALSE))</f>
        <v>ARIEL ECO (VERDE) 5L</v>
      </c>
      <c r="E394" s="58">
        <v>1.0</v>
      </c>
      <c r="F394" s="103">
        <v>1990.0</v>
      </c>
      <c r="G394" s="25">
        <v>1143.0</v>
      </c>
      <c r="H394" s="25">
        <f t="shared" si="2"/>
        <v>1143</v>
      </c>
      <c r="I394" s="27">
        <v>1990.0</v>
      </c>
      <c r="J394" s="27" t="s">
        <v>3</v>
      </c>
    </row>
    <row r="395" hidden="1">
      <c r="A395" s="74">
        <v>45848.0</v>
      </c>
      <c r="B395" s="92"/>
      <c r="C395" s="51">
        <v>252.0</v>
      </c>
      <c r="D395" s="87" t="str">
        <f>IF(Tabla_3[COD]="","",VLOOKUP(Tabla_3[COD],'Stock inicial'!A:D,2,FALSE))</f>
        <v>VIVERE ECO (CELESTE) 5L</v>
      </c>
      <c r="E395" s="59">
        <v>1.0</v>
      </c>
      <c r="F395" s="103">
        <v>2400.0</v>
      </c>
      <c r="G395" s="25">
        <v>1480.0</v>
      </c>
      <c r="H395" s="25">
        <f t="shared" si="2"/>
        <v>1480</v>
      </c>
      <c r="I395" s="27">
        <v>2400.0</v>
      </c>
      <c r="J395" s="27" t="s">
        <v>3</v>
      </c>
    </row>
    <row r="396" hidden="1">
      <c r="A396" s="78">
        <v>45848.0</v>
      </c>
      <c r="B396" s="91"/>
      <c r="C396" s="50">
        <v>258.0</v>
      </c>
      <c r="D396" s="81" t="str">
        <f>IF(Tabla_3[COD]="","",VLOOKUP(Tabla_3[COD],'Stock inicial'!A:D,2,FALSE))</f>
        <v>MAGISTRAL ECO (LIMON AMARILLO) 5L</v>
      </c>
      <c r="E396" s="58">
        <v>1.0</v>
      </c>
      <c r="F396" s="103">
        <v>2490.0</v>
      </c>
      <c r="G396" s="25">
        <v>1400.0</v>
      </c>
      <c r="H396" s="25">
        <f t="shared" si="2"/>
        <v>1400</v>
      </c>
      <c r="I396" s="27">
        <v>2490.0</v>
      </c>
      <c r="J396" s="27" t="s">
        <v>3</v>
      </c>
    </row>
    <row r="397" hidden="1">
      <c r="A397" s="74">
        <v>45848.0</v>
      </c>
      <c r="B397" s="92"/>
      <c r="C397" s="51">
        <v>278.0</v>
      </c>
      <c r="D397" s="87" t="str">
        <f>IF(Tabla_3[COD]="","",VLOOKUP(Tabla_3[COD],'Stock inicial'!A:D,2,FALSE))</f>
        <v>PERFUMINA LIMON 5L</v>
      </c>
      <c r="E397" s="59">
        <v>1.0</v>
      </c>
      <c r="F397" s="103">
        <v>990.0</v>
      </c>
      <c r="G397" s="25">
        <v>287.25</v>
      </c>
      <c r="H397" s="25">
        <f t="shared" si="2"/>
        <v>287.25</v>
      </c>
      <c r="I397" s="27">
        <v>990.0</v>
      </c>
      <c r="J397" s="27" t="s">
        <v>3</v>
      </c>
    </row>
    <row r="398" hidden="1">
      <c r="A398" s="78">
        <v>45848.0</v>
      </c>
      <c r="B398" s="91"/>
      <c r="C398" s="50">
        <v>290.0</v>
      </c>
      <c r="D398" s="81" t="str">
        <f>IF(Tabla_3[COD]="","",VLOOKUP(Tabla_3[COD],'Stock inicial'!A:D,2,FALSE))</f>
        <v>LAVANDINA 5L</v>
      </c>
      <c r="E398" s="58">
        <v>1.0</v>
      </c>
      <c r="F398" s="103">
        <v>1990.0</v>
      </c>
      <c r="G398" s="25">
        <v>1080.0</v>
      </c>
      <c r="H398" s="25">
        <f t="shared" si="2"/>
        <v>1080</v>
      </c>
      <c r="I398" s="27">
        <v>1990.0</v>
      </c>
      <c r="J398" s="27" t="s">
        <v>3</v>
      </c>
    </row>
    <row r="399" hidden="1">
      <c r="A399" s="74">
        <v>45848.0</v>
      </c>
      <c r="B399" s="92"/>
      <c r="C399" s="101"/>
      <c r="D399" s="87" t="s">
        <v>93</v>
      </c>
      <c r="E399" s="59">
        <v>1.0</v>
      </c>
      <c r="F399" s="103">
        <v>140.0</v>
      </c>
      <c r="G399" s="27"/>
      <c r="H399" s="27">
        <f t="shared" si="2"/>
        <v>0</v>
      </c>
      <c r="I399" s="27">
        <v>140.0</v>
      </c>
      <c r="J399" s="27" t="s">
        <v>3</v>
      </c>
    </row>
    <row r="400" hidden="1">
      <c r="A400" s="78">
        <v>45848.0</v>
      </c>
      <c r="B400" s="82" t="s">
        <v>201</v>
      </c>
      <c r="C400" s="97">
        <v>212.0</v>
      </c>
      <c r="D400" s="84" t="str">
        <f>IF(Tabla_3[COD]="","",VLOOKUP(Tabla_3[COD],'Stock inicial'!A:D,2,FALSE))</f>
        <v>DOGPRO ADULTO MORDIDA PEQUEñA XKG</v>
      </c>
      <c r="E400" s="58">
        <v>0.5</v>
      </c>
      <c r="F400" s="103">
        <v>3700.0</v>
      </c>
      <c r="G400" s="160">
        <v>2778.13</v>
      </c>
      <c r="H400" s="25">
        <f t="shared" si="2"/>
        <v>1389.065</v>
      </c>
      <c r="I400" s="27">
        <v>1850.0</v>
      </c>
      <c r="J400" s="27" t="s">
        <v>3</v>
      </c>
    </row>
    <row r="401" hidden="1">
      <c r="A401" s="74">
        <v>45848.0</v>
      </c>
      <c r="B401" s="92"/>
      <c r="C401" s="98">
        <v>223.0</v>
      </c>
      <c r="D401" s="87" t="str">
        <f>IF(Tabla_3[COD]="","",VLOOKUP(Tabla_3[COD],'Stock inicial'!A:D,2,FALSE))</f>
        <v>VORAZ PERRO ADULTO MIX</v>
      </c>
      <c r="E401" s="27">
        <v>0.5</v>
      </c>
      <c r="F401" s="24">
        <v>1100.0</v>
      </c>
      <c r="G401" s="161">
        <v>819.5</v>
      </c>
      <c r="H401" s="25">
        <f t="shared" si="2"/>
        <v>409.75</v>
      </c>
      <c r="I401" s="27">
        <f t="shared" ref="I401:I412" si="5">F401*E401</f>
        <v>550</v>
      </c>
      <c r="J401" s="27" t="s">
        <v>3</v>
      </c>
    </row>
    <row r="402" hidden="1">
      <c r="A402" s="78">
        <v>45848.0</v>
      </c>
      <c r="B402" s="68" t="s">
        <v>202</v>
      </c>
      <c r="C402" s="128">
        <v>346.0</v>
      </c>
      <c r="D402" s="129" t="str">
        <f>IF(Tabla_3[COD]="","",VLOOKUP(Tabla_3[COD],'Stock inicial'!A:D,2,FALSE))</f>
        <v>ESPONJA GIGANTE ACERO </v>
      </c>
      <c r="E402" s="58">
        <v>1.0</v>
      </c>
      <c r="F402" s="158">
        <v>790.0</v>
      </c>
      <c r="G402" s="160">
        <v>570.0</v>
      </c>
      <c r="H402" s="25">
        <f t="shared" si="2"/>
        <v>570</v>
      </c>
      <c r="I402" s="27">
        <f t="shared" si="5"/>
        <v>790</v>
      </c>
      <c r="J402" s="27" t="s">
        <v>11</v>
      </c>
    </row>
    <row r="403" hidden="1">
      <c r="A403" s="74">
        <v>45848.0</v>
      </c>
      <c r="B403" s="100" t="s">
        <v>203</v>
      </c>
      <c r="C403" s="98">
        <v>162.0</v>
      </c>
      <c r="D403" s="87" t="str">
        <f>IF(Tabla_3[COD]="","",VLOOKUP(Tabla_3[COD],'Stock inicial'!A:D,2,FALSE))</f>
        <v>PIEDRA SANITARIA THEBEST X20KG</v>
      </c>
      <c r="E403" s="59">
        <v>3.45</v>
      </c>
      <c r="F403" s="158">
        <v>580.0</v>
      </c>
      <c r="G403" s="161">
        <v>430.0</v>
      </c>
      <c r="H403" s="25">
        <f t="shared" si="2"/>
        <v>1483.5</v>
      </c>
      <c r="I403" s="27">
        <f t="shared" si="5"/>
        <v>2001</v>
      </c>
      <c r="J403" s="27" t="s">
        <v>3</v>
      </c>
    </row>
    <row r="404" hidden="1">
      <c r="A404" s="78">
        <v>45849.0</v>
      </c>
      <c r="B404" s="82" t="s">
        <v>204</v>
      </c>
      <c r="C404" s="97">
        <v>319.0</v>
      </c>
      <c r="D404" s="84" t="str">
        <f>IF(Tabla_3[COD]="","",VLOOKUP(Tabla_3[COD],'Stock inicial'!A:D,2,FALSE))</f>
        <v>CABO 1.5CM</v>
      </c>
      <c r="E404" s="58">
        <v>1.0</v>
      </c>
      <c r="F404" s="158">
        <v>1990.0</v>
      </c>
      <c r="G404" s="160">
        <v>1100.0</v>
      </c>
      <c r="H404" s="25">
        <f t="shared" si="2"/>
        <v>1100</v>
      </c>
      <c r="I404" s="27">
        <f t="shared" si="5"/>
        <v>1990</v>
      </c>
      <c r="J404" s="27" t="s">
        <v>3</v>
      </c>
    </row>
    <row r="405" hidden="1">
      <c r="A405" s="74">
        <v>45849.0</v>
      </c>
      <c r="B405" s="92"/>
      <c r="C405" s="98">
        <v>249.0</v>
      </c>
      <c r="D405" s="87" t="str">
        <f>IF(Tabla_3[COD]="","",VLOOKUP(Tabla_3[COD],'Stock inicial'!A:D,2,FALSE))</f>
        <v>ARIEL. EXT. PERF. (VERDE CON SUAVIZANTE) 1L</v>
      </c>
      <c r="E405" s="59">
        <v>1.0</v>
      </c>
      <c r="F405" s="158">
        <v>1500.0</v>
      </c>
      <c r="G405" s="161">
        <v>486.0</v>
      </c>
      <c r="H405" s="25">
        <f t="shared" si="2"/>
        <v>486</v>
      </c>
      <c r="I405" s="27">
        <f t="shared" si="5"/>
        <v>1500</v>
      </c>
      <c r="J405" s="27" t="s">
        <v>3</v>
      </c>
    </row>
    <row r="406" hidden="1">
      <c r="A406" s="78">
        <v>45849.0</v>
      </c>
      <c r="B406" s="91"/>
      <c r="C406" s="99">
        <v>216.0</v>
      </c>
      <c r="D406" s="81" t="str">
        <f>IF(Tabla_3[COD]="","",VLOOKUP(Tabla_3[COD],'Stock inicial'!A:D,2,FALSE))</f>
        <v>EXCELLENT PUPPY FORMULA XKG</v>
      </c>
      <c r="E406" s="58">
        <v>1.0</v>
      </c>
      <c r="F406" s="158">
        <v>3400.0</v>
      </c>
      <c r="G406" s="160">
        <v>2361.8</v>
      </c>
      <c r="H406" s="25">
        <f t="shared" si="2"/>
        <v>2361.8</v>
      </c>
      <c r="I406" s="27">
        <f t="shared" si="5"/>
        <v>3400</v>
      </c>
      <c r="J406" s="27" t="s">
        <v>3</v>
      </c>
    </row>
    <row r="407" hidden="1">
      <c r="A407" s="74">
        <v>45849.0</v>
      </c>
      <c r="B407" s="75" t="s">
        <v>205</v>
      </c>
      <c r="C407" s="96">
        <v>275.0</v>
      </c>
      <c r="D407" s="77" t="str">
        <f>IF(Tabla_3[COD]="","",VLOOKUP(Tabla_3[COD],'Stock inicial'!A:D,2,FALSE))</f>
        <v>PERFUMINA UVA 1L</v>
      </c>
      <c r="E407" s="59">
        <v>2.0</v>
      </c>
      <c r="F407" s="158">
        <v>290.0</v>
      </c>
      <c r="G407" s="161">
        <v>57.45</v>
      </c>
      <c r="H407" s="25">
        <f t="shared" si="2"/>
        <v>114.9</v>
      </c>
      <c r="I407" s="27">
        <f t="shared" si="5"/>
        <v>580</v>
      </c>
      <c r="J407" s="27" t="s">
        <v>3</v>
      </c>
    </row>
    <row r="408" hidden="1">
      <c r="A408" s="78">
        <v>45849.0</v>
      </c>
      <c r="B408" s="82" t="s">
        <v>206</v>
      </c>
      <c r="C408" s="97">
        <v>328.0</v>
      </c>
      <c r="D408" s="84" t="str">
        <f>IF(Tabla_3[COD]="","",VLOOKUP(Tabla_3[COD],'Stock inicial'!A:D,2,FALSE))</f>
        <v>TRAPO DE PISO "ESTRELLA" 48X60CM</v>
      </c>
      <c r="E408" s="58">
        <v>2.0</v>
      </c>
      <c r="F408" s="158">
        <v>999.0</v>
      </c>
      <c r="G408" s="160">
        <v>595.0</v>
      </c>
      <c r="H408" s="25">
        <f t="shared" si="2"/>
        <v>1190</v>
      </c>
      <c r="I408" s="27">
        <f t="shared" si="5"/>
        <v>1998</v>
      </c>
      <c r="J408" s="27" t="s">
        <v>3</v>
      </c>
    </row>
    <row r="409" hidden="1">
      <c r="A409" s="74">
        <v>45849.0</v>
      </c>
      <c r="B409" s="75" t="s">
        <v>207</v>
      </c>
      <c r="C409" s="96">
        <v>370.0</v>
      </c>
      <c r="D409" s="77" t="str">
        <f>IF(Tabla_3[COD]="","",VLOOKUP(Tabla_3[COD],'Stock inicial'!A:D,2,FALSE))</f>
        <v>CUBO 3 POSICIONES</v>
      </c>
      <c r="E409" s="59">
        <v>1.0</v>
      </c>
      <c r="F409" s="158">
        <v>30000.0</v>
      </c>
      <c r="G409" s="161">
        <v>20000.0</v>
      </c>
      <c r="H409" s="25">
        <f t="shared" si="2"/>
        <v>20000</v>
      </c>
      <c r="I409" s="27">
        <f t="shared" si="5"/>
        <v>30000</v>
      </c>
      <c r="J409" s="27" t="s">
        <v>3</v>
      </c>
    </row>
    <row r="410" hidden="1">
      <c r="A410" s="78">
        <v>45849.0</v>
      </c>
      <c r="B410" s="82" t="s">
        <v>208</v>
      </c>
      <c r="C410" s="97">
        <v>212.0</v>
      </c>
      <c r="D410" s="84" t="str">
        <f>IF(Tabla_3[COD]="","",VLOOKUP(Tabla_3[COD],'Stock inicial'!A:D,2,FALSE))</f>
        <v>DOGPRO ADULTO MORDIDA PEQUEñA XKG</v>
      </c>
      <c r="E410" s="58">
        <v>2.0</v>
      </c>
      <c r="F410" s="158">
        <v>3700.0</v>
      </c>
      <c r="G410" s="160">
        <v>2778.13</v>
      </c>
      <c r="H410" s="25">
        <f t="shared" si="2"/>
        <v>5556.26</v>
      </c>
      <c r="I410" s="27">
        <f t="shared" si="5"/>
        <v>7400</v>
      </c>
      <c r="J410" s="27" t="s">
        <v>3</v>
      </c>
    </row>
    <row r="411" hidden="1">
      <c r="A411" s="74">
        <v>45849.0</v>
      </c>
      <c r="B411" s="75" t="s">
        <v>209</v>
      </c>
      <c r="C411" s="96">
        <v>250.0</v>
      </c>
      <c r="D411" s="77" t="str">
        <f>IF(Tabla_3[COD]="","",VLOOKUP(Tabla_3[COD],'Stock inicial'!A:D,2,FALSE))</f>
        <v>ARIEL. EXT. PERF. (VERDE CON SUAVIZANTE) 5L</v>
      </c>
      <c r="E411" s="59">
        <v>1.0</v>
      </c>
      <c r="F411" s="158">
        <v>4500.0</v>
      </c>
      <c r="G411" s="161">
        <v>2430.0</v>
      </c>
      <c r="H411" s="25">
        <f t="shared" si="2"/>
        <v>2430</v>
      </c>
      <c r="I411" s="27">
        <f t="shared" si="5"/>
        <v>4500</v>
      </c>
      <c r="J411" s="27" t="s">
        <v>3</v>
      </c>
    </row>
    <row r="412" hidden="1">
      <c r="A412" s="78">
        <v>45849.0</v>
      </c>
      <c r="B412" s="82" t="s">
        <v>210</v>
      </c>
      <c r="C412" s="128">
        <v>216.0</v>
      </c>
      <c r="D412" s="129" t="str">
        <f>IF(Tabla_3[COD]="","",VLOOKUP(Tabla_3[COD],'Stock inicial'!A:D,2,FALSE))</f>
        <v>EXCELLENT PUPPY FORMULA XKG</v>
      </c>
      <c r="E412" s="58">
        <v>1.0</v>
      </c>
      <c r="F412" s="158">
        <v>3400.0</v>
      </c>
      <c r="G412" s="160">
        <v>2361.8</v>
      </c>
      <c r="H412" s="25">
        <f t="shared" si="2"/>
        <v>2361.8</v>
      </c>
      <c r="I412" s="27">
        <f t="shared" si="5"/>
        <v>3400</v>
      </c>
      <c r="J412" s="27" t="s">
        <v>11</v>
      </c>
    </row>
    <row r="413" hidden="1">
      <c r="A413" s="74">
        <v>45849.0</v>
      </c>
      <c r="B413" s="75" t="s">
        <v>211</v>
      </c>
      <c r="C413" s="96">
        <v>225.0</v>
      </c>
      <c r="D413" s="77" t="str">
        <f>IF(Tabla_3[COD]="","",VLOOKUP(Tabla_3[COD],'Stock inicial'!A:D,2,FALSE))</f>
        <v>GATI GATO PESCADO Y SALMON</v>
      </c>
      <c r="E413" s="59">
        <v>1.05</v>
      </c>
      <c r="F413" s="158">
        <v>2900.0</v>
      </c>
      <c r="G413" s="162">
        <v>2206.0</v>
      </c>
      <c r="H413" s="25">
        <v>2316.3</v>
      </c>
      <c r="I413" s="27">
        <v>3045.0</v>
      </c>
      <c r="J413" s="27" t="s">
        <v>3</v>
      </c>
    </row>
    <row r="414" hidden="1">
      <c r="A414" s="78">
        <v>45850.0</v>
      </c>
      <c r="B414" s="82" t="s">
        <v>212</v>
      </c>
      <c r="C414" s="97">
        <v>162.0</v>
      </c>
      <c r="D414" s="84" t="str">
        <f>IF(Tabla_3[COD]="","",VLOOKUP(Tabla_3[COD],'Stock inicial'!A:D,2,FALSE))</f>
        <v>PIEDRA SANITARIA THEBEST X20KG</v>
      </c>
      <c r="E414" s="58">
        <v>2.8</v>
      </c>
      <c r="F414" s="158">
        <v>580.0</v>
      </c>
      <c r="G414" s="162">
        <v>430.0</v>
      </c>
      <c r="H414" s="25">
        <v>1204.0</v>
      </c>
      <c r="I414" s="27">
        <v>1624.0</v>
      </c>
      <c r="J414" s="27" t="s">
        <v>3</v>
      </c>
    </row>
    <row r="415" hidden="1">
      <c r="A415" s="74">
        <v>45850.0</v>
      </c>
      <c r="B415" s="75" t="s">
        <v>213</v>
      </c>
      <c r="C415" s="96">
        <v>314.0</v>
      </c>
      <c r="D415" s="77" t="str">
        <f>IF(Tabla_3[COD]="","",VLOOKUP(Tabla_3[COD],'Stock inicial'!A:D,2,FALSE))</f>
        <v>VALERINA CHICA</v>
      </c>
      <c r="E415" s="59">
        <v>1.0</v>
      </c>
      <c r="F415" s="158">
        <v>899.0</v>
      </c>
      <c r="G415" s="162">
        <v>342.0</v>
      </c>
      <c r="H415" s="25">
        <v>342.0</v>
      </c>
      <c r="I415" s="27">
        <v>899.0</v>
      </c>
      <c r="J415" s="27" t="s">
        <v>3</v>
      </c>
    </row>
    <row r="416" hidden="1">
      <c r="A416" s="78">
        <v>45850.0</v>
      </c>
      <c r="B416" s="82" t="s">
        <v>214</v>
      </c>
      <c r="C416" s="97">
        <v>223.0</v>
      </c>
      <c r="D416" s="84" t="str">
        <f>IF(Tabla_3[COD]="","",VLOOKUP(Tabla_3[COD],'Stock inicial'!A:D,2,FALSE))</f>
        <v>VORAZ PERRO ADULTO MIX</v>
      </c>
      <c r="E416" s="58">
        <v>2.0</v>
      </c>
      <c r="F416" s="158">
        <v>1100.0</v>
      </c>
      <c r="G416" s="162">
        <v>819.5</v>
      </c>
      <c r="H416" s="25">
        <v>1639.0</v>
      </c>
      <c r="I416" s="27">
        <v>2200.0</v>
      </c>
      <c r="J416" s="27" t="s">
        <v>3</v>
      </c>
    </row>
    <row r="417" hidden="1">
      <c r="A417" s="74">
        <v>45850.0</v>
      </c>
      <c r="B417" s="92"/>
      <c r="C417" s="98">
        <v>149.0</v>
      </c>
      <c r="D417" s="87" t="str">
        <f>IF(Tabla_3[COD]="","",VLOOKUP(Tabla_3[COD],'Stock inicial'!A:D,2,FALSE))</f>
        <v>PALITOS MASTICABLES IZZY x6</v>
      </c>
      <c r="E417" s="59">
        <v>1.0</v>
      </c>
      <c r="F417" s="158">
        <v>600.0</v>
      </c>
      <c r="G417" s="162">
        <v>238.56</v>
      </c>
      <c r="H417" s="25">
        <v>238.56</v>
      </c>
      <c r="I417" s="27">
        <v>600.0</v>
      </c>
      <c r="J417" s="27" t="s">
        <v>3</v>
      </c>
    </row>
    <row r="418" hidden="1">
      <c r="A418" s="78">
        <v>45850.0</v>
      </c>
      <c r="B418" s="91"/>
      <c r="C418" s="95"/>
      <c r="D418" s="81" t="s">
        <v>152</v>
      </c>
      <c r="E418" s="58">
        <v>1.0</v>
      </c>
      <c r="F418" s="24">
        <v>-300.0</v>
      </c>
      <c r="G418" s="158"/>
      <c r="H418" s="27"/>
      <c r="I418" s="27">
        <v>-300.0</v>
      </c>
      <c r="J418" s="27" t="s">
        <v>3</v>
      </c>
    </row>
    <row r="419" hidden="1">
      <c r="A419" s="74">
        <v>45850.0</v>
      </c>
      <c r="B419" s="92"/>
      <c r="C419" s="98">
        <v>226.0</v>
      </c>
      <c r="D419" s="87" t="str">
        <f>IF(Tabla_3[COD]="","",VLOOKUP(Tabla_3[COD],'Stock inicial'!A:D,2,FALSE))</f>
        <v>GATI GATO CARNE Y POLLO</v>
      </c>
      <c r="E419" s="59">
        <v>1.0</v>
      </c>
      <c r="F419" s="158">
        <v>2700.0</v>
      </c>
      <c r="G419" s="162">
        <v>2073.33</v>
      </c>
      <c r="H419" s="25">
        <v>2073.33</v>
      </c>
      <c r="I419" s="27">
        <v>2700.0</v>
      </c>
      <c r="J419" s="27" t="s">
        <v>3</v>
      </c>
    </row>
    <row r="420" hidden="1">
      <c r="A420" s="78">
        <v>45850.0</v>
      </c>
      <c r="B420" s="82" t="s">
        <v>215</v>
      </c>
      <c r="C420" s="97">
        <v>234.0</v>
      </c>
      <c r="D420" s="84" t="str">
        <f>IF(Tabla_3[COD]="","",VLOOKUP(Tabla_3[COD],'Stock inicial'!A:D,2,FALSE))</f>
        <v>CAT CHOW ADULTO CARNE POLLO</v>
      </c>
      <c r="E420" s="58">
        <v>1.0</v>
      </c>
      <c r="F420" s="158">
        <v>4700.0</v>
      </c>
      <c r="G420" s="162">
        <v>3586.66</v>
      </c>
      <c r="H420" s="25">
        <v>3586.66</v>
      </c>
      <c r="I420" s="27">
        <v>4700.0</v>
      </c>
      <c r="J420" s="27" t="s">
        <v>3</v>
      </c>
    </row>
    <row r="421" hidden="1">
      <c r="A421" s="74">
        <v>45850.0</v>
      </c>
      <c r="B421" s="75" t="s">
        <v>216</v>
      </c>
      <c r="C421" s="96">
        <v>137.0</v>
      </c>
      <c r="D421" s="77" t="str">
        <f>IF(Tabla_3[COD]="","",VLOOKUP(Tabla_3[COD],'Stock inicial'!A:D,2,FALSE))</f>
        <v>PELOTA SOFT</v>
      </c>
      <c r="E421" s="59">
        <v>2.0</v>
      </c>
      <c r="F421" s="158">
        <v>1000.0</v>
      </c>
      <c r="G421" s="162">
        <v>659.33</v>
      </c>
      <c r="H421" s="25">
        <v>1318.66</v>
      </c>
      <c r="I421" s="27">
        <v>2000.0</v>
      </c>
      <c r="J421" s="27" t="s">
        <v>11</v>
      </c>
    </row>
    <row r="422" hidden="1">
      <c r="A422" s="78">
        <v>45850.0</v>
      </c>
      <c r="B422" s="91"/>
      <c r="C422" s="99">
        <v>212.0</v>
      </c>
      <c r="D422" s="81" t="str">
        <f>IF(Tabla_3[COD]="","",VLOOKUP(Tabla_3[COD],'Stock inicial'!A:D,2,FALSE))</f>
        <v>DOGPRO ADULTO MORDIDA PEQUEñA XKG</v>
      </c>
      <c r="E422" s="58">
        <v>2.0</v>
      </c>
      <c r="F422" s="158">
        <v>3700.0</v>
      </c>
      <c r="G422" s="162">
        <v>2778.13</v>
      </c>
      <c r="H422" s="25">
        <v>5556.26</v>
      </c>
      <c r="I422" s="27">
        <v>7400.0</v>
      </c>
      <c r="J422" s="27" t="s">
        <v>11</v>
      </c>
    </row>
    <row r="423" hidden="1">
      <c r="A423" s="74">
        <v>45850.0</v>
      </c>
      <c r="B423" s="92"/>
      <c r="C423" s="101"/>
      <c r="D423" s="87" t="s">
        <v>112</v>
      </c>
      <c r="E423" s="59">
        <v>1.0</v>
      </c>
      <c r="F423" s="24">
        <v>-185.0</v>
      </c>
      <c r="G423" s="158"/>
      <c r="H423" s="27"/>
      <c r="I423" s="27">
        <v>-185.0</v>
      </c>
      <c r="J423" s="27" t="s">
        <v>11</v>
      </c>
    </row>
    <row r="424" hidden="1">
      <c r="A424" s="78">
        <v>45850.0</v>
      </c>
      <c r="B424" s="82" t="s">
        <v>217</v>
      </c>
      <c r="C424" s="40">
        <v>158.0</v>
      </c>
      <c r="D424" s="84" t="str">
        <f>IF(Tabla_3[COD]="","",VLOOKUP(Tabla_3[COD],'Stock inicial'!A:D,2,FALSE))</f>
        <v>PELLET SANITARIA BEDYWOOD X 15KG</v>
      </c>
      <c r="E424" s="58">
        <v>2.6</v>
      </c>
      <c r="F424" s="158">
        <v>790.0</v>
      </c>
      <c r="G424" s="162">
        <v>484.53</v>
      </c>
      <c r="H424" s="25">
        <v>1259.778</v>
      </c>
      <c r="I424" s="27">
        <v>2054.0</v>
      </c>
      <c r="J424" s="27" t="s">
        <v>11</v>
      </c>
    </row>
    <row r="425" hidden="1">
      <c r="A425" s="74">
        <v>45850.0</v>
      </c>
      <c r="B425" s="92"/>
      <c r="C425" s="51">
        <v>234.0</v>
      </c>
      <c r="D425" s="87" t="str">
        <f>IF(Tabla_3[COD]="","",VLOOKUP(Tabla_3[COD],'Stock inicial'!A:D,2,FALSE))</f>
        <v>CAT CHOW ADULTO CARNE POLLO</v>
      </c>
      <c r="E425" s="59">
        <v>1.0</v>
      </c>
      <c r="F425" s="158">
        <v>4700.0</v>
      </c>
      <c r="G425" s="162">
        <v>3586.66</v>
      </c>
      <c r="H425" s="25">
        <v>3586.66</v>
      </c>
      <c r="I425" s="27">
        <v>4700.0</v>
      </c>
      <c r="J425" s="27" t="s">
        <v>11</v>
      </c>
    </row>
    <row r="426" hidden="1">
      <c r="A426" s="78">
        <v>45850.0</v>
      </c>
      <c r="B426" s="82" t="s">
        <v>218</v>
      </c>
      <c r="C426" s="97">
        <v>266.0</v>
      </c>
      <c r="D426" s="84" t="str">
        <f>IF(Tabla_3[COD]="","",VLOOKUP(Tabla_3[COD],'Stock inicial'!A:D,2,FALSE))</f>
        <v>DESENGRASANTE COCINA 1L</v>
      </c>
      <c r="E426" s="58">
        <v>1.0</v>
      </c>
      <c r="F426" s="158">
        <v>799.0</v>
      </c>
      <c r="G426" s="162">
        <v>200.0</v>
      </c>
      <c r="H426" s="25">
        <v>200.0</v>
      </c>
      <c r="I426" s="27">
        <v>799.0</v>
      </c>
      <c r="J426" s="27" t="s">
        <v>3</v>
      </c>
    </row>
    <row r="427" hidden="1">
      <c r="A427" s="147">
        <v>45852.0</v>
      </c>
      <c r="B427" s="104" t="s">
        <v>219</v>
      </c>
      <c r="C427" s="105">
        <v>2440.0</v>
      </c>
      <c r="D427" s="106" t="str">
        <f>IF(Tabla_3[COD]="","",VLOOKUP(Tabla_3[COD],'Stock inicial'!A:D,2,FALSE))</f>
        <v>SEMILLAS GIRASOL</v>
      </c>
      <c r="E427" s="148">
        <v>1.0</v>
      </c>
      <c r="F427" s="149">
        <v>2200.0</v>
      </c>
      <c r="G427" s="142">
        <v>1525.0</v>
      </c>
      <c r="H427" s="143">
        <v>1525.0</v>
      </c>
      <c r="I427" s="141">
        <v>2200.0</v>
      </c>
      <c r="J427" s="141" t="s">
        <v>3</v>
      </c>
    </row>
    <row r="428" hidden="1">
      <c r="A428" s="147">
        <v>45852.0</v>
      </c>
      <c r="B428" s="163"/>
      <c r="C428" s="164">
        <v>365.0</v>
      </c>
      <c r="D428" s="165" t="str">
        <f>IF(Tabla_3[COD]="","",VLOOKUP(Tabla_3[COD],'Stock inicial'!A:D,2,FALSE))</f>
        <v>CAMITAS 1x70</v>
      </c>
      <c r="E428" s="148">
        <v>1.0</v>
      </c>
      <c r="F428" s="149">
        <v>19500.0</v>
      </c>
      <c r="G428" s="142">
        <v>13000.0</v>
      </c>
      <c r="H428" s="143">
        <v>13000.0</v>
      </c>
      <c r="I428" s="141">
        <v>19500.0</v>
      </c>
      <c r="J428" s="141" t="s">
        <v>3</v>
      </c>
    </row>
    <row r="429" hidden="1">
      <c r="A429" s="74">
        <v>45850.0</v>
      </c>
      <c r="B429" s="100" t="s">
        <v>220</v>
      </c>
      <c r="C429" s="98">
        <v>227.0</v>
      </c>
      <c r="D429" s="87" t="str">
        <f>IF(Tabla_3[COD]="","",VLOOKUP(Tabla_3[COD],'Stock inicial'!A:D,2,FALSE))</f>
        <v>CATPRO GATO ADULTO</v>
      </c>
      <c r="E429" s="59">
        <v>1.0</v>
      </c>
      <c r="F429" s="149">
        <v>5250.0</v>
      </c>
      <c r="G429" s="142">
        <v>3657.41</v>
      </c>
      <c r="H429" s="143">
        <v>3657.41</v>
      </c>
      <c r="I429" s="141">
        <v>5250.0</v>
      </c>
      <c r="J429" s="27" t="s">
        <v>3</v>
      </c>
    </row>
    <row r="430" hidden="1">
      <c r="A430" s="78">
        <v>45850.0</v>
      </c>
      <c r="B430" s="145"/>
      <c r="C430" s="126">
        <v>229.0</v>
      </c>
      <c r="D430" s="127" t="str">
        <f>IF(Tabla_3[COD]="","",VLOOKUP(Tabla_3[COD],'Stock inicial'!A:D,2,FALSE))</f>
        <v>EXCELLENT GATO ADULTO</v>
      </c>
      <c r="E430" s="58">
        <v>1.01</v>
      </c>
      <c r="F430" s="149">
        <v>7500.0</v>
      </c>
      <c r="G430" s="142">
        <v>5239.88</v>
      </c>
      <c r="H430" s="143">
        <v>5292.2788</v>
      </c>
      <c r="I430" s="141">
        <v>7575.0</v>
      </c>
      <c r="J430" s="27" t="s">
        <v>3</v>
      </c>
    </row>
    <row r="431" hidden="1">
      <c r="A431" s="28">
        <v>45850.0</v>
      </c>
      <c r="B431" s="166" t="s">
        <v>221</v>
      </c>
      <c r="C431" s="167">
        <v>257.0</v>
      </c>
      <c r="D431" s="47" t="str">
        <f>IF(Tabla_3[COD]="","",VLOOKUP(Tabla_3[COD],'Stock inicial'!A:D,2,FALSE))</f>
        <v>MAGISTRAL ECO (LIMON AMARILLO) 1L</v>
      </c>
      <c r="E431" s="27">
        <v>1.0</v>
      </c>
      <c r="F431" s="149">
        <v>690.0</v>
      </c>
      <c r="G431" s="142">
        <v>280.0</v>
      </c>
      <c r="H431" s="143">
        <v>280.0</v>
      </c>
      <c r="I431" s="141">
        <v>690.0</v>
      </c>
      <c r="J431" s="27" t="s">
        <v>3</v>
      </c>
    </row>
    <row r="432" hidden="1">
      <c r="A432" s="78">
        <v>45850.0</v>
      </c>
      <c r="B432" s="82" t="s">
        <v>222</v>
      </c>
      <c r="C432" s="97">
        <v>162.0</v>
      </c>
      <c r="D432" s="84" t="str">
        <f>IF(Tabla_3[COD]="","",VLOOKUP(Tabla_3[COD],'Stock inicial'!A:D,2,FALSE))</f>
        <v>PIEDRA SANITARIA THEBEST X20KG</v>
      </c>
      <c r="E432" s="58">
        <v>1.8</v>
      </c>
      <c r="F432" s="149">
        <v>580.0</v>
      </c>
      <c r="G432" s="142">
        <v>430.0</v>
      </c>
      <c r="H432" s="143">
        <v>774.0</v>
      </c>
      <c r="I432" s="141">
        <v>1044.0</v>
      </c>
      <c r="J432" s="27" t="s">
        <v>3</v>
      </c>
    </row>
    <row r="433" hidden="1">
      <c r="A433" s="74">
        <v>45850.0</v>
      </c>
      <c r="B433" s="92"/>
      <c r="C433" s="98">
        <v>216.0</v>
      </c>
      <c r="D433" s="87" t="str">
        <f>IF(Tabla_3[COD]="","",VLOOKUP(Tabla_3[COD],'Stock inicial'!A:D,2,FALSE))</f>
        <v>EXCELLENT PUPPY FORMULA XKG</v>
      </c>
      <c r="E433" s="59">
        <v>1.0</v>
      </c>
      <c r="F433" s="149">
        <v>3400.0</v>
      </c>
      <c r="G433" s="142">
        <v>2361.8</v>
      </c>
      <c r="H433" s="143">
        <v>2361.8</v>
      </c>
      <c r="I433" s="141">
        <v>3400.0</v>
      </c>
      <c r="J433" s="27" t="s">
        <v>3</v>
      </c>
    </row>
    <row r="434" hidden="1">
      <c r="A434" s="78">
        <v>45850.0</v>
      </c>
      <c r="B434" s="82" t="s">
        <v>223</v>
      </c>
      <c r="C434" s="97">
        <v>348.0</v>
      </c>
      <c r="D434" s="84" t="str">
        <f>IF(Tabla_3[COD]="","",VLOOKUP(Tabla_3[COD],'Stock inicial'!A:D,2,FALSE))</f>
        <v>FRANELAS 40X50CM</v>
      </c>
      <c r="E434" s="58">
        <v>1.0</v>
      </c>
      <c r="F434" s="149">
        <v>1499.0</v>
      </c>
      <c r="G434" s="142">
        <v>1203.0</v>
      </c>
      <c r="H434" s="143">
        <v>1203.0</v>
      </c>
      <c r="I434" s="141">
        <v>1499.0</v>
      </c>
      <c r="J434" s="27" t="s">
        <v>3</v>
      </c>
    </row>
    <row r="435" hidden="1">
      <c r="A435" s="74">
        <v>45850.0</v>
      </c>
      <c r="B435" s="92"/>
      <c r="C435" s="98">
        <v>250.0</v>
      </c>
      <c r="D435" s="87" t="str">
        <f>IF(Tabla_3[COD]="","",VLOOKUP(Tabla_3[COD],'Stock inicial'!A:D,2,FALSE))</f>
        <v>ARIEL. EXT. PERF. (VERDE CON SUAVIZANTE) 5L</v>
      </c>
      <c r="E435" s="59">
        <v>1.0</v>
      </c>
      <c r="F435" s="149">
        <v>4500.0</v>
      </c>
      <c r="G435" s="142">
        <v>2430.0</v>
      </c>
      <c r="H435" s="143">
        <v>2430.0</v>
      </c>
      <c r="I435" s="141">
        <v>4500.0</v>
      </c>
      <c r="J435" s="27" t="s">
        <v>3</v>
      </c>
    </row>
    <row r="436" hidden="1">
      <c r="A436" s="78">
        <v>45850.0</v>
      </c>
      <c r="B436" s="139"/>
      <c r="C436" s="99">
        <v>257.0</v>
      </c>
      <c r="D436" s="81" t="str">
        <f>IF(Tabla_3[COD]="","",VLOOKUP(Tabla_3[COD],'Stock inicial'!A:D,2,FALSE))</f>
        <v>MAGISTRAL ECO (LIMON AMARILLO) 1L</v>
      </c>
      <c r="E436" s="58">
        <v>1.0</v>
      </c>
      <c r="F436" s="149">
        <v>999.0</v>
      </c>
      <c r="G436" s="142">
        <v>280.0</v>
      </c>
      <c r="H436" s="143">
        <v>280.0</v>
      </c>
      <c r="I436" s="141">
        <v>999.0</v>
      </c>
      <c r="J436" s="27" t="s">
        <v>3</v>
      </c>
    </row>
    <row r="437" hidden="1">
      <c r="A437" s="74">
        <v>45850.0</v>
      </c>
      <c r="B437" s="92"/>
      <c r="C437" s="98">
        <v>254.0</v>
      </c>
      <c r="D437" s="87" t="str">
        <f>IF(Tabla_3[COD]="","",VLOOKUP(Tabla_3[COD],'Stock inicial'!A:D,2,FALSE))</f>
        <v>COMFORT PREMIUM (ROSA) 5L</v>
      </c>
      <c r="E437" s="59">
        <v>1.0</v>
      </c>
      <c r="F437" s="149">
        <v>2700.0</v>
      </c>
      <c r="G437" s="142">
        <v>1620.0</v>
      </c>
      <c r="H437" s="143">
        <v>1620.0</v>
      </c>
      <c r="I437" s="141">
        <v>2700.0</v>
      </c>
      <c r="J437" s="27" t="s">
        <v>3</v>
      </c>
    </row>
    <row r="438" hidden="1">
      <c r="A438" s="78">
        <v>45850.0</v>
      </c>
      <c r="B438" s="91"/>
      <c r="C438" s="99">
        <v>2912.0</v>
      </c>
      <c r="D438" s="81" t="str">
        <f>IF(Tabla_3[COD]="","",VLOOKUP(Tabla_3[COD],'Stock inicial'!A:D,2,FALSE))</f>
        <v>CLORO 5L</v>
      </c>
      <c r="E438" s="58">
        <v>1.0</v>
      </c>
      <c r="F438" s="149">
        <v>2490.0</v>
      </c>
      <c r="G438" s="142">
        <v>1080.0</v>
      </c>
      <c r="H438" s="143">
        <v>1080.0</v>
      </c>
      <c r="I438" s="141">
        <v>2490.0</v>
      </c>
      <c r="J438" s="27" t="s">
        <v>3</v>
      </c>
    </row>
    <row r="439" hidden="1">
      <c r="A439" s="74">
        <v>45850.0</v>
      </c>
      <c r="B439" s="75" t="s">
        <v>224</v>
      </c>
      <c r="C439" s="96">
        <v>162.0</v>
      </c>
      <c r="D439" s="77" t="str">
        <f>IF(Tabla_3[COD]="","",VLOOKUP(Tabla_3[COD],'Stock inicial'!A:D,2,FALSE))</f>
        <v>PIEDRA SANITARIA THEBEST X20KG</v>
      </c>
      <c r="E439" s="59">
        <v>3.4</v>
      </c>
      <c r="F439" s="149">
        <v>580.0</v>
      </c>
      <c r="G439" s="142">
        <v>430.0</v>
      </c>
      <c r="H439" s="143">
        <v>1462.0</v>
      </c>
      <c r="I439" s="141">
        <v>1972.0</v>
      </c>
      <c r="J439" s="27" t="s">
        <v>3</v>
      </c>
    </row>
    <row r="440" hidden="1">
      <c r="A440" s="78">
        <v>45850.0</v>
      </c>
      <c r="B440" s="91"/>
      <c r="C440" s="99">
        <v>277.0</v>
      </c>
      <c r="D440" s="81" t="str">
        <f>IF(Tabla_3[COD]="","",VLOOKUP(Tabla_3[COD],'Stock inicial'!A:D,2,FALSE))</f>
        <v>PERFUMINA LIMON 1L</v>
      </c>
      <c r="E440" s="58">
        <v>1.0</v>
      </c>
      <c r="F440" s="149">
        <v>599.0</v>
      </c>
      <c r="G440" s="142">
        <v>57.45</v>
      </c>
      <c r="H440" s="143">
        <v>57.45</v>
      </c>
      <c r="I440" s="141">
        <v>599.0</v>
      </c>
      <c r="J440" s="27" t="s">
        <v>3</v>
      </c>
    </row>
    <row r="441" hidden="1">
      <c r="A441" s="74">
        <v>45850.0</v>
      </c>
      <c r="B441" s="92"/>
      <c r="C441" s="98">
        <v>273.0</v>
      </c>
      <c r="D441" s="87" t="str">
        <f>IF(Tabla_3[COD]="","",VLOOKUP(Tabla_3[COD],'Stock inicial'!A:D,2,FALSE))</f>
        <v>PERFUMINA CHERRY 1L</v>
      </c>
      <c r="E441" s="59">
        <v>1.0</v>
      </c>
      <c r="F441" s="149">
        <v>599.0</v>
      </c>
      <c r="G441" s="142">
        <v>57.45</v>
      </c>
      <c r="H441" s="143">
        <v>57.45</v>
      </c>
      <c r="I441" s="141">
        <v>599.0</v>
      </c>
      <c r="J441" s="27" t="s">
        <v>3</v>
      </c>
    </row>
    <row r="442" hidden="1">
      <c r="A442" s="78">
        <v>45850.0</v>
      </c>
      <c r="B442" s="91"/>
      <c r="C442" s="99">
        <v>250.0</v>
      </c>
      <c r="D442" s="81" t="str">
        <f>IF(Tabla_3[COD]="","",VLOOKUP(Tabla_3[COD],'Stock inicial'!A:D,2,FALSE))</f>
        <v>ARIEL. EXT. PERF. (VERDE CON SUAVIZANTE) 5L</v>
      </c>
      <c r="E442" s="58">
        <v>1.0</v>
      </c>
      <c r="F442" s="149">
        <v>4500.0</v>
      </c>
      <c r="G442" s="142">
        <v>2430.0</v>
      </c>
      <c r="H442" s="143">
        <v>2430.0</v>
      </c>
      <c r="I442" s="141">
        <v>4500.0</v>
      </c>
      <c r="J442" s="27" t="s">
        <v>3</v>
      </c>
    </row>
    <row r="443" hidden="1">
      <c r="A443" s="74">
        <v>45850.0</v>
      </c>
      <c r="B443" s="92"/>
      <c r="C443" s="98">
        <v>314.0</v>
      </c>
      <c r="D443" s="87" t="str">
        <f>IF(Tabla_3[COD]="","",VLOOKUP(Tabla_3[COD],'Stock inicial'!A:D,2,FALSE))</f>
        <v>VALERINA CHICA</v>
      </c>
      <c r="E443" s="59">
        <v>1.0</v>
      </c>
      <c r="F443" s="149">
        <v>899.0</v>
      </c>
      <c r="G443" s="142">
        <v>342.0</v>
      </c>
      <c r="H443" s="143">
        <v>342.0</v>
      </c>
      <c r="I443" s="141">
        <v>899.0</v>
      </c>
      <c r="J443" s="27" t="s">
        <v>3</v>
      </c>
    </row>
    <row r="444" hidden="1">
      <c r="A444" s="78">
        <v>45850.0</v>
      </c>
      <c r="B444" s="91"/>
      <c r="C444" s="99">
        <v>300.0</v>
      </c>
      <c r="D444" s="81" t="str">
        <f>IF(Tabla_3[COD]="","",VLOOKUP(Tabla_3[COD],'Stock inicial'!A:D,2,FALSE))</f>
        <v>ESCOBA TEMPRA PREMIUM NUEVA</v>
      </c>
      <c r="E444" s="58">
        <v>1.0</v>
      </c>
      <c r="F444" s="141">
        <v>2290.0</v>
      </c>
      <c r="G444" s="142">
        <v>2050.0</v>
      </c>
      <c r="H444" s="143">
        <v>2050.0</v>
      </c>
      <c r="I444" s="141">
        <v>2290.0</v>
      </c>
      <c r="J444" s="27" t="s">
        <v>3</v>
      </c>
    </row>
    <row r="445" hidden="1">
      <c r="A445" s="74">
        <v>45850.0</v>
      </c>
      <c r="B445" s="92"/>
      <c r="C445" s="98">
        <v>234.0</v>
      </c>
      <c r="D445" s="87" t="str">
        <f>IF(Tabla_3[COD]="","",VLOOKUP(Tabla_3[COD],'Stock inicial'!A:D,2,FALSE))</f>
        <v>CAT CHOW ADULTO CARNE POLLO</v>
      </c>
      <c r="E445" s="59">
        <v>1.0</v>
      </c>
      <c r="F445" s="149">
        <v>4700.0</v>
      </c>
      <c r="G445" s="142">
        <v>3586.66</v>
      </c>
      <c r="H445" s="143">
        <v>3586.66</v>
      </c>
      <c r="I445" s="141">
        <v>4700.0</v>
      </c>
      <c r="J445" s="27" t="s">
        <v>3</v>
      </c>
    </row>
    <row r="446" hidden="1">
      <c r="A446" s="147">
        <v>45854.0</v>
      </c>
      <c r="B446" s="104" t="s">
        <v>225</v>
      </c>
      <c r="C446" s="105">
        <v>354.0</v>
      </c>
      <c r="D446" s="106" t="str">
        <f>IF(Tabla_3[COD]="","",VLOOKUP(Tabla_3[COD],'Stock inicial'!A:D,2,FALSE))</f>
        <v>ROLLISEC "EL COLOSO" 40 X3 </v>
      </c>
      <c r="E446" s="148">
        <v>1.0</v>
      </c>
      <c r="F446" s="149">
        <v>1350.0</v>
      </c>
      <c r="G446" s="142">
        <v>1035.0</v>
      </c>
      <c r="H446" s="143">
        <v>1035.0</v>
      </c>
      <c r="I446" s="141">
        <v>1350.0</v>
      </c>
      <c r="J446" s="141" t="s">
        <v>3</v>
      </c>
    </row>
    <row r="447" hidden="1">
      <c r="A447" s="74">
        <v>45852.0</v>
      </c>
      <c r="B447" s="75" t="s">
        <v>226</v>
      </c>
      <c r="C447" s="96">
        <v>223.0</v>
      </c>
      <c r="D447" s="77" t="str">
        <f>IF(Tabla_3[COD]="","",VLOOKUP(Tabla_3[COD],'Stock inicial'!A:D,2,FALSE))</f>
        <v>VORAZ PERRO ADULTO MIX</v>
      </c>
      <c r="E447" s="148">
        <v>2.0</v>
      </c>
      <c r="F447" s="149">
        <v>1100.0</v>
      </c>
      <c r="G447" s="142">
        <v>819.5</v>
      </c>
      <c r="H447" s="143">
        <v>1639.0</v>
      </c>
      <c r="I447" s="141">
        <v>2200.0</v>
      </c>
      <c r="J447" s="141" t="s">
        <v>3</v>
      </c>
    </row>
    <row r="448" hidden="1">
      <c r="A448" s="78">
        <v>45852.0</v>
      </c>
      <c r="B448" s="91"/>
      <c r="C448" s="99">
        <v>149.0</v>
      </c>
      <c r="D448" s="81" t="str">
        <f>IF(Tabla_3[COD]="","",VLOOKUP(Tabla_3[COD],'Stock inicial'!A:D,2,FALSE))</f>
        <v>PALITOS MASTICABLES IZZY x6</v>
      </c>
      <c r="E448" s="148">
        <v>1.0</v>
      </c>
      <c r="F448" s="149">
        <v>600.0</v>
      </c>
      <c r="G448" s="142">
        <v>238.56</v>
      </c>
      <c r="H448" s="143">
        <v>238.56</v>
      </c>
      <c r="I448" s="141">
        <v>600.0</v>
      </c>
      <c r="J448" s="141" t="s">
        <v>3</v>
      </c>
    </row>
    <row r="449" hidden="1">
      <c r="A449" s="74">
        <v>45852.0</v>
      </c>
      <c r="B449" s="92"/>
      <c r="C449" s="101"/>
      <c r="D449" s="87" t="s">
        <v>152</v>
      </c>
      <c r="E449" s="148">
        <v>1.0</v>
      </c>
      <c r="F449" s="141">
        <v>-300.0</v>
      </c>
      <c r="G449" s="149"/>
      <c r="H449" s="141"/>
      <c r="I449" s="141">
        <v>-300.0</v>
      </c>
      <c r="J449" s="27" t="s">
        <v>3</v>
      </c>
    </row>
    <row r="450" hidden="1">
      <c r="A450" s="78">
        <v>45852.0</v>
      </c>
      <c r="B450" s="91"/>
      <c r="C450" s="99">
        <v>223.0</v>
      </c>
      <c r="D450" s="81" t="str">
        <f>IF(Tabla_3[COD]="","",VLOOKUP(Tabla_3[COD],'Stock inicial'!A:D,2,FALSE))</f>
        <v>VORAZ PERRO ADULTO MIX</v>
      </c>
      <c r="E450" s="148">
        <v>1.0</v>
      </c>
      <c r="F450" s="149">
        <v>1100.0</v>
      </c>
      <c r="G450" s="142">
        <v>819.5</v>
      </c>
      <c r="H450" s="143">
        <v>819.5</v>
      </c>
      <c r="I450" s="141">
        <v>1100.0</v>
      </c>
      <c r="J450" s="27" t="s">
        <v>3</v>
      </c>
    </row>
    <row r="451" hidden="1">
      <c r="A451" s="74">
        <v>45852.0</v>
      </c>
      <c r="B451" s="70" t="s">
        <v>227</v>
      </c>
      <c r="C451" s="123">
        <v>193.0</v>
      </c>
      <c r="D451" s="124" t="str">
        <f>IF(Tabla_3[COD]="","",VLOOKUP(Tabla_3[COD],'Stock inicial'!A:D,2,FALSE))</f>
        <v>LA PIPETA OSSPRET D 2 A 10KG</v>
      </c>
      <c r="E451" s="148">
        <v>1.0</v>
      </c>
      <c r="F451" s="149">
        <v>2500.0</v>
      </c>
      <c r="G451" s="142">
        <v>1840.0</v>
      </c>
      <c r="H451" s="143">
        <v>1840.0</v>
      </c>
      <c r="I451" s="141">
        <v>2900.0</v>
      </c>
      <c r="J451" s="27" t="s">
        <v>11</v>
      </c>
    </row>
    <row r="452" hidden="1">
      <c r="A452" s="78">
        <v>45852.0</v>
      </c>
      <c r="B452" s="139" t="s">
        <v>228</v>
      </c>
      <c r="C452" s="99">
        <v>274.0</v>
      </c>
      <c r="D452" s="81" t="str">
        <f>IF(Tabla_3[COD]="","",VLOOKUP(Tabla_3[COD],'Stock inicial'!A:D,2,FALSE))</f>
        <v>PERFUMINA CHERRY 5L</v>
      </c>
      <c r="E452" s="58">
        <v>1.0</v>
      </c>
      <c r="F452" s="149">
        <v>1499.0</v>
      </c>
      <c r="G452" s="142">
        <v>287.25</v>
      </c>
      <c r="H452" s="143">
        <f>287.25+441</f>
        <v>728.25</v>
      </c>
      <c r="I452" s="141">
        <v>1499.0</v>
      </c>
      <c r="J452" s="27" t="s">
        <v>3</v>
      </c>
    </row>
    <row r="453" hidden="1">
      <c r="A453" s="74">
        <v>45852.0</v>
      </c>
      <c r="B453" s="92"/>
      <c r="C453" s="51">
        <v>246.0</v>
      </c>
      <c r="D453" s="87" t="str">
        <f>IF(Tabla_3[COD]="","",VLOOKUP(Tabla_3[COD],'Stock inicial'!A:D,2,FALSE))</f>
        <v>ARIEL ECO (VERDE) 5L</v>
      </c>
      <c r="E453" s="59">
        <v>1.0</v>
      </c>
      <c r="F453" s="149">
        <v>2500.0</v>
      </c>
      <c r="G453" s="142">
        <v>1143.0</v>
      </c>
      <c r="H453" s="143">
        <f>1143+441</f>
        <v>1584</v>
      </c>
      <c r="I453" s="141">
        <v>2500.0</v>
      </c>
      <c r="J453" s="27" t="s">
        <v>3</v>
      </c>
    </row>
    <row r="454" hidden="1">
      <c r="A454" s="78">
        <v>45852.0</v>
      </c>
      <c r="B454" s="91"/>
      <c r="C454" s="50">
        <v>260.0</v>
      </c>
      <c r="D454" s="81" t="str">
        <f>IF(Tabla_3[COD]="","",VLOOKUP(Tabla_3[COD],'Stock inicial'!A:D,2,FALSE))</f>
        <v>ALOE VERA (VERDE) 5L</v>
      </c>
      <c r="E454" s="58">
        <v>1.0</v>
      </c>
      <c r="F454" s="149">
        <v>3999.0</v>
      </c>
      <c r="G454" s="142">
        <v>2060.0</v>
      </c>
      <c r="H454" s="143">
        <f>2060+441</f>
        <v>2501</v>
      </c>
      <c r="I454" s="141">
        <v>3999.0</v>
      </c>
      <c r="J454" s="27" t="s">
        <v>3</v>
      </c>
    </row>
    <row r="455" hidden="1">
      <c r="A455" s="74">
        <v>45852.0</v>
      </c>
      <c r="B455" s="92"/>
      <c r="C455" s="51">
        <v>290.0</v>
      </c>
      <c r="D455" s="87" t="str">
        <f>IF(Tabla_3[COD]="","",VLOOKUP(Tabla_3[COD],'Stock inicial'!A:D,2,FALSE))</f>
        <v>LAVANDINA 5L</v>
      </c>
      <c r="E455" s="59">
        <v>1.0</v>
      </c>
      <c r="F455" s="149">
        <v>2499.0</v>
      </c>
      <c r="G455" s="142">
        <v>1080.0</v>
      </c>
      <c r="H455" s="143">
        <f>1080+441</f>
        <v>1521</v>
      </c>
      <c r="I455" s="141">
        <v>2499.0</v>
      </c>
      <c r="J455" s="27" t="s">
        <v>3</v>
      </c>
    </row>
    <row r="456" hidden="1">
      <c r="A456" s="78">
        <v>45852.0</v>
      </c>
      <c r="B456" s="91"/>
      <c r="C456" s="99">
        <v>252.0</v>
      </c>
      <c r="D456" s="81" t="str">
        <f>IF(Tabla_3[COD]="","",VLOOKUP(Tabla_3[COD],'Stock inicial'!A:D,2,FALSE))</f>
        <v>VIVERE ECO (CELESTE) 5L</v>
      </c>
      <c r="E456" s="58">
        <v>1.0</v>
      </c>
      <c r="F456" s="149">
        <v>2900.0</v>
      </c>
      <c r="G456" s="142">
        <v>1480.0</v>
      </c>
      <c r="H456" s="143">
        <f>1480+441</f>
        <v>1921</v>
      </c>
      <c r="I456" s="141">
        <v>2900.0</v>
      </c>
      <c r="J456" s="27" t="s">
        <v>3</v>
      </c>
    </row>
    <row r="457" hidden="1">
      <c r="A457" s="74">
        <v>45852.0</v>
      </c>
      <c r="B457" s="92"/>
      <c r="C457" s="101"/>
      <c r="D457" s="87" t="s">
        <v>44</v>
      </c>
      <c r="E457" s="59">
        <v>1.0</v>
      </c>
      <c r="F457" s="141">
        <v>-2800.0</v>
      </c>
      <c r="G457" s="149"/>
      <c r="H457" s="141"/>
      <c r="I457" s="141">
        <v>-2800.0</v>
      </c>
      <c r="J457" s="27" t="s">
        <v>3</v>
      </c>
    </row>
    <row r="458" hidden="1">
      <c r="A458" s="78">
        <v>45852.0</v>
      </c>
      <c r="B458" s="82" t="s">
        <v>229</v>
      </c>
      <c r="C458" s="97">
        <v>162.0</v>
      </c>
      <c r="D458" s="84" t="str">
        <f>IF(Tabla_3[COD]="","",VLOOKUP(Tabla_3[COD],'Stock inicial'!A:D,2,FALSE))</f>
        <v>PIEDRA SANITARIA THEBEST X20KG</v>
      </c>
      <c r="E458" s="58">
        <v>1.73</v>
      </c>
      <c r="F458" s="149">
        <v>580.0</v>
      </c>
      <c r="G458" s="142">
        <v>430.0</v>
      </c>
      <c r="H458" s="143">
        <v>743.9</v>
      </c>
      <c r="I458" s="141">
        <v>1003.4</v>
      </c>
      <c r="J458" s="27" t="s">
        <v>3</v>
      </c>
    </row>
    <row r="459" hidden="1">
      <c r="A459" s="74">
        <v>45852.0</v>
      </c>
      <c r="B459" s="75" t="s">
        <v>230</v>
      </c>
      <c r="C459" s="96">
        <v>283.0</v>
      </c>
      <c r="D459" s="77" t="str">
        <f>IF(Tabla_3[COD]="","",VLOOKUP(Tabla_3[COD],'Stock inicial'!A:D,2,FALSE))</f>
        <v>TICKET ROPA 1L</v>
      </c>
      <c r="E459" s="59">
        <v>1.0</v>
      </c>
      <c r="F459" s="149">
        <v>999.0</v>
      </c>
      <c r="G459" s="142">
        <v>179.5</v>
      </c>
      <c r="H459" s="143">
        <v>179.5</v>
      </c>
      <c r="I459" s="141">
        <v>999.0</v>
      </c>
      <c r="J459" s="27" t="s">
        <v>3</v>
      </c>
    </row>
    <row r="460" hidden="1">
      <c r="A460" s="78">
        <v>45852.0</v>
      </c>
      <c r="B460" s="91"/>
      <c r="C460" s="99">
        <v>284.0</v>
      </c>
      <c r="D460" s="81" t="str">
        <f>IF(Tabla_3[COD]="","",VLOOKUP(Tabla_3[COD],'Stock inicial'!A:D,2,FALSE))</f>
        <v>VAINILLA/COCO ROPA 1L</v>
      </c>
      <c r="E460" s="58">
        <v>1.0</v>
      </c>
      <c r="F460" s="149">
        <v>999.0</v>
      </c>
      <c r="G460" s="142">
        <v>179.5</v>
      </c>
      <c r="H460" s="143">
        <v>179.5</v>
      </c>
      <c r="I460" s="141">
        <v>999.0</v>
      </c>
      <c r="J460" s="27" t="s">
        <v>3</v>
      </c>
    </row>
    <row r="461" hidden="1">
      <c r="A461" s="74">
        <v>45852.0</v>
      </c>
      <c r="B461" s="75" t="s">
        <v>231</v>
      </c>
      <c r="C461" s="96">
        <v>365.0</v>
      </c>
      <c r="D461" s="77" t="str">
        <f>IF(Tabla_3[COD]="","",VLOOKUP(Tabla_3[COD],'Stock inicial'!A:D,2,FALSE))</f>
        <v>CAMITAS 1x70</v>
      </c>
      <c r="E461" s="59">
        <v>1.0</v>
      </c>
      <c r="F461" s="149">
        <v>19500.0</v>
      </c>
      <c r="G461" s="142">
        <v>13000.0</v>
      </c>
      <c r="H461" s="143">
        <v>13000.0</v>
      </c>
      <c r="I461" s="141">
        <v>19500.0</v>
      </c>
      <c r="J461" s="27" t="s">
        <v>11</v>
      </c>
    </row>
    <row r="462" hidden="1">
      <c r="A462" s="78">
        <v>45852.0</v>
      </c>
      <c r="B462" s="91"/>
      <c r="C462" s="99">
        <v>229.0</v>
      </c>
      <c r="D462" s="81" t="str">
        <f>IF(Tabla_3[COD]="","",VLOOKUP(Tabla_3[COD],'Stock inicial'!A:D,2,FALSE))</f>
        <v>EXCELLENT GATO ADULTO</v>
      </c>
      <c r="E462" s="58">
        <v>1.0</v>
      </c>
      <c r="F462" s="149">
        <v>7500.0</v>
      </c>
      <c r="G462" s="142">
        <v>5239.88</v>
      </c>
      <c r="H462" s="143">
        <v>5239.88</v>
      </c>
      <c r="I462" s="141">
        <v>7500.0</v>
      </c>
      <c r="J462" s="27" t="s">
        <v>11</v>
      </c>
    </row>
    <row r="463" hidden="1">
      <c r="A463" s="74">
        <v>45852.0</v>
      </c>
      <c r="B463" s="75" t="s">
        <v>232</v>
      </c>
      <c r="C463" s="96">
        <v>214.0</v>
      </c>
      <c r="D463" s="77" t="str">
        <f>IF(Tabla_3[COD]="","",VLOOKUP(Tabla_3[COD],'Stock inicial'!A:D,2,FALSE))</f>
        <v>DOGPRO ADULTO SUPER PREMIUM XKG</v>
      </c>
      <c r="E463" s="59">
        <v>3.0</v>
      </c>
      <c r="F463" s="149">
        <v>3100.0</v>
      </c>
      <c r="G463" s="142">
        <v>2115.2</v>
      </c>
      <c r="H463" s="143">
        <v>6345.599999999999</v>
      </c>
      <c r="I463" s="141">
        <v>9300.0</v>
      </c>
      <c r="J463" s="27" t="s">
        <v>3</v>
      </c>
    </row>
    <row r="464" hidden="1">
      <c r="A464" s="78">
        <v>45853.0</v>
      </c>
      <c r="B464" s="145"/>
      <c r="C464" s="126">
        <v>212.0</v>
      </c>
      <c r="D464" s="127" t="str">
        <f>IF(Tabla_3[COD]="","",VLOOKUP(Tabla_3[COD],'Stock inicial'!A:D,2,FALSE))</f>
        <v>DOGPRO ADULTO MORDIDA PEQUEñA XKG</v>
      </c>
      <c r="E464" s="58">
        <v>0.56</v>
      </c>
      <c r="F464" s="149">
        <v>3700.0</v>
      </c>
      <c r="G464" s="142">
        <v>2778.13</v>
      </c>
      <c r="H464" s="143">
        <v>1555.7528000000002</v>
      </c>
      <c r="I464" s="141">
        <v>-2072.0</v>
      </c>
      <c r="J464" s="73"/>
    </row>
    <row r="465" hidden="1">
      <c r="A465" s="74">
        <v>45853.0</v>
      </c>
      <c r="B465" s="100" t="s">
        <v>233</v>
      </c>
      <c r="C465" s="98">
        <v>217.0</v>
      </c>
      <c r="D465" s="87" t="str">
        <f>IF(Tabla_3[COD]="","",VLOOKUP(Tabla_3[COD],'Stock inicial'!A:D,2,FALSE))</f>
        <v>VORAZ GATO ADULTO X2OK</v>
      </c>
      <c r="E465" s="59">
        <v>1.5</v>
      </c>
      <c r="F465" s="149">
        <v>2100.0</v>
      </c>
      <c r="G465" s="142">
        <v>1432.5</v>
      </c>
      <c r="H465" s="143">
        <v>2148.75</v>
      </c>
      <c r="I465" s="27">
        <v>3150.0</v>
      </c>
      <c r="J465" s="27" t="s">
        <v>3</v>
      </c>
    </row>
    <row r="466" hidden="1">
      <c r="A466" s="78">
        <v>45853.0</v>
      </c>
      <c r="B466" s="82" t="s">
        <v>234</v>
      </c>
      <c r="C466" s="97">
        <v>170.0</v>
      </c>
      <c r="D466" s="84" t="str">
        <f>IF(Tabla_3[COD]="","",VLOOKUP(Tabla_3[COD],'Stock inicial'!A:D,2,FALSE))</f>
        <v>SINORIN DUO REPELENTE X 500CC</v>
      </c>
      <c r="E466" s="58">
        <v>1.0</v>
      </c>
      <c r="F466" s="149">
        <v>2999.0</v>
      </c>
      <c r="G466" s="142">
        <v>1527.2</v>
      </c>
      <c r="H466" s="143">
        <v>1527.2</v>
      </c>
      <c r="I466" s="27">
        <v>2999.0</v>
      </c>
      <c r="J466" s="27" t="s">
        <v>11</v>
      </c>
    </row>
    <row r="467" hidden="1">
      <c r="A467" s="74">
        <v>45853.0</v>
      </c>
      <c r="B467" s="92"/>
      <c r="C467" s="98">
        <v>357.0</v>
      </c>
      <c r="D467" s="87" t="str">
        <f>IF(Tabla_3[COD]="","",VLOOKUP(Tabla_3[COD],'Stock inicial'!A:D,2,FALSE))</f>
        <v>PAPEL HIGIENICO "ELEGANTE"</v>
      </c>
      <c r="E467" s="59">
        <v>1.0</v>
      </c>
      <c r="F467" s="149">
        <v>1899.0</v>
      </c>
      <c r="G467" s="142">
        <v>1299.0</v>
      </c>
      <c r="H467" s="143">
        <v>1299.0</v>
      </c>
      <c r="I467" s="27">
        <v>1899.0</v>
      </c>
      <c r="J467" s="27" t="s">
        <v>11</v>
      </c>
    </row>
    <row r="468" hidden="1">
      <c r="A468" s="78">
        <v>45853.0</v>
      </c>
      <c r="B468" s="82" t="s">
        <v>235</v>
      </c>
      <c r="C468" s="97">
        <v>214.0</v>
      </c>
      <c r="D468" s="84" t="str">
        <f>IF(Tabla_3[COD]="","",VLOOKUP(Tabla_3[COD],'Stock inicial'!A:D,2,FALSE))</f>
        <v>DOGPRO ADULTO SUPER PREMIUM XKG</v>
      </c>
      <c r="E468" s="58">
        <v>1.0</v>
      </c>
      <c r="F468" s="149">
        <v>3100.0</v>
      </c>
      <c r="G468" s="142">
        <v>2115.2</v>
      </c>
      <c r="H468" s="143">
        <v>2115.2</v>
      </c>
      <c r="I468" s="27">
        <v>3100.0</v>
      </c>
      <c r="J468" s="27" t="s">
        <v>3</v>
      </c>
    </row>
    <row r="469" hidden="1">
      <c r="A469" s="74">
        <v>45853.0</v>
      </c>
      <c r="B469" s="168"/>
      <c r="C469" s="169">
        <v>230.0</v>
      </c>
      <c r="D469" s="170" t="str">
        <f>IF(Tabla_3[COD]="","",VLOOKUP(Tabla_3[COD],'Stock inicial'!A:D,2,FALSE))</f>
        <v>EXCELLENT PERRO ADULTO BONUS 20K +2</v>
      </c>
      <c r="E469" s="59">
        <v>1.0</v>
      </c>
      <c r="F469" s="149">
        <v>3900.0</v>
      </c>
      <c r="G469" s="142">
        <v>2690.89</v>
      </c>
      <c r="H469" s="143">
        <v>2690.89</v>
      </c>
      <c r="I469" s="27">
        <v>3900.0</v>
      </c>
      <c r="J469" s="27" t="s">
        <v>3</v>
      </c>
    </row>
    <row r="470" hidden="1">
      <c r="A470" s="28">
        <v>45854.0</v>
      </c>
      <c r="B470" s="104" t="s">
        <v>225</v>
      </c>
      <c r="C470" s="105">
        <v>354.0</v>
      </c>
      <c r="D470" s="106" t="str">
        <f>IF(Tabla_3[COD]="","",VLOOKUP(Tabla_3[COD],'Stock inicial'!A:D,2,FALSE))</f>
        <v>ROLLISEC "EL COLOSO" 40 X3 </v>
      </c>
      <c r="E470" s="148">
        <v>1.0</v>
      </c>
      <c r="F470" s="149">
        <v>1350.0</v>
      </c>
      <c r="G470" s="142">
        <v>1035.0</v>
      </c>
      <c r="H470" s="143">
        <v>1035.0</v>
      </c>
      <c r="I470" s="141">
        <f t="shared" ref="I470:I472" si="6">F470*E470</f>
        <v>1350</v>
      </c>
      <c r="J470" s="141" t="s">
        <v>3</v>
      </c>
    </row>
    <row r="471" hidden="1">
      <c r="A471" s="74">
        <v>45854.0</v>
      </c>
      <c r="B471" s="75" t="s">
        <v>226</v>
      </c>
      <c r="C471" s="96">
        <v>223.0</v>
      </c>
      <c r="D471" s="77" t="str">
        <f>IF(Tabla_3[COD]="","",VLOOKUP(Tabla_3[COD],'Stock inicial'!A:D,2,FALSE))</f>
        <v>VORAZ PERRO ADULTO MIX</v>
      </c>
      <c r="E471" s="59">
        <v>2.0</v>
      </c>
      <c r="F471" s="149">
        <v>1100.0</v>
      </c>
      <c r="G471" s="142">
        <v>819.5</v>
      </c>
      <c r="H471" s="143">
        <v>1639.0</v>
      </c>
      <c r="I471" s="141">
        <f t="shared" si="6"/>
        <v>2200</v>
      </c>
      <c r="J471" s="27" t="s">
        <v>3</v>
      </c>
    </row>
    <row r="472" hidden="1">
      <c r="A472" s="78">
        <v>45854.0</v>
      </c>
      <c r="B472" s="91"/>
      <c r="C472" s="99">
        <v>149.0</v>
      </c>
      <c r="D472" s="81" t="str">
        <f>IF(Tabla_3[COD]="","",VLOOKUP(Tabla_3[COD],'Stock inicial'!A:D,2,FALSE))</f>
        <v>PALITOS MASTICABLES IZZY x6</v>
      </c>
      <c r="E472" s="58">
        <v>1.0</v>
      </c>
      <c r="F472" s="149">
        <v>600.0</v>
      </c>
      <c r="G472" s="142">
        <v>238.56</v>
      </c>
      <c r="H472" s="143">
        <v>238.56</v>
      </c>
      <c r="I472" s="141">
        <f t="shared" si="6"/>
        <v>600</v>
      </c>
      <c r="J472" s="27" t="s">
        <v>3</v>
      </c>
    </row>
    <row r="473" hidden="1">
      <c r="A473" s="74">
        <v>45854.0</v>
      </c>
      <c r="B473" s="92"/>
      <c r="C473" s="101"/>
      <c r="D473" s="87" t="s">
        <v>152</v>
      </c>
      <c r="E473" s="59">
        <v>1.0</v>
      </c>
      <c r="F473" s="24">
        <v>-300.0</v>
      </c>
      <c r="G473" s="158"/>
      <c r="H473" s="27"/>
      <c r="I473" s="27">
        <v>-300.0</v>
      </c>
      <c r="J473" s="27" t="s">
        <v>3</v>
      </c>
    </row>
    <row r="474" hidden="1">
      <c r="A474" s="78">
        <v>45854.0</v>
      </c>
      <c r="B474" s="91"/>
      <c r="C474" s="99">
        <v>266.0</v>
      </c>
      <c r="D474" s="81" t="str">
        <f>IF(Tabla_3[COD]="","",VLOOKUP(Tabla_3[COD],'Stock inicial'!A:D,2,FALSE))</f>
        <v>DESENGRASANTE COCINA 1L</v>
      </c>
      <c r="E474" s="58">
        <v>1.0</v>
      </c>
      <c r="F474" s="149">
        <v>799.0</v>
      </c>
      <c r="G474" s="142">
        <v>200.0</v>
      </c>
      <c r="H474" s="143">
        <v>200.0</v>
      </c>
      <c r="I474" s="141">
        <f t="shared" ref="I474:I510" si="7">F474*E474</f>
        <v>799</v>
      </c>
      <c r="J474" s="27" t="s">
        <v>3</v>
      </c>
    </row>
    <row r="475" hidden="1">
      <c r="A475" s="74">
        <v>45854.0</v>
      </c>
      <c r="B475" s="75" t="s">
        <v>227</v>
      </c>
      <c r="C475" s="96">
        <v>274.0</v>
      </c>
      <c r="D475" s="77" t="str">
        <f>IF(Tabla_3[COD]="","",VLOOKUP(Tabla_3[COD],'Stock inicial'!A:D,2,FALSE))</f>
        <v>PERFUMINA CHERRY 5L</v>
      </c>
      <c r="E475" s="59">
        <v>1.0</v>
      </c>
      <c r="F475" s="149">
        <v>1499.0</v>
      </c>
      <c r="G475" s="142">
        <v>728.25</v>
      </c>
      <c r="H475" s="143">
        <v>728.25</v>
      </c>
      <c r="I475" s="141">
        <f t="shared" si="7"/>
        <v>1499</v>
      </c>
      <c r="J475" s="27" t="s">
        <v>3</v>
      </c>
    </row>
    <row r="476" hidden="1">
      <c r="A476" s="78">
        <v>45854.0</v>
      </c>
      <c r="B476" s="91"/>
      <c r="C476" s="50">
        <v>248.0</v>
      </c>
      <c r="D476" s="81" t="str">
        <f>IF(Tabla_3[COD]="","",VLOOKUP(Tabla_3[COD],'Stock inicial'!A:D,2,FALSE))</f>
        <v>ARIEL PREMIUM (VERDE) 5L</v>
      </c>
      <c r="E476" s="58">
        <v>1.0</v>
      </c>
      <c r="F476" s="149">
        <v>3199.0</v>
      </c>
      <c r="G476" s="142">
        <v>2056.5</v>
      </c>
      <c r="H476" s="143">
        <v>2056.5</v>
      </c>
      <c r="I476" s="141">
        <f t="shared" si="7"/>
        <v>3199</v>
      </c>
      <c r="J476" s="27" t="s">
        <v>3</v>
      </c>
    </row>
    <row r="477" hidden="1">
      <c r="A477" s="74">
        <v>45854.0</v>
      </c>
      <c r="B477" s="92"/>
      <c r="C477" s="51">
        <v>260.0</v>
      </c>
      <c r="D477" s="87" t="str">
        <f>IF(Tabla_3[COD]="","",VLOOKUP(Tabla_3[COD],'Stock inicial'!A:D,2,FALSE))</f>
        <v>ALOE VERA (VERDE) 5L</v>
      </c>
      <c r="E477" s="59">
        <v>1.0</v>
      </c>
      <c r="F477" s="149">
        <v>3999.0</v>
      </c>
      <c r="G477" s="142">
        <v>2501.0</v>
      </c>
      <c r="H477" s="143">
        <v>2501.0</v>
      </c>
      <c r="I477" s="141">
        <f t="shared" si="7"/>
        <v>3999</v>
      </c>
      <c r="J477" s="27" t="s">
        <v>3</v>
      </c>
    </row>
    <row r="478" hidden="1">
      <c r="A478" s="78">
        <v>45854.0</v>
      </c>
      <c r="B478" s="91"/>
      <c r="C478" s="50">
        <v>290.0</v>
      </c>
      <c r="D478" s="81" t="str">
        <f>IF(Tabla_3[COD]="","",VLOOKUP(Tabla_3[COD],'Stock inicial'!A:D,2,FALSE))</f>
        <v>LAVANDINA 5L</v>
      </c>
      <c r="E478" s="58">
        <v>1.0</v>
      </c>
      <c r="F478" s="149">
        <v>2499.0</v>
      </c>
      <c r="G478" s="142">
        <v>1521.0</v>
      </c>
      <c r="H478" s="143">
        <v>1521.0</v>
      </c>
      <c r="I478" s="141">
        <f t="shared" si="7"/>
        <v>2499</v>
      </c>
      <c r="J478" s="27" t="s">
        <v>3</v>
      </c>
    </row>
    <row r="479" hidden="1">
      <c r="A479" s="74">
        <v>45854.0</v>
      </c>
      <c r="B479" s="92"/>
      <c r="C479" s="98">
        <v>252.0</v>
      </c>
      <c r="D479" s="87" t="str">
        <f>IF(Tabla_3[COD]="","",VLOOKUP(Tabla_3[COD],'Stock inicial'!A:D,2,FALSE))</f>
        <v>VIVERE ECO (CELESTE) 5L</v>
      </c>
      <c r="E479" s="59">
        <v>1.0</v>
      </c>
      <c r="F479" s="149">
        <v>2900.0</v>
      </c>
      <c r="G479" s="142">
        <v>1921.0</v>
      </c>
      <c r="H479" s="143">
        <v>1921.0</v>
      </c>
      <c r="I479" s="141">
        <f t="shared" si="7"/>
        <v>2900</v>
      </c>
      <c r="J479" s="27" t="s">
        <v>3</v>
      </c>
    </row>
    <row r="480" hidden="1">
      <c r="A480" s="78">
        <v>45854.0</v>
      </c>
      <c r="B480" s="91"/>
      <c r="C480" s="95"/>
      <c r="D480" s="81" t="s">
        <v>44</v>
      </c>
      <c r="E480" s="58">
        <v>1.0</v>
      </c>
      <c r="F480" s="141">
        <v>-3000.0</v>
      </c>
      <c r="G480" s="149"/>
      <c r="H480" s="141">
        <v>0.0</v>
      </c>
      <c r="I480" s="141">
        <f t="shared" si="7"/>
        <v>-3000</v>
      </c>
      <c r="J480" s="27" t="s">
        <v>3</v>
      </c>
    </row>
    <row r="481" hidden="1">
      <c r="A481" s="74">
        <v>45854.0</v>
      </c>
      <c r="B481" s="75" t="s">
        <v>228</v>
      </c>
      <c r="C481" s="96">
        <v>223.0</v>
      </c>
      <c r="D481" s="77" t="str">
        <f>IF(Tabla_3[COD]="","",VLOOKUP(Tabla_3[COD],'Stock inicial'!A:D,2,FALSE))</f>
        <v>VORAZ PERRO ADULTO MIX</v>
      </c>
      <c r="E481" s="59">
        <v>2.0</v>
      </c>
      <c r="F481" s="149">
        <v>1100.0</v>
      </c>
      <c r="G481" s="142">
        <v>1260.5</v>
      </c>
      <c r="H481" s="143">
        <v>2521.0</v>
      </c>
      <c r="I481" s="141">
        <f t="shared" si="7"/>
        <v>2200</v>
      </c>
      <c r="J481" s="27" t="s">
        <v>11</v>
      </c>
    </row>
    <row r="482" hidden="1">
      <c r="A482" s="78">
        <v>45854.0</v>
      </c>
      <c r="B482" s="91"/>
      <c r="C482" s="99">
        <v>149.0</v>
      </c>
      <c r="D482" s="81" t="str">
        <f>IF(Tabla_3[COD]="","",VLOOKUP(Tabla_3[COD],'Stock inicial'!A:D,2,FALSE))</f>
        <v>PALITOS MASTICABLES IZZY x6</v>
      </c>
      <c r="E482" s="58">
        <v>1.0</v>
      </c>
      <c r="F482" s="149">
        <v>600.0</v>
      </c>
      <c r="G482" s="142">
        <v>238.56</v>
      </c>
      <c r="H482" s="143">
        <v>238.56</v>
      </c>
      <c r="I482" s="141">
        <f t="shared" si="7"/>
        <v>600</v>
      </c>
      <c r="J482" s="27" t="s">
        <v>11</v>
      </c>
    </row>
    <row r="483" hidden="1">
      <c r="A483" s="74">
        <v>45854.0</v>
      </c>
      <c r="B483" s="92"/>
      <c r="C483" s="101"/>
      <c r="D483" s="87" t="s">
        <v>152</v>
      </c>
      <c r="E483" s="59">
        <v>1.0</v>
      </c>
      <c r="F483" s="141">
        <v>-300.0</v>
      </c>
      <c r="G483" s="149"/>
      <c r="H483" s="141"/>
      <c r="I483" s="141">
        <f t="shared" si="7"/>
        <v>-300</v>
      </c>
      <c r="J483" s="27" t="s">
        <v>11</v>
      </c>
    </row>
    <row r="484" hidden="1">
      <c r="A484" s="78">
        <v>45854.0</v>
      </c>
      <c r="B484" s="82" t="s">
        <v>229</v>
      </c>
      <c r="C484" s="97">
        <v>283.0</v>
      </c>
      <c r="D484" s="84" t="str">
        <f>IF(Tabla_3[COD]="","",VLOOKUP(Tabla_3[COD],'Stock inicial'!A:D,2,FALSE))</f>
        <v>TICKET ROPA 1L</v>
      </c>
      <c r="E484" s="58">
        <v>1.0</v>
      </c>
      <c r="F484" s="149">
        <v>999.0</v>
      </c>
      <c r="G484" s="142">
        <v>179.5</v>
      </c>
      <c r="H484" s="143">
        <v>179.5</v>
      </c>
      <c r="I484" s="141">
        <f t="shared" si="7"/>
        <v>999</v>
      </c>
      <c r="J484" s="27" t="s">
        <v>11</v>
      </c>
    </row>
    <row r="485" hidden="1">
      <c r="A485" s="74">
        <v>45854.0</v>
      </c>
      <c r="B485" s="75" t="s">
        <v>230</v>
      </c>
      <c r="C485" s="96">
        <v>212.0</v>
      </c>
      <c r="D485" s="77" t="str">
        <f>IF(Tabla_3[COD]="","",VLOOKUP(Tabla_3[COD],'Stock inicial'!A:D,2,FALSE))</f>
        <v>DOGPRO ADULTO MORDIDA PEQUEñA XKG</v>
      </c>
      <c r="E485" s="59">
        <v>0.54</v>
      </c>
      <c r="F485" s="149">
        <v>3700.0</v>
      </c>
      <c r="G485" s="142">
        <v>2778.13</v>
      </c>
      <c r="H485" s="143">
        <v>1500.1902000000002</v>
      </c>
      <c r="I485" s="141">
        <f t="shared" si="7"/>
        <v>1998</v>
      </c>
      <c r="J485" s="27" t="s">
        <v>11</v>
      </c>
    </row>
    <row r="486" hidden="1">
      <c r="A486" s="78">
        <v>45854.0</v>
      </c>
      <c r="B486" s="91"/>
      <c r="C486" s="99">
        <v>227.0</v>
      </c>
      <c r="D486" s="81" t="str">
        <f>IF(Tabla_3[COD]="","",VLOOKUP(Tabla_3[COD],'Stock inicial'!A:D,2,FALSE))</f>
        <v>CATPRO GATO ADULTO</v>
      </c>
      <c r="E486" s="58">
        <v>0.2</v>
      </c>
      <c r="F486" s="149">
        <v>5250.0</v>
      </c>
      <c r="G486" s="142">
        <v>3657.41</v>
      </c>
      <c r="H486" s="143">
        <v>731.482</v>
      </c>
      <c r="I486" s="141">
        <f t="shared" si="7"/>
        <v>1050</v>
      </c>
      <c r="J486" s="27" t="s">
        <v>11</v>
      </c>
    </row>
    <row r="487" hidden="1">
      <c r="A487" s="74">
        <v>45854.0</v>
      </c>
      <c r="B487" s="75" t="s">
        <v>231</v>
      </c>
      <c r="C487" s="96">
        <v>213.0</v>
      </c>
      <c r="D487" s="77" t="str">
        <f>IF(Tabla_3[COD]="","",VLOOKUP(Tabla_3[COD],'Stock inicial'!A:D,2,FALSE))</f>
        <v>DOGPRO CACHORRO XKG</v>
      </c>
      <c r="E487" s="59">
        <v>2.06</v>
      </c>
      <c r="F487" s="149">
        <v>3900.0</v>
      </c>
      <c r="G487" s="142">
        <v>2953.8</v>
      </c>
      <c r="H487" s="143">
        <v>6084.828</v>
      </c>
      <c r="I487" s="141">
        <f t="shared" si="7"/>
        <v>8034</v>
      </c>
      <c r="J487" s="27" t="s">
        <v>3</v>
      </c>
    </row>
    <row r="488" hidden="1">
      <c r="A488" s="78">
        <v>45855.0</v>
      </c>
      <c r="B488" s="82" t="s">
        <v>232</v>
      </c>
      <c r="C488" s="97">
        <v>162.0</v>
      </c>
      <c r="D488" s="84" t="str">
        <f>IF(Tabla_3[COD]="","",VLOOKUP(Tabla_3[COD],'Stock inicial'!A:D,2,FALSE))</f>
        <v>PIEDRA SANITARIA THEBEST X20KG</v>
      </c>
      <c r="E488" s="58">
        <v>3.45</v>
      </c>
      <c r="F488" s="149">
        <v>580.0</v>
      </c>
      <c r="G488" s="142">
        <v>430.0</v>
      </c>
      <c r="H488" s="143">
        <v>1483.5</v>
      </c>
      <c r="I488" s="141">
        <f t="shared" si="7"/>
        <v>2001</v>
      </c>
      <c r="J488" s="27" t="s">
        <v>11</v>
      </c>
    </row>
    <row r="489" hidden="1">
      <c r="A489" s="74">
        <v>45855.0</v>
      </c>
      <c r="B489" s="75" t="s">
        <v>233</v>
      </c>
      <c r="C489" s="96">
        <v>217.0</v>
      </c>
      <c r="D489" s="77" t="str">
        <f>IF(Tabla_3[COD]="","",VLOOKUP(Tabla_3[COD],'Stock inicial'!A:D,2,FALSE))</f>
        <v>VORAZ GATO ADULTO X2OK</v>
      </c>
      <c r="E489" s="59">
        <v>2.0</v>
      </c>
      <c r="F489" s="149">
        <v>2100.0</v>
      </c>
      <c r="G489" s="142">
        <v>1432.5</v>
      </c>
      <c r="H489" s="143">
        <v>2865.0</v>
      </c>
      <c r="I489" s="141">
        <f t="shared" si="7"/>
        <v>4200</v>
      </c>
      <c r="J489" s="27" t="s">
        <v>3</v>
      </c>
    </row>
    <row r="490" hidden="1">
      <c r="A490" s="78">
        <v>45855.0</v>
      </c>
      <c r="B490" s="82" t="s">
        <v>234</v>
      </c>
      <c r="C490" s="97">
        <v>257.0</v>
      </c>
      <c r="D490" s="84" t="str">
        <f>IF(Tabla_3[COD]="","",VLOOKUP(Tabla_3[COD],'Stock inicial'!A:D,2,FALSE))</f>
        <v>MAGISTRAL ECO (LIMON AMARILLO) 1L</v>
      </c>
      <c r="E490" s="58">
        <v>1.0</v>
      </c>
      <c r="F490" s="149">
        <v>999.0</v>
      </c>
      <c r="G490" s="142">
        <v>280.0</v>
      </c>
      <c r="H490" s="143">
        <v>280.0</v>
      </c>
      <c r="I490" s="141">
        <f t="shared" si="7"/>
        <v>999</v>
      </c>
      <c r="J490" s="27" t="s">
        <v>3</v>
      </c>
    </row>
    <row r="491" hidden="1">
      <c r="A491" s="74">
        <v>45855.0</v>
      </c>
      <c r="B491" s="75" t="s">
        <v>235</v>
      </c>
      <c r="C491" s="155">
        <v>245.0</v>
      </c>
      <c r="D491" s="77" t="str">
        <f>IF(Tabla_3[COD]="","",VLOOKUP(Tabla_3[COD],'Stock inicial'!A:D,2,FALSE))</f>
        <v>ARIEL ECO (VERDE) 1L</v>
      </c>
      <c r="E491" s="59">
        <v>10.0</v>
      </c>
      <c r="F491" s="141">
        <v>655.24</v>
      </c>
      <c r="G491" s="142">
        <v>524.1899999999999</v>
      </c>
      <c r="H491" s="143">
        <v>5241.9</v>
      </c>
      <c r="I491" s="141">
        <f t="shared" si="7"/>
        <v>6552.4</v>
      </c>
      <c r="J491" s="27" t="s">
        <v>3</v>
      </c>
    </row>
    <row r="492" hidden="1">
      <c r="A492" s="78">
        <v>45855.0</v>
      </c>
      <c r="B492" s="91"/>
      <c r="C492" s="50">
        <v>253.0</v>
      </c>
      <c r="D492" s="81" t="str">
        <f>IF(Tabla_3[COD]="","",VLOOKUP(Tabla_3[COD],'Stock inicial'!A:D,2,FALSE))</f>
        <v>COMFORT PREMIUM (ROSA) 1L</v>
      </c>
      <c r="E492" s="58">
        <v>10.0</v>
      </c>
      <c r="F492" s="141">
        <v>774.49</v>
      </c>
      <c r="G492" s="142">
        <v>619.5899999999999</v>
      </c>
      <c r="H492" s="143">
        <v>6195.9</v>
      </c>
      <c r="I492" s="141">
        <f t="shared" si="7"/>
        <v>7744.9</v>
      </c>
      <c r="J492" s="27" t="s">
        <v>3</v>
      </c>
    </row>
    <row r="493" hidden="1">
      <c r="A493" s="74">
        <v>45855.0</v>
      </c>
      <c r="B493" s="92"/>
      <c r="C493" s="51">
        <v>266.0</v>
      </c>
      <c r="D493" s="87" t="str">
        <f>IF(Tabla_3[COD]="","",VLOOKUP(Tabla_3[COD],'Stock inicial'!A:D,2,FALSE))</f>
        <v>DESENGRASANTE COCINA 1L</v>
      </c>
      <c r="E493" s="59">
        <v>10.0</v>
      </c>
      <c r="F493" s="141">
        <v>684.49</v>
      </c>
      <c r="G493" s="142">
        <v>495.59</v>
      </c>
      <c r="H493" s="143">
        <v>4955.9</v>
      </c>
      <c r="I493" s="141">
        <f t="shared" si="7"/>
        <v>6844.9</v>
      </c>
      <c r="J493" s="27" t="s">
        <v>3</v>
      </c>
    </row>
    <row r="494" hidden="1">
      <c r="A494" s="78">
        <v>45855.0</v>
      </c>
      <c r="B494" s="91"/>
      <c r="C494" s="50">
        <v>268.0</v>
      </c>
      <c r="D494" s="81" t="str">
        <f>IF(Tabla_3[COD]="","",VLOOKUP(Tabla_3[COD],'Stock inicial'!A:D,2,FALSE))</f>
        <v>LIMPIAVIDRIOS 1L</v>
      </c>
      <c r="E494" s="58">
        <v>10.0</v>
      </c>
      <c r="F494" s="141">
        <v>619.49</v>
      </c>
      <c r="G494" s="142">
        <v>547.5899999999999</v>
      </c>
      <c r="H494" s="143">
        <v>5475.9</v>
      </c>
      <c r="I494" s="141">
        <f t="shared" si="7"/>
        <v>6194.9</v>
      </c>
      <c r="J494" s="27" t="s">
        <v>3</v>
      </c>
    </row>
    <row r="495" hidden="1">
      <c r="A495" s="74">
        <v>45855.0</v>
      </c>
      <c r="B495" s="92"/>
      <c r="C495" s="51">
        <v>273.0</v>
      </c>
      <c r="D495" s="87" t="str">
        <f>IF(Tabla_3[COD]="","",VLOOKUP(Tabla_3[COD],'Stock inicial'!A:D,2,FALSE))</f>
        <v>PERFUMINA CHERRY 1L</v>
      </c>
      <c r="E495" s="59">
        <v>10.0</v>
      </c>
      <c r="F495" s="141">
        <v>441.3</v>
      </c>
      <c r="G495" s="142">
        <v>353.03999999999996</v>
      </c>
      <c r="H495" s="143">
        <v>3530.3999999999996</v>
      </c>
      <c r="I495" s="141">
        <f t="shared" si="7"/>
        <v>4413</v>
      </c>
      <c r="J495" s="27" t="s">
        <v>3</v>
      </c>
    </row>
    <row r="496" hidden="1">
      <c r="A496" s="78">
        <v>45855.0</v>
      </c>
      <c r="B496" s="91"/>
      <c r="C496" s="50">
        <v>275.0</v>
      </c>
      <c r="D496" s="81" t="str">
        <f>IF(Tabla_3[COD]="","",VLOOKUP(Tabla_3[COD],'Stock inicial'!A:D,2,FALSE))</f>
        <v>PERFUMINA UVA 1L</v>
      </c>
      <c r="E496" s="58">
        <v>10.0</v>
      </c>
      <c r="F496" s="27">
        <v>441.3</v>
      </c>
      <c r="G496" s="142">
        <v>353.03999999999996</v>
      </c>
      <c r="H496" s="143">
        <v>3530.3999999999996</v>
      </c>
      <c r="I496" s="141">
        <f t="shared" si="7"/>
        <v>4413</v>
      </c>
      <c r="J496" s="27" t="s">
        <v>3</v>
      </c>
    </row>
    <row r="497" hidden="1">
      <c r="A497" s="74">
        <v>45855.0</v>
      </c>
      <c r="B497" s="92"/>
      <c r="C497" s="51">
        <v>277.0</v>
      </c>
      <c r="D497" s="87" t="str">
        <f>IF(Tabla_3[COD]="","",VLOOKUP(Tabla_3[COD],'Stock inicial'!A:D,2,FALSE))</f>
        <v>PERFUMINA LIMON 1L</v>
      </c>
      <c r="E497" s="59">
        <v>10.0</v>
      </c>
      <c r="F497" s="27">
        <v>441.3</v>
      </c>
      <c r="G497" s="142">
        <v>353.03999999999996</v>
      </c>
      <c r="H497" s="143">
        <v>3530.3999999999996</v>
      </c>
      <c r="I497" s="141">
        <f t="shared" si="7"/>
        <v>4413</v>
      </c>
      <c r="J497" s="27" t="s">
        <v>3</v>
      </c>
    </row>
    <row r="498" hidden="1">
      <c r="A498" s="78">
        <v>45855.0</v>
      </c>
      <c r="B498" s="91"/>
      <c r="C498" s="50">
        <v>279.0</v>
      </c>
      <c r="D498" s="81" t="str">
        <f>IF(Tabla_3[COD]="","",VLOOKUP(Tabla_3[COD],'Stock inicial'!A:D,2,FALSE))</f>
        <v>PERFUMINA LISOFORM 1L</v>
      </c>
      <c r="E498" s="58">
        <v>10.0</v>
      </c>
      <c r="F498" s="27">
        <v>441.3</v>
      </c>
      <c r="G498" s="142">
        <v>353.03999999999996</v>
      </c>
      <c r="H498" s="143">
        <v>3530.3999999999996</v>
      </c>
      <c r="I498" s="141">
        <f t="shared" si="7"/>
        <v>4413</v>
      </c>
      <c r="J498" s="27" t="s">
        <v>3</v>
      </c>
    </row>
    <row r="499" hidden="1">
      <c r="A499" s="74">
        <v>45855.0</v>
      </c>
      <c r="B499" s="92"/>
      <c r="C499" s="51">
        <v>281.0</v>
      </c>
      <c r="D499" s="87" t="str">
        <f>IF(Tabla_3[COD]="","",VLOOKUP(Tabla_3[COD],'Stock inicial'!A:D,2,FALSE))</f>
        <v>PERFUMINA VAINILLA 1L</v>
      </c>
      <c r="E499" s="59">
        <v>10.0</v>
      </c>
      <c r="F499" s="27">
        <v>441.3</v>
      </c>
      <c r="G499" s="142">
        <v>353.03999999999996</v>
      </c>
      <c r="H499" s="143">
        <v>3530.3999999999996</v>
      </c>
      <c r="I499" s="141">
        <f t="shared" si="7"/>
        <v>4413</v>
      </c>
      <c r="J499" s="27" t="s">
        <v>3</v>
      </c>
    </row>
    <row r="500" hidden="1">
      <c r="A500" s="78">
        <v>45855.0</v>
      </c>
      <c r="B500" s="91"/>
      <c r="C500" s="99">
        <v>259.0</v>
      </c>
      <c r="D500" s="81" t="str">
        <f>IF(Tabla_3[COD]="","",VLOOKUP(Tabla_3[COD],'Stock inicial'!A:D,2,FALSE))</f>
        <v>ALOE VERA (VERDE) 1L</v>
      </c>
      <c r="E500" s="58">
        <v>10.0</v>
      </c>
      <c r="F500" s="27">
        <v>884.49</v>
      </c>
      <c r="G500" s="142">
        <v>707.5899999999999</v>
      </c>
      <c r="H500" s="143">
        <v>7075.9</v>
      </c>
      <c r="I500" s="141">
        <f t="shared" si="7"/>
        <v>8844.9</v>
      </c>
      <c r="J500" s="27" t="s">
        <v>3</v>
      </c>
    </row>
    <row r="501" hidden="1">
      <c r="A501" s="74">
        <v>45855.0</v>
      </c>
      <c r="B501" s="75" t="s">
        <v>236</v>
      </c>
      <c r="C501" s="96">
        <v>216.0</v>
      </c>
      <c r="D501" s="77" t="str">
        <f>IF(Tabla_3[COD]="","",VLOOKUP(Tabla_3[COD],'Stock inicial'!A:D,2,FALSE))</f>
        <v>EXCELLENT PUPPY FORMULA XKG</v>
      </c>
      <c r="E501" s="59">
        <v>2.0</v>
      </c>
      <c r="F501" s="27">
        <v>3400.0</v>
      </c>
      <c r="G501" s="142">
        <v>2361.8</v>
      </c>
      <c r="H501" s="143">
        <v>4723.6</v>
      </c>
      <c r="I501" s="141">
        <f t="shared" si="7"/>
        <v>6800</v>
      </c>
      <c r="J501" s="27" t="s">
        <v>3</v>
      </c>
    </row>
    <row r="502" hidden="1">
      <c r="A502" s="78">
        <v>45855.0</v>
      </c>
      <c r="B502" s="82" t="s">
        <v>237</v>
      </c>
      <c r="C502" s="97">
        <v>152.0</v>
      </c>
      <c r="D502" s="84" t="str">
        <f>IF(Tabla_3[COD]="","",VLOOKUP(Tabla_3[COD],'Stock inicial'!A:D,2,FALSE))</f>
        <v>OREJAS BOVINAS</v>
      </c>
      <c r="E502" s="58">
        <v>2.0</v>
      </c>
      <c r="F502" s="27">
        <v>800.0</v>
      </c>
      <c r="G502" s="142">
        <v>303.6</v>
      </c>
      <c r="H502" s="143">
        <v>607.2</v>
      </c>
      <c r="I502" s="141">
        <f t="shared" si="7"/>
        <v>1600</v>
      </c>
      <c r="J502" s="27" t="s">
        <v>3</v>
      </c>
    </row>
    <row r="503" hidden="1">
      <c r="A503" s="74">
        <v>45855.0</v>
      </c>
      <c r="B503" s="75" t="s">
        <v>238</v>
      </c>
      <c r="C503" s="96">
        <v>363.0</v>
      </c>
      <c r="D503" s="77" t="str">
        <f>IF(Tabla_3[COD]="","",VLOOKUP(Tabla_3[COD],'Stock inicial'!A:D,2,FALSE))</f>
        <v>CAMITAS 70x50</v>
      </c>
      <c r="E503" s="59">
        <v>1.0</v>
      </c>
      <c r="F503" s="27">
        <v>13500.0</v>
      </c>
      <c r="G503" s="142">
        <v>9000.0</v>
      </c>
      <c r="H503" s="143">
        <v>9000.0</v>
      </c>
      <c r="I503" s="141">
        <f t="shared" si="7"/>
        <v>13500</v>
      </c>
      <c r="J503" s="27" t="s">
        <v>3</v>
      </c>
    </row>
    <row r="504" hidden="1">
      <c r="A504" s="78">
        <v>45855.0</v>
      </c>
      <c r="B504" s="82" t="s">
        <v>239</v>
      </c>
      <c r="C504" s="97">
        <v>162.0</v>
      </c>
      <c r="D504" s="84" t="str">
        <f>IF(Tabla_3[COD]="","",VLOOKUP(Tabla_3[COD],'Stock inicial'!A:D,2,FALSE))</f>
        <v>PIEDRA SANITARIA THEBEST X20KG</v>
      </c>
      <c r="E504" s="58">
        <v>3.45</v>
      </c>
      <c r="F504" s="27">
        <v>580.0</v>
      </c>
      <c r="G504" s="142">
        <v>430.0</v>
      </c>
      <c r="H504" s="143">
        <v>1483.5</v>
      </c>
      <c r="I504" s="141">
        <f t="shared" si="7"/>
        <v>2001</v>
      </c>
      <c r="J504" s="27" t="s">
        <v>3</v>
      </c>
    </row>
    <row r="505" hidden="1">
      <c r="A505" s="74">
        <v>45855.0</v>
      </c>
      <c r="B505" s="92"/>
      <c r="C505" s="98">
        <v>245.0</v>
      </c>
      <c r="D505" s="87" t="str">
        <f>IF(Tabla_3[COD]="","",VLOOKUP(Tabla_3[COD],'Stock inicial'!A:D,2,FALSE))</f>
        <v>ARIEL ECO (VERDE) 1L</v>
      </c>
      <c r="E505" s="59">
        <v>1.0</v>
      </c>
      <c r="F505" s="27">
        <v>600.0</v>
      </c>
      <c r="G505" s="142">
        <v>228.6</v>
      </c>
      <c r="H505" s="143">
        <v>228.6</v>
      </c>
      <c r="I505" s="141">
        <f t="shared" si="7"/>
        <v>600</v>
      </c>
      <c r="J505" s="27" t="s">
        <v>3</v>
      </c>
    </row>
    <row r="506" hidden="1">
      <c r="A506" s="78">
        <v>45855.0</v>
      </c>
      <c r="B506" s="91"/>
      <c r="C506" s="99">
        <v>289.0</v>
      </c>
      <c r="D506" s="81" t="str">
        <f>IF(Tabla_3[COD]="","",VLOOKUP(Tabla_3[COD],'Stock inicial'!A:D,2,FALSE))</f>
        <v>LAVANDINA 1L</v>
      </c>
      <c r="E506" s="58">
        <v>1.0</v>
      </c>
      <c r="F506" s="27">
        <v>499.0</v>
      </c>
      <c r="G506" s="142">
        <v>216.0</v>
      </c>
      <c r="H506" s="143">
        <v>216.0</v>
      </c>
      <c r="I506" s="141">
        <f t="shared" si="7"/>
        <v>499</v>
      </c>
      <c r="J506" s="27" t="s">
        <v>3</v>
      </c>
    </row>
    <row r="507" hidden="1">
      <c r="A507" s="74">
        <v>45855.0</v>
      </c>
      <c r="B507" s="70" t="s">
        <v>240</v>
      </c>
      <c r="C507" s="123">
        <v>246.0</v>
      </c>
      <c r="D507" s="124" t="str">
        <f>IF(Tabla_3[COD]="","",VLOOKUP(Tabla_3[COD],'Stock inicial'!A:D,2,FALSE))</f>
        <v>ARIEL ECO (VERDE) 5L</v>
      </c>
      <c r="E507" s="59">
        <v>1.0</v>
      </c>
      <c r="F507" s="27">
        <v>1990.0</v>
      </c>
      <c r="G507" s="142">
        <v>1143.0</v>
      </c>
      <c r="H507" s="143">
        <v>1143.0</v>
      </c>
      <c r="I507" s="141">
        <f t="shared" si="7"/>
        <v>1990</v>
      </c>
      <c r="J507" s="27" t="s">
        <v>3</v>
      </c>
    </row>
    <row r="508" hidden="1">
      <c r="A508" s="78">
        <v>45855.0</v>
      </c>
      <c r="B508" s="139" t="s">
        <v>241</v>
      </c>
      <c r="C508" s="99">
        <v>162.0</v>
      </c>
      <c r="D508" s="81" t="str">
        <f>IF(Tabla_3[COD]="","",VLOOKUP(Tabla_3[COD],'Stock inicial'!A:D,2,FALSE))</f>
        <v>PIEDRA SANITARIA THEBEST X20KG</v>
      </c>
      <c r="E508" s="58">
        <v>3.45</v>
      </c>
      <c r="F508" s="27">
        <v>580.0</v>
      </c>
      <c r="G508" s="142">
        <v>430.0</v>
      </c>
      <c r="H508" s="143">
        <v>1483.5</v>
      </c>
      <c r="I508" s="141">
        <f t="shared" si="7"/>
        <v>2001</v>
      </c>
      <c r="J508" s="27" t="s">
        <v>3</v>
      </c>
    </row>
    <row r="509" hidden="1">
      <c r="A509" s="74">
        <v>45855.0</v>
      </c>
      <c r="B509" s="75" t="s">
        <v>242</v>
      </c>
      <c r="C509" s="96">
        <v>228.0</v>
      </c>
      <c r="D509" s="77" t="str">
        <f>IF(Tabla_3[COD]="","",VLOOKUP(Tabla_3[COD],'Stock inicial'!A:D,2,FALSE))</f>
        <v>CATPRO KITTEN</v>
      </c>
      <c r="E509" s="59">
        <v>2.0</v>
      </c>
      <c r="F509" s="27">
        <v>5900.0</v>
      </c>
      <c r="G509" s="142">
        <v>4091.23</v>
      </c>
      <c r="H509" s="143">
        <v>8182.46</v>
      </c>
      <c r="I509" s="141">
        <f t="shared" si="7"/>
        <v>11800</v>
      </c>
      <c r="J509" s="27" t="s">
        <v>3</v>
      </c>
    </row>
    <row r="510" hidden="1">
      <c r="A510" s="78">
        <v>45855.0</v>
      </c>
      <c r="B510" s="145"/>
      <c r="C510" s="126">
        <v>162.0</v>
      </c>
      <c r="D510" s="127" t="str">
        <f>IF(Tabla_3[COD]="","",VLOOKUP(Tabla_3[COD],'Stock inicial'!A:D,2,FALSE))</f>
        <v>PIEDRA SANITARIA THEBEST X20KG</v>
      </c>
      <c r="E510" s="58">
        <v>2.6</v>
      </c>
      <c r="F510" s="27">
        <v>580.0</v>
      </c>
      <c r="G510" s="142">
        <v>430.0</v>
      </c>
      <c r="H510" s="143">
        <v>1118.0</v>
      </c>
      <c r="I510" s="141">
        <f t="shared" si="7"/>
        <v>1508</v>
      </c>
      <c r="J510" s="27" t="s">
        <v>3</v>
      </c>
    </row>
    <row r="511" hidden="1">
      <c r="A511" s="74">
        <v>45855.0</v>
      </c>
      <c r="B511" s="100" t="s">
        <v>243</v>
      </c>
      <c r="C511" s="98">
        <v>227.0</v>
      </c>
      <c r="D511" s="87" t="str">
        <f>IF(Tabla_3[COD]="","",VLOOKUP(Tabla_3[COD],'Stock inicial'!A:D,2,FALSE))</f>
        <v>CATPRO GATO ADULTO</v>
      </c>
      <c r="E511" s="59">
        <v>2.0</v>
      </c>
      <c r="F511" s="27">
        <v>5250.0</v>
      </c>
      <c r="G511" s="142">
        <v>3657.41</v>
      </c>
      <c r="H511" s="143">
        <v>7314.82</v>
      </c>
      <c r="I511" s="141">
        <v>10500.0</v>
      </c>
      <c r="J511" s="27" t="s">
        <v>3</v>
      </c>
    </row>
    <row r="512" hidden="1">
      <c r="A512" s="147">
        <v>45857.0</v>
      </c>
      <c r="B512" s="104" t="s">
        <v>244</v>
      </c>
      <c r="C512" s="105">
        <v>364.0</v>
      </c>
      <c r="D512" s="106" t="str">
        <f>IF(Tabla_3[COD]="","",VLOOKUP(Tabla_3[COD],'Stock inicial'!A:D,2,FALSE))</f>
        <v>CAMITAS  70x70</v>
      </c>
      <c r="E512" s="148">
        <v>1.0</v>
      </c>
      <c r="F512" s="141">
        <v>16500.0</v>
      </c>
      <c r="G512" s="142">
        <v>11000.0</v>
      </c>
      <c r="H512" s="143">
        <v>11000.0</v>
      </c>
      <c r="I512" s="141">
        <v>15000.0</v>
      </c>
      <c r="J512" s="141" t="s">
        <v>11</v>
      </c>
    </row>
    <row r="513" hidden="1">
      <c r="A513" s="74">
        <v>45856.0</v>
      </c>
      <c r="B513" s="75" t="s">
        <v>245</v>
      </c>
      <c r="C513" s="96">
        <v>223.0</v>
      </c>
      <c r="D513" s="77" t="str">
        <f>IF(Tabla_3[COD]="","",VLOOKUP(Tabla_3[COD],'Stock inicial'!A:D,2,FALSE))</f>
        <v>VORAZ PERRO ADULTO MIX</v>
      </c>
      <c r="E513" s="59">
        <v>2.0</v>
      </c>
      <c r="F513" s="141">
        <v>1100.0</v>
      </c>
      <c r="G513" s="142">
        <v>819.5</v>
      </c>
      <c r="H513" s="143">
        <v>1639.0</v>
      </c>
      <c r="I513" s="141">
        <v>2200.0</v>
      </c>
      <c r="J513" s="27" t="s">
        <v>3</v>
      </c>
    </row>
    <row r="514" hidden="1">
      <c r="A514" s="78">
        <v>45856.0</v>
      </c>
      <c r="B514" s="68" t="s">
        <v>246</v>
      </c>
      <c r="C514" s="128">
        <v>290.0</v>
      </c>
      <c r="D514" s="129" t="str">
        <f>IF(Tabla_3[COD]="","",VLOOKUP(Tabla_3[COD],'Stock inicial'!A:D,2,FALSE))</f>
        <v>LAVANDINA 5L</v>
      </c>
      <c r="E514" s="58">
        <v>1.0</v>
      </c>
      <c r="F514" s="141">
        <v>1990.0</v>
      </c>
      <c r="G514" s="142">
        <v>1145.0</v>
      </c>
      <c r="H514" s="143">
        <v>1145.0</v>
      </c>
      <c r="I514" s="141">
        <v>1990.0</v>
      </c>
      <c r="J514" s="27" t="s">
        <v>3</v>
      </c>
    </row>
    <row r="515" hidden="1">
      <c r="A515" s="74">
        <v>45856.0</v>
      </c>
      <c r="B515" s="100" t="s">
        <v>247</v>
      </c>
      <c r="C515" s="98">
        <v>223.0</v>
      </c>
      <c r="D515" s="87" t="str">
        <f>IF(Tabla_3[COD]="","",VLOOKUP(Tabla_3[COD],'Stock inicial'!A:D,2,FALSE))</f>
        <v>VORAZ PERRO ADULTO MIX</v>
      </c>
      <c r="E515" s="59">
        <v>0.5</v>
      </c>
      <c r="F515" s="141">
        <v>1100.0</v>
      </c>
      <c r="G515" s="142">
        <v>819.5</v>
      </c>
      <c r="H515" s="143">
        <v>409.75</v>
      </c>
      <c r="I515" s="141">
        <v>550.0</v>
      </c>
      <c r="J515" s="27" t="s">
        <v>3</v>
      </c>
    </row>
    <row r="516" hidden="1">
      <c r="A516" s="78">
        <v>45856.0</v>
      </c>
      <c r="B516" s="91"/>
      <c r="C516" s="99">
        <v>212.0</v>
      </c>
      <c r="D516" s="81" t="str">
        <f>IF(Tabla_3[COD]="","",VLOOKUP(Tabla_3[COD],'Stock inicial'!A:D,2,FALSE))</f>
        <v>DOGPRO ADULTO MORDIDA PEQUEñA XKG</v>
      </c>
      <c r="E516" s="58">
        <v>0.5</v>
      </c>
      <c r="F516" s="141">
        <v>3700.0</v>
      </c>
      <c r="G516" s="142">
        <v>2778.13</v>
      </c>
      <c r="H516" s="143">
        <v>1389.065</v>
      </c>
      <c r="I516" s="141">
        <v>1850.0</v>
      </c>
      <c r="J516" s="27" t="s">
        <v>3</v>
      </c>
    </row>
    <row r="517" hidden="1">
      <c r="A517" s="74">
        <v>45856.0</v>
      </c>
      <c r="B517" s="75" t="s">
        <v>248</v>
      </c>
      <c r="C517" s="96">
        <v>248.0</v>
      </c>
      <c r="D517" s="77" t="str">
        <f>IF(Tabla_3[COD]="","",VLOOKUP(Tabla_3[COD],'Stock inicial'!A:D,2,FALSE))</f>
        <v>ARIEL PREMIUM (VERDE) 5L</v>
      </c>
      <c r="E517" s="59">
        <v>2.0</v>
      </c>
      <c r="F517" s="141">
        <v>2700.0</v>
      </c>
      <c r="G517" s="142">
        <v>1615.5</v>
      </c>
      <c r="H517" s="143">
        <v>3231.0</v>
      </c>
      <c r="I517" s="141">
        <v>5400.0</v>
      </c>
      <c r="J517" s="27" t="s">
        <v>3</v>
      </c>
    </row>
    <row r="518" hidden="1">
      <c r="A518" s="78">
        <v>45856.0</v>
      </c>
      <c r="B518" s="91"/>
      <c r="C518" s="95"/>
      <c r="D518" s="81" t="s">
        <v>249</v>
      </c>
      <c r="E518" s="58">
        <v>1.0</v>
      </c>
      <c r="F518" s="141">
        <v>1500.0</v>
      </c>
      <c r="G518" s="149"/>
      <c r="H518" s="141"/>
      <c r="I518" s="141">
        <v>1500.0</v>
      </c>
      <c r="J518" s="27" t="s">
        <v>3</v>
      </c>
    </row>
    <row r="519" hidden="1">
      <c r="A519" s="147">
        <v>45862.0</v>
      </c>
      <c r="B519" s="104" t="s">
        <v>250</v>
      </c>
      <c r="C519" s="105">
        <v>290.0</v>
      </c>
      <c r="D519" s="106" t="str">
        <f>IF(Tabla_3[COD]="","",VLOOKUP(Tabla_3[COD],'Stock inicial'!A:D,2,FALSE))</f>
        <v>LAVANDINA 5L</v>
      </c>
      <c r="E519" s="148">
        <v>1.0</v>
      </c>
      <c r="F519" s="141">
        <v>2499.0</v>
      </c>
      <c r="G519" s="142">
        <v>1145.0</v>
      </c>
      <c r="H519" s="143">
        <v>1145.0</v>
      </c>
      <c r="I519" s="141">
        <v>2499.0</v>
      </c>
      <c r="J519" s="141" t="s">
        <v>3</v>
      </c>
    </row>
    <row r="520" hidden="1">
      <c r="A520" s="147">
        <v>45862.0</v>
      </c>
      <c r="B520" s="119"/>
      <c r="C520" s="108">
        <v>2912.0</v>
      </c>
      <c r="D520" s="109" t="str">
        <f>IF(Tabla_3[COD]="","",VLOOKUP(Tabla_3[COD],'Stock inicial'!A:D,2,FALSE))</f>
        <v>CLORO 5L</v>
      </c>
      <c r="E520" s="148">
        <v>1.0</v>
      </c>
      <c r="F520" s="141">
        <v>2900.0</v>
      </c>
      <c r="G520" s="142">
        <v>1325.0</v>
      </c>
      <c r="H520" s="143">
        <v>1325.0</v>
      </c>
      <c r="I520" s="141">
        <v>2900.0</v>
      </c>
      <c r="J520" s="141" t="s">
        <v>3</v>
      </c>
    </row>
    <row r="521" hidden="1">
      <c r="A521" s="74">
        <v>45856.0</v>
      </c>
      <c r="B521" s="75" t="s">
        <v>251</v>
      </c>
      <c r="C521" s="96">
        <v>278.0</v>
      </c>
      <c r="D521" s="77" t="str">
        <f>IF(Tabla_3[COD]="","",VLOOKUP(Tabla_3[COD],'Stock inicial'!A:D,2,FALSE))</f>
        <v>PERFUMINA LIMON 5L</v>
      </c>
      <c r="E521" s="59">
        <v>1.0</v>
      </c>
      <c r="F521" s="141">
        <v>1499.0</v>
      </c>
      <c r="G521" s="142">
        <v>287.25</v>
      </c>
      <c r="H521" s="143">
        <v>287.25</v>
      </c>
      <c r="I521" s="141">
        <v>1499.0</v>
      </c>
      <c r="J521" s="27" t="s">
        <v>3</v>
      </c>
    </row>
    <row r="522" hidden="1">
      <c r="A522" s="78">
        <v>45856.0</v>
      </c>
      <c r="B522" s="68" t="s">
        <v>252</v>
      </c>
      <c r="C522" s="128">
        <v>242.0</v>
      </c>
      <c r="D522" s="129" t="str">
        <f>IF(Tabla_3[COD]="","",VLOOKUP(Tabla_3[COD],'Stock inicial'!A:D,2,FALSE))</f>
        <v>PEDIGREE POUCH AD. PEQ POLLO</v>
      </c>
      <c r="E522" s="58">
        <v>2.0</v>
      </c>
      <c r="F522" s="141">
        <v>1100.0</v>
      </c>
      <c r="G522" s="142">
        <v>787.5</v>
      </c>
      <c r="H522" s="143">
        <v>1575.0</v>
      </c>
      <c r="I522" s="141">
        <v>2200.0</v>
      </c>
      <c r="J522" s="27" t="s">
        <v>3</v>
      </c>
    </row>
    <row r="523" hidden="1">
      <c r="A523" s="74">
        <v>45856.0</v>
      </c>
      <c r="B523" s="100" t="s">
        <v>253</v>
      </c>
      <c r="C523" s="98">
        <v>281.0</v>
      </c>
      <c r="D523" s="87" t="str">
        <f>IF(Tabla_3[COD]="","",VLOOKUP(Tabla_3[COD],'Stock inicial'!A:D,2,FALSE))</f>
        <v>PERFUMINA VAINILLA 1L</v>
      </c>
      <c r="E523" s="59">
        <v>1.0</v>
      </c>
      <c r="F523" s="141">
        <v>599.0</v>
      </c>
      <c r="G523" s="142">
        <v>353.03999999999996</v>
      </c>
      <c r="H523" s="143">
        <v>353.03999999999996</v>
      </c>
      <c r="I523" s="141">
        <v>599.0</v>
      </c>
      <c r="J523" s="27" t="s">
        <v>3</v>
      </c>
    </row>
    <row r="524" hidden="1">
      <c r="A524" s="78">
        <v>45856.0</v>
      </c>
      <c r="B524" s="91"/>
      <c r="C524" s="50">
        <v>245.0</v>
      </c>
      <c r="D524" s="81" t="str">
        <f>IF(Tabla_3[COD]="","",VLOOKUP(Tabla_3[COD],'Stock inicial'!A:D,2,FALSE))</f>
        <v>ARIEL ECO (VERDE) 1L</v>
      </c>
      <c r="E524" s="58">
        <v>1.0</v>
      </c>
      <c r="F524" s="141">
        <v>890.0</v>
      </c>
      <c r="G524" s="142">
        <v>524.1899999999999</v>
      </c>
      <c r="H524" s="143">
        <v>524.1899999999999</v>
      </c>
      <c r="I524" s="141">
        <v>890.0</v>
      </c>
      <c r="J524" s="27" t="s">
        <v>3</v>
      </c>
    </row>
    <row r="525" hidden="1">
      <c r="A525" s="74">
        <v>45856.0</v>
      </c>
      <c r="B525" s="92"/>
      <c r="C525" s="51">
        <v>259.0</v>
      </c>
      <c r="D525" s="87" t="str">
        <f>IF(Tabla_3[COD]="","",VLOOKUP(Tabla_3[COD],'Stock inicial'!A:D,2,FALSE))</f>
        <v>ALOE VERA (VERDE) 1L</v>
      </c>
      <c r="E525" s="59">
        <v>1.0</v>
      </c>
      <c r="F525" s="141">
        <v>1299.0</v>
      </c>
      <c r="G525" s="142">
        <v>727.5899999999999</v>
      </c>
      <c r="H525" s="143">
        <v>727.5899999999999</v>
      </c>
      <c r="I525" s="141">
        <v>1299.0</v>
      </c>
      <c r="J525" s="27" t="s">
        <v>3</v>
      </c>
    </row>
    <row r="526" hidden="1">
      <c r="A526" s="78">
        <v>45856.0</v>
      </c>
      <c r="B526" s="91"/>
      <c r="C526" s="50">
        <v>289.0</v>
      </c>
      <c r="D526" s="81" t="str">
        <f>IF(Tabla_3[COD]="","",VLOOKUP(Tabla_3[COD],'Stock inicial'!A:D,2,FALSE))</f>
        <v>LAVANDINA 1L</v>
      </c>
      <c r="E526" s="58">
        <v>1.0</v>
      </c>
      <c r="F526" s="141">
        <v>799.0</v>
      </c>
      <c r="G526" s="142">
        <v>524.5899999999999</v>
      </c>
      <c r="H526" s="143">
        <v>524.5899999999999</v>
      </c>
      <c r="I526" s="141">
        <v>799.0</v>
      </c>
      <c r="J526" s="27" t="s">
        <v>3</v>
      </c>
    </row>
    <row r="527" hidden="1">
      <c r="A527" s="74">
        <v>45856.0</v>
      </c>
      <c r="B527" s="92"/>
      <c r="C527" s="98">
        <v>251.0</v>
      </c>
      <c r="D527" s="87" t="str">
        <f>IF(Tabla_3[COD]="","",VLOOKUP(Tabla_3[COD],'Stock inicial'!A:D,2,FALSE))</f>
        <v>VIVERE ECO (CELESTE) 1L</v>
      </c>
      <c r="E527" s="59">
        <v>1.0</v>
      </c>
      <c r="F527" s="141">
        <f>VLOOKUP( C527 , 'Stock inicial'!$A:$G , 6 , FALSE )</f>
        <v>990</v>
      </c>
      <c r="G527" s="142">
        <f>VLOOKUP( C527 , 'Stock inicial'!$A:$F , 5 , FALSE )+295.59</f>
        <v>591.59</v>
      </c>
      <c r="H527" s="143">
        <f t="shared" ref="H527:H528" si="8">G527*E527</f>
        <v>591.59</v>
      </c>
      <c r="I527" s="141">
        <f t="shared" ref="I527:I528" si="9">F527*E527</f>
        <v>990</v>
      </c>
      <c r="J527" s="27" t="s">
        <v>3</v>
      </c>
    </row>
    <row r="528" hidden="1">
      <c r="A528" s="78">
        <v>45856.0</v>
      </c>
      <c r="B528" s="91"/>
      <c r="C528" s="95"/>
      <c r="D528" s="81" t="s">
        <v>51</v>
      </c>
      <c r="E528" s="58">
        <v>1.0</v>
      </c>
      <c r="F528" s="141">
        <v>430.0</v>
      </c>
      <c r="G528" s="149"/>
      <c r="H528" s="141">
        <f t="shared" si="8"/>
        <v>0</v>
      </c>
      <c r="I528" s="141">
        <f t="shared" si="9"/>
        <v>430</v>
      </c>
      <c r="J528" s="27" t="s">
        <v>3</v>
      </c>
    </row>
    <row r="529" hidden="1">
      <c r="A529" s="74">
        <v>45857.0</v>
      </c>
      <c r="B529" s="75" t="s">
        <v>254</v>
      </c>
      <c r="C529" s="96">
        <v>162.0</v>
      </c>
      <c r="D529" s="77" t="str">
        <f>IF(Tabla_3[COD]="","",VLOOKUP(Tabla_3[COD],'Stock inicial'!A:D,2,FALSE))</f>
        <v>PIEDRA SANITARIA THEBEST X20KG</v>
      </c>
      <c r="E529" s="59">
        <v>3.45</v>
      </c>
      <c r="F529" s="141">
        <v>580.0</v>
      </c>
      <c r="G529" s="142">
        <v>318.0</v>
      </c>
      <c r="H529" s="143">
        <v>1097.1000000000001</v>
      </c>
      <c r="I529" s="141">
        <v>2001.0</v>
      </c>
      <c r="J529" s="27" t="s">
        <v>3</v>
      </c>
    </row>
    <row r="530" hidden="1">
      <c r="A530" s="78">
        <v>45857.0</v>
      </c>
      <c r="B530" s="82" t="s">
        <v>255</v>
      </c>
      <c r="C530" s="97">
        <v>209.0</v>
      </c>
      <c r="D530" s="84" t="str">
        <f>IF(Tabla_3[COD]="","",VLOOKUP(Tabla_3[COD],'Stock inicial'!A:D,2,FALSE))</f>
        <v>CARDINA CON BOTON EXPULSAPELO</v>
      </c>
      <c r="E530" s="58">
        <v>1.0</v>
      </c>
      <c r="F530" s="141">
        <v>4500.0</v>
      </c>
      <c r="G530" s="142">
        <v>2162.0</v>
      </c>
      <c r="H530" s="143">
        <v>2162.0</v>
      </c>
      <c r="I530" s="141">
        <v>4500.0</v>
      </c>
      <c r="J530" s="27" t="s">
        <v>3</v>
      </c>
    </row>
    <row r="531" hidden="1">
      <c r="A531" s="74">
        <v>45857.0</v>
      </c>
      <c r="B531" s="92"/>
      <c r="C531" s="98">
        <v>235.0</v>
      </c>
      <c r="D531" s="87" t="str">
        <f>IF(Tabla_3[COD]="","",VLOOKUP(Tabla_3[COD],'Stock inicial'!A:D,2,FALSE))</f>
        <v>CATCHOW POUCH ADULTO POLLO</v>
      </c>
      <c r="E531" s="59">
        <v>4.0</v>
      </c>
      <c r="F531" s="141">
        <v>1500.0</v>
      </c>
      <c r="G531" s="142">
        <v>876.04</v>
      </c>
      <c r="H531" s="143">
        <v>3504.16</v>
      </c>
      <c r="I531" s="141">
        <v>6000.0</v>
      </c>
      <c r="J531" s="27" t="s">
        <v>3</v>
      </c>
    </row>
    <row r="532" hidden="1">
      <c r="A532" s="78">
        <v>45857.0</v>
      </c>
      <c r="B532" s="82" t="s">
        <v>256</v>
      </c>
      <c r="C532" s="97">
        <v>309.0</v>
      </c>
      <c r="D532" s="84" t="str">
        <f>IF(Tabla_3[COD]="","",VLOOKUP(Tabla_3[COD],'Stock inicial'!A:D,2,FALSE))</f>
        <v>BALDE 13L "COLORES" </v>
      </c>
      <c r="E532" s="58">
        <v>1.0</v>
      </c>
      <c r="F532" s="141">
        <v>3499.0</v>
      </c>
      <c r="G532" s="142">
        <v>2800.0</v>
      </c>
      <c r="H532" s="143">
        <v>2800.0</v>
      </c>
      <c r="I532" s="141">
        <v>3499.0</v>
      </c>
      <c r="J532" s="27" t="s">
        <v>11</v>
      </c>
    </row>
    <row r="533" hidden="1">
      <c r="A533" s="74">
        <v>45857.0</v>
      </c>
      <c r="B533" s="92"/>
      <c r="C533" s="98">
        <v>357.0</v>
      </c>
      <c r="D533" s="87" t="str">
        <f>IF(Tabla_3[COD]="","",VLOOKUP(Tabla_3[COD],'Stock inicial'!A:D,2,FALSE))</f>
        <v>PAPEL HIGIENICO "ELEGANTE"</v>
      </c>
      <c r="E533" s="59">
        <v>1.0</v>
      </c>
      <c r="F533" s="141">
        <v>1899.0</v>
      </c>
      <c r="G533" s="142">
        <v>1299.0</v>
      </c>
      <c r="H533" s="143">
        <v>1299.0</v>
      </c>
      <c r="I533" s="141">
        <v>1899.0</v>
      </c>
      <c r="J533" s="27" t="s">
        <v>11</v>
      </c>
    </row>
    <row r="534" hidden="1">
      <c r="A534" s="78">
        <v>45857.0</v>
      </c>
      <c r="B534" s="82" t="s">
        <v>257</v>
      </c>
      <c r="C534" s="97">
        <v>214.0</v>
      </c>
      <c r="D534" s="84" t="str">
        <f>IF(Tabla_3[COD]="","",VLOOKUP(Tabla_3[COD],'Stock inicial'!A:D,2,FALSE))</f>
        <v>DOGPRO ADULTO SUPER PREMIUM XKG</v>
      </c>
      <c r="E534" s="58">
        <v>1.0</v>
      </c>
      <c r="F534" s="141">
        <v>3100.0</v>
      </c>
      <c r="G534" s="142">
        <v>2115.2</v>
      </c>
      <c r="H534" s="143">
        <v>2115.2</v>
      </c>
      <c r="I534" s="141">
        <v>3100.0</v>
      </c>
      <c r="J534" s="27" t="s">
        <v>3</v>
      </c>
    </row>
    <row r="535" hidden="1">
      <c r="A535" s="74">
        <v>45857.0</v>
      </c>
      <c r="B535" s="92"/>
      <c r="C535" s="98">
        <v>230.0</v>
      </c>
      <c r="D535" s="87" t="str">
        <f>IF(Tabla_3[COD]="","",VLOOKUP(Tabla_3[COD],'Stock inicial'!A:D,2,FALSE))</f>
        <v>EXCELLENT PERRO ADULTO BONUS 20K +2</v>
      </c>
      <c r="E535" s="59">
        <v>1.0</v>
      </c>
      <c r="F535" s="141">
        <v>3900.0</v>
      </c>
      <c r="G535" s="142">
        <v>2690.89</v>
      </c>
      <c r="H535" s="143">
        <v>2690.89</v>
      </c>
      <c r="I535" s="141">
        <v>3900.0</v>
      </c>
      <c r="J535" s="27" t="s">
        <v>3</v>
      </c>
    </row>
    <row r="536" hidden="1">
      <c r="A536" s="78">
        <v>45857.0</v>
      </c>
      <c r="B536" s="82" t="s">
        <v>258</v>
      </c>
      <c r="C536" s="97">
        <v>214.0</v>
      </c>
      <c r="D536" s="84" t="str">
        <f>IF(Tabla_3[COD]="","",VLOOKUP(Tabla_3[COD],'Stock inicial'!A:D,2,FALSE))</f>
        <v>DOGPRO ADULTO SUPER PREMIUM XKG</v>
      </c>
      <c r="E536" s="58">
        <v>1.0</v>
      </c>
      <c r="F536" s="141">
        <v>3100.0</v>
      </c>
      <c r="G536" s="142">
        <v>2115.2</v>
      </c>
      <c r="H536" s="143">
        <v>2115.2</v>
      </c>
      <c r="I536" s="141">
        <v>3100.0</v>
      </c>
      <c r="J536" s="27" t="s">
        <v>11</v>
      </c>
    </row>
    <row r="537" hidden="1">
      <c r="A537" s="74">
        <v>45857.0</v>
      </c>
      <c r="B537" s="92"/>
      <c r="C537" s="98">
        <v>370.0</v>
      </c>
      <c r="D537" s="87" t="str">
        <f>IF(Tabla_3[COD]="","",VLOOKUP(Tabla_3[COD],'Stock inicial'!A:D,2,FALSE))</f>
        <v>CUBO 3 POSICIONES</v>
      </c>
      <c r="E537" s="59">
        <v>1.0</v>
      </c>
      <c r="F537" s="141">
        <v>30000.0</v>
      </c>
      <c r="G537" s="142">
        <v>20000.0</v>
      </c>
      <c r="H537" s="143">
        <v>20000.0</v>
      </c>
      <c r="I537" s="141">
        <v>30000.0</v>
      </c>
      <c r="J537" s="27" t="s">
        <v>11</v>
      </c>
    </row>
    <row r="538" hidden="1">
      <c r="A538" s="78">
        <v>45857.0</v>
      </c>
      <c r="B538" s="82" t="s">
        <v>259</v>
      </c>
      <c r="C538" s="97">
        <v>248.0</v>
      </c>
      <c r="D538" s="84" t="str">
        <f>IF(Tabla_3[COD]="","",VLOOKUP(Tabla_3[COD],'Stock inicial'!A:D,2,FALSE))</f>
        <v>ARIEL PREMIUM (VERDE) 5L</v>
      </c>
      <c r="E538" s="58">
        <v>1.0</v>
      </c>
      <c r="F538" s="141">
        <v>3199.0</v>
      </c>
      <c r="G538" s="142">
        <v>1615.5</v>
      </c>
      <c r="H538" s="143">
        <v>1615.5</v>
      </c>
      <c r="I538" s="141">
        <v>4000.0</v>
      </c>
      <c r="J538" s="27" t="s">
        <v>3</v>
      </c>
    </row>
    <row r="539" hidden="1">
      <c r="A539" s="74">
        <v>45857.0</v>
      </c>
      <c r="B539" s="92"/>
      <c r="C539" s="98">
        <v>275.0</v>
      </c>
      <c r="D539" s="87" t="str">
        <f>IF(Tabla_3[COD]="","",VLOOKUP(Tabla_3[COD],'Stock inicial'!A:D,2,FALSE))</f>
        <v>PERFUMINA UVA 1L</v>
      </c>
      <c r="E539" s="59">
        <v>1.0</v>
      </c>
      <c r="F539" s="141">
        <v>599.0</v>
      </c>
      <c r="G539" s="142">
        <v>57.45</v>
      </c>
      <c r="H539" s="143">
        <v>57.45</v>
      </c>
      <c r="I539" s="141">
        <v>599.0</v>
      </c>
      <c r="J539" s="27" t="s">
        <v>3</v>
      </c>
    </row>
    <row r="540" hidden="1">
      <c r="A540" s="78">
        <v>45857.0</v>
      </c>
      <c r="B540" s="82" t="s">
        <v>260</v>
      </c>
      <c r="C540" s="97">
        <v>150.0</v>
      </c>
      <c r="D540" s="84" t="str">
        <f>IF(Tabla_3[COD]="","",VLOOKUP(Tabla_3[COD],'Stock inicial'!A:D,2,FALSE))</f>
        <v>CHORICKS CARNE Y LECHE</v>
      </c>
      <c r="E540" s="58">
        <v>1.0</v>
      </c>
      <c r="F540" s="141">
        <v>2000.0</v>
      </c>
      <c r="G540" s="142">
        <v>1012.0</v>
      </c>
      <c r="H540" s="143">
        <v>1012.0</v>
      </c>
      <c r="I540" s="141">
        <v>2000.0</v>
      </c>
      <c r="J540" s="27" t="s">
        <v>11</v>
      </c>
    </row>
    <row r="541" hidden="1">
      <c r="A541" s="74">
        <v>45857.0</v>
      </c>
      <c r="B541" s="92"/>
      <c r="C541" s="98">
        <v>128.0</v>
      </c>
      <c r="D541" s="87" t="str">
        <f>IF(Tabla_3[COD]="","",VLOOKUP(Tabla_3[COD],'Stock inicial'!A:D,2,FALSE))</f>
        <v>CORREA C/PRETAL CHICO</v>
      </c>
      <c r="E541" s="59">
        <v>1.0</v>
      </c>
      <c r="F541" s="141">
        <v>2500.0</v>
      </c>
      <c r="G541" s="142">
        <v>1217.16</v>
      </c>
      <c r="H541" s="143">
        <v>1217.16</v>
      </c>
      <c r="I541" s="141">
        <v>2500.0</v>
      </c>
      <c r="J541" s="27" t="s">
        <v>11</v>
      </c>
    </row>
    <row r="542" hidden="1">
      <c r="A542" s="78">
        <v>45857.0</v>
      </c>
      <c r="B542" s="145"/>
      <c r="C542" s="126">
        <v>377.0</v>
      </c>
      <c r="D542" s="127" t="str">
        <f>IF(Tabla_3[COD]="","",VLOOKUP(Tabla_3[COD],'Stock inicial'!A:D,2,FALSE))</f>
        <v>SAHUMERIOS MAGIC</v>
      </c>
      <c r="E542" s="58">
        <v>1.0</v>
      </c>
      <c r="F542" s="141">
        <v>3500.0</v>
      </c>
      <c r="G542" s="142">
        <v>2200.0</v>
      </c>
      <c r="H542" s="143">
        <v>2200.0</v>
      </c>
      <c r="I542" s="141">
        <v>3500.0</v>
      </c>
      <c r="J542" s="27" t="s">
        <v>11</v>
      </c>
    </row>
    <row r="543" hidden="1">
      <c r="A543" s="74">
        <v>45857.0</v>
      </c>
      <c r="B543" s="100" t="s">
        <v>261</v>
      </c>
      <c r="C543" s="98">
        <v>214.0</v>
      </c>
      <c r="D543" s="87" t="str">
        <f>IF(Tabla_3[COD]="","",VLOOKUP(Tabla_3[COD],'Stock inicial'!A:D,2,FALSE))</f>
        <v>DOGPRO ADULTO SUPER PREMIUM XKG</v>
      </c>
      <c r="E543" s="59">
        <v>2.91</v>
      </c>
      <c r="F543" s="141">
        <v>3100.0</v>
      </c>
      <c r="G543" s="142">
        <v>2115.2</v>
      </c>
      <c r="H543" s="143">
        <v>6155.232</v>
      </c>
      <c r="I543" s="141">
        <v>9021.0</v>
      </c>
      <c r="J543" s="27" t="s">
        <v>3</v>
      </c>
    </row>
    <row r="544" hidden="1">
      <c r="A544" s="78">
        <v>45857.0</v>
      </c>
      <c r="B544" s="91"/>
      <c r="C544" s="99">
        <v>369.0</v>
      </c>
      <c r="D544" s="81" t="str">
        <f>IF(Tabla_3[COD]="","",VLOOKUP(Tabla_3[COD],'Stock inicial'!A:D,2,FALSE))</f>
        <v>ALMOHADONES</v>
      </c>
      <c r="E544" s="58">
        <v>1.0</v>
      </c>
      <c r="F544" s="141">
        <v>12000.0</v>
      </c>
      <c r="G544" s="142">
        <v>10000.0</v>
      </c>
      <c r="H544" s="143">
        <v>10000.0</v>
      </c>
      <c r="I544" s="141">
        <v>12000.0</v>
      </c>
      <c r="J544" s="27" t="s">
        <v>3</v>
      </c>
    </row>
    <row r="545" hidden="1">
      <c r="A545" s="74">
        <v>45857.0</v>
      </c>
      <c r="B545" s="92"/>
      <c r="C545" s="98">
        <v>167.0</v>
      </c>
      <c r="D545" s="87" t="str">
        <f>IF(Tabla_3[COD]="","",VLOOKUP(Tabla_3[COD],'Stock inicial'!A:D,2,FALSE))</f>
        <v>SHAMP. OSSPRET CLORHEXIDIA</v>
      </c>
      <c r="E545" s="59">
        <v>1.0</v>
      </c>
      <c r="F545" s="141">
        <v>8000.0</v>
      </c>
      <c r="G545" s="142">
        <v>5336.0</v>
      </c>
      <c r="H545" s="143">
        <v>5336.0</v>
      </c>
      <c r="I545" s="141">
        <v>8000.0</v>
      </c>
      <c r="J545" s="27" t="s">
        <v>3</v>
      </c>
    </row>
    <row r="546" hidden="1">
      <c r="A546" s="78">
        <v>45857.0</v>
      </c>
      <c r="B546" s="82" t="s">
        <v>262</v>
      </c>
      <c r="C546" s="97">
        <v>250.0</v>
      </c>
      <c r="D546" s="84" t="str">
        <f>IF(Tabla_3[COD]="","",VLOOKUP(Tabla_3[COD],'Stock inicial'!A:D,2,FALSE))</f>
        <v>ARIEL. EXT. PERF. (VERDE CON SUAVIZANTE) 5L</v>
      </c>
      <c r="E546" s="58">
        <v>1.0</v>
      </c>
      <c r="F546" s="141">
        <v>4000.0</v>
      </c>
      <c r="G546" s="142">
        <v>2430.0</v>
      </c>
      <c r="H546" s="143">
        <v>2430.0</v>
      </c>
      <c r="I546" s="141">
        <v>4000.0</v>
      </c>
      <c r="J546" s="27" t="s">
        <v>3</v>
      </c>
    </row>
    <row r="547" hidden="1">
      <c r="A547" s="171">
        <v>45857.0</v>
      </c>
      <c r="B547" s="92"/>
      <c r="C547" s="98">
        <v>378.0</v>
      </c>
      <c r="D547" s="87" t="str">
        <f>IF(Tabla_3[COD]="","",VLOOKUP(Tabla_3[COD],'Stock inicial'!A:D,2,FALSE))</f>
        <v>SAHUMERIOS "MOMENTOS"</v>
      </c>
      <c r="E547" s="43">
        <v>1.0</v>
      </c>
      <c r="F547" s="172">
        <v>3500.0</v>
      </c>
      <c r="G547" s="173">
        <v>1700.0</v>
      </c>
      <c r="H547" s="174">
        <v>1700.0</v>
      </c>
      <c r="I547" s="172">
        <v>3500.0</v>
      </c>
      <c r="J547" s="27" t="s">
        <v>3</v>
      </c>
    </row>
    <row r="548" hidden="1">
      <c r="A548" s="152">
        <v>45873.0</v>
      </c>
      <c r="B548" s="153" t="s">
        <v>263</v>
      </c>
      <c r="C548" s="141">
        <v>149.0</v>
      </c>
      <c r="D548" s="153" t="str">
        <f>IF(Tabla_3[COD]="","",VLOOKUP(Tabla_3[COD],'Stock inicial'!A:D,2,FALSE))</f>
        <v>PALITOS MASTICABLES IZZY x6</v>
      </c>
      <c r="E548" s="141">
        <v>1.0</v>
      </c>
      <c r="F548" s="141">
        <v>600.0</v>
      </c>
      <c r="G548" s="142">
        <v>238.56</v>
      </c>
      <c r="H548" s="143">
        <v>238.56</v>
      </c>
      <c r="I548" s="141">
        <v>600.0</v>
      </c>
      <c r="J548" s="141" t="s">
        <v>11</v>
      </c>
    </row>
    <row r="549" hidden="1">
      <c r="A549" s="152">
        <v>45873.0</v>
      </c>
      <c r="B549" s="149"/>
      <c r="C549" s="141">
        <v>364.0</v>
      </c>
      <c r="D549" s="153" t="str">
        <f>IF(Tabla_3[COD]="","",VLOOKUP(Tabla_3[COD],'Stock inicial'!A:D,2,FALSE))</f>
        <v>CAMITAS  70x70</v>
      </c>
      <c r="E549" s="141">
        <v>1.0</v>
      </c>
      <c r="F549" s="141">
        <v>16500.0</v>
      </c>
      <c r="G549" s="142">
        <v>11000.0</v>
      </c>
      <c r="H549" s="143">
        <v>11000.0</v>
      </c>
      <c r="I549" s="141">
        <v>16500.0</v>
      </c>
      <c r="J549" s="141" t="s">
        <v>11</v>
      </c>
    </row>
    <row r="550" hidden="1">
      <c r="A550" s="175">
        <v>45857.0</v>
      </c>
      <c r="B550" s="139" t="s">
        <v>264</v>
      </c>
      <c r="C550" s="99">
        <v>275.0</v>
      </c>
      <c r="D550" s="81" t="str">
        <f>IF(Tabla_3[COD]="","",VLOOKUP(Tabla_3[COD],'Stock inicial'!A:D,2,FALSE))</f>
        <v>PERFUMINA UVA 1L</v>
      </c>
      <c r="E550" s="176">
        <v>6.0</v>
      </c>
      <c r="F550" s="177">
        <v>599.0</v>
      </c>
      <c r="G550" s="178">
        <v>353.03999999999996</v>
      </c>
      <c r="H550" s="179">
        <v>2118.24</v>
      </c>
      <c r="I550" s="177">
        <v>3594.0</v>
      </c>
      <c r="J550" s="177" t="s">
        <v>11</v>
      </c>
    </row>
    <row r="551" hidden="1">
      <c r="A551" s="74">
        <v>45857.0</v>
      </c>
      <c r="B551" s="92"/>
      <c r="C551" s="98">
        <v>276.0</v>
      </c>
      <c r="D551" s="87" t="str">
        <f>IF(Tabla_3[COD]="","",VLOOKUP(Tabla_3[COD],'Stock inicial'!A:D,2,FALSE))</f>
        <v>PERFUMINA UVA 5L</v>
      </c>
      <c r="E551" s="59">
        <v>2.0</v>
      </c>
      <c r="F551" s="141">
        <v>1499.0</v>
      </c>
      <c r="G551" s="142">
        <v>532.6800000000001</v>
      </c>
      <c r="H551" s="143">
        <v>1065.3600000000001</v>
      </c>
      <c r="I551" s="141">
        <v>2998.0</v>
      </c>
      <c r="J551" s="141" t="s">
        <v>11</v>
      </c>
    </row>
    <row r="552" hidden="1">
      <c r="A552" s="78">
        <v>45857.0</v>
      </c>
      <c r="B552" s="91"/>
      <c r="C552" s="99">
        <v>277.0</v>
      </c>
      <c r="D552" s="81" t="str">
        <f>IF(Tabla_3[COD]="","",VLOOKUP(Tabla_3[COD],'Stock inicial'!A:D,2,FALSE))</f>
        <v>PERFUMINA LIMON 1L</v>
      </c>
      <c r="E552" s="58">
        <v>3.0</v>
      </c>
      <c r="F552" s="141">
        <v>599.0</v>
      </c>
      <c r="G552" s="142">
        <v>353.03999999999996</v>
      </c>
      <c r="H552" s="143">
        <v>1059.12</v>
      </c>
      <c r="I552" s="141">
        <v>1797.0</v>
      </c>
      <c r="J552" s="27" t="s">
        <v>11</v>
      </c>
    </row>
    <row r="553" hidden="1">
      <c r="A553" s="74">
        <v>45857.0</v>
      </c>
      <c r="B553" s="92"/>
      <c r="C553" s="98">
        <v>278.0</v>
      </c>
      <c r="D553" s="87" t="str">
        <f>IF(Tabla_3[COD]="","",VLOOKUP(Tabla_3[COD],'Stock inicial'!A:D,2,FALSE))</f>
        <v>PERFUMINA LIMON 5L</v>
      </c>
      <c r="E553" s="59">
        <v>1.0</v>
      </c>
      <c r="F553" s="141">
        <v>1499.0</v>
      </c>
      <c r="G553" s="142">
        <v>532.6800000000001</v>
      </c>
      <c r="H553" s="143">
        <v>532.6800000000001</v>
      </c>
      <c r="I553" s="141">
        <v>1499.0</v>
      </c>
      <c r="J553" s="27" t="s">
        <v>11</v>
      </c>
    </row>
    <row r="554" hidden="1">
      <c r="A554" s="78">
        <v>45857.0</v>
      </c>
      <c r="B554" s="91"/>
      <c r="C554" s="99">
        <v>279.0</v>
      </c>
      <c r="D554" s="81" t="str">
        <f>IF(Tabla_3[COD]="","",VLOOKUP(Tabla_3[COD],'Stock inicial'!A:D,2,FALSE))</f>
        <v>PERFUMINA LISOFORM 1L</v>
      </c>
      <c r="E554" s="58">
        <v>6.0</v>
      </c>
      <c r="F554" s="141">
        <v>599.0</v>
      </c>
      <c r="G554" s="142">
        <v>353.03999999999996</v>
      </c>
      <c r="H554" s="143">
        <v>2118.24</v>
      </c>
      <c r="I554" s="141">
        <v>3594.0</v>
      </c>
      <c r="J554" s="27" t="s">
        <v>11</v>
      </c>
    </row>
    <row r="555" hidden="1">
      <c r="A555" s="74">
        <v>45857.0</v>
      </c>
      <c r="B555" s="92"/>
      <c r="C555" s="98">
        <v>280.0</v>
      </c>
      <c r="D555" s="87" t="str">
        <f>IF(Tabla_3[COD]="","",VLOOKUP(Tabla_3[COD],'Stock inicial'!A:D,2,FALSE))</f>
        <v>PERFUMINA LISOFORM 1/2</v>
      </c>
      <c r="E555" s="59">
        <v>2.0</v>
      </c>
      <c r="F555" s="141">
        <v>1500.0</v>
      </c>
      <c r="G555" s="142">
        <v>870.0899999999999</v>
      </c>
      <c r="H555" s="143">
        <v>1740.1799999999998</v>
      </c>
      <c r="I555" s="141">
        <v>3000.0</v>
      </c>
      <c r="J555" s="27" t="s">
        <v>11</v>
      </c>
    </row>
    <row r="556" hidden="1">
      <c r="A556" s="78">
        <v>45857.0</v>
      </c>
      <c r="B556" s="91"/>
      <c r="C556" s="99">
        <v>281.0</v>
      </c>
      <c r="D556" s="81" t="str">
        <f>IF(Tabla_3[COD]="","",VLOOKUP(Tabla_3[COD],'Stock inicial'!A:D,2,FALSE))</f>
        <v>PERFUMINA VAINILLA 1L</v>
      </c>
      <c r="E556" s="58">
        <v>3.0</v>
      </c>
      <c r="F556" s="141">
        <v>599.0</v>
      </c>
      <c r="G556" s="142">
        <v>353.03999999999996</v>
      </c>
      <c r="H556" s="143">
        <v>1059.12</v>
      </c>
      <c r="I556" s="141">
        <v>1797.0</v>
      </c>
      <c r="J556" s="27" t="s">
        <v>11</v>
      </c>
    </row>
    <row r="557" hidden="1">
      <c r="A557" s="74">
        <v>45857.0</v>
      </c>
      <c r="B557" s="92"/>
      <c r="C557" s="51">
        <v>253.0</v>
      </c>
      <c r="D557" s="87" t="str">
        <f>IF(Tabla_3[COD]="","",VLOOKUP(Tabla_3[COD],'Stock inicial'!A:D,2,FALSE))</f>
        <v>COMFORT PREMIUM (ROSA) 1L</v>
      </c>
      <c r="E557" s="59">
        <v>5.0</v>
      </c>
      <c r="F557" s="141">
        <v>1050.0</v>
      </c>
      <c r="G557" s="142">
        <v>324.0</v>
      </c>
      <c r="H557" s="143">
        <v>1620.0</v>
      </c>
      <c r="I557" s="141">
        <v>5250.0</v>
      </c>
      <c r="J557" s="27" t="s">
        <v>11</v>
      </c>
    </row>
    <row r="558" hidden="1">
      <c r="A558" s="78">
        <v>45857.0</v>
      </c>
      <c r="B558" s="91"/>
      <c r="C558" s="50">
        <v>257.0</v>
      </c>
      <c r="D558" s="81" t="str">
        <f>IF(Tabla_3[COD]="","",VLOOKUP(Tabla_3[COD],'Stock inicial'!A:D,2,FALSE))</f>
        <v>MAGISTRAL ECO (LIMON AMARILLO) 1L</v>
      </c>
      <c r="E558" s="58">
        <v>2.0</v>
      </c>
      <c r="F558" s="141">
        <v>999.0</v>
      </c>
      <c r="G558" s="142">
        <v>280.0</v>
      </c>
      <c r="H558" s="143">
        <v>560.0</v>
      </c>
      <c r="I558" s="141">
        <v>1998.0</v>
      </c>
      <c r="J558" s="27" t="s">
        <v>11</v>
      </c>
    </row>
    <row r="559" hidden="1">
      <c r="A559" s="74">
        <v>45857.0</v>
      </c>
      <c r="B559" s="92"/>
      <c r="C559" s="51">
        <v>260.0</v>
      </c>
      <c r="D559" s="87" t="str">
        <f>IF(Tabla_3[COD]="","",VLOOKUP(Tabla_3[COD],'Stock inicial'!A:D,2,FALSE))</f>
        <v>ALOE VERA (VERDE) 5L</v>
      </c>
      <c r="E559" s="59">
        <v>1.0</v>
      </c>
      <c r="F559" s="141">
        <v>3999.0</v>
      </c>
      <c r="G559" s="142">
        <v>2060.0</v>
      </c>
      <c r="H559" s="143">
        <v>2060.0</v>
      </c>
      <c r="I559" s="141">
        <v>3999.0</v>
      </c>
      <c r="J559" s="27" t="s">
        <v>11</v>
      </c>
    </row>
    <row r="560" hidden="1">
      <c r="A560" s="78">
        <v>45857.0</v>
      </c>
      <c r="B560" s="91"/>
      <c r="C560" s="50">
        <v>283.0</v>
      </c>
      <c r="D560" s="81" t="str">
        <f>IF(Tabla_3[COD]="","",VLOOKUP(Tabla_3[COD],'Stock inicial'!A:D,2,FALSE))</f>
        <v>TICKET ROPA 1L</v>
      </c>
      <c r="E560" s="58">
        <v>3.0</v>
      </c>
      <c r="F560" s="141">
        <v>999.0</v>
      </c>
      <c r="G560" s="142">
        <v>210.0</v>
      </c>
      <c r="H560" s="143">
        <v>630.0</v>
      </c>
      <c r="I560" s="141">
        <v>2997.0</v>
      </c>
      <c r="J560" s="27" t="s">
        <v>11</v>
      </c>
    </row>
    <row r="561" hidden="1">
      <c r="A561" s="74">
        <v>45857.0</v>
      </c>
      <c r="B561" s="92"/>
      <c r="C561" s="51">
        <v>284.0</v>
      </c>
      <c r="D561" s="87" t="str">
        <f>IF(Tabla_3[COD]="","",VLOOKUP(Tabla_3[COD],'Stock inicial'!A:D,2,FALSE))</f>
        <v>VAINILLA/COCO ROPA 1L</v>
      </c>
      <c r="E561" s="59">
        <v>3.0</v>
      </c>
      <c r="F561" s="141">
        <v>999.0</v>
      </c>
      <c r="G561" s="142">
        <v>210.0</v>
      </c>
      <c r="H561" s="143">
        <v>630.0</v>
      </c>
      <c r="I561" s="141">
        <v>2997.0</v>
      </c>
      <c r="J561" s="27" t="s">
        <v>11</v>
      </c>
    </row>
    <row r="562" hidden="1">
      <c r="A562" s="78">
        <v>45857.0</v>
      </c>
      <c r="B562" s="91"/>
      <c r="C562" s="50">
        <v>291.0</v>
      </c>
      <c r="D562" s="81" t="str">
        <f>IF(Tabla_3[COD]="","",VLOOKUP(Tabla_3[COD],'Stock inicial'!A:D,2,FALSE))</f>
        <v>SHAMPOO P/AUTO </v>
      </c>
      <c r="E562" s="58">
        <v>2.0</v>
      </c>
      <c r="F562" s="141">
        <v>1499.0</v>
      </c>
      <c r="G562" s="142">
        <v>549.0</v>
      </c>
      <c r="H562" s="143">
        <v>1098.0</v>
      </c>
      <c r="I562" s="141">
        <v>2998.0</v>
      </c>
      <c r="J562" s="27" t="s">
        <v>11</v>
      </c>
    </row>
    <row r="563" hidden="1">
      <c r="A563" s="74">
        <v>45857.0</v>
      </c>
      <c r="B563" s="92"/>
      <c r="C563" s="51">
        <v>292.0</v>
      </c>
      <c r="D563" s="87" t="str">
        <f>IF(Tabla_3[COD]="","",VLOOKUP(Tabla_3[COD],'Stock inicial'!A:D,2,FALSE))</f>
        <v>KAUCHO</v>
      </c>
      <c r="E563" s="59">
        <v>3.0</v>
      </c>
      <c r="F563" s="141">
        <v>1899.0</v>
      </c>
      <c r="G563" s="142">
        <v>699.0</v>
      </c>
      <c r="H563" s="143">
        <v>2097.0</v>
      </c>
      <c r="I563" s="141">
        <v>5697.0</v>
      </c>
      <c r="J563" s="27" t="s">
        <v>11</v>
      </c>
    </row>
    <row r="564" hidden="1">
      <c r="A564" s="78">
        <v>45857.0</v>
      </c>
      <c r="B564" s="91"/>
      <c r="C564" s="50">
        <v>301.0</v>
      </c>
      <c r="D564" s="81" t="str">
        <f>IF(Tabla_3[COD]="","",VLOOKUP(Tabla_3[COD],'Stock inicial'!A:D,2,FALSE))</f>
        <v>FOSFOROS COLOSO 220</v>
      </c>
      <c r="E564" s="58">
        <v>4.0</v>
      </c>
      <c r="F564" s="141">
        <v>700.0</v>
      </c>
      <c r="G564" s="142">
        <v>365.0</v>
      </c>
      <c r="H564" s="143">
        <v>1460.0</v>
      </c>
      <c r="I564" s="141">
        <v>2800.0</v>
      </c>
      <c r="J564" s="27" t="s">
        <v>11</v>
      </c>
    </row>
    <row r="565" hidden="1">
      <c r="A565" s="74">
        <v>45857.0</v>
      </c>
      <c r="B565" s="92"/>
      <c r="C565" s="101"/>
      <c r="D565" s="87" t="s">
        <v>265</v>
      </c>
      <c r="E565" s="59">
        <v>1.0</v>
      </c>
      <c r="F565" s="141">
        <v>16850.0</v>
      </c>
      <c r="G565" s="141">
        <v>7310.0</v>
      </c>
      <c r="H565" s="141">
        <v>7310.0</v>
      </c>
      <c r="I565" s="141">
        <v>16850.0</v>
      </c>
      <c r="J565" s="27" t="s">
        <v>11</v>
      </c>
    </row>
    <row r="566" hidden="1">
      <c r="A566" s="78">
        <v>45857.0</v>
      </c>
      <c r="B566" s="82" t="s">
        <v>266</v>
      </c>
      <c r="C566" s="97">
        <v>212.0</v>
      </c>
      <c r="D566" s="84" t="str">
        <f>IF(Tabla_3[COD]="","",VLOOKUP(Tabla_3[COD],'Stock inicial'!A:D,2,FALSE))</f>
        <v>DOGPRO ADULTO MORDIDA PEQUEñA XKG</v>
      </c>
      <c r="E566" s="58">
        <v>1.37</v>
      </c>
      <c r="F566" s="141">
        <v>3700.0</v>
      </c>
      <c r="G566" s="142">
        <v>2778.13</v>
      </c>
      <c r="H566" s="143">
        <v>3806.0381000000007</v>
      </c>
      <c r="I566" s="141">
        <v>5069.0</v>
      </c>
      <c r="J566" s="27" t="s">
        <v>3</v>
      </c>
    </row>
    <row r="567" hidden="1">
      <c r="A567" s="74">
        <v>45859.0</v>
      </c>
      <c r="B567" s="75" t="s">
        <v>267</v>
      </c>
      <c r="C567" s="96">
        <v>223.0</v>
      </c>
      <c r="D567" s="77" t="str">
        <f>IF(Tabla_3[COD]="","",VLOOKUP(Tabla_3[COD],'Stock inicial'!A:D,2,FALSE))</f>
        <v>VORAZ PERRO ADULTO MIX</v>
      </c>
      <c r="E567" s="59">
        <v>2.0</v>
      </c>
      <c r="F567" s="141">
        <v>1100.0</v>
      </c>
      <c r="G567" s="142">
        <v>819.5</v>
      </c>
      <c r="H567" s="143">
        <v>1639.0</v>
      </c>
      <c r="I567" s="141">
        <v>2200.0</v>
      </c>
      <c r="J567" s="27" t="s">
        <v>3</v>
      </c>
    </row>
    <row r="568" hidden="1">
      <c r="A568" s="78">
        <v>45859.0</v>
      </c>
      <c r="B568" s="91"/>
      <c r="C568" s="99">
        <v>149.0</v>
      </c>
      <c r="D568" s="81" t="str">
        <f>IF(Tabla_3[COD]="","",VLOOKUP(Tabla_3[COD],'Stock inicial'!A:D,2,FALSE))</f>
        <v>PALITOS MASTICABLES IZZY x6</v>
      </c>
      <c r="E568" s="58">
        <v>1.0</v>
      </c>
      <c r="F568" s="141">
        <v>600.0</v>
      </c>
      <c r="G568" s="142">
        <v>238.56</v>
      </c>
      <c r="H568" s="143">
        <v>238.56</v>
      </c>
      <c r="I568" s="141">
        <v>600.0</v>
      </c>
      <c r="J568" s="27" t="s">
        <v>3</v>
      </c>
    </row>
    <row r="569" hidden="1">
      <c r="A569" s="74">
        <v>45859.0</v>
      </c>
      <c r="B569" s="92"/>
      <c r="C569" s="101"/>
      <c r="D569" s="87" t="s">
        <v>152</v>
      </c>
      <c r="E569" s="59">
        <v>1.0</v>
      </c>
      <c r="F569" s="141">
        <v>-300.0</v>
      </c>
      <c r="G569" s="149"/>
      <c r="H569" s="141"/>
      <c r="I569" s="141">
        <v>-300.0</v>
      </c>
      <c r="J569" s="27" t="s">
        <v>3</v>
      </c>
    </row>
    <row r="570" hidden="1">
      <c r="A570" s="78">
        <v>45859.0</v>
      </c>
      <c r="B570" s="91"/>
      <c r="C570" s="99">
        <v>223.0</v>
      </c>
      <c r="D570" s="81" t="str">
        <f>IF(Tabla_3[COD]="","",VLOOKUP(Tabla_3[COD],'Stock inicial'!A:D,2,FALSE))</f>
        <v>VORAZ PERRO ADULTO MIX</v>
      </c>
      <c r="E570" s="58">
        <v>1.0</v>
      </c>
      <c r="F570" s="141">
        <v>1100.0</v>
      </c>
      <c r="G570" s="142">
        <v>819.5</v>
      </c>
      <c r="H570" s="143">
        <v>819.5</v>
      </c>
      <c r="I570" s="141">
        <v>1100.0</v>
      </c>
      <c r="J570" s="27" t="s">
        <v>3</v>
      </c>
    </row>
    <row r="571" hidden="1">
      <c r="A571" s="74">
        <v>45859.0</v>
      </c>
      <c r="B571" s="75" t="s">
        <v>268</v>
      </c>
      <c r="C571" s="96">
        <v>248.0</v>
      </c>
      <c r="D571" s="77" t="str">
        <f>IF(Tabla_3[COD]="","",VLOOKUP(Tabla_3[COD],'Stock inicial'!A:D,2,FALSE))</f>
        <v>ARIEL PREMIUM (VERDE) 5L</v>
      </c>
      <c r="E571" s="59">
        <v>1.0</v>
      </c>
      <c r="F571" s="141">
        <v>3199.0</v>
      </c>
      <c r="G571" s="142">
        <v>2056.5</v>
      </c>
      <c r="H571" s="143">
        <v>2056.5</v>
      </c>
      <c r="I571" s="141">
        <v>3199.0</v>
      </c>
      <c r="J571" s="27" t="s">
        <v>3</v>
      </c>
    </row>
    <row r="572" hidden="1">
      <c r="A572" s="78">
        <v>45859.0</v>
      </c>
      <c r="B572" s="91"/>
      <c r="C572" s="99">
        <v>276.0</v>
      </c>
      <c r="D572" s="81" t="str">
        <f>IF(Tabla_3[COD]="","",VLOOKUP(Tabla_3[COD],'Stock inicial'!A:D,2,FALSE))</f>
        <v>PERFUMINA UVA 5L</v>
      </c>
      <c r="E572" s="58">
        <v>1.0</v>
      </c>
      <c r="F572" s="141">
        <v>1499.0</v>
      </c>
      <c r="G572" s="142">
        <v>532.6800000000001</v>
      </c>
      <c r="H572" s="143">
        <v>532.6800000000001</v>
      </c>
      <c r="I572" s="141">
        <v>1499.0</v>
      </c>
      <c r="J572" s="27" t="s">
        <v>3</v>
      </c>
    </row>
    <row r="573" hidden="1">
      <c r="A573" s="74">
        <v>45859.0</v>
      </c>
      <c r="B573" s="75" t="s">
        <v>269</v>
      </c>
      <c r="C573" s="96">
        <v>250.0</v>
      </c>
      <c r="D573" s="77" t="str">
        <f>IF(Tabla_3[COD]="","",VLOOKUP(Tabla_3[COD],'Stock inicial'!A:D,2,FALSE))</f>
        <v>ARIEL. EXT. PERF. (VERDE CON SUAVIZANTE) 5L</v>
      </c>
      <c r="E573" s="59">
        <v>1.0</v>
      </c>
      <c r="F573" s="141">
        <v>4000.0</v>
      </c>
      <c r="G573" s="142">
        <v>2871.0</v>
      </c>
      <c r="H573" s="143">
        <v>2871.0</v>
      </c>
      <c r="I573" s="141">
        <v>4000.0</v>
      </c>
      <c r="J573" s="27" t="s">
        <v>3</v>
      </c>
    </row>
    <row r="574" hidden="1">
      <c r="A574" s="78">
        <v>45859.0</v>
      </c>
      <c r="B574" s="82" t="s">
        <v>270</v>
      </c>
      <c r="C574" s="97">
        <v>354.0</v>
      </c>
      <c r="D574" s="84" t="str">
        <f>IF(Tabla_3[COD]="","",VLOOKUP(Tabla_3[COD],'Stock inicial'!A:D,2,FALSE))</f>
        <v>ROLLISEC "EL COLOSO" 40 X3 </v>
      </c>
      <c r="E574" s="58">
        <v>1.0</v>
      </c>
      <c r="F574" s="141">
        <v>1350.0</v>
      </c>
      <c r="G574" s="142">
        <v>1035.0</v>
      </c>
      <c r="H574" s="143">
        <v>1035.0</v>
      </c>
      <c r="I574" s="141">
        <v>1350.0</v>
      </c>
      <c r="J574" s="27" t="s">
        <v>3</v>
      </c>
    </row>
    <row r="575" hidden="1">
      <c r="A575" s="74">
        <v>45859.0</v>
      </c>
      <c r="B575" s="75" t="s">
        <v>271</v>
      </c>
      <c r="C575" s="96">
        <v>249.0</v>
      </c>
      <c r="D575" s="77" t="str">
        <f>IF(Tabla_3[COD]="","",VLOOKUP(Tabla_3[COD],'Stock inicial'!A:D,2,FALSE))</f>
        <v>ARIEL. EXT. PERF. (VERDE CON SUAVIZANTE) 1L</v>
      </c>
      <c r="E575" s="59">
        <v>1.0</v>
      </c>
      <c r="F575" s="141">
        <v>1200.0</v>
      </c>
      <c r="G575" s="142">
        <v>781.5899999999999</v>
      </c>
      <c r="H575" s="143">
        <v>781.5899999999999</v>
      </c>
      <c r="I575" s="141">
        <v>1200.0</v>
      </c>
      <c r="J575" s="27" t="s">
        <v>3</v>
      </c>
    </row>
    <row r="576" hidden="1">
      <c r="A576" s="78">
        <v>45859.0</v>
      </c>
      <c r="B576" s="82" t="s">
        <v>272</v>
      </c>
      <c r="C576" s="97">
        <v>257.0</v>
      </c>
      <c r="D576" s="84" t="str">
        <f>IF(Tabla_3[COD]="","",VLOOKUP(Tabla_3[COD],'Stock inicial'!A:D,2,FALSE))</f>
        <v>MAGISTRAL ECO (LIMON AMARILLO) 1L</v>
      </c>
      <c r="E576" s="58">
        <v>1.0</v>
      </c>
      <c r="F576" s="141">
        <v>999.0</v>
      </c>
      <c r="G576" s="142">
        <v>575.5899999999999</v>
      </c>
      <c r="H576" s="143">
        <v>575.5899999999999</v>
      </c>
      <c r="I576" s="141">
        <v>999.0</v>
      </c>
      <c r="J576" s="27" t="s">
        <v>3</v>
      </c>
    </row>
    <row r="577" hidden="1">
      <c r="A577" s="74">
        <v>45859.0</v>
      </c>
      <c r="B577" s="75" t="s">
        <v>273</v>
      </c>
      <c r="C577" s="96">
        <v>217.0</v>
      </c>
      <c r="D577" s="77" t="str">
        <f>IF(Tabla_3[COD]="","",VLOOKUP(Tabla_3[COD],'Stock inicial'!A:D,2,FALSE))</f>
        <v>VORAZ GATO ADULTO X2OK</v>
      </c>
      <c r="E577" s="59">
        <v>2.0</v>
      </c>
      <c r="F577" s="141">
        <v>2100.0</v>
      </c>
      <c r="G577" s="142">
        <v>1432.5</v>
      </c>
      <c r="H577" s="143">
        <v>2865.0</v>
      </c>
      <c r="I577" s="141">
        <v>4200.0</v>
      </c>
      <c r="J577" s="27" t="s">
        <v>3</v>
      </c>
    </row>
    <row r="578" hidden="1">
      <c r="A578" s="78">
        <v>45859.0</v>
      </c>
      <c r="B578" s="82" t="s">
        <v>274</v>
      </c>
      <c r="C578" s="97">
        <v>227.0</v>
      </c>
      <c r="D578" s="84" t="str">
        <f>IF(Tabla_3[COD]="","",VLOOKUP(Tabla_3[COD],'Stock inicial'!A:D,2,FALSE))</f>
        <v>CATPRO GATO ADULTO</v>
      </c>
      <c r="E578" s="58">
        <v>0.5</v>
      </c>
      <c r="F578" s="141">
        <v>5250.0</v>
      </c>
      <c r="G578" s="142">
        <v>3657.41</v>
      </c>
      <c r="H578" s="143">
        <v>1828.705</v>
      </c>
      <c r="I578" s="141">
        <v>2625.0</v>
      </c>
      <c r="J578" s="27" t="s">
        <v>3</v>
      </c>
    </row>
    <row r="579" hidden="1">
      <c r="A579" s="74">
        <v>45859.0</v>
      </c>
      <c r="B579" s="75" t="s">
        <v>275</v>
      </c>
      <c r="C579" s="96">
        <v>223.0</v>
      </c>
      <c r="D579" s="77" t="str">
        <f>IF(Tabla_3[COD]="","",VLOOKUP(Tabla_3[COD],'Stock inicial'!A:D,2,FALSE))</f>
        <v>VORAZ PERRO ADULTO MIX</v>
      </c>
      <c r="E579" s="59">
        <v>1.0</v>
      </c>
      <c r="F579" s="141">
        <v>1100.0</v>
      </c>
      <c r="G579" s="142">
        <v>819.5</v>
      </c>
      <c r="H579" s="143">
        <v>819.5</v>
      </c>
      <c r="I579" s="141">
        <v>1100.0</v>
      </c>
      <c r="J579" s="27" t="s">
        <v>3</v>
      </c>
    </row>
    <row r="580" hidden="1">
      <c r="A580" s="78">
        <v>45859.0</v>
      </c>
      <c r="B580" s="82" t="s">
        <v>276</v>
      </c>
      <c r="C580" s="97">
        <v>214.0</v>
      </c>
      <c r="D580" s="84" t="str">
        <f>IF(Tabla_3[COD]="","",VLOOKUP(Tabla_3[COD],'Stock inicial'!A:D,2,FALSE))</f>
        <v>DOGPRO ADULTO SUPER PREMIUM XKG</v>
      </c>
      <c r="E580" s="58">
        <v>2.0</v>
      </c>
      <c r="F580" s="141">
        <v>3100.0</v>
      </c>
      <c r="G580" s="142">
        <v>2115.2</v>
      </c>
      <c r="H580" s="143">
        <v>4230.4</v>
      </c>
      <c r="I580" s="141">
        <v>6200.0</v>
      </c>
      <c r="J580" s="27" t="s">
        <v>11</v>
      </c>
    </row>
    <row r="581" hidden="1">
      <c r="A581" s="74">
        <v>45860.0</v>
      </c>
      <c r="B581" s="75" t="s">
        <v>277</v>
      </c>
      <c r="C581" s="96">
        <v>280.0</v>
      </c>
      <c r="D581" s="77" t="str">
        <f>IF(Tabla_3[COD]="","",VLOOKUP(Tabla_3[COD],'Stock inicial'!A:D,2,FALSE))</f>
        <v>PERFUMINA LISOFORM 1/2</v>
      </c>
      <c r="E581" s="59">
        <v>1.0</v>
      </c>
      <c r="F581" s="141">
        <v>1500.0</v>
      </c>
      <c r="G581" s="142">
        <v>828.5</v>
      </c>
      <c r="H581" s="143">
        <v>828.5</v>
      </c>
      <c r="I581" s="141">
        <v>1500.0</v>
      </c>
      <c r="J581" s="27" t="s">
        <v>11</v>
      </c>
    </row>
    <row r="582" hidden="1">
      <c r="A582" s="78">
        <v>45860.0</v>
      </c>
      <c r="B582" s="91"/>
      <c r="C582" s="99">
        <v>290.0</v>
      </c>
      <c r="D582" s="81" t="str">
        <f>IF(Tabla_3[COD]="","",VLOOKUP(Tabla_3[COD],'Stock inicial'!A:D,2,FALSE))</f>
        <v>LAVANDINA 5L</v>
      </c>
      <c r="E582" s="58">
        <v>1.0</v>
      </c>
      <c r="F582" s="141">
        <v>1990.0</v>
      </c>
      <c r="G582" s="142">
        <v>1145.0</v>
      </c>
      <c r="H582" s="143">
        <v>1145.0</v>
      </c>
      <c r="I582" s="141">
        <v>1990.0</v>
      </c>
      <c r="J582" s="27" t="s">
        <v>11</v>
      </c>
    </row>
    <row r="583" hidden="1">
      <c r="A583" s="74">
        <v>45860.0</v>
      </c>
      <c r="B583" s="75" t="s">
        <v>278</v>
      </c>
      <c r="C583" s="96">
        <v>212.0</v>
      </c>
      <c r="D583" s="77" t="str">
        <f>IF(Tabla_3[COD]="","",VLOOKUP(Tabla_3[COD],'Stock inicial'!A:D,2,FALSE))</f>
        <v>DOGPRO ADULTO MORDIDA PEQUEñA XKG</v>
      </c>
      <c r="E583" s="59">
        <v>1.0</v>
      </c>
      <c r="F583" s="141">
        <v>3700.0</v>
      </c>
      <c r="G583" s="142">
        <v>2778.13</v>
      </c>
      <c r="H583" s="143">
        <v>2778.13</v>
      </c>
      <c r="I583" s="141">
        <v>3700.0</v>
      </c>
      <c r="J583" s="27" t="s">
        <v>3</v>
      </c>
    </row>
    <row r="584" hidden="1">
      <c r="A584" s="78">
        <v>45860.0</v>
      </c>
      <c r="B584" s="91"/>
      <c r="C584" s="99">
        <v>230.0</v>
      </c>
      <c r="D584" s="81" t="str">
        <f>IF(Tabla_3[COD]="","",VLOOKUP(Tabla_3[COD],'Stock inicial'!A:D,2,FALSE))</f>
        <v>EXCELLENT PERRO ADULTO BONUS 20K +2</v>
      </c>
      <c r="E584" s="58">
        <v>2.0</v>
      </c>
      <c r="F584" s="141">
        <v>3900.0</v>
      </c>
      <c r="G584" s="142">
        <v>2690.89</v>
      </c>
      <c r="H584" s="143">
        <v>5381.78</v>
      </c>
      <c r="I584" s="141">
        <v>7800.0</v>
      </c>
      <c r="J584" s="27" t="s">
        <v>3</v>
      </c>
    </row>
    <row r="585" hidden="1">
      <c r="A585" s="74">
        <v>45860.0</v>
      </c>
      <c r="B585" s="92"/>
      <c r="C585" s="98">
        <v>280.0</v>
      </c>
      <c r="D585" s="87" t="str">
        <f>IF(Tabla_3[COD]="","",VLOOKUP(Tabla_3[COD],'Stock inicial'!A:D,2,FALSE))</f>
        <v>PERFUMINA LISOFORM 1/2</v>
      </c>
      <c r="E585" s="59">
        <v>1.0</v>
      </c>
      <c r="F585" s="141">
        <v>1500.0</v>
      </c>
      <c r="G585" s="142">
        <v>574.5</v>
      </c>
      <c r="H585" s="143">
        <v>574.5</v>
      </c>
      <c r="I585" s="141">
        <v>1500.0</v>
      </c>
      <c r="J585" s="27" t="s">
        <v>3</v>
      </c>
    </row>
    <row r="586" hidden="1">
      <c r="A586" s="78">
        <v>45860.0</v>
      </c>
      <c r="B586" s="82" t="s">
        <v>279</v>
      </c>
      <c r="C586" s="97">
        <v>366.0</v>
      </c>
      <c r="D586" s="84" t="str">
        <f>IF(Tabla_3[COD]="","",VLOOKUP(Tabla_3[COD],'Stock inicial'!A:D,2,FALSE))</f>
        <v>CAMITAS 1x1.20</v>
      </c>
      <c r="E586" s="58">
        <v>1.0</v>
      </c>
      <c r="F586" s="141">
        <v>30000.0</v>
      </c>
      <c r="G586" s="142">
        <v>20000.0</v>
      </c>
      <c r="H586" s="143">
        <v>20000.0</v>
      </c>
      <c r="I586" s="141">
        <v>30000.0</v>
      </c>
      <c r="J586" s="27" t="s">
        <v>3</v>
      </c>
    </row>
    <row r="587" hidden="1">
      <c r="A587" s="74">
        <v>45860.0</v>
      </c>
      <c r="B587" s="75" t="s">
        <v>280</v>
      </c>
      <c r="C587" s="96">
        <v>162.0</v>
      </c>
      <c r="D587" s="77" t="str">
        <f>IF(Tabla_3[COD]="","",VLOOKUP(Tabla_3[COD],'Stock inicial'!A:D,2,FALSE))</f>
        <v>PIEDRA SANITARIA THEBEST X20KG</v>
      </c>
      <c r="E587" s="59">
        <v>3.44</v>
      </c>
      <c r="F587" s="141">
        <v>680.0</v>
      </c>
      <c r="G587" s="142">
        <v>440.0</v>
      </c>
      <c r="H587" s="143">
        <v>1513.6</v>
      </c>
      <c r="I587" s="141">
        <v>2339.2</v>
      </c>
      <c r="J587" s="27" t="s">
        <v>11</v>
      </c>
    </row>
    <row r="588" hidden="1">
      <c r="A588" s="78">
        <v>45860.0</v>
      </c>
      <c r="B588" s="82" t="s">
        <v>281</v>
      </c>
      <c r="C588" s="97">
        <v>291.0</v>
      </c>
      <c r="D588" s="84" t="s">
        <v>282</v>
      </c>
      <c r="E588" s="58">
        <v>20.0</v>
      </c>
      <c r="F588" s="141">
        <v>999.0</v>
      </c>
      <c r="G588" s="142">
        <v>549.0</v>
      </c>
      <c r="H588" s="143">
        <v>10980.0</v>
      </c>
      <c r="I588" s="141">
        <v>19980.0</v>
      </c>
      <c r="J588" s="27" t="s">
        <v>11</v>
      </c>
    </row>
    <row r="589" hidden="1">
      <c r="A589" s="74">
        <v>45860.0</v>
      </c>
      <c r="B589" s="92"/>
      <c r="C589" s="101"/>
      <c r="D589" s="87" t="s">
        <v>283</v>
      </c>
      <c r="E589" s="59">
        <v>1.0</v>
      </c>
      <c r="F589" s="141">
        <v>-6000.0</v>
      </c>
      <c r="G589" s="149"/>
      <c r="H589" s="141">
        <v>0.0</v>
      </c>
      <c r="I589" s="141">
        <v>-6000.0</v>
      </c>
      <c r="J589" s="27" t="s">
        <v>11</v>
      </c>
    </row>
    <row r="590" hidden="1">
      <c r="A590" s="78">
        <v>45860.0</v>
      </c>
      <c r="B590" s="82" t="s">
        <v>284</v>
      </c>
      <c r="C590" s="97">
        <v>290.0</v>
      </c>
      <c r="D590" s="84" t="str">
        <f>IF(Tabla_3[COD]="","",VLOOKUP(Tabla_3[COD],'Stock inicial'!A:D,2,FALSE))</f>
        <v>LAVANDINA 5L</v>
      </c>
      <c r="E590" s="58">
        <v>1.0</v>
      </c>
      <c r="F590" s="141">
        <v>2499.0</v>
      </c>
      <c r="G590" s="142">
        <v>1586.0</v>
      </c>
      <c r="H590" s="143">
        <v>1586.0</v>
      </c>
      <c r="I590" s="141">
        <v>2499.0</v>
      </c>
      <c r="J590" s="27" t="s">
        <v>3</v>
      </c>
    </row>
    <row r="591" hidden="1">
      <c r="A591" s="74">
        <v>45860.0</v>
      </c>
      <c r="B591" s="92"/>
      <c r="C591" s="98">
        <v>276.0</v>
      </c>
      <c r="D591" s="87" t="str">
        <f>IF(Tabla_3[COD]="","",VLOOKUP(Tabla_3[COD],'Stock inicial'!A:D,2,FALSE))</f>
        <v>PERFUMINA UVA 5L</v>
      </c>
      <c r="E591" s="59">
        <v>1.0</v>
      </c>
      <c r="F591" s="141">
        <v>1499.0</v>
      </c>
      <c r="G591" s="142">
        <v>540.25</v>
      </c>
      <c r="H591" s="143">
        <v>540.25</v>
      </c>
      <c r="I591" s="141">
        <v>1499.0</v>
      </c>
      <c r="J591" s="27" t="s">
        <v>3</v>
      </c>
    </row>
    <row r="592" hidden="1">
      <c r="A592" s="78">
        <v>45860.0</v>
      </c>
      <c r="B592" s="82" t="s">
        <v>285</v>
      </c>
      <c r="C592" s="97">
        <v>251.0</v>
      </c>
      <c r="D592" s="84" t="str">
        <f>IF(Tabla_3[COD]="","",VLOOKUP(Tabla_3[COD],'Stock inicial'!A:D,2,FALSE))</f>
        <v>VIVERE ECO (CELESTE) 1L</v>
      </c>
      <c r="E592" s="58">
        <v>1.0</v>
      </c>
      <c r="F592" s="141">
        <v>690.0</v>
      </c>
      <c r="G592" s="142">
        <v>296.0</v>
      </c>
      <c r="H592" s="143">
        <v>296.0</v>
      </c>
      <c r="I592" s="141">
        <v>690.0</v>
      </c>
      <c r="J592" s="27" t="s">
        <v>3</v>
      </c>
    </row>
    <row r="593" hidden="1">
      <c r="A593" s="74">
        <v>45860.0</v>
      </c>
      <c r="B593" s="92"/>
      <c r="C593" s="98">
        <v>247.0</v>
      </c>
      <c r="D593" s="87" t="str">
        <f>IF(Tabla_3[COD]="","",VLOOKUP(Tabla_3[COD],'Stock inicial'!A:D,2,FALSE))</f>
        <v>ARIEL PREMIUM (VERDE) 1L</v>
      </c>
      <c r="E593" s="59">
        <v>1.0</v>
      </c>
      <c r="F593" s="141">
        <v>890.0</v>
      </c>
      <c r="G593" s="142">
        <v>323.1</v>
      </c>
      <c r="H593" s="143">
        <v>323.1</v>
      </c>
      <c r="I593" s="141">
        <v>890.0</v>
      </c>
      <c r="J593" s="27" t="s">
        <v>3</v>
      </c>
    </row>
    <row r="594" hidden="1">
      <c r="A594" s="78">
        <v>45860.0</v>
      </c>
      <c r="B594" s="82" t="s">
        <v>286</v>
      </c>
      <c r="C594" s="97">
        <v>359.0</v>
      </c>
      <c r="D594" s="84" t="str">
        <f>IF(Tabla_3[COD]="","",VLOOKUP(Tabla_3[COD],'Stock inicial'!A:D,2,FALSE))</f>
        <v>ROPA PERRO TALLE 2 27*40</v>
      </c>
      <c r="E594" s="58">
        <v>1.0</v>
      </c>
      <c r="F594" s="141">
        <v>6000.0</v>
      </c>
      <c r="G594" s="142">
        <v>3000.0</v>
      </c>
      <c r="H594" s="143">
        <v>3000.0</v>
      </c>
      <c r="I594" s="141">
        <v>6000.0</v>
      </c>
      <c r="J594" s="27" t="s">
        <v>3</v>
      </c>
    </row>
    <row r="595" hidden="1">
      <c r="A595" s="74">
        <v>45860.0</v>
      </c>
      <c r="B595" s="92"/>
      <c r="C595" s="98">
        <v>365.0</v>
      </c>
      <c r="D595" s="87" t="str">
        <f>IF(Tabla_3[COD]="","",VLOOKUP(Tabla_3[COD],'Stock inicial'!A:D,2,FALSE))</f>
        <v>CAMITAS 1x70</v>
      </c>
      <c r="E595" s="59">
        <v>1.0</v>
      </c>
      <c r="F595" s="141">
        <v>19500.0</v>
      </c>
      <c r="G595" s="142">
        <v>13000.0</v>
      </c>
      <c r="H595" s="143">
        <v>13000.0</v>
      </c>
      <c r="I595" s="141">
        <v>19500.0</v>
      </c>
      <c r="J595" s="27" t="s">
        <v>3</v>
      </c>
    </row>
    <row r="596" hidden="1">
      <c r="A596" s="78">
        <v>45860.0</v>
      </c>
      <c r="B596" s="82" t="s">
        <v>287</v>
      </c>
      <c r="C596" s="97">
        <v>250.0</v>
      </c>
      <c r="D596" s="84" t="str">
        <f>IF(Tabla_3[COD]="","",VLOOKUP(Tabla_3[COD],'Stock inicial'!A:D,2,FALSE))</f>
        <v>ARIEL. EXT. PERF. (VERDE CON SUAVIZANTE) 5L</v>
      </c>
      <c r="E596" s="58">
        <v>1.0</v>
      </c>
      <c r="F596" s="141">
        <v>4000.0</v>
      </c>
      <c r="G596" s="142">
        <v>2430.0</v>
      </c>
      <c r="H596" s="143">
        <v>2430.0</v>
      </c>
      <c r="I596" s="141">
        <v>4000.0</v>
      </c>
      <c r="J596" s="27" t="s">
        <v>3</v>
      </c>
    </row>
    <row r="597" hidden="1">
      <c r="A597" s="74">
        <v>45860.0</v>
      </c>
      <c r="B597" s="92"/>
      <c r="C597" s="98">
        <v>276.0</v>
      </c>
      <c r="D597" s="87" t="str">
        <f>IF(Tabla_3[COD]="","",VLOOKUP(Tabla_3[COD],'Stock inicial'!A:D,2,FALSE))</f>
        <v>PERFUMINA UVA 5L</v>
      </c>
      <c r="E597" s="59">
        <v>1.0</v>
      </c>
      <c r="F597" s="141">
        <v>1499.0</v>
      </c>
      <c r="G597" s="142">
        <v>540.25</v>
      </c>
      <c r="H597" s="143">
        <v>540.25</v>
      </c>
      <c r="I597" s="141">
        <v>1499.0</v>
      </c>
      <c r="J597" s="27" t="s">
        <v>3</v>
      </c>
    </row>
    <row r="598" hidden="1">
      <c r="A598" s="78">
        <v>45861.0</v>
      </c>
      <c r="B598" s="82" t="s">
        <v>288</v>
      </c>
      <c r="C598" s="97">
        <v>249.0</v>
      </c>
      <c r="D598" s="84" t="str">
        <f>IF(Tabla_3[COD]="","",VLOOKUP(Tabla_3[COD],'Stock inicial'!A:D,2,FALSE))</f>
        <v>ARIEL. EXT. PERF. (VERDE CON SUAVIZANTE) 1L</v>
      </c>
      <c r="E598" s="58">
        <v>1.0</v>
      </c>
      <c r="F598" s="141">
        <v>1500.0</v>
      </c>
      <c r="G598" s="142">
        <v>781.0</v>
      </c>
      <c r="H598" s="143">
        <v>781.0</v>
      </c>
      <c r="I598" s="141">
        <v>1500.0</v>
      </c>
      <c r="J598" s="27" t="s">
        <v>3</v>
      </c>
    </row>
    <row r="599" hidden="1">
      <c r="A599" s="74">
        <v>45861.0</v>
      </c>
      <c r="B599" s="75" t="s">
        <v>289</v>
      </c>
      <c r="C599" s="138"/>
      <c r="D599" s="77" t="s">
        <v>290</v>
      </c>
      <c r="E599" s="59">
        <v>3.0</v>
      </c>
      <c r="F599" s="141">
        <v>6750.0</v>
      </c>
      <c r="G599" s="141">
        <v>3750.0</v>
      </c>
      <c r="H599" s="141">
        <v>10250.0</v>
      </c>
      <c r="I599" s="141">
        <v>20250.0</v>
      </c>
      <c r="J599" s="27" t="s">
        <v>3</v>
      </c>
    </row>
    <row r="600" hidden="1">
      <c r="A600" s="78">
        <v>45861.0</v>
      </c>
      <c r="B600" s="91"/>
      <c r="C600" s="99">
        <v>212.0</v>
      </c>
      <c r="D600" s="81" t="str">
        <f>IF(Tabla_3[COD]="","",VLOOKUP(Tabla_3[COD],'Stock inicial'!A:D,2,FALSE))</f>
        <v>DOGPRO ADULTO MORDIDA PEQUEñA XKG</v>
      </c>
      <c r="E600" s="58">
        <v>1.08</v>
      </c>
      <c r="F600" s="141">
        <v>3700.0</v>
      </c>
      <c r="G600" s="142">
        <v>3073.13</v>
      </c>
      <c r="H600" s="143">
        <v>3318.9804000000004</v>
      </c>
      <c r="I600" s="141">
        <v>3996.0000000000005</v>
      </c>
      <c r="J600" s="27" t="s">
        <v>3</v>
      </c>
    </row>
    <row r="601" hidden="1">
      <c r="A601" s="74">
        <v>45861.0</v>
      </c>
      <c r="B601" s="75" t="s">
        <v>291</v>
      </c>
      <c r="C601" s="96">
        <v>223.0</v>
      </c>
      <c r="D601" s="77" t="str">
        <f>IF(Tabla_3[COD]="","",VLOOKUP(Tabla_3[COD],'Stock inicial'!A:D,2,FALSE))</f>
        <v>VORAZ PERRO ADULTO MIX</v>
      </c>
      <c r="E601" s="59">
        <v>2.0</v>
      </c>
      <c r="F601" s="141">
        <v>1100.0</v>
      </c>
      <c r="G601" s="142">
        <v>819.5</v>
      </c>
      <c r="H601" s="143">
        <v>1639.0</v>
      </c>
      <c r="I601" s="141">
        <v>2200.0</v>
      </c>
      <c r="J601" s="27" t="s">
        <v>3</v>
      </c>
    </row>
    <row r="602" hidden="1">
      <c r="A602" s="78">
        <v>45861.0</v>
      </c>
      <c r="B602" s="91"/>
      <c r="C602" s="99">
        <v>149.0</v>
      </c>
      <c r="D602" s="81" t="str">
        <f>IF(Tabla_3[COD]="","",VLOOKUP(Tabla_3[COD],'Stock inicial'!A:D,2,FALSE))</f>
        <v>PALITOS MASTICABLES IZZY x6</v>
      </c>
      <c r="E602" s="58">
        <v>1.0</v>
      </c>
      <c r="F602" s="141">
        <v>600.0</v>
      </c>
      <c r="G602" s="142">
        <v>238.56</v>
      </c>
      <c r="H602" s="143">
        <v>238.56</v>
      </c>
      <c r="I602" s="141">
        <v>600.0</v>
      </c>
      <c r="J602" s="27" t="s">
        <v>3</v>
      </c>
    </row>
    <row r="603" hidden="1">
      <c r="A603" s="74">
        <v>45861.0</v>
      </c>
      <c r="B603" s="92"/>
      <c r="C603" s="101"/>
      <c r="D603" s="87" t="s">
        <v>152</v>
      </c>
      <c r="E603" s="59">
        <v>1.0</v>
      </c>
      <c r="F603" s="141">
        <v>-300.0</v>
      </c>
      <c r="G603" s="141">
        <v>0.0</v>
      </c>
      <c r="H603" s="141">
        <v>0.0</v>
      </c>
      <c r="I603" s="141">
        <v>-300.0</v>
      </c>
      <c r="J603" s="27" t="s">
        <v>3</v>
      </c>
    </row>
    <row r="604" hidden="1">
      <c r="A604" s="78">
        <v>45861.0</v>
      </c>
      <c r="B604" s="91"/>
      <c r="C604" s="99">
        <v>259.0</v>
      </c>
      <c r="D604" s="81" t="str">
        <f>IF(Tabla_3[COD]="","",VLOOKUP(Tabla_3[COD],'Stock inicial'!A:D,2,FALSE))</f>
        <v>ALOE VERA (VERDE) 1L</v>
      </c>
      <c r="E604" s="58">
        <v>1.0</v>
      </c>
      <c r="F604" s="141">
        <v>1299.0</v>
      </c>
      <c r="G604" s="142">
        <v>727.0</v>
      </c>
      <c r="H604" s="143">
        <v>727.0</v>
      </c>
      <c r="I604" s="141">
        <v>1299.0</v>
      </c>
      <c r="J604" s="27" t="s">
        <v>3</v>
      </c>
    </row>
    <row r="605" hidden="1">
      <c r="A605" s="74">
        <v>45861.0</v>
      </c>
      <c r="B605" s="75" t="s">
        <v>292</v>
      </c>
      <c r="C605" s="96">
        <v>223.0</v>
      </c>
      <c r="D605" s="77" t="str">
        <f>IF(Tabla_3[COD]="","",VLOOKUP(Tabla_3[COD],'Stock inicial'!A:D,2,FALSE))</f>
        <v>VORAZ PERRO ADULTO MIX</v>
      </c>
      <c r="E605" s="59">
        <v>2.0</v>
      </c>
      <c r="F605" s="141">
        <v>1100.0</v>
      </c>
      <c r="G605" s="142">
        <v>819.5</v>
      </c>
      <c r="H605" s="143">
        <v>1639.0</v>
      </c>
      <c r="I605" s="141">
        <v>2200.0</v>
      </c>
      <c r="J605" s="27" t="s">
        <v>3</v>
      </c>
    </row>
    <row r="606" hidden="1">
      <c r="A606" s="78">
        <v>45861.0</v>
      </c>
      <c r="B606" s="91"/>
      <c r="C606" s="99">
        <v>149.0</v>
      </c>
      <c r="D606" s="81" t="str">
        <f>IF(Tabla_3[COD]="","",VLOOKUP(Tabla_3[COD],'Stock inicial'!A:D,2,FALSE))</f>
        <v>PALITOS MASTICABLES IZZY x6</v>
      </c>
      <c r="E606" s="58">
        <v>1.0</v>
      </c>
      <c r="F606" s="141">
        <v>600.0</v>
      </c>
      <c r="G606" s="142">
        <v>238.56</v>
      </c>
      <c r="H606" s="143">
        <v>238.56</v>
      </c>
      <c r="I606" s="141">
        <v>600.0</v>
      </c>
      <c r="J606" s="27" t="s">
        <v>3</v>
      </c>
    </row>
    <row r="607" hidden="1">
      <c r="A607" s="74">
        <v>45861.0</v>
      </c>
      <c r="B607" s="92"/>
      <c r="C607" s="101"/>
      <c r="D607" s="87" t="s">
        <v>152</v>
      </c>
      <c r="E607" s="59">
        <v>1.0</v>
      </c>
      <c r="F607" s="141">
        <v>-300.0</v>
      </c>
      <c r="G607" s="141">
        <v>0.0</v>
      </c>
      <c r="H607" s="141">
        <v>0.0</v>
      </c>
      <c r="I607" s="141">
        <v>-300.0</v>
      </c>
      <c r="J607" s="27" t="s">
        <v>3</v>
      </c>
    </row>
    <row r="608" hidden="1">
      <c r="A608" s="78">
        <v>45861.0</v>
      </c>
      <c r="B608" s="91"/>
      <c r="C608" s="99">
        <v>217.0</v>
      </c>
      <c r="D608" s="81" t="str">
        <f>IF(Tabla_3[COD]="","",VLOOKUP(Tabla_3[COD],'Stock inicial'!A:D,2,FALSE))</f>
        <v>VORAZ GATO ADULTO X2OK</v>
      </c>
      <c r="E608" s="58">
        <v>0.5</v>
      </c>
      <c r="F608" s="141">
        <v>2100.0</v>
      </c>
      <c r="G608" s="142">
        <v>1432.5</v>
      </c>
      <c r="H608" s="143">
        <v>716.25</v>
      </c>
      <c r="I608" s="141">
        <v>1050.0</v>
      </c>
      <c r="J608" s="27" t="s">
        <v>3</v>
      </c>
    </row>
    <row r="609" hidden="1">
      <c r="A609" s="74">
        <v>45861.0</v>
      </c>
      <c r="B609" s="75" t="s">
        <v>293</v>
      </c>
      <c r="C609" s="96">
        <v>214.0</v>
      </c>
      <c r="D609" s="77" t="str">
        <f>IF(Tabla_3[COD]="","",VLOOKUP(Tabla_3[COD],'Stock inicial'!A:D,2,FALSE))</f>
        <v>DOGPRO ADULTO SUPER PREMIUM XKG</v>
      </c>
      <c r="E609" s="59">
        <v>2.0</v>
      </c>
      <c r="F609" s="141">
        <v>3100.0</v>
      </c>
      <c r="G609" s="142">
        <v>2324.4</v>
      </c>
      <c r="H609" s="143">
        <v>4648.8</v>
      </c>
      <c r="I609" s="141">
        <v>6200.0</v>
      </c>
      <c r="J609" s="27" t="s">
        <v>3</v>
      </c>
    </row>
    <row r="610" hidden="1">
      <c r="A610" s="78">
        <v>45861.0</v>
      </c>
      <c r="B610" s="91"/>
      <c r="C610" s="99">
        <v>230.0</v>
      </c>
      <c r="D610" s="81" t="str">
        <f>IF(Tabla_3[COD]="","",VLOOKUP(Tabla_3[COD],'Stock inicial'!A:D,2,FALSE))</f>
        <v>EXCELLENT PERRO ADULTO BONUS 20K +2</v>
      </c>
      <c r="E610" s="58">
        <v>2.0</v>
      </c>
      <c r="F610" s="141">
        <v>3900.0</v>
      </c>
      <c r="G610" s="142">
        <v>2690.89</v>
      </c>
      <c r="H610" s="143">
        <v>5381.78</v>
      </c>
      <c r="I610" s="141">
        <v>7800.0</v>
      </c>
      <c r="J610" s="27" t="s">
        <v>3</v>
      </c>
    </row>
    <row r="611" hidden="1">
      <c r="A611" s="147">
        <v>45862.0</v>
      </c>
      <c r="B611" s="180" t="s">
        <v>294</v>
      </c>
      <c r="C611" s="181"/>
      <c r="D611" s="182" t="s">
        <v>295</v>
      </c>
      <c r="E611" s="148">
        <v>1.0</v>
      </c>
      <c r="F611" s="141">
        <v>54500.0</v>
      </c>
      <c r="G611" s="141">
        <v>41250.0</v>
      </c>
      <c r="H611" s="141">
        <v>41250.0</v>
      </c>
      <c r="I611" s="141">
        <v>54500.0</v>
      </c>
      <c r="J611" s="141" t="s">
        <v>11</v>
      </c>
    </row>
    <row r="612" hidden="1">
      <c r="A612" s="78">
        <v>45861.0</v>
      </c>
      <c r="B612" s="139" t="s">
        <v>296</v>
      </c>
      <c r="C612" s="99">
        <v>218.0</v>
      </c>
      <c r="D612" s="81" t="str">
        <f>IF(Tabla_3[COD]="","",VLOOKUP(Tabla_3[COD],'Stock inicial'!A:D,2,FALSE))</f>
        <v>EXCELLENT GATO URINARY X7.5KG</v>
      </c>
      <c r="E612" s="58">
        <v>0.5</v>
      </c>
      <c r="F612" s="141">
        <v>9900.0</v>
      </c>
      <c r="G612" s="142">
        <v>7325.5</v>
      </c>
      <c r="H612" s="143">
        <v>3662.75</v>
      </c>
      <c r="I612" s="141">
        <v>4950.0</v>
      </c>
      <c r="J612" s="27" t="s">
        <v>11</v>
      </c>
    </row>
    <row r="613" hidden="1">
      <c r="A613" s="74">
        <v>45861.0</v>
      </c>
      <c r="B613" s="92"/>
      <c r="C613" s="98">
        <v>232.0</v>
      </c>
      <c r="D613" s="87" t="str">
        <f>IF(Tabla_3[COD]="","",VLOOKUP(Tabla_3[COD],'Stock inicial'!A:D,2,FALSE))</f>
        <v>NUTRIBON URINARY XKG</v>
      </c>
      <c r="E613" s="59">
        <v>0.5</v>
      </c>
      <c r="F613" s="141">
        <v>4000.0</v>
      </c>
      <c r="G613" s="142">
        <v>2837.5</v>
      </c>
      <c r="H613" s="143">
        <v>1418.75</v>
      </c>
      <c r="I613" s="141">
        <v>2000.0</v>
      </c>
      <c r="J613" s="27" t="s">
        <v>11</v>
      </c>
    </row>
    <row r="614" hidden="1">
      <c r="A614" s="78">
        <v>45861.0</v>
      </c>
      <c r="B614" s="91"/>
      <c r="C614" s="99">
        <v>162.0</v>
      </c>
      <c r="D614" s="81" t="str">
        <f>IF(Tabla_3[COD]="","",VLOOKUP(Tabla_3[COD],'Stock inicial'!A:D,2,FALSE))</f>
        <v>PIEDRA SANITARIA THEBEST X20KG</v>
      </c>
      <c r="E614" s="58">
        <v>3.05</v>
      </c>
      <c r="F614" s="141">
        <v>680.0</v>
      </c>
      <c r="G614" s="142">
        <v>440.0</v>
      </c>
      <c r="H614" s="143">
        <v>1342.0</v>
      </c>
      <c r="I614" s="141">
        <v>2074.0</v>
      </c>
      <c r="J614" s="27" t="s">
        <v>11</v>
      </c>
    </row>
    <row r="615" hidden="1">
      <c r="A615" s="74">
        <v>45862.0</v>
      </c>
      <c r="B615" s="75" t="s">
        <v>297</v>
      </c>
      <c r="C615" s="96">
        <v>152.0</v>
      </c>
      <c r="D615" s="77" t="str">
        <f>IF(Tabla_3[COD]="","",VLOOKUP(Tabla_3[COD],'Stock inicial'!A:D,2,FALSE))</f>
        <v>OREJAS BOVINAS</v>
      </c>
      <c r="E615" s="59">
        <v>2.0</v>
      </c>
      <c r="F615" s="141">
        <v>800.0</v>
      </c>
      <c r="G615" s="142">
        <v>303.6</v>
      </c>
      <c r="H615" s="143">
        <v>607.2</v>
      </c>
      <c r="I615" s="141">
        <v>1600.0</v>
      </c>
      <c r="J615" s="27" t="s">
        <v>3</v>
      </c>
    </row>
    <row r="616" hidden="1">
      <c r="A616" s="78">
        <v>45862.0</v>
      </c>
      <c r="B616" s="82" t="s">
        <v>298</v>
      </c>
      <c r="C616" s="97">
        <v>217.0</v>
      </c>
      <c r="D616" s="84" t="str">
        <f>IF(Tabla_3[COD]="","",VLOOKUP(Tabla_3[COD],'Stock inicial'!A:D,2,FALSE))</f>
        <v>VORAZ GATO ADULTO X2OK</v>
      </c>
      <c r="E616" s="58">
        <v>2.4</v>
      </c>
      <c r="F616" s="141">
        <v>2100.0</v>
      </c>
      <c r="G616" s="142">
        <v>1432.5</v>
      </c>
      <c r="H616" s="143">
        <v>3438.0</v>
      </c>
      <c r="I616" s="141">
        <v>5040.0</v>
      </c>
      <c r="J616" s="27" t="s">
        <v>11</v>
      </c>
    </row>
    <row r="617" hidden="1">
      <c r="A617" s="74">
        <v>45862.0</v>
      </c>
      <c r="B617" s="75" t="s">
        <v>299</v>
      </c>
      <c r="C617" s="96">
        <v>282.0</v>
      </c>
      <c r="D617" s="77" t="str">
        <f>IF(Tabla_3[COD]="","",VLOOKUP(Tabla_3[COD],'Stock inicial'!A:D,2,FALSE))</f>
        <v>PERFUMINA VAINILLA 5L</v>
      </c>
      <c r="E617" s="59">
        <v>1.0</v>
      </c>
      <c r="F617" s="141">
        <v>990.0</v>
      </c>
      <c r="G617" s="142">
        <v>287.25</v>
      </c>
      <c r="H617" s="143">
        <v>287.25</v>
      </c>
      <c r="I617" s="141">
        <v>990.0</v>
      </c>
      <c r="J617" s="27" t="s">
        <v>3</v>
      </c>
    </row>
    <row r="618" hidden="1">
      <c r="A618" s="78">
        <v>45862.0</v>
      </c>
      <c r="B618" s="91"/>
      <c r="C618" s="50">
        <v>248.0</v>
      </c>
      <c r="D618" s="81" t="str">
        <f>IF(Tabla_3[COD]="","",VLOOKUP(Tabla_3[COD],'Stock inicial'!A:D,2,FALSE))</f>
        <v>ARIEL PREMIUM (VERDE) 5L</v>
      </c>
      <c r="E618" s="58">
        <v>1.0</v>
      </c>
      <c r="F618" s="141">
        <v>2700.0</v>
      </c>
      <c r="G618" s="142">
        <v>1615.5</v>
      </c>
      <c r="H618" s="143">
        <v>1615.5</v>
      </c>
      <c r="I618" s="141">
        <v>2700.0</v>
      </c>
      <c r="J618" s="27" t="s">
        <v>3</v>
      </c>
    </row>
    <row r="619" hidden="1">
      <c r="A619" s="74">
        <v>45862.0</v>
      </c>
      <c r="B619" s="92"/>
      <c r="C619" s="51">
        <v>258.0</v>
      </c>
      <c r="D619" s="87" t="str">
        <f>IF(Tabla_3[COD]="","",VLOOKUP(Tabla_3[COD],'Stock inicial'!A:D,2,FALSE))</f>
        <v>MAGISTRAL ECO (LIMON AMARILLO) 5L</v>
      </c>
      <c r="E619" s="59">
        <v>1.0</v>
      </c>
      <c r="F619" s="141">
        <v>2490.0</v>
      </c>
      <c r="G619" s="142">
        <v>1400.0</v>
      </c>
      <c r="H619" s="143">
        <v>1400.0</v>
      </c>
      <c r="I619" s="141">
        <v>2490.0</v>
      </c>
      <c r="J619" s="27" t="s">
        <v>3</v>
      </c>
    </row>
    <row r="620" hidden="1">
      <c r="A620" s="78">
        <v>45862.0</v>
      </c>
      <c r="B620" s="91"/>
      <c r="C620" s="50">
        <v>290.0</v>
      </c>
      <c r="D620" s="81" t="str">
        <f>IF(Tabla_3[COD]="","",VLOOKUP(Tabla_3[COD],'Stock inicial'!A:D,2,FALSE))</f>
        <v>LAVANDINA 5L</v>
      </c>
      <c r="E620" s="58">
        <v>1.0</v>
      </c>
      <c r="F620" s="141">
        <v>1990.0</v>
      </c>
      <c r="G620" s="142">
        <v>1145.0</v>
      </c>
      <c r="H620" s="143">
        <v>1145.0</v>
      </c>
      <c r="I620" s="141">
        <v>1990.0</v>
      </c>
      <c r="J620" s="27" t="s">
        <v>3</v>
      </c>
    </row>
    <row r="621" hidden="1">
      <c r="A621" s="74">
        <v>45862.0</v>
      </c>
      <c r="B621" s="92"/>
      <c r="C621" s="98">
        <v>252.0</v>
      </c>
      <c r="D621" s="87" t="str">
        <f>IF(Tabla_3[COD]="","",VLOOKUP(Tabla_3[COD],'Stock inicial'!A:D,2,FALSE))</f>
        <v>VIVERE ECO (CELESTE) 5L</v>
      </c>
      <c r="E621" s="59">
        <v>1.0</v>
      </c>
      <c r="F621" s="141">
        <v>2400.0</v>
      </c>
      <c r="G621" s="142">
        <v>1480.0</v>
      </c>
      <c r="H621" s="143">
        <v>1480.0</v>
      </c>
      <c r="I621" s="141">
        <v>2400.0</v>
      </c>
      <c r="J621" s="27" t="s">
        <v>3</v>
      </c>
    </row>
    <row r="622" hidden="1">
      <c r="A622" s="78">
        <v>45862.0</v>
      </c>
      <c r="B622" s="91"/>
      <c r="C622" s="99">
        <v>2912.0</v>
      </c>
      <c r="D622" s="81" t="str">
        <f>IF(Tabla_3[COD]="","",VLOOKUP(Tabla_3[COD],'Stock inicial'!A:D,2,FALSE))</f>
        <v>CLORO 5L</v>
      </c>
      <c r="E622" s="58">
        <v>1.0</v>
      </c>
      <c r="F622" s="141">
        <v>4200.0</v>
      </c>
      <c r="G622" s="142">
        <v>2650.0</v>
      </c>
      <c r="H622" s="143">
        <v>2650.0</v>
      </c>
      <c r="I622" s="141">
        <v>4200.0</v>
      </c>
      <c r="J622" s="27" t="s">
        <v>3</v>
      </c>
    </row>
    <row r="623" hidden="1">
      <c r="A623" s="74">
        <v>45862.0</v>
      </c>
      <c r="B623" s="92"/>
      <c r="C623" s="98">
        <v>325.0</v>
      </c>
      <c r="D623" s="87" t="str">
        <f>IF(Tabla_3[COD]="","",VLOOKUP(Tabla_3[COD],'Stock inicial'!A:D,2,FALSE))</f>
        <v>REJILLA SUPER "PABILO" 37X40 CM</v>
      </c>
      <c r="E623" s="59">
        <v>1.0</v>
      </c>
      <c r="F623" s="141">
        <v>1399.0</v>
      </c>
      <c r="G623" s="142">
        <v>750.0</v>
      </c>
      <c r="H623" s="143">
        <v>750.0</v>
      </c>
      <c r="I623" s="141">
        <v>1399.0</v>
      </c>
      <c r="J623" s="27" t="s">
        <v>3</v>
      </c>
    </row>
    <row r="624" hidden="1">
      <c r="A624" s="78">
        <v>45862.0</v>
      </c>
      <c r="B624" s="91"/>
      <c r="C624" s="50">
        <v>327.0</v>
      </c>
      <c r="D624" s="81" t="str">
        <f>IF(Tabla_3[COD]="","",VLOOKUP(Tabla_3[COD],'Stock inicial'!A:D,2,FALSE))</f>
        <v>TRAPO DE PISO - ECO 45X58CM</v>
      </c>
      <c r="E624" s="58">
        <v>1.0</v>
      </c>
      <c r="F624" s="141">
        <v>799.0</v>
      </c>
      <c r="G624" s="142">
        <v>400.0</v>
      </c>
      <c r="H624" s="143">
        <v>400.0</v>
      </c>
      <c r="I624" s="141">
        <v>799.0</v>
      </c>
      <c r="J624" s="27" t="s">
        <v>3</v>
      </c>
    </row>
    <row r="625" hidden="1">
      <c r="A625" s="74">
        <v>45862.0</v>
      </c>
      <c r="B625" s="92"/>
      <c r="C625" s="51">
        <v>341.0</v>
      </c>
      <c r="D625" s="87" t="str">
        <f>IF(Tabla_3[COD]="","",VLOOKUP(Tabla_3[COD],'Stock inicial'!A:D,2,FALSE))</f>
        <v>BOLSA C 60X90</v>
      </c>
      <c r="E625" s="59">
        <v>1.0</v>
      </c>
      <c r="F625" s="141">
        <v>799.0</v>
      </c>
      <c r="G625" s="142">
        <v>497.0</v>
      </c>
      <c r="H625" s="143">
        <v>497.0</v>
      </c>
      <c r="I625" s="141">
        <v>799.0</v>
      </c>
      <c r="J625" s="27" t="s">
        <v>3</v>
      </c>
    </row>
    <row r="626" hidden="1">
      <c r="A626" s="78">
        <v>45862.0</v>
      </c>
      <c r="B626" s="82" t="s">
        <v>300</v>
      </c>
      <c r="C626" s="97">
        <v>108.0</v>
      </c>
      <c r="D626" s="84" t="str">
        <f>IF(Tabla_3[COD]="","",VLOOKUP(Tabla_3[COD],'Stock inicial'!A:D,2,FALSE))</f>
        <v>COLLAR POLI. N2</v>
      </c>
      <c r="E626" s="58">
        <v>1.0</v>
      </c>
      <c r="F626" s="141">
        <v>2700.0</v>
      </c>
      <c r="G626" s="142">
        <v>1315.61</v>
      </c>
      <c r="H626" s="143">
        <v>1315.61</v>
      </c>
      <c r="I626" s="141">
        <v>2700.0</v>
      </c>
      <c r="J626" s="27" t="s">
        <v>11</v>
      </c>
    </row>
    <row r="627" hidden="1">
      <c r="A627" s="74">
        <v>45862.0</v>
      </c>
      <c r="B627" s="92"/>
      <c r="C627" s="98">
        <v>213.0</v>
      </c>
      <c r="D627" s="87" t="str">
        <f>IF(Tabla_3[COD]="","",VLOOKUP(Tabla_3[COD],'Stock inicial'!A:D,2,FALSE))</f>
        <v>DOGPRO CACHORRO XKG</v>
      </c>
      <c r="E627" s="59">
        <v>2.0</v>
      </c>
      <c r="F627" s="141">
        <v>3900.0</v>
      </c>
      <c r="G627" s="142">
        <v>2953.8</v>
      </c>
      <c r="H627" s="143">
        <v>5907.6</v>
      </c>
      <c r="I627" s="141">
        <v>7800.0</v>
      </c>
      <c r="J627" s="27" t="s">
        <v>11</v>
      </c>
    </row>
    <row r="628" hidden="1">
      <c r="A628" s="78">
        <v>45862.0</v>
      </c>
      <c r="B628" s="91"/>
      <c r="C628" s="99">
        <v>137.0</v>
      </c>
      <c r="D628" s="81" t="str">
        <f>IF(Tabla_3[COD]="","",VLOOKUP(Tabla_3[COD],'Stock inicial'!A:D,2,FALSE))</f>
        <v>PELOTA SOFT</v>
      </c>
      <c r="E628" s="58">
        <v>1.0</v>
      </c>
      <c r="F628" s="141">
        <v>1000.0</v>
      </c>
      <c r="G628" s="142">
        <v>659.33</v>
      </c>
      <c r="H628" s="143">
        <v>659.33</v>
      </c>
      <c r="I628" s="141">
        <v>1000.0</v>
      </c>
      <c r="J628" s="27" t="s">
        <v>11</v>
      </c>
    </row>
    <row r="629" hidden="1">
      <c r="A629" s="74">
        <v>45862.0</v>
      </c>
      <c r="B629" s="92"/>
      <c r="C629" s="98">
        <v>142.0</v>
      </c>
      <c r="D629" s="87" t="str">
        <f>IF(Tabla_3[COD]="","",VLOOKUP(Tabla_3[COD],'Stock inicial'!A:D,2,FALSE))</f>
        <v>HUESO ALGODON 25CM</v>
      </c>
      <c r="E629" s="59">
        <v>1.0</v>
      </c>
      <c r="F629" s="141">
        <v>2000.0</v>
      </c>
      <c r="G629" s="142">
        <v>852.84</v>
      </c>
      <c r="H629" s="143">
        <v>852.84</v>
      </c>
      <c r="I629" s="141">
        <v>2000.0</v>
      </c>
      <c r="J629" s="27" t="s">
        <v>11</v>
      </c>
    </row>
    <row r="630" hidden="1">
      <c r="A630" s="147">
        <v>45873.0</v>
      </c>
      <c r="B630" s="180" t="s">
        <v>301</v>
      </c>
      <c r="C630" s="183">
        <v>212.0</v>
      </c>
      <c r="D630" s="182" t="str">
        <f>IF(Tabla_3[COD]="","",VLOOKUP(Tabla_3[COD],'Stock inicial'!A:D,2,FALSE))</f>
        <v>DOGPRO ADULTO MORDIDA PEQUEñA XKG</v>
      </c>
      <c r="E630" s="148">
        <v>1.1</v>
      </c>
      <c r="F630" s="141">
        <v>3700.0</v>
      </c>
      <c r="G630" s="142">
        <v>2778.13</v>
      </c>
      <c r="H630" s="143">
        <v>3055.943</v>
      </c>
      <c r="I630" s="141">
        <v>4070.0000000000005</v>
      </c>
      <c r="J630" s="141" t="s">
        <v>11</v>
      </c>
    </row>
    <row r="631" hidden="1">
      <c r="A631" s="74">
        <v>45863.0</v>
      </c>
      <c r="B631" s="100" t="s">
        <v>302</v>
      </c>
      <c r="C631" s="98">
        <v>162.0</v>
      </c>
      <c r="D631" s="87" t="str">
        <f>IF(Tabla_3[COD]="","",VLOOKUP(Tabla_3[COD],'Stock inicial'!A:D,2,FALSE))</f>
        <v>PIEDRA SANITARIA THEBEST X20KG</v>
      </c>
      <c r="E631" s="59">
        <v>2.0</v>
      </c>
      <c r="F631" s="141">
        <v>680.0</v>
      </c>
      <c r="G631" s="142">
        <v>440.0</v>
      </c>
      <c r="H631" s="143">
        <v>880.0</v>
      </c>
      <c r="I631" s="141">
        <v>1360.0</v>
      </c>
      <c r="J631" s="27" t="s">
        <v>3</v>
      </c>
    </row>
    <row r="632" hidden="1">
      <c r="A632" s="78">
        <v>45863.0</v>
      </c>
      <c r="B632" s="145"/>
      <c r="C632" s="126">
        <v>217.0</v>
      </c>
      <c r="D632" s="127" t="str">
        <f>IF(Tabla_3[COD]="","",VLOOKUP(Tabla_3[COD],'Stock inicial'!A:D,2,FALSE))</f>
        <v>VORAZ GATO ADULTO X2OK</v>
      </c>
      <c r="E632" s="58">
        <v>1.0</v>
      </c>
      <c r="F632" s="141">
        <v>2100.0</v>
      </c>
      <c r="G632" s="142">
        <v>1432.5</v>
      </c>
      <c r="H632" s="143">
        <v>1432.5</v>
      </c>
      <c r="I632" s="141">
        <v>2100.0</v>
      </c>
      <c r="J632" s="27" t="s">
        <v>3</v>
      </c>
    </row>
    <row r="633" hidden="1">
      <c r="A633" s="28">
        <v>45863.0</v>
      </c>
      <c r="B633" s="66" t="s">
        <v>303</v>
      </c>
      <c r="C633" s="184">
        <v>1441.0</v>
      </c>
      <c r="D633" s="170" t="str">
        <f>IF(Tabla_3[COD]="","",VLOOKUP(Tabla_3[COD],'Stock inicial'!A:D,2,FALSE))</f>
        <v>CATPRO GATO LATA PESCADO 340G</v>
      </c>
      <c r="E633" s="27">
        <v>2.0</v>
      </c>
      <c r="F633" s="141">
        <v>4500.0</v>
      </c>
      <c r="G633" s="142">
        <v>2665.0</v>
      </c>
      <c r="H633" s="143">
        <v>5330.0</v>
      </c>
      <c r="I633" s="141">
        <v>9000.0</v>
      </c>
      <c r="J633" s="27" t="s">
        <v>3</v>
      </c>
    </row>
    <row r="634" hidden="1">
      <c r="A634" s="28">
        <v>45863.0</v>
      </c>
      <c r="B634" s="29" t="s">
        <v>304</v>
      </c>
      <c r="C634" s="27">
        <v>318.0</v>
      </c>
      <c r="D634" s="127" t="str">
        <f>IF(Tabla_3[COD]="","",VLOOKUP(Tabla_3[COD],'Stock inicial'!A:D,2,FALSE))</f>
        <v>CABO NORMAL 1.20CM</v>
      </c>
      <c r="E634" s="27">
        <v>1.0</v>
      </c>
      <c r="F634" s="141">
        <v>1299.0</v>
      </c>
      <c r="G634" s="142">
        <v>781.0</v>
      </c>
      <c r="H634" s="143">
        <v>781.0</v>
      </c>
      <c r="I634" s="141">
        <v>1299.0</v>
      </c>
      <c r="J634" s="27" t="s">
        <v>11</v>
      </c>
    </row>
    <row r="635" hidden="1">
      <c r="A635" s="28">
        <v>45863.0</v>
      </c>
      <c r="B635" s="185" t="s">
        <v>305</v>
      </c>
      <c r="C635" s="31">
        <v>1522.0</v>
      </c>
      <c r="D635" s="87" t="str">
        <f>IF(Tabla_3[COD]="","",VLOOKUP(Tabla_3[COD],'Stock inicial'!A:D,2,FALSE))</f>
        <v>CEPILLO VAPOR</v>
      </c>
      <c r="E635" s="27">
        <v>1.0</v>
      </c>
      <c r="F635" s="141">
        <v>4200.0</v>
      </c>
      <c r="G635" s="142">
        <v>2800.0</v>
      </c>
      <c r="H635" s="143">
        <v>2800.0</v>
      </c>
      <c r="I635" s="141">
        <v>4200.0</v>
      </c>
      <c r="J635" s="27" t="s">
        <v>3</v>
      </c>
    </row>
    <row r="636" hidden="1">
      <c r="A636" s="78">
        <v>45863.0</v>
      </c>
      <c r="B636" s="82" t="s">
        <v>306</v>
      </c>
      <c r="C636" s="97">
        <v>246.0</v>
      </c>
      <c r="D636" s="84" t="str">
        <f>IF(Tabla_3[COD]="","",VLOOKUP(Tabla_3[COD],'Stock inicial'!A:D,2,FALSE))</f>
        <v>ARIEL ECO (VERDE) 5L</v>
      </c>
      <c r="E636" s="58">
        <v>1.0</v>
      </c>
      <c r="F636" s="141">
        <v>1990.0</v>
      </c>
      <c r="G636" s="142">
        <v>1143.0</v>
      </c>
      <c r="H636" s="143">
        <v>1143.0</v>
      </c>
      <c r="I636" s="141">
        <v>1990.0</v>
      </c>
      <c r="J636" s="27" t="s">
        <v>3</v>
      </c>
    </row>
    <row r="637" hidden="1">
      <c r="A637" s="74">
        <v>45863.0</v>
      </c>
      <c r="B637" s="168"/>
      <c r="C637" s="169">
        <v>252.0</v>
      </c>
      <c r="D637" s="170" t="str">
        <f>IF(Tabla_3[COD]="","",VLOOKUP(Tabla_3[COD],'Stock inicial'!A:D,2,FALSE))</f>
        <v>VIVERE ECO (CELESTE) 5L</v>
      </c>
      <c r="E637" s="59">
        <v>1.0</v>
      </c>
      <c r="F637" s="141">
        <v>2400.0</v>
      </c>
      <c r="G637" s="142">
        <v>1480.0</v>
      </c>
      <c r="H637" s="143">
        <v>1480.0</v>
      </c>
      <c r="I637" s="141">
        <v>2400.0</v>
      </c>
      <c r="J637" s="27" t="s">
        <v>3</v>
      </c>
    </row>
    <row r="638" hidden="1">
      <c r="A638" s="28">
        <v>45863.0</v>
      </c>
      <c r="B638" s="186" t="s">
        <v>307</v>
      </c>
      <c r="C638" s="187">
        <v>365.0</v>
      </c>
      <c r="D638" s="45" t="str">
        <f>IF(Tabla_3[COD]="","",VLOOKUP(Tabla_3[COD],'Stock inicial'!A:D,2,FALSE))</f>
        <v>CAMITAS 1x70</v>
      </c>
      <c r="E638" s="27">
        <v>1.0</v>
      </c>
      <c r="F638" s="141">
        <v>19500.0</v>
      </c>
      <c r="G638" s="142">
        <v>13000.0</v>
      </c>
      <c r="H638" s="143">
        <v>13000.0</v>
      </c>
      <c r="I638" s="141">
        <v>19500.0</v>
      </c>
      <c r="J638" s="27" t="s">
        <v>11</v>
      </c>
    </row>
    <row r="639" hidden="1">
      <c r="A639" s="74">
        <v>45864.0</v>
      </c>
      <c r="B639" s="75" t="s">
        <v>308</v>
      </c>
      <c r="C639" s="96">
        <v>162.0</v>
      </c>
      <c r="D639" s="77" t="str">
        <f>IF(Tabla_3[COD]="","",VLOOKUP(Tabla_3[COD],'Stock inicial'!A:D,2,FALSE))</f>
        <v>PIEDRA SANITARIA THEBEST X20KG</v>
      </c>
      <c r="E639" s="59">
        <v>2.94</v>
      </c>
      <c r="F639" s="141">
        <v>680.0</v>
      </c>
      <c r="G639" s="142">
        <v>440.0</v>
      </c>
      <c r="H639" s="143">
        <v>1293.6</v>
      </c>
      <c r="I639" s="141">
        <v>1999.2</v>
      </c>
      <c r="J639" s="27" t="s">
        <v>3</v>
      </c>
    </row>
    <row r="640" hidden="1">
      <c r="A640" s="78">
        <v>45864.0</v>
      </c>
      <c r="B640" s="91"/>
      <c r="C640" s="99">
        <v>215.0</v>
      </c>
      <c r="D640" s="81" t="str">
        <f>IF(Tabla_3[COD]="","",VLOOKUP(Tabla_3[COD],'Stock inicial'!A:D,2,FALSE))</f>
        <v>4 HUELLAS GATO ADULTO</v>
      </c>
      <c r="E640" s="58">
        <v>0.85</v>
      </c>
      <c r="F640" s="141">
        <v>3600.0</v>
      </c>
      <c r="G640" s="142">
        <v>2118.6</v>
      </c>
      <c r="H640" s="143">
        <v>1800.81</v>
      </c>
      <c r="I640" s="141">
        <v>3060.0</v>
      </c>
      <c r="J640" s="27" t="s">
        <v>3</v>
      </c>
    </row>
    <row r="641" hidden="1">
      <c r="A641" s="74">
        <v>45864.0</v>
      </c>
      <c r="B641" s="75" t="s">
        <v>309</v>
      </c>
      <c r="C641" s="96">
        <v>214.0</v>
      </c>
      <c r="D641" s="77" t="str">
        <f>IF(Tabla_3[COD]="","",VLOOKUP(Tabla_3[COD],'Stock inicial'!A:D,2,FALSE))</f>
        <v>DOGPRO ADULTO SUPER PREMIUM XKG</v>
      </c>
      <c r="E641" s="59">
        <v>3.0</v>
      </c>
      <c r="F641" s="141">
        <v>3500.0</v>
      </c>
      <c r="G641" s="142">
        <v>2324.4</v>
      </c>
      <c r="H641" s="143">
        <v>6973.200000000001</v>
      </c>
      <c r="I641" s="141">
        <v>10500.0</v>
      </c>
      <c r="J641" s="27" t="s">
        <v>11</v>
      </c>
    </row>
    <row r="642" hidden="1">
      <c r="A642" s="78">
        <v>45866.0</v>
      </c>
      <c r="B642" s="82" t="s">
        <v>310</v>
      </c>
      <c r="C642" s="97">
        <v>223.0</v>
      </c>
      <c r="D642" s="84" t="str">
        <f>IF(Tabla_3[COD]="","",VLOOKUP(Tabla_3[COD],'Stock inicial'!A:D,2,FALSE))</f>
        <v>VORAZ PERRO ADULTO MIX</v>
      </c>
      <c r="E642" s="58">
        <v>2.0</v>
      </c>
      <c r="F642" s="141">
        <v>1100.0</v>
      </c>
      <c r="G642" s="142">
        <v>819.5</v>
      </c>
      <c r="H642" s="143">
        <v>1639.0</v>
      </c>
      <c r="I642" s="141">
        <v>2200.0</v>
      </c>
      <c r="J642" s="27" t="s">
        <v>3</v>
      </c>
    </row>
    <row r="643" hidden="1">
      <c r="A643" s="74">
        <v>45866.0</v>
      </c>
      <c r="B643" s="92"/>
      <c r="C643" s="98">
        <v>149.0</v>
      </c>
      <c r="D643" s="87" t="str">
        <f>IF(Tabla_3[COD]="","",VLOOKUP(Tabla_3[COD],'Stock inicial'!A:D,2,FALSE))</f>
        <v>PALITOS MASTICABLES IZZY x6</v>
      </c>
      <c r="E643" s="59">
        <v>1.0</v>
      </c>
      <c r="F643" s="141">
        <v>600.0</v>
      </c>
      <c r="G643" s="142">
        <v>238.56</v>
      </c>
      <c r="H643" s="143">
        <v>238.56</v>
      </c>
      <c r="I643" s="141">
        <v>600.0</v>
      </c>
      <c r="J643" s="27" t="s">
        <v>3</v>
      </c>
    </row>
    <row r="644" hidden="1">
      <c r="A644" s="78">
        <v>45866.0</v>
      </c>
      <c r="B644" s="139"/>
      <c r="C644" s="95"/>
      <c r="D644" s="81" t="s">
        <v>152</v>
      </c>
      <c r="E644" s="58">
        <v>1.0</v>
      </c>
      <c r="F644" s="141">
        <v>-300.0</v>
      </c>
      <c r="G644" s="149"/>
      <c r="H644" s="141">
        <v>0.0</v>
      </c>
      <c r="I644" s="141">
        <v>-300.0</v>
      </c>
      <c r="J644" s="27" t="s">
        <v>3</v>
      </c>
    </row>
    <row r="645" hidden="1">
      <c r="A645" s="74">
        <v>45866.0</v>
      </c>
      <c r="B645" s="168"/>
      <c r="C645" s="169">
        <v>223.0</v>
      </c>
      <c r="D645" s="170" t="str">
        <f>IF(Tabla_3[COD]="","",VLOOKUP(Tabla_3[COD],'Stock inicial'!A:D,2,FALSE))</f>
        <v>VORAZ PERRO ADULTO MIX</v>
      </c>
      <c r="E645" s="59">
        <v>1.0</v>
      </c>
      <c r="F645" s="141">
        <v>1100.0</v>
      </c>
      <c r="G645" s="142">
        <v>819.5</v>
      </c>
      <c r="H645" s="143">
        <v>819.5</v>
      </c>
      <c r="I645" s="141">
        <v>1100.0</v>
      </c>
      <c r="J645" s="27" t="s">
        <v>3</v>
      </c>
    </row>
    <row r="646" hidden="1">
      <c r="A646" s="78">
        <v>45866.0</v>
      </c>
      <c r="B646" s="139" t="s">
        <v>311</v>
      </c>
      <c r="C646" s="99">
        <v>200.0</v>
      </c>
      <c r="D646" s="81" t="str">
        <f>IF(Tabla_3[COD]="","",VLOOKUP(Tabla_3[COD],'Stock inicial'!A:D,2,FALSE))</f>
        <v>LA PIPETA OSSPRET GATO HASTA 4KG</v>
      </c>
      <c r="E646" s="58">
        <v>1.0</v>
      </c>
      <c r="F646" s="141">
        <v>3000.0</v>
      </c>
      <c r="G646" s="142">
        <v>2030.0</v>
      </c>
      <c r="H646" s="143">
        <v>2030.0</v>
      </c>
      <c r="I646" s="141">
        <v>3000.0</v>
      </c>
      <c r="J646" s="27" t="s">
        <v>3</v>
      </c>
    </row>
    <row r="647" hidden="1">
      <c r="A647" s="74">
        <v>45866.0</v>
      </c>
      <c r="B647" s="75" t="s">
        <v>312</v>
      </c>
      <c r="C647" s="96">
        <v>214.0</v>
      </c>
      <c r="D647" s="77" t="str">
        <f>IF(Tabla_3[COD]="","",VLOOKUP(Tabla_3[COD],'Stock inicial'!A:D,2,FALSE))</f>
        <v>DOGPRO ADULTO SUPER PREMIUM XKG</v>
      </c>
      <c r="E647" s="59">
        <v>2.0</v>
      </c>
      <c r="F647" s="141">
        <v>3500.0</v>
      </c>
      <c r="G647" s="142">
        <v>2324.4</v>
      </c>
      <c r="H647" s="143">
        <v>4648.8</v>
      </c>
      <c r="I647" s="141">
        <v>7000.0</v>
      </c>
      <c r="J647" s="27" t="s">
        <v>3</v>
      </c>
    </row>
    <row r="648" hidden="1">
      <c r="A648" s="78">
        <v>45866.0</v>
      </c>
      <c r="B648" s="91"/>
      <c r="C648" s="99">
        <v>229.0</v>
      </c>
      <c r="D648" s="81" t="str">
        <f>IF(Tabla_3[COD]="","",VLOOKUP(Tabla_3[COD],'Stock inicial'!A:D,2,FALSE))</f>
        <v>EXCELLENT GATO ADULTO</v>
      </c>
      <c r="E648" s="58">
        <v>1.0</v>
      </c>
      <c r="F648" s="141">
        <v>7500.0</v>
      </c>
      <c r="G648" s="142">
        <v>5239.88</v>
      </c>
      <c r="H648" s="143">
        <v>5239.88</v>
      </c>
      <c r="I648" s="141">
        <v>7500.0</v>
      </c>
      <c r="J648" s="27" t="s">
        <v>3</v>
      </c>
    </row>
    <row r="649" hidden="1">
      <c r="A649" s="74">
        <v>45866.0</v>
      </c>
      <c r="B649" s="75" t="s">
        <v>313</v>
      </c>
      <c r="C649" s="96">
        <v>234.0</v>
      </c>
      <c r="D649" s="77" t="str">
        <f>IF(Tabla_3[COD]="","",VLOOKUP(Tabla_3[COD],'Stock inicial'!A:D,2,FALSE))</f>
        <v>CAT CHOW ADULTO CARNE POLLO</v>
      </c>
      <c r="E649" s="59">
        <v>0.5</v>
      </c>
      <c r="F649" s="141">
        <v>4700.0</v>
      </c>
      <c r="G649" s="142">
        <v>3586.66</v>
      </c>
      <c r="H649" s="143">
        <v>1793.33</v>
      </c>
      <c r="I649" s="141">
        <v>2350.0</v>
      </c>
      <c r="J649" s="27" t="s">
        <v>3</v>
      </c>
    </row>
    <row r="650" hidden="1">
      <c r="A650" s="78">
        <v>45866.0</v>
      </c>
      <c r="B650" s="91"/>
      <c r="C650" s="99">
        <v>247.0</v>
      </c>
      <c r="D650" s="81" t="str">
        <f>IF(Tabla_3[COD]="","",VLOOKUP(Tabla_3[COD],'Stock inicial'!A:D,2,FALSE))</f>
        <v>ARIEL PREMIUM (VERDE) 1L</v>
      </c>
      <c r="E650" s="58">
        <v>1.0</v>
      </c>
      <c r="F650" s="141">
        <v>1200.0</v>
      </c>
      <c r="G650" s="142">
        <v>618.1</v>
      </c>
      <c r="H650" s="143">
        <v>618.1</v>
      </c>
      <c r="I650" s="141">
        <v>1200.0</v>
      </c>
      <c r="J650" s="27" t="s">
        <v>3</v>
      </c>
    </row>
    <row r="651" hidden="1">
      <c r="A651" s="74">
        <v>45866.0</v>
      </c>
      <c r="B651" s="75" t="s">
        <v>314</v>
      </c>
      <c r="C651" s="96">
        <v>273.0</v>
      </c>
      <c r="D651" s="77" t="str">
        <f>IF(Tabla_3[COD]="","",VLOOKUP(Tabla_3[COD],'Stock inicial'!A:D,2,FALSE))</f>
        <v>PERFUMINA CHERRY 1L</v>
      </c>
      <c r="E651" s="59">
        <v>1.0</v>
      </c>
      <c r="F651" s="141">
        <v>290.0</v>
      </c>
      <c r="G651" s="142">
        <v>352.45</v>
      </c>
      <c r="H651" s="143">
        <v>352.45</v>
      </c>
      <c r="I651" s="141">
        <v>290.0</v>
      </c>
      <c r="J651" s="27" t="s">
        <v>3</v>
      </c>
    </row>
    <row r="652" hidden="1">
      <c r="A652" s="78">
        <v>45866.0</v>
      </c>
      <c r="B652" s="91"/>
      <c r="C652" s="99">
        <v>248.0</v>
      </c>
      <c r="D652" s="81" t="str">
        <f>IF(Tabla_3[COD]="","",VLOOKUP(Tabla_3[COD],'Stock inicial'!A:D,2,FALSE))</f>
        <v>ARIEL PREMIUM (VERDE) 5L</v>
      </c>
      <c r="E652" s="58">
        <v>1.0</v>
      </c>
      <c r="F652" s="141">
        <v>2700.0</v>
      </c>
      <c r="G652" s="142">
        <v>1910.5</v>
      </c>
      <c r="H652" s="143">
        <v>1910.5</v>
      </c>
      <c r="I652" s="141">
        <v>2700.0</v>
      </c>
      <c r="J652" s="27" t="s">
        <v>3</v>
      </c>
    </row>
    <row r="653" hidden="1">
      <c r="A653" s="74">
        <v>45866.0</v>
      </c>
      <c r="B653" s="75" t="s">
        <v>315</v>
      </c>
      <c r="C653" s="96">
        <v>249.0</v>
      </c>
      <c r="D653" s="77" t="str">
        <f>IF(Tabla_3[COD]="","",VLOOKUP(Tabla_3[COD],'Stock inicial'!A:D,2,FALSE))</f>
        <v>ARIEL. EXT. PERF. (VERDE CON SUAVIZANTE) 1L</v>
      </c>
      <c r="E653" s="59">
        <v>1.0</v>
      </c>
      <c r="F653" s="141">
        <v>1200.0</v>
      </c>
      <c r="G653" s="142">
        <v>781.0</v>
      </c>
      <c r="H653" s="143">
        <v>781.0</v>
      </c>
      <c r="I653" s="141">
        <v>1200.0</v>
      </c>
      <c r="J653" s="27" t="s">
        <v>3</v>
      </c>
    </row>
    <row r="654" hidden="1">
      <c r="A654" s="78">
        <v>45866.0</v>
      </c>
      <c r="B654" s="82" t="s">
        <v>316</v>
      </c>
      <c r="C654" s="97">
        <v>259.0</v>
      </c>
      <c r="D654" s="84" t="str">
        <f>IF(Tabla_3[COD]="","",VLOOKUP(Tabla_3[COD],'Stock inicial'!A:D,2,FALSE))</f>
        <v>ALOE VERA (VERDE) 1L</v>
      </c>
      <c r="E654" s="58">
        <v>1.0</v>
      </c>
      <c r="F654" s="141">
        <v>1299.0</v>
      </c>
      <c r="G654" s="142">
        <v>727.0</v>
      </c>
      <c r="H654" s="143">
        <v>727.0</v>
      </c>
      <c r="I654" s="141">
        <v>1299.0</v>
      </c>
      <c r="J654" s="27" t="s">
        <v>3</v>
      </c>
    </row>
    <row r="655" hidden="1">
      <c r="A655" s="74">
        <v>45866.0</v>
      </c>
      <c r="B655" s="75" t="s">
        <v>317</v>
      </c>
      <c r="C655" s="96">
        <v>223.0</v>
      </c>
      <c r="D655" s="77" t="str">
        <f>IF(Tabla_3[COD]="","",VLOOKUP(Tabla_3[COD],'Stock inicial'!A:D,2,FALSE))</f>
        <v>VORAZ PERRO ADULTO MIX</v>
      </c>
      <c r="E655" s="59">
        <v>3.1</v>
      </c>
      <c r="F655" s="141">
        <v>1100.0</v>
      </c>
      <c r="G655" s="142">
        <v>1114.5</v>
      </c>
      <c r="H655" s="143">
        <v>3454.9500000000003</v>
      </c>
      <c r="I655" s="141">
        <v>3410.0</v>
      </c>
      <c r="J655" s="27" t="s">
        <v>3</v>
      </c>
    </row>
    <row r="656" hidden="1">
      <c r="A656" s="78">
        <v>45866.0</v>
      </c>
      <c r="B656" s="82" t="s">
        <v>318</v>
      </c>
      <c r="C656" s="97">
        <v>240.0</v>
      </c>
      <c r="D656" s="84" t="str">
        <f>IF(Tabla_3[COD]="","",VLOOKUP(Tabla_3[COD],'Stock inicial'!A:D,2,FALSE))</f>
        <v>PEDIGREE POUCH AD. CARNE</v>
      </c>
      <c r="E656" s="58">
        <v>2.0</v>
      </c>
      <c r="F656" s="141">
        <v>1100.0</v>
      </c>
      <c r="G656" s="142">
        <v>1082.5</v>
      </c>
      <c r="H656" s="143">
        <v>2165.0</v>
      </c>
      <c r="I656" s="141">
        <v>2200.0</v>
      </c>
      <c r="J656" s="27" t="s">
        <v>3</v>
      </c>
    </row>
    <row r="657" hidden="1">
      <c r="A657" s="74">
        <v>45866.0</v>
      </c>
      <c r="B657" s="75" t="s">
        <v>319</v>
      </c>
      <c r="C657" s="96">
        <v>214.0</v>
      </c>
      <c r="D657" s="77" t="str">
        <f>IF(Tabla_3[COD]="","",VLOOKUP(Tabla_3[COD],'Stock inicial'!A:D,2,FALSE))</f>
        <v>DOGPRO ADULTO SUPER PREMIUM XKG</v>
      </c>
      <c r="E657" s="59">
        <v>1.0</v>
      </c>
      <c r="F657" s="141">
        <v>3500.0</v>
      </c>
      <c r="G657" s="142">
        <v>2619.4</v>
      </c>
      <c r="H657" s="143">
        <v>2619.4</v>
      </c>
      <c r="I657" s="141">
        <v>3500.0</v>
      </c>
      <c r="J657" s="27" t="s">
        <v>3</v>
      </c>
    </row>
    <row r="658" hidden="1">
      <c r="A658" s="78">
        <v>45867.0</v>
      </c>
      <c r="B658" s="68" t="s">
        <v>320</v>
      </c>
      <c r="C658" s="128">
        <v>217.0</v>
      </c>
      <c r="D658" s="129" t="str">
        <f>IF(Tabla_3[COD]="","",VLOOKUP(Tabla_3[COD],'Stock inicial'!A:D,2,FALSE))</f>
        <v>VORAZ GATO ADULTO X2OK</v>
      </c>
      <c r="E658" s="58">
        <v>1.0</v>
      </c>
      <c r="F658" s="141">
        <v>2100.0</v>
      </c>
      <c r="G658" s="142">
        <v>1727.5</v>
      </c>
      <c r="H658" s="143">
        <v>1727.5</v>
      </c>
      <c r="I658" s="141">
        <v>2100.0</v>
      </c>
      <c r="J658" s="27" t="s">
        <v>3</v>
      </c>
    </row>
    <row r="659" hidden="1">
      <c r="A659" s="74">
        <v>45867.0</v>
      </c>
      <c r="B659" s="100" t="s">
        <v>321</v>
      </c>
      <c r="C659" s="98">
        <v>353.0</v>
      </c>
      <c r="D659" s="87" t="str">
        <f>IF(Tabla_3[COD]="","",VLOOKUP(Tabla_3[COD],'Stock inicial'!A:D,2,FALSE))</f>
        <v>SECADOR N50 "NAZAR"</v>
      </c>
      <c r="E659" s="59">
        <v>1.0</v>
      </c>
      <c r="F659" s="141">
        <v>2190.0</v>
      </c>
      <c r="G659" s="142">
        <v>1945.0</v>
      </c>
      <c r="H659" s="143">
        <v>1945.0</v>
      </c>
      <c r="I659" s="141">
        <v>2190.0</v>
      </c>
      <c r="J659" s="27" t="s">
        <v>11</v>
      </c>
    </row>
    <row r="660" hidden="1">
      <c r="A660" s="78">
        <v>45867.0</v>
      </c>
      <c r="B660" s="91"/>
      <c r="C660" s="99">
        <v>273.0</v>
      </c>
      <c r="D660" s="81" t="str">
        <f>IF(Tabla_3[COD]="","",VLOOKUP(Tabla_3[COD],'Stock inicial'!A:D,2,FALSE))</f>
        <v>PERFUMINA CHERRY 1L</v>
      </c>
      <c r="E660" s="58">
        <v>1.0</v>
      </c>
      <c r="F660" s="141">
        <v>599.0</v>
      </c>
      <c r="G660" s="142">
        <v>352.45</v>
      </c>
      <c r="H660" s="143">
        <v>352.45</v>
      </c>
      <c r="I660" s="141">
        <v>599.0</v>
      </c>
      <c r="J660" s="27" t="s">
        <v>11</v>
      </c>
    </row>
    <row r="661" hidden="1">
      <c r="A661" s="74">
        <v>45867.0</v>
      </c>
      <c r="B661" s="92"/>
      <c r="C661" s="98">
        <v>277.0</v>
      </c>
      <c r="D661" s="87" t="str">
        <f>IF(Tabla_3[COD]="","",VLOOKUP(Tabla_3[COD],'Stock inicial'!A:D,2,FALSE))</f>
        <v>PERFUMINA LIMON 1L</v>
      </c>
      <c r="E661" s="59">
        <v>1.0</v>
      </c>
      <c r="F661" s="141">
        <v>599.0</v>
      </c>
      <c r="G661" s="142">
        <v>352.45</v>
      </c>
      <c r="H661" s="143">
        <v>352.45</v>
      </c>
      <c r="I661" s="141">
        <v>599.0</v>
      </c>
      <c r="J661" s="27" t="s">
        <v>11</v>
      </c>
    </row>
    <row r="662" hidden="1">
      <c r="A662" s="78">
        <v>45867.0</v>
      </c>
      <c r="B662" s="82" t="s">
        <v>322</v>
      </c>
      <c r="C662" s="97">
        <v>252.0</v>
      </c>
      <c r="D662" s="84" t="str">
        <f>IF(Tabla_3[COD]="","",VLOOKUP(Tabla_3[COD],'Stock inicial'!A:D,2,FALSE))</f>
        <v>VIVERE ECO (CELESTE) 5L</v>
      </c>
      <c r="E662" s="58">
        <v>2.0</v>
      </c>
      <c r="F662" s="141">
        <v>2400.0</v>
      </c>
      <c r="G662" s="142">
        <v>1480.0</v>
      </c>
      <c r="H662" s="143">
        <v>2960.0</v>
      </c>
      <c r="I662" s="141">
        <v>4800.0</v>
      </c>
      <c r="J662" s="27" t="s">
        <v>3</v>
      </c>
    </row>
    <row r="663" hidden="1">
      <c r="A663" s="74">
        <v>45867.0</v>
      </c>
      <c r="B663" s="92"/>
      <c r="C663" s="98">
        <v>282.0</v>
      </c>
      <c r="D663" s="87" t="str">
        <f>IF(Tabla_3[COD]="","",VLOOKUP(Tabla_3[COD],'Stock inicial'!A:D,2,FALSE))</f>
        <v>PERFUMINA VAINILLA 5L</v>
      </c>
      <c r="E663" s="59">
        <v>1.0</v>
      </c>
      <c r="F663" s="141">
        <v>990.0</v>
      </c>
      <c r="G663" s="142">
        <v>287.25</v>
      </c>
      <c r="H663" s="143">
        <v>287.25</v>
      </c>
      <c r="I663" s="141">
        <v>990.0</v>
      </c>
      <c r="J663" s="27" t="s">
        <v>3</v>
      </c>
    </row>
    <row r="664" hidden="1">
      <c r="A664" s="78">
        <v>45867.0</v>
      </c>
      <c r="B664" s="82" t="s">
        <v>323</v>
      </c>
      <c r="C664" s="97">
        <v>247.0</v>
      </c>
      <c r="D664" s="84" t="str">
        <f>IF(Tabla_3[COD]="","",VLOOKUP(Tabla_3[COD],'Stock inicial'!A:D,2,FALSE))</f>
        <v>ARIEL PREMIUM (VERDE) 1L</v>
      </c>
      <c r="E664" s="58">
        <v>1.0</v>
      </c>
      <c r="F664" s="141">
        <v>1200.0</v>
      </c>
      <c r="G664" s="142">
        <v>618.1</v>
      </c>
      <c r="H664" s="143">
        <v>618.1</v>
      </c>
      <c r="I664" s="141">
        <v>1200.0</v>
      </c>
      <c r="J664" s="27" t="s">
        <v>11</v>
      </c>
    </row>
    <row r="665" hidden="1">
      <c r="A665" s="74">
        <v>45867.0</v>
      </c>
      <c r="B665" s="92"/>
      <c r="C665" s="98">
        <v>253.0</v>
      </c>
      <c r="D665" s="87" t="str">
        <f>IF(Tabla_3[COD]="","",VLOOKUP(Tabla_3[COD],'Stock inicial'!A:D,2,FALSE))</f>
        <v>COMFORT PREMIUM (ROSA) 1L</v>
      </c>
      <c r="E665" s="59">
        <v>1.0</v>
      </c>
      <c r="F665" s="141">
        <v>1050.0</v>
      </c>
      <c r="G665" s="142">
        <v>619.0</v>
      </c>
      <c r="H665" s="143">
        <v>619.0</v>
      </c>
      <c r="I665" s="141">
        <v>1050.0</v>
      </c>
      <c r="J665" s="27" t="s">
        <v>11</v>
      </c>
    </row>
    <row r="666" hidden="1">
      <c r="A666" s="78">
        <v>45867.0</v>
      </c>
      <c r="B666" s="82" t="s">
        <v>324</v>
      </c>
      <c r="C666" s="97">
        <v>223.0</v>
      </c>
      <c r="D666" s="84" t="str">
        <f>IF(Tabla_3[COD]="","",VLOOKUP(Tabla_3[COD],'Stock inicial'!A:D,2,FALSE))</f>
        <v>VORAZ PERRO ADULTO MIX</v>
      </c>
      <c r="E666" s="58">
        <v>2.0</v>
      </c>
      <c r="F666" s="141">
        <v>1100.0</v>
      </c>
      <c r="G666" s="142">
        <v>819.5</v>
      </c>
      <c r="H666" s="143">
        <v>1639.0</v>
      </c>
      <c r="I666" s="141">
        <v>2200.0</v>
      </c>
      <c r="J666" s="27" t="s">
        <v>3</v>
      </c>
    </row>
    <row r="667" hidden="1">
      <c r="A667" s="74">
        <v>45867.0</v>
      </c>
      <c r="B667" s="92"/>
      <c r="C667" s="98">
        <v>149.0</v>
      </c>
      <c r="D667" s="87" t="str">
        <f>IF(Tabla_3[COD]="","",VLOOKUP(Tabla_3[COD],'Stock inicial'!A:D,2,FALSE))</f>
        <v>PALITOS MASTICABLES IZZY x6</v>
      </c>
      <c r="E667" s="59">
        <v>1.0</v>
      </c>
      <c r="F667" s="141">
        <v>600.0</v>
      </c>
      <c r="G667" s="142">
        <v>238.56</v>
      </c>
      <c r="H667" s="143">
        <v>238.56</v>
      </c>
      <c r="I667" s="141">
        <v>600.0</v>
      </c>
      <c r="J667" s="27" t="s">
        <v>3</v>
      </c>
    </row>
    <row r="668" hidden="1">
      <c r="A668" s="78">
        <v>45867.0</v>
      </c>
      <c r="B668" s="91"/>
      <c r="C668" s="95"/>
      <c r="D668" s="81" t="s">
        <v>152</v>
      </c>
      <c r="E668" s="58">
        <v>1.0</v>
      </c>
      <c r="F668" s="141">
        <v>-300.0</v>
      </c>
      <c r="G668" s="141">
        <v>0.0</v>
      </c>
      <c r="H668" s="141">
        <v>0.0</v>
      </c>
      <c r="I668" s="141">
        <v>-300.0</v>
      </c>
      <c r="J668" s="27" t="s">
        <v>3</v>
      </c>
    </row>
    <row r="669" hidden="1">
      <c r="A669" s="74">
        <v>45867.0</v>
      </c>
      <c r="B669" s="92"/>
      <c r="C669" s="98">
        <v>152.0</v>
      </c>
      <c r="D669" s="87" t="str">
        <f>IF(Tabla_3[COD]="","",VLOOKUP(Tabla_3[COD],'Stock inicial'!A:D,2,FALSE))</f>
        <v>OREJAS BOVINAS</v>
      </c>
      <c r="E669" s="59">
        <v>1.0</v>
      </c>
      <c r="F669" s="141">
        <v>800.0</v>
      </c>
      <c r="G669" s="142">
        <v>598.6</v>
      </c>
      <c r="H669" s="143">
        <v>598.6</v>
      </c>
      <c r="I669" s="141">
        <v>800.0</v>
      </c>
      <c r="J669" s="27" t="s">
        <v>3</v>
      </c>
    </row>
    <row r="670" hidden="1">
      <c r="A670" s="78">
        <v>45867.0</v>
      </c>
      <c r="B670" s="82" t="s">
        <v>325</v>
      </c>
      <c r="C670" s="40">
        <v>257.0</v>
      </c>
      <c r="D670" s="84" t="str">
        <f>IF(Tabla_3[COD]="","",VLOOKUP(Tabla_3[COD],'Stock inicial'!A:D,2,FALSE))</f>
        <v>MAGISTRAL ECO (LIMON AMARILLO) 1L</v>
      </c>
      <c r="E670" s="58">
        <v>1.0</v>
      </c>
      <c r="F670" s="141">
        <v>690.0</v>
      </c>
      <c r="G670" s="142">
        <v>280.0</v>
      </c>
      <c r="H670" s="143">
        <v>280.0</v>
      </c>
      <c r="I670" s="141">
        <v>690.0</v>
      </c>
      <c r="J670" s="27" t="s">
        <v>3</v>
      </c>
    </row>
    <row r="671" hidden="1">
      <c r="A671" s="74">
        <v>45867.0</v>
      </c>
      <c r="B671" s="92"/>
      <c r="C671" s="51">
        <v>283.0</v>
      </c>
      <c r="D671" s="87" t="str">
        <f>IF(Tabla_3[COD]="","",VLOOKUP(Tabla_3[COD],'Stock inicial'!A:D,2,FALSE))</f>
        <v>TICKET ROPA 1L</v>
      </c>
      <c r="E671" s="59">
        <v>0.5</v>
      </c>
      <c r="F671" s="141">
        <v>2000.0</v>
      </c>
      <c r="G671" s="142">
        <v>420.0</v>
      </c>
      <c r="H671" s="143">
        <v>210.0</v>
      </c>
      <c r="I671" s="141">
        <v>1000.0</v>
      </c>
      <c r="J671" s="27" t="s">
        <v>3</v>
      </c>
    </row>
    <row r="672" hidden="1">
      <c r="A672" s="78">
        <v>45867.0</v>
      </c>
      <c r="B672" s="82" t="s">
        <v>326</v>
      </c>
      <c r="C672" s="40">
        <v>227.0</v>
      </c>
      <c r="D672" s="84" t="str">
        <f>IF(Tabla_3[COD]="","",VLOOKUP(Tabla_3[COD],'Stock inicial'!A:D,2,FALSE))</f>
        <v>CATPRO GATO ADULTO</v>
      </c>
      <c r="E672" s="58">
        <v>1.0</v>
      </c>
      <c r="F672" s="141">
        <v>5250.0</v>
      </c>
      <c r="G672" s="142">
        <v>3657.41</v>
      </c>
      <c r="H672" s="143">
        <v>3657.41</v>
      </c>
      <c r="I672" s="141">
        <v>5250.0</v>
      </c>
      <c r="J672" s="27" t="s">
        <v>3</v>
      </c>
    </row>
    <row r="673" hidden="1">
      <c r="A673" s="74">
        <v>45867.0</v>
      </c>
      <c r="B673" s="92"/>
      <c r="C673" s="51">
        <v>234.0</v>
      </c>
      <c r="D673" s="87" t="str">
        <f>IF(Tabla_3[COD]="","",VLOOKUP(Tabla_3[COD],'Stock inicial'!A:D,2,FALSE))</f>
        <v>CAT CHOW ADULTO CARNE POLLO</v>
      </c>
      <c r="E673" s="59">
        <v>1.0</v>
      </c>
      <c r="F673" s="141">
        <v>4700.0</v>
      </c>
      <c r="G673" s="142">
        <v>3586.66</v>
      </c>
      <c r="H673" s="143">
        <v>3586.66</v>
      </c>
      <c r="I673" s="141">
        <v>4700.0</v>
      </c>
      <c r="J673" s="27" t="s">
        <v>3</v>
      </c>
    </row>
    <row r="674" hidden="1">
      <c r="A674" s="78">
        <v>45867.0</v>
      </c>
      <c r="B674" s="91"/>
      <c r="C674" s="99">
        <v>249.0</v>
      </c>
      <c r="D674" s="81" t="str">
        <f>IF(Tabla_3[COD]="","",VLOOKUP(Tabla_3[COD],'Stock inicial'!A:D,2,FALSE))</f>
        <v>ARIEL. EXT. PERF. (VERDE CON SUAVIZANTE) 1L</v>
      </c>
      <c r="E674" s="58">
        <v>1.0</v>
      </c>
      <c r="F674" s="141">
        <v>1500.0</v>
      </c>
      <c r="G674" s="142">
        <v>486.0</v>
      </c>
      <c r="H674" s="143">
        <v>486.0</v>
      </c>
      <c r="I674" s="141">
        <v>1500.0</v>
      </c>
      <c r="J674" s="27" t="s">
        <v>3</v>
      </c>
    </row>
    <row r="675" hidden="1">
      <c r="A675" s="74">
        <v>45867.0</v>
      </c>
      <c r="B675" s="75" t="s">
        <v>327</v>
      </c>
      <c r="C675" s="96">
        <v>223.0</v>
      </c>
      <c r="D675" s="77" t="str">
        <f>IF(Tabla_3[COD]="","",VLOOKUP(Tabla_3[COD],'Stock inicial'!A:D,2,FALSE))</f>
        <v>VORAZ PERRO ADULTO MIX</v>
      </c>
      <c r="E675" s="59">
        <v>1.0</v>
      </c>
      <c r="F675" s="141">
        <v>1100.0</v>
      </c>
      <c r="G675" s="142">
        <v>819.5</v>
      </c>
      <c r="H675" s="143">
        <v>819.5</v>
      </c>
      <c r="I675" s="141">
        <v>1100.0</v>
      </c>
      <c r="J675" s="27" t="s">
        <v>3</v>
      </c>
    </row>
    <row r="676" hidden="1">
      <c r="A676" s="78">
        <v>45867.0</v>
      </c>
      <c r="B676" s="82" t="s">
        <v>328</v>
      </c>
      <c r="C676" s="97">
        <v>250.0</v>
      </c>
      <c r="D676" s="84" t="str">
        <f>IF(Tabla_3[COD]="","",VLOOKUP(Tabla_3[COD],'Stock inicial'!A:D,2,FALSE))</f>
        <v>ARIEL. EXT. PERF. (VERDE CON SUAVIZANTE) 5L</v>
      </c>
      <c r="E676" s="58">
        <v>1.0</v>
      </c>
      <c r="F676" s="141">
        <v>4000.0</v>
      </c>
      <c r="G676" s="142">
        <v>2430.0</v>
      </c>
      <c r="H676" s="143">
        <v>2430.0</v>
      </c>
      <c r="I676" s="141">
        <v>4000.0</v>
      </c>
      <c r="J676" s="27" t="s">
        <v>3</v>
      </c>
    </row>
    <row r="677" hidden="1">
      <c r="A677" s="74">
        <v>45867.0</v>
      </c>
      <c r="B677" s="75" t="s">
        <v>329</v>
      </c>
      <c r="C677" s="155">
        <v>162.0</v>
      </c>
      <c r="D677" s="77" t="str">
        <f>IF(Tabla_3[COD]="","",VLOOKUP(Tabla_3[COD],'Stock inicial'!A:D,2,FALSE))</f>
        <v>PIEDRA SANITARIA THEBEST X20KG</v>
      </c>
      <c r="E677" s="59">
        <v>2.945</v>
      </c>
      <c r="F677" s="141">
        <v>680.0</v>
      </c>
      <c r="G677" s="142">
        <v>440.0</v>
      </c>
      <c r="H677" s="143">
        <v>1295.8</v>
      </c>
      <c r="I677" s="141">
        <v>2002.6</v>
      </c>
      <c r="J677" s="27" t="s">
        <v>11</v>
      </c>
    </row>
    <row r="678" hidden="1">
      <c r="A678" s="78">
        <v>45867.0</v>
      </c>
      <c r="B678" s="91"/>
      <c r="C678" s="50">
        <v>229.0</v>
      </c>
      <c r="D678" s="81" t="str">
        <f>IF(Tabla_3[COD]="","",VLOOKUP(Tabla_3[COD],'Stock inicial'!A:D,2,FALSE))</f>
        <v>EXCELLENT GATO ADULTO</v>
      </c>
      <c r="E678" s="58">
        <v>1.0</v>
      </c>
      <c r="F678" s="141">
        <v>7500.0</v>
      </c>
      <c r="G678" s="142">
        <v>5239.88</v>
      </c>
      <c r="H678" s="143">
        <v>5239.88</v>
      </c>
      <c r="I678" s="141">
        <v>7500.0</v>
      </c>
      <c r="J678" s="27" t="s">
        <v>11</v>
      </c>
    </row>
    <row r="679" hidden="1">
      <c r="A679" s="74">
        <v>45867.0</v>
      </c>
      <c r="B679" s="92"/>
      <c r="C679" s="51">
        <v>2991.0</v>
      </c>
      <c r="D679" s="87" t="str">
        <f>IF(Tabla_3[COD]="","",VLOOKUP(Tabla_3[COD],'Stock inicial'!A:D,2,FALSE))</f>
        <v>REPASADOR CUADRADITOS </v>
      </c>
      <c r="E679" s="59">
        <v>1.0</v>
      </c>
      <c r="F679" s="141">
        <v>3000.0</v>
      </c>
      <c r="G679" s="142">
        <v>2100.0</v>
      </c>
      <c r="H679" s="143">
        <v>2100.0</v>
      </c>
      <c r="I679" s="141">
        <v>3000.0</v>
      </c>
      <c r="J679" s="27" t="s">
        <v>11</v>
      </c>
    </row>
    <row r="680" hidden="1">
      <c r="A680" s="78">
        <v>45868.0</v>
      </c>
      <c r="B680" s="82" t="s">
        <v>330</v>
      </c>
      <c r="C680" s="40">
        <v>214.0</v>
      </c>
      <c r="D680" s="84" t="str">
        <f>IF(Tabla_3[COD]="","",VLOOKUP(Tabla_3[COD],'Stock inicial'!A:D,2,FALSE))</f>
        <v>DOGPRO ADULTO SUPER PREMIUM XKG</v>
      </c>
      <c r="E680" s="58">
        <v>1.0</v>
      </c>
      <c r="F680" s="141">
        <v>3700.0</v>
      </c>
      <c r="G680" s="142">
        <v>2324.4</v>
      </c>
      <c r="H680" s="143">
        <v>2324.4</v>
      </c>
      <c r="I680" s="141">
        <v>3700.0</v>
      </c>
      <c r="J680" s="27" t="s">
        <v>3</v>
      </c>
    </row>
    <row r="681" hidden="1">
      <c r="A681" s="74">
        <v>45868.0</v>
      </c>
      <c r="B681" s="75" t="s">
        <v>331</v>
      </c>
      <c r="C681" s="155">
        <v>217.0</v>
      </c>
      <c r="D681" s="77" t="str">
        <f>IF(Tabla_3[COD]="","",VLOOKUP(Tabla_3[COD],'Stock inicial'!A:D,2,FALSE))</f>
        <v>VORAZ GATO ADULTO X2OK</v>
      </c>
      <c r="E681" s="59">
        <v>0.5</v>
      </c>
      <c r="F681" s="141">
        <v>2100.0</v>
      </c>
      <c r="G681" s="142">
        <v>1482.0</v>
      </c>
      <c r="H681" s="143">
        <v>741.0</v>
      </c>
      <c r="I681" s="141">
        <v>1050.0</v>
      </c>
      <c r="J681" s="27" t="s">
        <v>3</v>
      </c>
    </row>
    <row r="682" hidden="1">
      <c r="A682" s="78">
        <v>45868.0</v>
      </c>
      <c r="B682" s="82" t="s">
        <v>332</v>
      </c>
      <c r="C682" s="40">
        <v>234.0</v>
      </c>
      <c r="D682" s="84" t="str">
        <f>IF(Tabla_3[COD]="","",VLOOKUP(Tabla_3[COD],'Stock inicial'!A:D,2,FALSE))</f>
        <v>CAT CHOW ADULTO CARNE POLLO</v>
      </c>
      <c r="E682" s="58">
        <v>0.44</v>
      </c>
      <c r="F682" s="141">
        <v>4700.0</v>
      </c>
      <c r="G682" s="142">
        <v>3586.66</v>
      </c>
      <c r="H682" s="143">
        <v>1578.1304</v>
      </c>
      <c r="I682" s="141">
        <v>2068.0</v>
      </c>
      <c r="J682" s="27" t="s">
        <v>3</v>
      </c>
    </row>
    <row r="683" hidden="1">
      <c r="A683" s="74">
        <v>45868.0</v>
      </c>
      <c r="B683" s="75" t="s">
        <v>333</v>
      </c>
      <c r="C683" s="96">
        <v>152.0</v>
      </c>
      <c r="D683" s="77" t="str">
        <f>IF(Tabla_3[COD]="","",VLOOKUP(Tabla_3[COD],'Stock inicial'!A:D,2,FALSE))</f>
        <v>OREJAS BOVINAS</v>
      </c>
      <c r="E683" s="59">
        <v>2.0</v>
      </c>
      <c r="F683" s="141">
        <v>800.0</v>
      </c>
      <c r="G683" s="142">
        <v>330.0</v>
      </c>
      <c r="H683" s="143">
        <v>660.0</v>
      </c>
      <c r="I683" s="141">
        <v>1600.0</v>
      </c>
      <c r="J683" s="27" t="s">
        <v>3</v>
      </c>
    </row>
    <row r="684" hidden="1">
      <c r="A684" s="78">
        <v>45868.0</v>
      </c>
      <c r="B684" s="82" t="s">
        <v>334</v>
      </c>
      <c r="C684" s="97">
        <v>249.0</v>
      </c>
      <c r="D684" s="84" t="str">
        <f>IF(Tabla_3[COD]="","",VLOOKUP(Tabla_3[COD],'Stock inicial'!A:D,2,FALSE))</f>
        <v>ARIEL. EXT. PERF. (VERDE CON SUAVIZANTE) 1L</v>
      </c>
      <c r="E684" s="58">
        <v>2.0</v>
      </c>
      <c r="F684" s="141">
        <v>1500.0</v>
      </c>
      <c r="G684" s="142">
        <v>781.0</v>
      </c>
      <c r="H684" s="143">
        <v>1562.0</v>
      </c>
      <c r="I684" s="141">
        <v>3000.0</v>
      </c>
      <c r="J684" s="27" t="s">
        <v>3</v>
      </c>
    </row>
    <row r="685" hidden="1">
      <c r="A685" s="74">
        <v>45868.0</v>
      </c>
      <c r="B685" s="75" t="s">
        <v>335</v>
      </c>
      <c r="C685" s="96">
        <v>212.0</v>
      </c>
      <c r="D685" s="77" t="str">
        <f>IF(Tabla_3[COD]="","",VLOOKUP(Tabla_3[COD],'Stock inicial'!A:D,2,FALSE))</f>
        <v>DOGPRO ADULTO MORDIDA PEQUEñA XKG</v>
      </c>
      <c r="E685" s="59">
        <v>1.5</v>
      </c>
      <c r="F685" s="141">
        <v>3700.0</v>
      </c>
      <c r="G685" s="142">
        <v>2778.13</v>
      </c>
      <c r="H685" s="143">
        <v>4167.195</v>
      </c>
      <c r="I685" s="141">
        <v>5550.0</v>
      </c>
      <c r="J685" s="27" t="s">
        <v>3</v>
      </c>
    </row>
    <row r="686" hidden="1">
      <c r="A686" s="78">
        <v>45868.0</v>
      </c>
      <c r="B686" s="91"/>
      <c r="C686" s="99">
        <v>230.0</v>
      </c>
      <c r="D686" s="81" t="str">
        <f>IF(Tabla_3[COD]="","",VLOOKUP(Tabla_3[COD],'Stock inicial'!A:D,2,FALSE))</f>
        <v>EXCELLENT PERRO ADULTO BONUS 20K +2</v>
      </c>
      <c r="E686" s="58">
        <v>1.5</v>
      </c>
      <c r="F686" s="141">
        <v>3900.0</v>
      </c>
      <c r="G686" s="142">
        <v>2690.89</v>
      </c>
      <c r="H686" s="143">
        <v>4036.335</v>
      </c>
      <c r="I686" s="141">
        <v>5850.0</v>
      </c>
      <c r="J686" s="27" t="s">
        <v>3</v>
      </c>
    </row>
    <row r="687" hidden="1">
      <c r="A687" s="74">
        <v>45868.0</v>
      </c>
      <c r="B687" s="168"/>
      <c r="C687" s="169">
        <v>283.0</v>
      </c>
      <c r="D687" s="170" t="str">
        <f>IF(Tabla_3[COD]="","",VLOOKUP(Tabla_3[COD],'Stock inicial'!A:D,2,FALSE))</f>
        <v>TICKET ROPA 1L</v>
      </c>
      <c r="E687" s="59">
        <v>1.0</v>
      </c>
      <c r="F687" s="141">
        <v>2000.0</v>
      </c>
      <c r="G687" s="142">
        <v>715.0</v>
      </c>
      <c r="H687" s="143">
        <v>715.0</v>
      </c>
      <c r="I687" s="141">
        <v>2000.0</v>
      </c>
      <c r="J687" s="27" t="s">
        <v>3</v>
      </c>
    </row>
    <row r="688" hidden="1">
      <c r="A688" s="28">
        <v>45868.0</v>
      </c>
      <c r="B688" s="188"/>
      <c r="C688" s="187">
        <v>285.0</v>
      </c>
      <c r="D688" s="45" t="str">
        <f>IF(Tabla_3[COD]="","",VLOOKUP(Tabla_3[COD],'Stock inicial'!A:D,2,FALSE))</f>
        <v>JABON LIQUIDO  P/MANOS COCO 1/2L</v>
      </c>
      <c r="E688" s="27">
        <v>1.0</v>
      </c>
      <c r="F688" s="141">
        <v>0.0</v>
      </c>
      <c r="G688" s="142">
        <v>210.0</v>
      </c>
      <c r="H688" s="143">
        <v>210.0</v>
      </c>
      <c r="I688" s="141">
        <v>0.0</v>
      </c>
      <c r="J688" s="27" t="s">
        <v>29</v>
      </c>
    </row>
    <row r="689" hidden="1">
      <c r="A689" s="74">
        <v>45868.0</v>
      </c>
      <c r="B689" s="75" t="s">
        <v>336</v>
      </c>
      <c r="C689" s="155">
        <v>162.0</v>
      </c>
      <c r="D689" s="77" t="str">
        <f>IF(Tabla_3[COD]="","",VLOOKUP(Tabla_3[COD],'Stock inicial'!A:D,2,FALSE))</f>
        <v>PIEDRA SANITARIA THEBEST X20KG</v>
      </c>
      <c r="E689" s="59">
        <v>3.0</v>
      </c>
      <c r="F689" s="141">
        <v>680.0</v>
      </c>
      <c r="G689" s="142">
        <v>440.0</v>
      </c>
      <c r="H689" s="143">
        <v>1320.0</v>
      </c>
      <c r="I689" s="141">
        <v>2040.0</v>
      </c>
      <c r="J689" s="27" t="s">
        <v>3</v>
      </c>
    </row>
    <row r="690" hidden="1">
      <c r="A690" s="78">
        <v>45868.0</v>
      </c>
      <c r="B690" s="91"/>
      <c r="C690" s="50">
        <v>215.0</v>
      </c>
      <c r="D690" s="81" t="str">
        <f>IF(Tabla_3[COD]="","",VLOOKUP(Tabla_3[COD],'Stock inicial'!A:D,2,FALSE))</f>
        <v>4 HUELLAS GATO ADULTO</v>
      </c>
      <c r="E690" s="58">
        <v>0.7</v>
      </c>
      <c r="F690" s="141">
        <v>3600.0</v>
      </c>
      <c r="G690" s="142">
        <v>2118.6</v>
      </c>
      <c r="H690" s="143">
        <v>1483.0199999999998</v>
      </c>
      <c r="I690" s="141">
        <v>2520.0</v>
      </c>
      <c r="J690" s="27" t="s">
        <v>3</v>
      </c>
    </row>
    <row r="691" hidden="1">
      <c r="A691" s="74">
        <v>45868.0</v>
      </c>
      <c r="B691" s="92"/>
      <c r="C691" s="51">
        <v>217.0</v>
      </c>
      <c r="D691" s="87" t="str">
        <f>IF(Tabla_3[COD]="","",VLOOKUP(Tabla_3[COD],'Stock inicial'!A:D,2,FALSE))</f>
        <v>VORAZ GATO ADULTO X2OK</v>
      </c>
      <c r="E691" s="59">
        <v>1.2</v>
      </c>
      <c r="F691" s="141">
        <v>2100.0</v>
      </c>
      <c r="G691" s="142">
        <v>1482.0</v>
      </c>
      <c r="H691" s="143">
        <v>1778.3999999999999</v>
      </c>
      <c r="I691" s="141">
        <v>2520.0</v>
      </c>
      <c r="J691" s="27" t="s">
        <v>3</v>
      </c>
    </row>
    <row r="692" hidden="1">
      <c r="A692" s="78">
        <v>45868.0</v>
      </c>
      <c r="B692" s="82" t="s">
        <v>337</v>
      </c>
      <c r="C692" s="40">
        <v>287.0</v>
      </c>
      <c r="D692" s="84" t="str">
        <f>IF(Tabla_3[COD]="","",VLOOKUP(Tabla_3[COD],'Stock inicial'!A:D,2,FALSE))</f>
        <v>SHAMPOO DOVE 1/2L</v>
      </c>
      <c r="E692" s="58">
        <v>1.0</v>
      </c>
      <c r="F692" s="141">
        <v>1499.0</v>
      </c>
      <c r="G692" s="142">
        <v>470.0</v>
      </c>
      <c r="H692" s="143">
        <v>470.0</v>
      </c>
      <c r="I692" s="141">
        <v>1499.0</v>
      </c>
      <c r="J692" s="27" t="s">
        <v>3</v>
      </c>
    </row>
    <row r="693" hidden="1">
      <c r="A693" s="74">
        <v>45868.0</v>
      </c>
      <c r="B693" s="92"/>
      <c r="C693" s="51">
        <v>305.0</v>
      </c>
      <c r="D693" s="87" t="str">
        <f>IF(Tabla_3[COD]="","",VLOOKUP(Tabla_3[COD],'Stock inicial'!A:D,2,FALSE))</f>
        <v>PALA DE RESIDUO CON CABO</v>
      </c>
      <c r="E693" s="59">
        <v>1.0</v>
      </c>
      <c r="F693" s="141">
        <v>2300.0</v>
      </c>
      <c r="G693" s="142">
        <v>1170.0</v>
      </c>
      <c r="H693" s="143">
        <v>1170.0</v>
      </c>
      <c r="I693" s="141">
        <v>2300.0</v>
      </c>
      <c r="J693" s="27" t="s">
        <v>3</v>
      </c>
    </row>
    <row r="694" hidden="1">
      <c r="A694" s="78">
        <v>45869.0</v>
      </c>
      <c r="B694" s="82" t="s">
        <v>338</v>
      </c>
      <c r="C694" s="97">
        <v>264.0</v>
      </c>
      <c r="D694" s="84" t="str">
        <f>IF(Tabla_3[COD]="","",VLOOKUP(Tabla_3[COD],'Stock inicial'!A:D,2,FALSE))</f>
        <v>BICARBONATO x100g</v>
      </c>
      <c r="E694" s="58">
        <v>1.0</v>
      </c>
      <c r="F694" s="141">
        <v>500.0</v>
      </c>
      <c r="G694" s="142">
        <v>235.69</v>
      </c>
      <c r="H694" s="143">
        <v>235.69</v>
      </c>
      <c r="I694" s="141">
        <v>500.0</v>
      </c>
      <c r="J694" s="27" t="s">
        <v>3</v>
      </c>
    </row>
    <row r="695" hidden="1">
      <c r="A695" s="74">
        <v>45869.0</v>
      </c>
      <c r="B695" s="92"/>
      <c r="C695" s="98">
        <v>230.0</v>
      </c>
      <c r="D695" s="87" t="str">
        <f>IF(Tabla_3[COD]="","",VLOOKUP(Tabla_3[COD],'Stock inicial'!A:D,2,FALSE))</f>
        <v>EXCELLENT PERRO ADULTO BONUS 20K +2</v>
      </c>
      <c r="E695" s="59">
        <v>1.03</v>
      </c>
      <c r="F695" s="141">
        <v>3900.0</v>
      </c>
      <c r="G695" s="142">
        <v>2690.89</v>
      </c>
      <c r="H695" s="143">
        <v>2771.6167</v>
      </c>
      <c r="I695" s="141">
        <v>4017.0</v>
      </c>
      <c r="J695" s="27" t="s">
        <v>3</v>
      </c>
    </row>
    <row r="696" hidden="1">
      <c r="A696" s="78">
        <v>45869.0</v>
      </c>
      <c r="B696" s="82" t="s">
        <v>339</v>
      </c>
      <c r="C696" s="97">
        <v>202.0</v>
      </c>
      <c r="D696" s="84" t="str">
        <f>IF(Tabla_3[COD]="","",VLOOKUP(Tabla_3[COD],'Stock inicial'!A:D,2,FALSE))</f>
        <v>LEVAMISOL ORAL GOTAS X 15CC</v>
      </c>
      <c r="E696" s="58">
        <v>1.0</v>
      </c>
      <c r="F696" s="141">
        <v>3400.0</v>
      </c>
      <c r="G696" s="142">
        <v>2208.0</v>
      </c>
      <c r="H696" s="143">
        <v>2208.0</v>
      </c>
      <c r="I696" s="141">
        <v>3400.0</v>
      </c>
      <c r="J696" s="27" t="s">
        <v>11</v>
      </c>
    </row>
    <row r="697" hidden="1">
      <c r="A697" s="74">
        <v>45869.0</v>
      </c>
      <c r="B697" s="75" t="s">
        <v>340</v>
      </c>
      <c r="C697" s="96">
        <v>2912.0</v>
      </c>
      <c r="D697" s="77" t="str">
        <f>IF(Tabla_3[COD]="","",VLOOKUP(Tabla_3[COD],'Stock inicial'!A:D,2,FALSE))</f>
        <v>CLORO 5L</v>
      </c>
      <c r="E697" s="59">
        <v>1.0</v>
      </c>
      <c r="F697" s="141">
        <v>4200.0</v>
      </c>
      <c r="G697" s="142">
        <v>2650.0</v>
      </c>
      <c r="H697" s="143">
        <v>2650.0</v>
      </c>
      <c r="I697" s="141">
        <v>4200.0</v>
      </c>
      <c r="J697" s="27" t="s">
        <v>3</v>
      </c>
    </row>
    <row r="698" hidden="1">
      <c r="A698" s="78">
        <v>45869.0</v>
      </c>
      <c r="B698" s="82" t="s">
        <v>341</v>
      </c>
      <c r="C698" s="97">
        <v>1522.0</v>
      </c>
      <c r="D698" s="84" t="str">
        <f>IF(Tabla_3[COD]="","",VLOOKUP(Tabla_3[COD],'Stock inicial'!A:D,2,FALSE))</f>
        <v>CEPILLO VAPOR</v>
      </c>
      <c r="E698" s="58">
        <v>1.0</v>
      </c>
      <c r="F698" s="141">
        <v>4200.0</v>
      </c>
      <c r="G698" s="142">
        <v>2800.0</v>
      </c>
      <c r="H698" s="143">
        <v>2800.0</v>
      </c>
      <c r="I698" s="141">
        <v>4200.0</v>
      </c>
      <c r="J698" s="27" t="s">
        <v>3</v>
      </c>
    </row>
    <row r="699" hidden="1">
      <c r="A699" s="74">
        <v>45869.0</v>
      </c>
      <c r="B699" s="75" t="s">
        <v>342</v>
      </c>
      <c r="C699" s="96">
        <v>1522.0</v>
      </c>
      <c r="D699" s="77" t="str">
        <f>IF(Tabla_3[COD]="","",VLOOKUP(Tabla_3[COD],'Stock inicial'!A:D,2,FALSE))</f>
        <v>CEPILLO VAPOR</v>
      </c>
      <c r="E699" s="59">
        <v>1.0</v>
      </c>
      <c r="F699" s="141">
        <v>4200.0</v>
      </c>
      <c r="G699" s="142">
        <v>2800.0</v>
      </c>
      <c r="H699" s="143">
        <v>2800.0</v>
      </c>
      <c r="I699" s="141">
        <v>4200.0</v>
      </c>
      <c r="J699" s="27" t="s">
        <v>3</v>
      </c>
    </row>
    <row r="700" hidden="1">
      <c r="A700" s="78">
        <v>45869.0</v>
      </c>
      <c r="B700" s="91"/>
      <c r="C700" s="95"/>
      <c r="D700" s="81" t="s">
        <v>343</v>
      </c>
      <c r="E700" s="58">
        <v>1.0</v>
      </c>
      <c r="F700" s="141">
        <v>8500.0</v>
      </c>
      <c r="G700" s="141">
        <v>6100.0</v>
      </c>
      <c r="H700" s="141">
        <v>6100.0</v>
      </c>
      <c r="I700" s="141">
        <v>8500.0</v>
      </c>
      <c r="J700" s="27" t="s">
        <v>3</v>
      </c>
    </row>
    <row r="701" hidden="1">
      <c r="A701" s="74">
        <v>45869.0</v>
      </c>
      <c r="B701" s="92"/>
      <c r="C701" s="101"/>
      <c r="D701" s="87" t="s">
        <v>344</v>
      </c>
      <c r="E701" s="59">
        <v>1.0</v>
      </c>
      <c r="F701" s="141">
        <v>27600.0</v>
      </c>
      <c r="G701" s="141">
        <v>23000.0</v>
      </c>
      <c r="H701" s="141">
        <v>23000.0</v>
      </c>
      <c r="I701" s="141">
        <v>27600.0</v>
      </c>
      <c r="J701" s="27" t="s">
        <v>3</v>
      </c>
    </row>
    <row r="702" hidden="1">
      <c r="A702" s="78">
        <v>45869.0</v>
      </c>
      <c r="B702" s="82" t="s">
        <v>345</v>
      </c>
      <c r="C702" s="97">
        <v>230.0</v>
      </c>
      <c r="D702" s="84" t="str">
        <f>IF(Tabla_3[COD]="","",VLOOKUP(Tabla_3[COD],'Stock inicial'!A:D,2,FALSE))</f>
        <v>EXCELLENT PERRO ADULTO BONUS 20K +2</v>
      </c>
      <c r="E702" s="58">
        <v>2.0</v>
      </c>
      <c r="F702" s="141">
        <v>3900.0</v>
      </c>
      <c r="G702" s="142">
        <v>2690.89</v>
      </c>
      <c r="H702" s="143">
        <v>5381.78</v>
      </c>
      <c r="I702" s="141">
        <v>7800.0</v>
      </c>
      <c r="J702" s="27" t="s">
        <v>3</v>
      </c>
    </row>
    <row r="703" hidden="1">
      <c r="A703" s="74">
        <v>45869.0</v>
      </c>
      <c r="B703" s="75" t="s">
        <v>346</v>
      </c>
      <c r="C703" s="96">
        <v>223.0</v>
      </c>
      <c r="D703" s="77" t="str">
        <f>IF(Tabla_3[COD]="","",VLOOKUP(Tabla_3[COD],'Stock inicial'!A:D,2,FALSE))</f>
        <v>VORAZ PERRO ADULTO MIX</v>
      </c>
      <c r="E703" s="59">
        <v>2.0</v>
      </c>
      <c r="F703" s="141">
        <v>1100.0</v>
      </c>
      <c r="G703" s="142">
        <v>819.5</v>
      </c>
      <c r="H703" s="143">
        <v>1639.0</v>
      </c>
      <c r="I703" s="141">
        <v>2200.0</v>
      </c>
      <c r="J703" s="27" t="s">
        <v>3</v>
      </c>
    </row>
    <row r="704" hidden="1">
      <c r="A704" s="78">
        <v>45869.0</v>
      </c>
      <c r="B704" s="91"/>
      <c r="C704" s="99">
        <v>149.0</v>
      </c>
      <c r="D704" s="81" t="str">
        <f>IF(Tabla_3[COD]="","",VLOOKUP(Tabla_3[COD],'Stock inicial'!A:D,2,FALSE))</f>
        <v>PALITOS MASTICABLES IZZY x6</v>
      </c>
      <c r="E704" s="58">
        <v>1.0</v>
      </c>
      <c r="F704" s="141">
        <v>600.0</v>
      </c>
      <c r="G704" s="142">
        <v>238.56</v>
      </c>
      <c r="H704" s="143">
        <v>238.56</v>
      </c>
      <c r="I704" s="141">
        <v>600.0</v>
      </c>
      <c r="J704" s="27" t="s">
        <v>3</v>
      </c>
    </row>
    <row r="705" hidden="1">
      <c r="A705" s="74">
        <v>45869.0</v>
      </c>
      <c r="B705" s="168"/>
      <c r="C705" s="189"/>
      <c r="D705" s="170" t="s">
        <v>152</v>
      </c>
      <c r="E705" s="59">
        <v>1.0</v>
      </c>
      <c r="F705" s="141">
        <v>-300.0</v>
      </c>
      <c r="G705" s="141">
        <v>0.0</v>
      </c>
      <c r="H705" s="141">
        <v>0.0</v>
      </c>
      <c r="I705" s="141">
        <v>-300.0</v>
      </c>
      <c r="J705" s="27" t="s">
        <v>3</v>
      </c>
    </row>
    <row r="706">
      <c r="A706" s="28">
        <v>45870.0</v>
      </c>
      <c r="B706" s="186" t="s">
        <v>347</v>
      </c>
      <c r="C706" s="187">
        <v>248.0</v>
      </c>
      <c r="D706" s="45" t="str">
        <f>IF(Tabla_3[COD]="","",VLOOKUP(Tabla_3[COD],'Stock inicial'!A:D,2,FALSE))</f>
        <v>ARIEL PREMIUM (VERDE) 5L</v>
      </c>
      <c r="E706" s="27">
        <v>1.0</v>
      </c>
      <c r="F706" s="141">
        <v>3199.0</v>
      </c>
      <c r="G706" s="142">
        <v>1615.5</v>
      </c>
      <c r="H706" s="143">
        <v>1615.5</v>
      </c>
      <c r="I706" s="141">
        <v>3199.0</v>
      </c>
      <c r="J706" s="27" t="s">
        <v>3</v>
      </c>
    </row>
    <row r="707">
      <c r="A707" s="74">
        <v>45870.0</v>
      </c>
      <c r="B707" s="75" t="s">
        <v>348</v>
      </c>
      <c r="C707" s="155">
        <v>229.0</v>
      </c>
      <c r="D707" s="77" t="str">
        <f>IF(Tabla_3[COD]="","",VLOOKUP(Tabla_3[COD],'Stock inicial'!A:D,2,FALSE))</f>
        <v>EXCELLENT GATO ADULTO</v>
      </c>
      <c r="E707" s="59">
        <v>1.0</v>
      </c>
      <c r="F707" s="141">
        <v>7500.0</v>
      </c>
      <c r="G707" s="142">
        <v>5239.88</v>
      </c>
      <c r="H707" s="143">
        <v>5239.88</v>
      </c>
      <c r="I707" s="141">
        <v>7500.0</v>
      </c>
      <c r="J707" s="27" t="s">
        <v>11</v>
      </c>
    </row>
    <row r="708">
      <c r="A708" s="78">
        <v>45870.0</v>
      </c>
      <c r="B708" s="91"/>
      <c r="C708" s="50">
        <v>234.0</v>
      </c>
      <c r="D708" s="81" t="str">
        <f>IF(Tabla_3[COD]="","",VLOOKUP(Tabla_3[COD],'Stock inicial'!A:D,2,FALSE))</f>
        <v>CAT CHOW ADULTO CARNE POLLO</v>
      </c>
      <c r="E708" s="58">
        <v>1.0</v>
      </c>
      <c r="F708" s="141">
        <v>4700.0</v>
      </c>
      <c r="G708" s="142">
        <v>3586.66</v>
      </c>
      <c r="H708" s="143">
        <v>3586.66</v>
      </c>
      <c r="I708" s="141">
        <v>4700.0</v>
      </c>
      <c r="J708" s="27" t="s">
        <v>11</v>
      </c>
    </row>
    <row r="709">
      <c r="A709" s="74">
        <v>45870.0</v>
      </c>
      <c r="B709" s="75" t="s">
        <v>349</v>
      </c>
      <c r="C709" s="96">
        <v>234.0</v>
      </c>
      <c r="D709" s="77" t="str">
        <f>IF(Tabla_3[COD]="","",VLOOKUP(Tabla_3[COD],'Stock inicial'!A:D,2,FALSE))</f>
        <v>CAT CHOW ADULTO CARNE POLLO</v>
      </c>
      <c r="E709" s="59">
        <v>1.0</v>
      </c>
      <c r="F709" s="141">
        <v>4700.0</v>
      </c>
      <c r="G709" s="142">
        <v>3586.66</v>
      </c>
      <c r="H709" s="143">
        <v>3586.66</v>
      </c>
      <c r="I709" s="141">
        <v>4700.0</v>
      </c>
      <c r="J709" s="27" t="s">
        <v>3</v>
      </c>
    </row>
    <row r="710">
      <c r="A710" s="78">
        <v>45870.0</v>
      </c>
      <c r="B710" s="91"/>
      <c r="C710" s="99">
        <v>162.0</v>
      </c>
      <c r="D710" s="81" t="str">
        <f>IF(Tabla_3[COD]="","",VLOOKUP(Tabla_3[COD],'Stock inicial'!A:D,2,FALSE))</f>
        <v>PIEDRA SANITARIA THEBEST X20KG</v>
      </c>
      <c r="E710" s="58">
        <v>2.942</v>
      </c>
      <c r="F710" s="141">
        <v>680.0</v>
      </c>
      <c r="G710" s="142">
        <v>440.0</v>
      </c>
      <c r="H710" s="143">
        <v>1294.48</v>
      </c>
      <c r="I710" s="141">
        <v>2000.0</v>
      </c>
      <c r="J710" s="27" t="s">
        <v>3</v>
      </c>
    </row>
    <row r="711">
      <c r="A711" s="74">
        <v>45870.0</v>
      </c>
      <c r="B711" s="92"/>
      <c r="C711" s="98">
        <v>153.0</v>
      </c>
      <c r="D711" s="87" t="str">
        <f>IF(Tabla_3[COD]="","",VLOOKUP(Tabla_3[COD],'Stock inicial'!A:D,2,FALSE))</f>
        <v>BANDEJA SANITARIA CHICA</v>
      </c>
      <c r="E711" s="59">
        <v>1.0</v>
      </c>
      <c r="F711" s="141">
        <v>3200.0</v>
      </c>
      <c r="G711" s="142">
        <v>1564.0</v>
      </c>
      <c r="H711" s="143">
        <v>1564.0</v>
      </c>
      <c r="I711" s="141">
        <v>3200.0</v>
      </c>
      <c r="J711" s="27" t="s">
        <v>3</v>
      </c>
    </row>
    <row r="712">
      <c r="A712" s="78">
        <v>45870.0</v>
      </c>
      <c r="B712" s="82" t="s">
        <v>350</v>
      </c>
      <c r="C712" s="97">
        <v>149.0</v>
      </c>
      <c r="D712" s="84" t="str">
        <f>IF(Tabla_3[COD]="","",VLOOKUP(Tabla_3[COD],'Stock inicial'!A:D,2,FALSE))</f>
        <v>PALITOS MASTICABLES IZZY x6</v>
      </c>
      <c r="E712" s="58">
        <v>4.0</v>
      </c>
      <c r="F712" s="141">
        <v>600.0</v>
      </c>
      <c r="G712" s="142">
        <v>238.56</v>
      </c>
      <c r="H712" s="143">
        <v>954.24</v>
      </c>
      <c r="I712" s="141">
        <v>2400.0</v>
      </c>
      <c r="J712" s="27" t="s">
        <v>3</v>
      </c>
    </row>
    <row r="713">
      <c r="A713" s="74">
        <v>45870.0</v>
      </c>
      <c r="B713" s="92"/>
      <c r="C713" s="98">
        <v>238.0</v>
      </c>
      <c r="D713" s="87" t="str">
        <f>IF(Tabla_3[COD]="","",VLOOKUP(Tabla_3[COD],'Stock inicial'!A:D,2,FALSE))</f>
        <v>PEDIGREE DENTASTIX RAZA MED X3</v>
      </c>
      <c r="E713" s="59">
        <v>1.0</v>
      </c>
      <c r="F713" s="141">
        <v>2500.0</v>
      </c>
      <c r="G713" s="142">
        <v>1610.0</v>
      </c>
      <c r="H713" s="143">
        <v>1610.0</v>
      </c>
      <c r="I713" s="141">
        <v>2500.0</v>
      </c>
      <c r="J713" s="27" t="s">
        <v>3</v>
      </c>
    </row>
    <row r="714">
      <c r="A714" s="78">
        <v>45870.0</v>
      </c>
      <c r="B714" s="82" t="s">
        <v>351</v>
      </c>
      <c r="C714" s="40">
        <v>236.0</v>
      </c>
      <c r="D714" s="84" t="str">
        <f>IF(Tabla_3[COD]="","",VLOOKUP(Tabla_3[COD],'Stock inicial'!A:D,2,FALSE))</f>
        <v>CATCHOW POUCH GATITO POLLO</v>
      </c>
      <c r="E714" s="58">
        <v>1.0</v>
      </c>
      <c r="F714" s="141">
        <v>1500.0</v>
      </c>
      <c r="G714" s="142">
        <v>876.04</v>
      </c>
      <c r="H714" s="143">
        <v>876.04</v>
      </c>
      <c r="I714" s="141">
        <v>1500.0</v>
      </c>
      <c r="J714" s="27" t="s">
        <v>11</v>
      </c>
    </row>
    <row r="715">
      <c r="A715" s="74">
        <v>45870.0</v>
      </c>
      <c r="B715" s="92"/>
      <c r="C715" s="51">
        <v>303.0</v>
      </c>
      <c r="D715" s="87" t="str">
        <f>IF(Tabla_3[COD]="","",VLOOKUP(Tabla_3[COD],'Stock inicial'!A:D,2,FALSE))</f>
        <v>JABON EN PAN SIGNO 200G</v>
      </c>
      <c r="E715" s="59">
        <v>1.0</v>
      </c>
      <c r="F715" s="141">
        <v>999.0</v>
      </c>
      <c r="G715" s="142">
        <v>465.0</v>
      </c>
      <c r="H715" s="143">
        <v>465.0</v>
      </c>
      <c r="I715" s="141">
        <v>999.0</v>
      </c>
      <c r="J715" s="27" t="s">
        <v>11</v>
      </c>
    </row>
    <row r="716">
      <c r="A716" s="78">
        <v>45870.0</v>
      </c>
      <c r="B716" s="91"/>
      <c r="C716" s="50">
        <v>341.0</v>
      </c>
      <c r="D716" s="81" t="str">
        <f>IF(Tabla_3[COD]="","",VLOOKUP(Tabla_3[COD],'Stock inicial'!A:D,2,FALSE))</f>
        <v>BOLSA C 60X90</v>
      </c>
      <c r="E716" s="58">
        <v>1.0</v>
      </c>
      <c r="F716" s="141">
        <v>799.0</v>
      </c>
      <c r="G716" s="142">
        <v>497.0</v>
      </c>
      <c r="H716" s="143">
        <v>497.0</v>
      </c>
      <c r="I716" s="141">
        <v>799.0</v>
      </c>
      <c r="J716" s="27" t="s">
        <v>11</v>
      </c>
    </row>
    <row r="717">
      <c r="A717" s="74">
        <v>45870.0</v>
      </c>
      <c r="B717" s="92"/>
      <c r="C717" s="98">
        <v>162.0</v>
      </c>
      <c r="D717" s="87" t="str">
        <f>IF(Tabla_3[COD]="","",VLOOKUP(Tabla_3[COD],'Stock inicial'!A:D,2,FALSE))</f>
        <v>PIEDRA SANITARIA THEBEST X20KG</v>
      </c>
      <c r="E717" s="59">
        <v>6.0</v>
      </c>
      <c r="F717" s="141">
        <v>680.0</v>
      </c>
      <c r="G717" s="142">
        <v>440.0</v>
      </c>
      <c r="H717" s="143">
        <v>2640.0</v>
      </c>
      <c r="I717" s="141">
        <v>4080.0</v>
      </c>
      <c r="J717" s="27" t="s">
        <v>11</v>
      </c>
    </row>
    <row r="718">
      <c r="A718" s="78">
        <v>45870.0</v>
      </c>
      <c r="B718" s="91"/>
      <c r="C718" s="99">
        <v>380.0</v>
      </c>
      <c r="D718" s="81" t="str">
        <f>IF(Tabla_3[COD]="","",VLOOKUP(Tabla_3[COD],'Stock inicial'!A:D,2,FALSE))</f>
        <v>TIBETANOS</v>
      </c>
      <c r="E718" s="58">
        <v>1.0</v>
      </c>
      <c r="F718" s="141">
        <v>3500.0</v>
      </c>
      <c r="G718" s="142">
        <v>2000.0</v>
      </c>
      <c r="H718" s="143">
        <v>2000.0</v>
      </c>
      <c r="I718" s="141">
        <v>3500.0</v>
      </c>
      <c r="J718" s="27" t="s">
        <v>11</v>
      </c>
    </row>
    <row r="719">
      <c r="A719" s="74">
        <v>45870.0</v>
      </c>
      <c r="B719" s="92"/>
      <c r="C719" s="98">
        <v>371.0</v>
      </c>
      <c r="D719" s="87" t="str">
        <f>IF(Tabla_3[COD]="","",VLOOKUP(Tabla_3[COD],'Stock inicial'!A:D,2,FALSE))</f>
        <v>ESFERAS MAGICAS ORG.</v>
      </c>
      <c r="E719" s="59">
        <v>1.0</v>
      </c>
      <c r="F719" s="141">
        <v>1300.0</v>
      </c>
      <c r="G719" s="142">
        <v>650.0</v>
      </c>
      <c r="H719" s="143">
        <v>650.0</v>
      </c>
      <c r="I719" s="141">
        <v>1300.0</v>
      </c>
      <c r="J719" s="27" t="s">
        <v>11</v>
      </c>
    </row>
    <row r="720">
      <c r="A720" s="78">
        <v>45870.0</v>
      </c>
      <c r="B720" s="91"/>
      <c r="C720" s="99">
        <v>373.0</v>
      </c>
      <c r="D720" s="81" t="str">
        <f>IF(Tabla_3[COD]="","",VLOOKUP(Tabla_3[COD],'Stock inicial'!A:D,2,FALSE))</f>
        <v>VELAS P/HORNITO</v>
      </c>
      <c r="E720" s="58">
        <v>1.0</v>
      </c>
      <c r="F720" s="141">
        <v>3600.0</v>
      </c>
      <c r="G720" s="142">
        <v>1800.0</v>
      </c>
      <c r="H720" s="143">
        <v>1800.0</v>
      </c>
      <c r="I720" s="141">
        <v>3600.0</v>
      </c>
      <c r="J720" s="27" t="s">
        <v>11</v>
      </c>
    </row>
    <row r="721">
      <c r="A721" s="74">
        <v>45870.0</v>
      </c>
      <c r="B721" s="92"/>
      <c r="C721" s="98">
        <v>372.0</v>
      </c>
      <c r="D721" s="87" t="str">
        <f>IF(Tabla_3[COD]="","",VLOOKUP(Tabla_3[COD],'Stock inicial'!A:D,2,FALSE))</f>
        <v>HORNITO</v>
      </c>
      <c r="E721" s="59">
        <v>1.0</v>
      </c>
      <c r="F721" s="141">
        <v>4500.0</v>
      </c>
      <c r="G721" s="142">
        <v>3000.0</v>
      </c>
      <c r="H721" s="143">
        <v>3000.0</v>
      </c>
      <c r="I721" s="141">
        <v>4500.0</v>
      </c>
      <c r="J721" s="27" t="s">
        <v>11</v>
      </c>
    </row>
    <row r="722">
      <c r="A722" s="78">
        <v>45870.0</v>
      </c>
      <c r="B722" s="91"/>
      <c r="C722" s="99">
        <v>374.0</v>
      </c>
      <c r="D722" s="81" t="str">
        <f>IF(Tabla_3[COD]="","",VLOOKUP(Tabla_3[COD],'Stock inicial'!A:D,2,FALSE))</f>
        <v>SAHUMADOR</v>
      </c>
      <c r="E722" s="58">
        <v>1.0</v>
      </c>
      <c r="F722" s="141">
        <v>2000.0</v>
      </c>
      <c r="G722" s="142">
        <v>1300.0</v>
      </c>
      <c r="H722" s="143">
        <v>1300.0</v>
      </c>
      <c r="I722" s="141">
        <v>2000.0</v>
      </c>
      <c r="J722" s="27" t="s">
        <v>11</v>
      </c>
    </row>
    <row r="723">
      <c r="A723" s="74">
        <v>45870.0</v>
      </c>
      <c r="B723" s="92"/>
      <c r="C723" s="98">
        <v>384.0</v>
      </c>
      <c r="D723" s="87" t="str">
        <f>IF(Tabla_3[COD]="","",VLOOKUP(Tabla_3[COD],'Stock inicial'!A:D,2,FALSE))</f>
        <v>ARMONIA DE HOGAR LIQUIDO</v>
      </c>
      <c r="E723" s="59">
        <v>1.0</v>
      </c>
      <c r="F723" s="141">
        <v>1500.0</v>
      </c>
      <c r="G723" s="142">
        <v>800.0</v>
      </c>
      <c r="H723" s="143">
        <v>800.0</v>
      </c>
      <c r="I723" s="141">
        <v>1500.0</v>
      </c>
      <c r="J723" s="27" t="s">
        <v>11</v>
      </c>
    </row>
    <row r="724">
      <c r="A724" s="78">
        <v>45870.0</v>
      </c>
      <c r="B724" s="91"/>
      <c r="C724" s="99">
        <v>274.0</v>
      </c>
      <c r="D724" s="81" t="str">
        <f>IF(Tabla_3[COD]="","",VLOOKUP(Tabla_3[COD],'Stock inicial'!A:D,2,FALSE))</f>
        <v>PERFUMINA CHERRY 5L</v>
      </c>
      <c r="E724" s="58">
        <v>1.0</v>
      </c>
      <c r="F724" s="141">
        <v>1499.0</v>
      </c>
      <c r="G724" s="142">
        <v>532.25</v>
      </c>
      <c r="H724" s="143">
        <v>532.25</v>
      </c>
      <c r="I724" s="141">
        <v>1499.0</v>
      </c>
      <c r="J724" s="27" t="s">
        <v>11</v>
      </c>
    </row>
    <row r="725">
      <c r="A725" s="74">
        <v>45870.0</v>
      </c>
      <c r="B725" s="92"/>
      <c r="C725" s="98">
        <v>228.0</v>
      </c>
      <c r="D725" s="87" t="str">
        <f>IF(Tabla_3[COD]="","",VLOOKUP(Tabla_3[COD],'Stock inicial'!A:D,2,FALSE))</f>
        <v>CATPRO KITTEN</v>
      </c>
      <c r="E725" s="59">
        <v>2.0</v>
      </c>
      <c r="F725" s="141">
        <v>5900.0</v>
      </c>
      <c r="G725" s="142">
        <v>4091.23</v>
      </c>
      <c r="H725" s="143">
        <v>8182.46</v>
      </c>
      <c r="I725" s="141">
        <v>11800.0</v>
      </c>
      <c r="J725" s="27" t="s">
        <v>11</v>
      </c>
    </row>
    <row r="726">
      <c r="A726" s="78">
        <v>45870.0</v>
      </c>
      <c r="B726" s="145"/>
      <c r="C726" s="126">
        <v>157.0</v>
      </c>
      <c r="D726" s="127" t="str">
        <f>IF(Tabla_3[COD]="","",VLOOKUP(Tabla_3[COD],'Stock inicial'!A:D,2,FALSE))</f>
        <v>PELLET SANITARIO X 15KG</v>
      </c>
      <c r="E726" s="58">
        <v>2.23</v>
      </c>
      <c r="F726" s="141">
        <v>900.0</v>
      </c>
      <c r="G726" s="142">
        <v>528.59</v>
      </c>
      <c r="H726" s="143">
        <v>1178.7557000000002</v>
      </c>
      <c r="I726" s="141">
        <v>2007.0</v>
      </c>
      <c r="J726" s="27" t="s">
        <v>11</v>
      </c>
    </row>
    <row r="727">
      <c r="A727" s="28">
        <v>45871.0</v>
      </c>
      <c r="B727" s="166" t="s">
        <v>352</v>
      </c>
      <c r="C727" s="167">
        <v>162.0</v>
      </c>
      <c r="D727" s="47" t="str">
        <f>IF(Tabla_3[COD]="","",VLOOKUP(Tabla_3[COD],'Stock inicial'!A:D,2,FALSE))</f>
        <v>PIEDRA SANITARIA THEBEST X20KG</v>
      </c>
      <c r="E727" s="27">
        <v>4.0</v>
      </c>
      <c r="F727" s="141">
        <v>680.0</v>
      </c>
      <c r="G727" s="142">
        <v>440.0</v>
      </c>
      <c r="H727" s="143">
        <v>1760.0</v>
      </c>
      <c r="I727" s="141">
        <v>2720.0</v>
      </c>
      <c r="J727" s="27" t="s">
        <v>11</v>
      </c>
    </row>
    <row r="728">
      <c r="A728" s="78">
        <v>45871.0</v>
      </c>
      <c r="B728" s="82" t="s">
        <v>353</v>
      </c>
      <c r="C728" s="97">
        <v>223.0</v>
      </c>
      <c r="D728" s="84" t="str">
        <f>IF(Tabla_3[COD]="","",VLOOKUP(Tabla_3[COD],'Stock inicial'!A:D,2,FALSE))</f>
        <v>VORAZ PERRO ADULTO MIX</v>
      </c>
      <c r="E728" s="58">
        <v>2.0</v>
      </c>
      <c r="F728" s="141">
        <v>1100.0</v>
      </c>
      <c r="G728" s="142">
        <v>819.5</v>
      </c>
      <c r="H728" s="143">
        <v>1639.0</v>
      </c>
      <c r="I728" s="141">
        <v>2200.0</v>
      </c>
      <c r="J728" s="27" t="s">
        <v>3</v>
      </c>
    </row>
    <row r="729">
      <c r="A729" s="74">
        <v>45871.0</v>
      </c>
      <c r="B729" s="92"/>
      <c r="C729" s="98">
        <v>217.0</v>
      </c>
      <c r="D729" s="87" t="str">
        <f>IF(Tabla_3[COD]="","",VLOOKUP(Tabla_3[COD],'Stock inicial'!A:D,2,FALSE))</f>
        <v>VORAZ GATO ADULTO X2OK</v>
      </c>
      <c r="E729" s="59">
        <v>2.0</v>
      </c>
      <c r="F729" s="141">
        <v>2100.0</v>
      </c>
      <c r="G729" s="142">
        <v>1482.0</v>
      </c>
      <c r="H729" s="143">
        <v>2964.0</v>
      </c>
      <c r="I729" s="141">
        <v>4200.0</v>
      </c>
      <c r="J729" s="27" t="s">
        <v>11</v>
      </c>
    </row>
    <row r="730">
      <c r="A730" s="78">
        <v>45871.0</v>
      </c>
      <c r="B730" s="91"/>
      <c r="C730" s="99">
        <v>240.0</v>
      </c>
      <c r="D730" s="81" t="str">
        <f>IF(Tabla_3[COD]="","",VLOOKUP(Tabla_3[COD],'Stock inicial'!A:D,2,FALSE))</f>
        <v>PEDIGREE POUCH AD. CARNE</v>
      </c>
      <c r="E730" s="58">
        <v>1.0</v>
      </c>
      <c r="F730" s="141">
        <v>1100.0</v>
      </c>
      <c r="G730" s="142">
        <v>787.5</v>
      </c>
      <c r="H730" s="143">
        <v>787.5</v>
      </c>
      <c r="I730" s="141">
        <v>1100.0</v>
      </c>
      <c r="J730" s="27" t="s">
        <v>3</v>
      </c>
    </row>
    <row r="731">
      <c r="A731" s="74">
        <v>45871.0</v>
      </c>
      <c r="B731" s="92"/>
      <c r="C731" s="98">
        <v>235.0</v>
      </c>
      <c r="D731" s="87" t="str">
        <f>IF(Tabla_3[COD]="","",VLOOKUP(Tabla_3[COD],'Stock inicial'!A:D,2,FALSE))</f>
        <v>CATCHOW POUCH ADULTO POLLO</v>
      </c>
      <c r="E731" s="59">
        <v>1.0</v>
      </c>
      <c r="F731" s="141">
        <v>1500.0</v>
      </c>
      <c r="G731" s="142">
        <v>876.04</v>
      </c>
      <c r="H731" s="143">
        <v>876.04</v>
      </c>
      <c r="I731" s="141">
        <v>1500.0</v>
      </c>
      <c r="J731" s="27" t="s">
        <v>11</v>
      </c>
    </row>
    <row r="732">
      <c r="A732" s="78">
        <v>45871.0</v>
      </c>
      <c r="B732" s="82" t="s">
        <v>354</v>
      </c>
      <c r="C732" s="97">
        <v>363.0</v>
      </c>
      <c r="D732" s="84" t="str">
        <f>IF(Tabla_3[COD]="","",VLOOKUP(Tabla_3[COD],'Stock inicial'!A:D,2,FALSE))</f>
        <v>CAMITAS 70x50</v>
      </c>
      <c r="E732" s="58">
        <v>1.0</v>
      </c>
      <c r="F732" s="141">
        <v>13500.0</v>
      </c>
      <c r="G732" s="142">
        <v>9000.0</v>
      </c>
      <c r="H732" s="143">
        <v>9000.0</v>
      </c>
      <c r="I732" s="141">
        <v>13500.0</v>
      </c>
      <c r="J732" s="27" t="s">
        <v>3</v>
      </c>
    </row>
    <row r="733">
      <c r="A733" s="74">
        <v>45871.0</v>
      </c>
      <c r="B733" s="75" t="s">
        <v>355</v>
      </c>
      <c r="C733" s="96">
        <v>385.0</v>
      </c>
      <c r="D733" s="77" t="str">
        <f>IF(Tabla_3[COD]="","",VLOOKUP(Tabla_3[COD],'Stock inicial'!A:D,2,FALSE))</f>
        <v>SAHUMERIOS SUELTOS X6</v>
      </c>
      <c r="E733" s="59">
        <v>1.0</v>
      </c>
      <c r="F733" s="141">
        <v>1000.0</v>
      </c>
      <c r="G733" s="142">
        <v>360.0</v>
      </c>
      <c r="H733" s="143">
        <v>360.0</v>
      </c>
      <c r="I733" s="141">
        <v>1000.0</v>
      </c>
      <c r="J733" s="27" t="s">
        <v>11</v>
      </c>
    </row>
    <row r="734">
      <c r="A734" s="78">
        <v>45871.0</v>
      </c>
      <c r="B734" s="91"/>
      <c r="C734" s="99">
        <v>383.0</v>
      </c>
      <c r="D734" s="190" t="str">
        <f>IF(Tabla_3[COD]="","",VLOOKUP(Tabla_3[COD],'Stock inicial'!A:D,2,FALSE))</f>
        <v>SAHUMERIOS.COM</v>
      </c>
      <c r="E734" s="58">
        <v>1.0</v>
      </c>
      <c r="F734" s="141">
        <v>1200.0</v>
      </c>
      <c r="G734" s="142">
        <v>600.0</v>
      </c>
      <c r="H734" s="143">
        <v>600.0</v>
      </c>
      <c r="I734" s="141">
        <v>1200.0</v>
      </c>
      <c r="J734" s="27" t="s">
        <v>11</v>
      </c>
    </row>
    <row r="735">
      <c r="A735" s="74">
        <v>45871.0</v>
      </c>
      <c r="B735" s="100"/>
      <c r="C735" s="98"/>
      <c r="D735" s="87" t="s">
        <v>356</v>
      </c>
      <c r="E735" s="59">
        <v>1.0</v>
      </c>
      <c r="F735" s="141">
        <v>-100.0</v>
      </c>
      <c r="G735" s="141">
        <v>0.0</v>
      </c>
      <c r="H735" s="141">
        <v>0.0</v>
      </c>
      <c r="I735" s="141">
        <v>-100.0</v>
      </c>
      <c r="J735" s="27" t="s">
        <v>11</v>
      </c>
    </row>
    <row r="736">
      <c r="A736" s="78">
        <v>45871.0</v>
      </c>
      <c r="B736" s="82" t="s">
        <v>357</v>
      </c>
      <c r="C736" s="97">
        <v>375.0</v>
      </c>
      <c r="D736" s="84" t="str">
        <f>IF(Tabla_3[COD]="","",VLOOKUP(Tabla_3[COD],'Stock inicial'!A:D,2,FALSE))</f>
        <v>PORTA SAHUMERIO</v>
      </c>
      <c r="E736" s="58">
        <v>1.0</v>
      </c>
      <c r="F736" s="141">
        <v>2000.0</v>
      </c>
      <c r="G736" s="142">
        <v>1000.0</v>
      </c>
      <c r="H736" s="143">
        <v>1000.0</v>
      </c>
      <c r="I736" s="141">
        <v>2000.0</v>
      </c>
      <c r="J736" s="27" t="s">
        <v>3</v>
      </c>
    </row>
    <row r="737">
      <c r="A737" s="74">
        <v>45871.0</v>
      </c>
      <c r="B737" s="92"/>
      <c r="C737" s="98">
        <v>379.0</v>
      </c>
      <c r="D737" s="87" t="str">
        <f>IF(Tabla_3[COD]="","",VLOOKUP(Tabla_3[COD],'Stock inicial'!A:D,2,FALSE))</f>
        <v>PALO SANTO BUENA ONDA</v>
      </c>
      <c r="E737" s="59">
        <v>1.0</v>
      </c>
      <c r="F737" s="141">
        <v>2600.0</v>
      </c>
      <c r="G737" s="142">
        <v>1300.0</v>
      </c>
      <c r="H737" s="143">
        <v>1300.0</v>
      </c>
      <c r="I737" s="141">
        <v>2600.0</v>
      </c>
      <c r="J737" s="27" t="s">
        <v>3</v>
      </c>
    </row>
    <row r="738">
      <c r="A738" s="78">
        <v>45871.0</v>
      </c>
      <c r="B738" s="82" t="s">
        <v>358</v>
      </c>
      <c r="C738" s="97">
        <v>365.0</v>
      </c>
      <c r="D738" s="84" t="str">
        <f>IF(Tabla_3[COD]="","",VLOOKUP(Tabla_3[COD],'Stock inicial'!A:D,2,FALSE))</f>
        <v>CAMITAS 1x70</v>
      </c>
      <c r="E738" s="58">
        <v>1.0</v>
      </c>
      <c r="F738" s="141">
        <v>19500.0</v>
      </c>
      <c r="G738" s="142">
        <v>13000.0</v>
      </c>
      <c r="H738" s="143">
        <v>13000.0</v>
      </c>
      <c r="I738" s="141">
        <v>19500.0</v>
      </c>
      <c r="J738" s="27" t="s">
        <v>3</v>
      </c>
    </row>
    <row r="739">
      <c r="A739" s="74">
        <v>45871.0</v>
      </c>
      <c r="B739" s="75" t="s">
        <v>359</v>
      </c>
      <c r="C739" s="96">
        <v>292.0</v>
      </c>
      <c r="D739" s="77" t="str">
        <f>IF(Tabla_3[COD]="","",VLOOKUP(Tabla_3[COD],'Stock inicial'!A:D,2,FALSE))</f>
        <v>KAUCHO</v>
      </c>
      <c r="E739" s="59">
        <v>1.0</v>
      </c>
      <c r="F739" s="141">
        <v>1899.0</v>
      </c>
      <c r="G739" s="142">
        <v>994.0</v>
      </c>
      <c r="H739" s="143">
        <v>994.0</v>
      </c>
      <c r="I739" s="141">
        <v>1899.0</v>
      </c>
      <c r="J739" s="27" t="s">
        <v>3</v>
      </c>
    </row>
    <row r="740">
      <c r="A740" s="78">
        <v>45871.0</v>
      </c>
      <c r="B740" s="82" t="s">
        <v>360</v>
      </c>
      <c r="C740" s="97">
        <v>366.0</v>
      </c>
      <c r="D740" s="84" t="str">
        <f>IF(Tabla_3[COD]="","",VLOOKUP(Tabla_3[COD],'Stock inicial'!A:D,2,FALSE))</f>
        <v>CAMITAS 1x1.20</v>
      </c>
      <c r="E740" s="58">
        <v>1.0</v>
      </c>
      <c r="F740" s="141">
        <v>30000.0</v>
      </c>
      <c r="G740" s="142">
        <v>20000.0</v>
      </c>
      <c r="H740" s="143">
        <v>20000.0</v>
      </c>
      <c r="I740" s="141">
        <v>30000.0</v>
      </c>
      <c r="J740" s="27" t="s">
        <v>3</v>
      </c>
    </row>
    <row r="741">
      <c r="A741" s="74">
        <v>45871.0</v>
      </c>
      <c r="B741" s="70" t="s">
        <v>361</v>
      </c>
      <c r="C741" s="123">
        <v>223.0</v>
      </c>
      <c r="D741" s="124" t="str">
        <f>IF(Tabla_3[COD]="","",VLOOKUP(Tabla_3[COD],'Stock inicial'!A:D,2,FALSE))</f>
        <v>VORAZ PERRO ADULTO MIX</v>
      </c>
      <c r="E741" s="59">
        <v>2.74</v>
      </c>
      <c r="F741" s="141">
        <v>1100.0</v>
      </c>
      <c r="G741" s="142">
        <v>819.5</v>
      </c>
      <c r="H741" s="143">
        <v>2245.4300000000003</v>
      </c>
      <c r="I741" s="141">
        <v>3014.0000000000005</v>
      </c>
      <c r="J741" s="27" t="s">
        <v>3</v>
      </c>
    </row>
    <row r="742">
      <c r="A742" s="78">
        <v>45871.0</v>
      </c>
      <c r="B742" s="139" t="s">
        <v>362</v>
      </c>
      <c r="C742" s="99">
        <v>289.0</v>
      </c>
      <c r="D742" s="81" t="str">
        <f>IF(Tabla_3[COD]="","",VLOOKUP(Tabla_3[COD],'Stock inicial'!A:D,2,FALSE))</f>
        <v>LAVANDINA 1L</v>
      </c>
      <c r="E742" s="58">
        <v>1.0</v>
      </c>
      <c r="F742" s="141">
        <v>1000.0</v>
      </c>
      <c r="G742" s="142">
        <v>524.0</v>
      </c>
      <c r="H742" s="143">
        <v>524.0</v>
      </c>
      <c r="I742" s="141">
        <v>1000.0</v>
      </c>
      <c r="J742" s="27" t="s">
        <v>11</v>
      </c>
    </row>
    <row r="743">
      <c r="A743" s="74">
        <v>45871.0</v>
      </c>
      <c r="B743" s="92"/>
      <c r="C743" s="98">
        <v>214.0</v>
      </c>
      <c r="D743" s="87" t="str">
        <f>IF(Tabla_3[COD]="","",VLOOKUP(Tabla_3[COD],'Stock inicial'!A:D,2,FALSE))</f>
        <v>DOGPRO ADULTO SUPER PREMIUM XKG</v>
      </c>
      <c r="E743" s="59">
        <v>1.0</v>
      </c>
      <c r="F743" s="141">
        <v>3700.0</v>
      </c>
      <c r="G743" s="142">
        <v>2324.4</v>
      </c>
      <c r="H743" s="143">
        <v>2324.4</v>
      </c>
      <c r="I743" s="141">
        <v>3700.0</v>
      </c>
      <c r="J743" s="27" t="s">
        <v>11</v>
      </c>
    </row>
    <row r="744">
      <c r="A744" s="78">
        <v>45871.0</v>
      </c>
      <c r="B744" s="82" t="s">
        <v>363</v>
      </c>
      <c r="C744" s="97">
        <v>229.0</v>
      </c>
      <c r="D744" s="84" t="str">
        <f>IF(Tabla_3[COD]="","",VLOOKUP(Tabla_3[COD],'Stock inicial'!A:D,2,FALSE))</f>
        <v>EXCELLENT GATO ADULTO</v>
      </c>
      <c r="E744" s="58">
        <v>1.0</v>
      </c>
      <c r="F744" s="141">
        <v>7500.0</v>
      </c>
      <c r="G744" s="142">
        <v>5239.88</v>
      </c>
      <c r="H744" s="143">
        <v>5239.88</v>
      </c>
      <c r="I744" s="141">
        <v>7500.0</v>
      </c>
      <c r="J744" s="27" t="s">
        <v>3</v>
      </c>
    </row>
    <row r="745">
      <c r="A745" s="74">
        <v>45871.0</v>
      </c>
      <c r="B745" s="70" t="s">
        <v>364</v>
      </c>
      <c r="C745" s="123">
        <v>217.0</v>
      </c>
      <c r="D745" s="124" t="str">
        <f>IF(Tabla_3[COD]="","",VLOOKUP(Tabla_3[COD],'Stock inicial'!A:D,2,FALSE))</f>
        <v>VORAZ GATO ADULTO X2OK</v>
      </c>
      <c r="E745" s="59">
        <v>1.0</v>
      </c>
      <c r="F745" s="141">
        <v>2100.0</v>
      </c>
      <c r="G745" s="142">
        <v>1482.0</v>
      </c>
      <c r="H745" s="143">
        <v>1482.0</v>
      </c>
      <c r="I745" s="141">
        <v>2100.0</v>
      </c>
      <c r="J745" s="27" t="s">
        <v>3</v>
      </c>
    </row>
    <row r="746">
      <c r="A746" s="78">
        <v>45871.0</v>
      </c>
      <c r="B746" s="139" t="s">
        <v>365</v>
      </c>
      <c r="C746" s="50">
        <v>1611.0</v>
      </c>
      <c r="D746" s="81" t="str">
        <f>IF(Tabla_3[COD]="","",VLOOKUP(Tabla_3[COD],'Stock inicial'!A:D,2,FALSE))</f>
        <v>ZOOTEC PIEDRA AGLUTINANTE X 4KG</v>
      </c>
      <c r="E746" s="58">
        <v>1.0</v>
      </c>
      <c r="F746" s="141">
        <v>4590.0</v>
      </c>
      <c r="G746" s="142">
        <v>2990.0</v>
      </c>
      <c r="H746" s="143">
        <v>2990.0</v>
      </c>
      <c r="I746" s="141">
        <v>4590.0</v>
      </c>
      <c r="J746" s="27" t="s">
        <v>11</v>
      </c>
    </row>
    <row r="747">
      <c r="A747" s="74">
        <v>45871.0</v>
      </c>
      <c r="B747" s="92"/>
      <c r="C747" s="51">
        <v>214.0</v>
      </c>
      <c r="D747" s="87" t="str">
        <f>IF(Tabla_3[COD]="","",VLOOKUP(Tabla_3[COD],'Stock inicial'!A:D,2,FALSE))</f>
        <v>DOGPRO ADULTO SUPER PREMIUM XKG</v>
      </c>
      <c r="E747" s="59">
        <v>5.0</v>
      </c>
      <c r="F747" s="141">
        <v>3700.0</v>
      </c>
      <c r="G747" s="142">
        <v>2324.4</v>
      </c>
      <c r="H747" s="143">
        <v>11622.0</v>
      </c>
      <c r="I747" s="141">
        <v>18500.0</v>
      </c>
      <c r="J747" s="27" t="s">
        <v>11</v>
      </c>
    </row>
    <row r="748">
      <c r="A748" s="78">
        <v>45871.0</v>
      </c>
      <c r="B748" s="91"/>
      <c r="C748" s="50">
        <v>240.0</v>
      </c>
      <c r="D748" s="81" t="str">
        <f>IF(Tabla_3[COD]="","",VLOOKUP(Tabla_3[COD],'Stock inicial'!A:D,2,FALSE))</f>
        <v>PEDIGREE POUCH AD. CARNE</v>
      </c>
      <c r="E748" s="58">
        <v>1.0</v>
      </c>
      <c r="F748" s="141">
        <v>1100.0</v>
      </c>
      <c r="G748" s="142">
        <v>787.5</v>
      </c>
      <c r="H748" s="143">
        <v>787.5</v>
      </c>
      <c r="I748" s="141">
        <v>1100.0</v>
      </c>
      <c r="J748" s="27" t="s">
        <v>11</v>
      </c>
    </row>
    <row r="749">
      <c r="A749" s="74">
        <v>45871.0</v>
      </c>
      <c r="B749" s="92"/>
      <c r="C749" s="51">
        <v>241.0</v>
      </c>
      <c r="D749" s="87" t="str">
        <f>IF(Tabla_3[COD]="","",VLOOKUP(Tabla_3[COD],'Stock inicial'!A:D,2,FALSE))</f>
        <v>PEDIGREE POUCH AD. POLLO</v>
      </c>
      <c r="E749" s="59">
        <v>1.0</v>
      </c>
      <c r="F749" s="141">
        <v>1100.0</v>
      </c>
      <c r="G749" s="142">
        <v>787.5</v>
      </c>
      <c r="H749" s="143">
        <v>787.5</v>
      </c>
      <c r="I749" s="141">
        <v>1100.0</v>
      </c>
      <c r="J749" s="27" t="s">
        <v>11</v>
      </c>
    </row>
    <row r="750">
      <c r="A750" s="78">
        <v>45871.0</v>
      </c>
      <c r="B750" s="91"/>
      <c r="C750" s="50">
        <v>357.0</v>
      </c>
      <c r="D750" s="81" t="str">
        <f>IF(Tabla_3[COD]="","",VLOOKUP(Tabla_3[COD],'Stock inicial'!A:D,2,FALSE))</f>
        <v>PAPEL HIGIENICO "ELEGANTE"</v>
      </c>
      <c r="E750" s="58">
        <v>2.0</v>
      </c>
      <c r="F750" s="141">
        <v>1899.0</v>
      </c>
      <c r="G750" s="142">
        <v>1299.0</v>
      </c>
      <c r="H750" s="143">
        <v>2598.0</v>
      </c>
      <c r="I750" s="141">
        <v>3798.0</v>
      </c>
      <c r="J750" s="27" t="s">
        <v>11</v>
      </c>
    </row>
    <row r="751">
      <c r="A751" s="74">
        <v>45871.0</v>
      </c>
      <c r="B751" s="75" t="s">
        <v>366</v>
      </c>
      <c r="C751" s="155">
        <v>148.0</v>
      </c>
      <c r="D751" s="77" t="str">
        <f>IF(Tabla_3[COD]="","",VLOOKUP(Tabla_3[COD],'Stock inicial'!A:D,2,FALSE))</f>
        <v>MOISTYCREAM GATO PESCADO</v>
      </c>
      <c r="E751" s="59">
        <v>1.0</v>
      </c>
      <c r="F751" s="141">
        <v>2600.0</v>
      </c>
      <c r="G751" s="142">
        <v>1288.0</v>
      </c>
      <c r="H751" s="143">
        <v>1288.0</v>
      </c>
      <c r="I751" s="141">
        <v>2600.0</v>
      </c>
      <c r="J751" s="27" t="s">
        <v>11</v>
      </c>
    </row>
    <row r="752">
      <c r="A752" s="78">
        <v>45871.0</v>
      </c>
      <c r="B752" s="91"/>
      <c r="C752" s="50">
        <v>314.0</v>
      </c>
      <c r="D752" s="81" t="str">
        <f>IF(Tabla_3[COD]="","",VLOOKUP(Tabla_3[COD],'Stock inicial'!A:D,2,FALSE))</f>
        <v>VALERINA CHICA</v>
      </c>
      <c r="E752" s="58">
        <v>1.0</v>
      </c>
      <c r="F752" s="141">
        <v>899.0</v>
      </c>
      <c r="G752" s="142">
        <v>342.0</v>
      </c>
      <c r="H752" s="143">
        <v>342.0</v>
      </c>
      <c r="I752" s="141">
        <v>899.0</v>
      </c>
      <c r="J752" s="27" t="s">
        <v>11</v>
      </c>
    </row>
    <row r="753">
      <c r="A753" s="74">
        <v>45871.0</v>
      </c>
      <c r="B753" s="92"/>
      <c r="C753" s="98">
        <v>371.0</v>
      </c>
      <c r="D753" s="87" t="str">
        <f>IF(Tabla_3[COD]="","",VLOOKUP(Tabla_3[COD],'Stock inicial'!A:D,2,FALSE))</f>
        <v>ESFERAS MAGICAS ORG.</v>
      </c>
      <c r="E753" s="59">
        <v>1.0</v>
      </c>
      <c r="F753" s="141">
        <v>1300.0</v>
      </c>
      <c r="G753" s="142">
        <v>650.0</v>
      </c>
      <c r="H753" s="143">
        <v>650.0</v>
      </c>
      <c r="I753" s="141">
        <v>1300.0</v>
      </c>
      <c r="J753" s="27" t="s">
        <v>11</v>
      </c>
    </row>
    <row r="754">
      <c r="A754" s="78">
        <v>45871.0</v>
      </c>
      <c r="B754" s="91"/>
      <c r="C754" s="99">
        <v>374.0</v>
      </c>
      <c r="D754" s="81" t="str">
        <f>IF(Tabla_3[COD]="","",VLOOKUP(Tabla_3[COD],'Stock inicial'!A:D,2,FALSE))</f>
        <v>SAHUMADOR</v>
      </c>
      <c r="E754" s="58">
        <v>1.0</v>
      </c>
      <c r="F754" s="141">
        <v>2000.0</v>
      </c>
      <c r="G754" s="142">
        <v>1300.0</v>
      </c>
      <c r="H754" s="143">
        <v>1300.0</v>
      </c>
      <c r="I754" s="141">
        <v>2000.0</v>
      </c>
      <c r="J754" s="27" t="s">
        <v>11</v>
      </c>
    </row>
    <row r="755">
      <c r="A755" s="74">
        <v>45871.0</v>
      </c>
      <c r="B755" s="92"/>
      <c r="C755" s="101"/>
      <c r="D755" s="87" t="s">
        <v>367</v>
      </c>
      <c r="E755" s="59">
        <v>1.0</v>
      </c>
      <c r="F755" s="141">
        <v>3000.0</v>
      </c>
      <c r="G755" s="141">
        <v>2000.0</v>
      </c>
      <c r="H755" s="141">
        <v>2000.0</v>
      </c>
      <c r="I755" s="141">
        <v>3000.0</v>
      </c>
      <c r="J755" s="27" t="s">
        <v>11</v>
      </c>
    </row>
    <row r="756">
      <c r="A756" s="78">
        <v>45871.0</v>
      </c>
      <c r="B756" s="82" t="s">
        <v>368</v>
      </c>
      <c r="C756" s="97">
        <v>370.0</v>
      </c>
      <c r="D756" s="84" t="str">
        <f>IF(Tabla_3[COD]="","",VLOOKUP(Tabla_3[COD],'Stock inicial'!A:D,2,FALSE))</f>
        <v>CUBO 3 POSICIONES</v>
      </c>
      <c r="E756" s="58">
        <v>1.0</v>
      </c>
      <c r="F756" s="141">
        <v>30000.0</v>
      </c>
      <c r="G756" s="142">
        <v>20000.0</v>
      </c>
      <c r="H756" s="143">
        <v>20000.0</v>
      </c>
      <c r="I756" s="141">
        <v>30000.0</v>
      </c>
      <c r="J756" s="27" t="s">
        <v>11</v>
      </c>
    </row>
    <row r="757">
      <c r="A757" s="74">
        <v>45871.0</v>
      </c>
      <c r="B757" s="92"/>
      <c r="C757" s="98">
        <v>134.0</v>
      </c>
      <c r="D757" s="87" t="str">
        <f>IF(Tabla_3[COD]="","",VLOOKUP(Tabla_3[COD],'Stock inicial'!A:D,2,FALSE))</f>
        <v>PALITO C/PELOTA Y SOGA</v>
      </c>
      <c r="E757" s="59">
        <v>1.0</v>
      </c>
      <c r="F757" s="141">
        <v>2400.0</v>
      </c>
      <c r="G757" s="142">
        <v>1564.0</v>
      </c>
      <c r="H757" s="143">
        <v>1564.0</v>
      </c>
      <c r="I757" s="141">
        <v>2400.0</v>
      </c>
      <c r="J757" s="27" t="s">
        <v>11</v>
      </c>
    </row>
    <row r="758">
      <c r="A758" s="78">
        <v>45871.0</v>
      </c>
      <c r="B758" s="91"/>
      <c r="C758" s="99">
        <v>156.0</v>
      </c>
      <c r="D758" s="81" t="str">
        <f>IF(Tabla_3[COD]="","",VLOOKUP(Tabla_3[COD],'Stock inicial'!A:D,2,FALSE))</f>
        <v>PALITA SANITARIA CARA GATO</v>
      </c>
      <c r="E758" s="58">
        <v>1.0</v>
      </c>
      <c r="F758" s="141">
        <v>2200.0</v>
      </c>
      <c r="G758" s="142">
        <v>1150.0</v>
      </c>
      <c r="H758" s="143">
        <v>1150.0</v>
      </c>
      <c r="I758" s="141">
        <v>2200.0</v>
      </c>
      <c r="J758" s="27" t="s">
        <v>11</v>
      </c>
    </row>
    <row r="759">
      <c r="A759" s="74">
        <v>45871.0</v>
      </c>
      <c r="B759" s="92"/>
      <c r="C759" s="101"/>
      <c r="D759" s="87" t="s">
        <v>356</v>
      </c>
      <c r="E759" s="191"/>
      <c r="F759" s="141">
        <v>-900.0</v>
      </c>
      <c r="G759" s="141">
        <v>0.0</v>
      </c>
      <c r="H759" s="141">
        <v>0.0</v>
      </c>
      <c r="I759" s="141">
        <v>-900.0</v>
      </c>
      <c r="J759" s="27" t="s">
        <v>11</v>
      </c>
    </row>
    <row r="760">
      <c r="A760" s="78">
        <v>45871.0</v>
      </c>
      <c r="B760" s="82" t="s">
        <v>369</v>
      </c>
      <c r="C760" s="97">
        <v>162.0</v>
      </c>
      <c r="D760" s="84" t="str">
        <f>IF(Tabla_3[COD]="","",VLOOKUP(Tabla_3[COD],'Stock inicial'!A:D,2,FALSE))</f>
        <v>PIEDRA SANITARIA THEBEST X20KG</v>
      </c>
      <c r="E760" s="58">
        <v>4.0</v>
      </c>
      <c r="F760" s="141">
        <v>680.0</v>
      </c>
      <c r="G760" s="142">
        <v>440.0</v>
      </c>
      <c r="H760" s="143">
        <v>1760.0</v>
      </c>
      <c r="I760" s="141">
        <v>2720.0</v>
      </c>
      <c r="J760" s="27" t="s">
        <v>11</v>
      </c>
    </row>
    <row r="761">
      <c r="A761" s="74">
        <v>45873.0</v>
      </c>
      <c r="B761" s="75" t="s">
        <v>370</v>
      </c>
      <c r="C761" s="96">
        <v>223.0</v>
      </c>
      <c r="D761" s="77" t="str">
        <f>IF(Tabla_3[COD]="","",VLOOKUP(Tabla_3[COD],'Stock inicial'!A:D,2,FALSE))</f>
        <v>VORAZ PERRO ADULTO MIX</v>
      </c>
      <c r="E761" s="59">
        <v>2.0</v>
      </c>
      <c r="F761" s="141">
        <v>1100.0</v>
      </c>
      <c r="G761" s="142">
        <v>819.5</v>
      </c>
      <c r="H761" s="143">
        <v>1639.0</v>
      </c>
      <c r="I761" s="141">
        <v>2200.0</v>
      </c>
      <c r="J761" s="27" t="s">
        <v>3</v>
      </c>
    </row>
    <row r="762">
      <c r="A762" s="78">
        <v>45873.0</v>
      </c>
      <c r="B762" s="91"/>
      <c r="C762" s="99">
        <v>149.0</v>
      </c>
      <c r="D762" s="81" t="str">
        <f>IF(Tabla_3[COD]="","",VLOOKUP(Tabla_3[COD],'Stock inicial'!A:D,2,FALSE))</f>
        <v>PALITOS MASTICABLES IZZY x6</v>
      </c>
      <c r="E762" s="58">
        <v>1.0</v>
      </c>
      <c r="F762" s="141">
        <v>600.0</v>
      </c>
      <c r="G762" s="142">
        <v>238.56</v>
      </c>
      <c r="H762" s="143">
        <v>238.56</v>
      </c>
      <c r="I762" s="141">
        <v>600.0</v>
      </c>
      <c r="J762" s="27" t="s">
        <v>3</v>
      </c>
    </row>
    <row r="763">
      <c r="A763" s="74">
        <v>45873.0</v>
      </c>
      <c r="B763" s="92"/>
      <c r="C763" s="101"/>
      <c r="D763" s="87" t="s">
        <v>152</v>
      </c>
      <c r="E763" s="59">
        <v>1.0</v>
      </c>
      <c r="F763" s="141">
        <v>-300.0</v>
      </c>
      <c r="G763" s="141">
        <v>0.0</v>
      </c>
      <c r="H763" s="141">
        <v>0.0</v>
      </c>
      <c r="I763" s="141">
        <v>-300.0</v>
      </c>
      <c r="J763" s="27" t="s">
        <v>3</v>
      </c>
    </row>
    <row r="764">
      <c r="A764" s="78">
        <v>45873.0</v>
      </c>
      <c r="B764" s="91"/>
      <c r="C764" s="99">
        <v>223.0</v>
      </c>
      <c r="D764" s="81" t="str">
        <f>IF(Tabla_3[COD]="","",VLOOKUP(Tabla_3[COD],'Stock inicial'!A:D,2,FALSE))</f>
        <v>VORAZ PERRO ADULTO MIX</v>
      </c>
      <c r="E764" s="58">
        <v>1.0</v>
      </c>
      <c r="F764" s="141">
        <v>1100.0</v>
      </c>
      <c r="G764" s="142">
        <v>819.5</v>
      </c>
      <c r="H764" s="143">
        <v>819.5</v>
      </c>
      <c r="I764" s="141">
        <v>1100.0</v>
      </c>
      <c r="J764" s="27" t="s">
        <v>3</v>
      </c>
    </row>
    <row r="765">
      <c r="A765" s="74">
        <v>45873.0</v>
      </c>
      <c r="B765" s="70" t="s">
        <v>371</v>
      </c>
      <c r="C765" s="123">
        <v>243.0</v>
      </c>
      <c r="D765" s="124" t="str">
        <f>IF(Tabla_3[COD]="","",VLOOKUP(Tabla_3[COD],'Stock inicial'!A:D,2,FALSE))</f>
        <v>PEDIGREE POUCH AD. PEQ. CARNE</v>
      </c>
      <c r="E765" s="59">
        <v>1.0</v>
      </c>
      <c r="F765" s="141">
        <v>1100.0</v>
      </c>
      <c r="G765" s="142">
        <v>787.5</v>
      </c>
      <c r="H765" s="143">
        <v>787.5</v>
      </c>
      <c r="I765" s="141">
        <v>1100.0</v>
      </c>
      <c r="J765" s="27" t="s">
        <v>3</v>
      </c>
    </row>
    <row r="766">
      <c r="A766" s="78">
        <v>45873.0</v>
      </c>
      <c r="B766" s="139" t="s">
        <v>372</v>
      </c>
      <c r="C766" s="99">
        <v>279.0</v>
      </c>
      <c r="D766" s="81" t="str">
        <f>IF(Tabla_3[COD]="","",VLOOKUP(Tabla_3[COD],'Stock inicial'!A:D,2,FALSE))</f>
        <v>PERFUMINA LISOFORM 1L</v>
      </c>
      <c r="E766" s="58">
        <v>1.0</v>
      </c>
      <c r="F766" s="141">
        <v>599.0</v>
      </c>
      <c r="G766" s="142">
        <v>352.45</v>
      </c>
      <c r="H766" s="143">
        <v>352.45</v>
      </c>
      <c r="I766" s="141">
        <v>599.0</v>
      </c>
      <c r="J766" s="27" t="s">
        <v>3</v>
      </c>
    </row>
    <row r="767">
      <c r="A767" s="74">
        <v>45873.0</v>
      </c>
      <c r="B767" s="92"/>
      <c r="C767" s="98">
        <v>229.0</v>
      </c>
      <c r="D767" s="87" t="str">
        <f>IF(Tabla_3[COD]="","",VLOOKUP(Tabla_3[COD],'Stock inicial'!A:D,2,FALSE))</f>
        <v>EXCELLENT GATO ADULTO</v>
      </c>
      <c r="E767" s="59">
        <v>1.0</v>
      </c>
      <c r="F767" s="141">
        <v>7500.0</v>
      </c>
      <c r="G767" s="142">
        <v>5239.88</v>
      </c>
      <c r="H767" s="143">
        <v>5239.88</v>
      </c>
      <c r="I767" s="141">
        <v>7500.0</v>
      </c>
      <c r="J767" s="27" t="s">
        <v>3</v>
      </c>
    </row>
    <row r="768">
      <c r="A768" s="78">
        <v>45873.0</v>
      </c>
      <c r="B768" s="82" t="s">
        <v>373</v>
      </c>
      <c r="C768" s="97">
        <v>283.0</v>
      </c>
      <c r="D768" s="84" t="str">
        <f>IF(Tabla_3[COD]="","",VLOOKUP(Tabla_3[COD],'Stock inicial'!A:D,2,FALSE))</f>
        <v>TICKET ROPA 1L</v>
      </c>
      <c r="E768" s="58">
        <v>1.0</v>
      </c>
      <c r="F768" s="141">
        <v>2000.0</v>
      </c>
      <c r="G768" s="142">
        <v>715.0</v>
      </c>
      <c r="H768" s="143">
        <v>715.0</v>
      </c>
      <c r="I768" s="141">
        <v>2000.0</v>
      </c>
      <c r="J768" s="27" t="s">
        <v>3</v>
      </c>
    </row>
    <row r="769">
      <c r="A769" s="74">
        <v>45873.0</v>
      </c>
      <c r="B769" s="92"/>
      <c r="C769" s="98">
        <v>246.0</v>
      </c>
      <c r="D769" s="87" t="str">
        <f>IF(Tabla_3[COD]="","",VLOOKUP(Tabla_3[COD],'Stock inicial'!A:D,2,FALSE))</f>
        <v>ARIEL ECO (VERDE) 5L</v>
      </c>
      <c r="E769" s="59">
        <v>1.0</v>
      </c>
      <c r="F769" s="141">
        <v>1990.0</v>
      </c>
      <c r="G769" s="142">
        <v>1143.0</v>
      </c>
      <c r="H769" s="143">
        <v>1143.0</v>
      </c>
      <c r="I769" s="141">
        <v>1990.0</v>
      </c>
      <c r="J769" s="27" t="s">
        <v>3</v>
      </c>
    </row>
    <row r="770">
      <c r="A770" s="78">
        <v>45873.0</v>
      </c>
      <c r="B770" s="68" t="s">
        <v>374</v>
      </c>
      <c r="C770" s="128">
        <v>152.0</v>
      </c>
      <c r="D770" s="129" t="str">
        <f>IF(Tabla_3[COD]="","",VLOOKUP(Tabla_3[COD],'Stock inicial'!A:D,2,FALSE))</f>
        <v>OREJAS BOVINAS</v>
      </c>
      <c r="E770" s="58">
        <v>2.0</v>
      </c>
      <c r="F770" s="141">
        <v>800.0</v>
      </c>
      <c r="G770" s="142">
        <v>330.0</v>
      </c>
      <c r="H770" s="143">
        <v>660.0</v>
      </c>
      <c r="I770" s="141">
        <v>1600.0</v>
      </c>
      <c r="J770" s="27" t="s">
        <v>3</v>
      </c>
    </row>
    <row r="771">
      <c r="A771" s="74">
        <v>45873.0</v>
      </c>
      <c r="B771" s="192" t="s">
        <v>375</v>
      </c>
      <c r="C771" s="169">
        <v>227.0</v>
      </c>
      <c r="D771" s="170" t="str">
        <f>IF(Tabla_3[COD]="","",VLOOKUP(Tabla_3[COD],'Stock inicial'!A:D,2,FALSE))</f>
        <v>CATPRO GATO ADULTO</v>
      </c>
      <c r="E771" s="59">
        <v>1.91</v>
      </c>
      <c r="F771" s="141">
        <v>5250.0</v>
      </c>
      <c r="G771" s="142">
        <v>3657.41</v>
      </c>
      <c r="H771" s="143">
        <v>6985.6530999999995</v>
      </c>
      <c r="I771" s="141">
        <v>10000.0</v>
      </c>
      <c r="J771" s="27" t="s">
        <v>3</v>
      </c>
    </row>
    <row r="772">
      <c r="A772" s="78">
        <v>45873.0</v>
      </c>
      <c r="B772" s="125" t="s">
        <v>376</v>
      </c>
      <c r="C772" s="126">
        <v>228.0</v>
      </c>
      <c r="D772" s="127" t="str">
        <f>IF(Tabla_3[COD]="","",VLOOKUP(Tabla_3[COD],'Stock inicial'!A:D,2,FALSE))</f>
        <v>CATPRO KITTEN</v>
      </c>
      <c r="E772" s="58">
        <v>2.0</v>
      </c>
      <c r="F772" s="141">
        <v>5900.0</v>
      </c>
      <c r="G772" s="142">
        <v>4091.23</v>
      </c>
      <c r="H772" s="143">
        <v>8182.46</v>
      </c>
      <c r="I772" s="141">
        <v>11800.0</v>
      </c>
      <c r="J772" s="27" t="s">
        <v>11</v>
      </c>
    </row>
    <row r="773">
      <c r="A773" s="74">
        <v>45873.0</v>
      </c>
      <c r="B773" s="92"/>
      <c r="C773" s="98">
        <v>334.0</v>
      </c>
      <c r="D773" s="87" t="str">
        <f>IF(Tabla_3[COD]="","",VLOOKUP(Tabla_3[COD],'Stock inicial'!A:D,2,FALSE))</f>
        <v>TOALLITAS "LINA" PACK X8 </v>
      </c>
      <c r="E773" s="59">
        <v>1.0</v>
      </c>
      <c r="F773" s="141">
        <v>0.0</v>
      </c>
      <c r="G773" s="142">
        <v>930.0</v>
      </c>
      <c r="H773" s="143">
        <v>930.0</v>
      </c>
      <c r="I773" s="141">
        <v>0.0</v>
      </c>
      <c r="J773" s="27" t="s">
        <v>29</v>
      </c>
    </row>
    <row r="774">
      <c r="A774" s="78">
        <v>45873.0</v>
      </c>
      <c r="B774" s="145"/>
      <c r="C774" s="126">
        <v>249.0</v>
      </c>
      <c r="D774" s="127" t="str">
        <f>IF(Tabla_3[COD]="","",VLOOKUP(Tabla_3[COD],'Stock inicial'!A:D,2,FALSE))</f>
        <v>ARIEL. EXT. PERF. (VERDE CON SUAVIZANTE) 1L</v>
      </c>
      <c r="E774" s="58">
        <v>1.0</v>
      </c>
      <c r="F774" s="141">
        <v>0.0</v>
      </c>
      <c r="G774" s="142">
        <v>486.0</v>
      </c>
      <c r="H774" s="143">
        <v>486.0</v>
      </c>
      <c r="I774" s="141">
        <v>0.0</v>
      </c>
      <c r="J774" s="27" t="s">
        <v>29</v>
      </c>
    </row>
    <row r="775">
      <c r="A775" s="74">
        <v>45873.0</v>
      </c>
      <c r="B775" s="100" t="s">
        <v>377</v>
      </c>
      <c r="C775" s="98">
        <v>212.0</v>
      </c>
      <c r="D775" s="87" t="str">
        <f>IF(Tabla_3[COD]="","",VLOOKUP(Tabla_3[COD],'Stock inicial'!A:D,2,FALSE))</f>
        <v>DOGPRO ADULTO MORDIDA PEQUEñA XKG</v>
      </c>
      <c r="E775" s="59">
        <v>1.1</v>
      </c>
      <c r="F775" s="141">
        <v>3700.0</v>
      </c>
      <c r="G775" s="142">
        <v>2778.13</v>
      </c>
      <c r="H775" s="143">
        <v>3055.943</v>
      </c>
      <c r="I775" s="141">
        <v>4070.0000000000005</v>
      </c>
      <c r="J775" s="27" t="s">
        <v>3</v>
      </c>
    </row>
    <row r="776">
      <c r="A776" s="78">
        <v>45873.0</v>
      </c>
      <c r="B776" s="82" t="s">
        <v>378</v>
      </c>
      <c r="C776" s="97">
        <v>286.0</v>
      </c>
      <c r="D776" s="84" t="str">
        <f>IF(Tabla_3[COD]="","",VLOOKUP(Tabla_3[COD],'Stock inicial'!A:D,2,FALSE))</f>
        <v>JABON LIQUIDO ESPADOL P/MANOS 1/2L</v>
      </c>
      <c r="E776" s="58">
        <v>1.0</v>
      </c>
      <c r="F776" s="141">
        <v>999.0</v>
      </c>
      <c r="G776" s="142">
        <v>210.0</v>
      </c>
      <c r="H776" s="143">
        <v>210.0</v>
      </c>
      <c r="I776" s="141">
        <v>999.0</v>
      </c>
      <c r="J776" s="27" t="s">
        <v>3</v>
      </c>
    </row>
    <row r="777">
      <c r="A777" s="74">
        <v>45873.0</v>
      </c>
      <c r="B777" s="75" t="s">
        <v>379</v>
      </c>
      <c r="C777" s="96">
        <v>223.0</v>
      </c>
      <c r="D777" s="77" t="str">
        <f>IF(Tabla_3[COD]="","",VLOOKUP(Tabla_3[COD],'Stock inicial'!A:D,2,FALSE))</f>
        <v>VORAZ PERRO ADULTO MIX</v>
      </c>
      <c r="E777" s="59">
        <v>1.0</v>
      </c>
      <c r="F777" s="141">
        <v>1100.0</v>
      </c>
      <c r="G777" s="142">
        <v>819.5</v>
      </c>
      <c r="H777" s="143">
        <v>819.5</v>
      </c>
      <c r="I777" s="141">
        <v>1100.0</v>
      </c>
      <c r="J777" s="27" t="s">
        <v>3</v>
      </c>
    </row>
    <row r="778">
      <c r="A778" s="78">
        <v>45873.0</v>
      </c>
      <c r="B778" s="91"/>
      <c r="C778" s="99">
        <v>285.0</v>
      </c>
      <c r="D778" s="81" t="str">
        <f>IF(Tabla_3[COD]="","",VLOOKUP(Tabla_3[COD],'Stock inicial'!A:D,2,FALSE))</f>
        <v>JABON LIQUIDO  P/MANOS COCO 1/2L</v>
      </c>
      <c r="E778" s="58">
        <v>1.0</v>
      </c>
      <c r="F778" s="141">
        <v>999.0</v>
      </c>
      <c r="G778" s="142">
        <v>210.0</v>
      </c>
      <c r="H778" s="143">
        <v>210.0</v>
      </c>
      <c r="I778" s="141">
        <v>999.0</v>
      </c>
      <c r="J778" s="27" t="s">
        <v>3</v>
      </c>
    </row>
    <row r="779">
      <c r="A779" s="74">
        <v>45873.0</v>
      </c>
      <c r="B779" s="70" t="s">
        <v>380</v>
      </c>
      <c r="C779" s="123">
        <v>241.0</v>
      </c>
      <c r="D779" s="124" t="str">
        <f>IF(Tabla_3[COD]="","",VLOOKUP(Tabla_3[COD],'Stock inicial'!A:D,2,FALSE))</f>
        <v>PEDIGREE POUCH AD. POLLO</v>
      </c>
      <c r="E779" s="59">
        <v>2.0</v>
      </c>
      <c r="F779" s="141">
        <v>1100.0</v>
      </c>
      <c r="G779" s="142">
        <v>787.5</v>
      </c>
      <c r="H779" s="143">
        <v>1575.0</v>
      </c>
      <c r="I779" s="141">
        <v>2200.0</v>
      </c>
      <c r="J779" s="27" t="s">
        <v>3</v>
      </c>
    </row>
    <row r="780">
      <c r="A780" s="78">
        <v>45874.0</v>
      </c>
      <c r="B780" s="139" t="s">
        <v>381</v>
      </c>
      <c r="C780" s="50">
        <v>248.0</v>
      </c>
      <c r="D780" s="81" t="str">
        <f>IF(Tabla_3[COD]="","",VLOOKUP(Tabla_3[COD],'Stock inicial'!A:D,2,FALSE))</f>
        <v>ARIEL PREMIUM (VERDE) 5L</v>
      </c>
      <c r="E780" s="58">
        <v>1.0</v>
      </c>
      <c r="F780" s="141">
        <v>2700.0</v>
      </c>
      <c r="G780" s="142">
        <v>1615.5</v>
      </c>
      <c r="H780" s="143">
        <v>1615.5</v>
      </c>
      <c r="I780" s="141">
        <v>2700.0</v>
      </c>
      <c r="J780" s="27" t="s">
        <v>11</v>
      </c>
    </row>
    <row r="781">
      <c r="A781" s="74">
        <v>45874.0</v>
      </c>
      <c r="B781" s="92"/>
      <c r="C781" s="51">
        <v>252.0</v>
      </c>
      <c r="D781" s="87" t="str">
        <f>IF(Tabla_3[COD]="","",VLOOKUP(Tabla_3[COD],'Stock inicial'!A:D,2,FALSE))</f>
        <v>VIVERE ECO (CELESTE) 5L</v>
      </c>
      <c r="E781" s="59">
        <v>1.0</v>
      </c>
      <c r="F781" s="141">
        <v>2400.0</v>
      </c>
      <c r="G781" s="142">
        <v>1480.0</v>
      </c>
      <c r="H781" s="143">
        <v>1480.0</v>
      </c>
      <c r="I781" s="141">
        <v>2400.0</v>
      </c>
      <c r="J781" s="27" t="s">
        <v>11</v>
      </c>
    </row>
    <row r="782">
      <c r="A782" s="78">
        <v>45874.0</v>
      </c>
      <c r="B782" s="91"/>
      <c r="C782" s="50">
        <v>280.0</v>
      </c>
      <c r="D782" s="81" t="str">
        <f>IF(Tabla_3[COD]="","",VLOOKUP(Tabla_3[COD],'Stock inicial'!A:D,2,FALSE))</f>
        <v>PERFUMINA LISOFORM 1/2</v>
      </c>
      <c r="E782" s="58">
        <v>1.0</v>
      </c>
      <c r="F782" s="141">
        <v>1500.0</v>
      </c>
      <c r="G782" s="142">
        <v>1015.5</v>
      </c>
      <c r="H782" s="143">
        <v>1015.5</v>
      </c>
      <c r="I782" s="141">
        <v>1500.0</v>
      </c>
      <c r="J782" s="27" t="s">
        <v>11</v>
      </c>
    </row>
    <row r="783">
      <c r="A783" s="74">
        <v>45874.0</v>
      </c>
      <c r="B783" s="92"/>
      <c r="C783" s="51">
        <v>283.0</v>
      </c>
      <c r="D783" s="87" t="str">
        <f>IF(Tabla_3[COD]="","",VLOOKUP(Tabla_3[COD],'Stock inicial'!A:D,2,FALSE))</f>
        <v>TICKET ROPA 1L</v>
      </c>
      <c r="E783" s="59">
        <v>1.0</v>
      </c>
      <c r="F783" s="141">
        <v>2000.0</v>
      </c>
      <c r="G783" s="142">
        <v>715.0</v>
      </c>
      <c r="H783" s="143">
        <v>715.0</v>
      </c>
      <c r="I783" s="141">
        <v>2000.0</v>
      </c>
      <c r="J783" s="27" t="s">
        <v>11</v>
      </c>
    </row>
    <row r="784">
      <c r="A784" s="78">
        <v>45874.0</v>
      </c>
      <c r="B784" s="91"/>
      <c r="C784" s="50">
        <v>2912.0</v>
      </c>
      <c r="D784" s="81" t="str">
        <f>IF(Tabla_3[COD]="","",VLOOKUP(Tabla_3[COD],'Stock inicial'!A:D,2,FALSE))</f>
        <v>CLORO 5L</v>
      </c>
      <c r="E784" s="58">
        <v>1.0</v>
      </c>
      <c r="F784" s="141">
        <v>4500.0</v>
      </c>
      <c r="G784" s="142">
        <v>3091.0</v>
      </c>
      <c r="H784" s="143">
        <v>3091.0</v>
      </c>
      <c r="I784" s="141">
        <v>4500.0</v>
      </c>
      <c r="J784" s="27" t="s">
        <v>11</v>
      </c>
    </row>
    <row r="785">
      <c r="A785" s="74">
        <v>45874.0</v>
      </c>
      <c r="B785" s="70" t="s">
        <v>382</v>
      </c>
      <c r="C785" s="123">
        <v>170.0</v>
      </c>
      <c r="D785" s="124" t="str">
        <f>IF(Tabla_3[COD]="","",VLOOKUP(Tabla_3[COD],'Stock inicial'!A:D,2,FALSE))</f>
        <v>SINORIN DUO REPELENTE X 500CC</v>
      </c>
      <c r="E785" s="59">
        <v>1.0</v>
      </c>
      <c r="F785" s="141">
        <v>2999.0</v>
      </c>
      <c r="G785" s="142">
        <v>2101.0</v>
      </c>
      <c r="H785" s="143">
        <v>2101.0</v>
      </c>
      <c r="I785" s="141">
        <v>2999.0</v>
      </c>
      <c r="J785" s="27" t="s">
        <v>3</v>
      </c>
    </row>
    <row r="786">
      <c r="A786" s="78">
        <v>45874.0</v>
      </c>
      <c r="B786" s="139" t="s">
        <v>383</v>
      </c>
      <c r="C786" s="99">
        <v>212.0</v>
      </c>
      <c r="D786" s="81" t="str">
        <f>IF(Tabla_3[COD]="","",VLOOKUP(Tabla_3[COD],'Stock inicial'!A:D,2,FALSE))</f>
        <v>DOGPRO ADULTO MORDIDA PEQUEñA XKG</v>
      </c>
      <c r="E786" s="58">
        <v>2.0</v>
      </c>
      <c r="F786" s="141">
        <v>3700.0</v>
      </c>
      <c r="G786" s="142">
        <v>2778.13</v>
      </c>
      <c r="H786" s="143">
        <v>5556.26</v>
      </c>
      <c r="I786" s="141">
        <v>7400.0</v>
      </c>
      <c r="J786" s="27" t="s">
        <v>3</v>
      </c>
    </row>
    <row r="787">
      <c r="A787" s="74">
        <v>45874.0</v>
      </c>
      <c r="B787" s="92"/>
      <c r="C787" s="98">
        <v>149.0</v>
      </c>
      <c r="D787" s="87" t="str">
        <f>IF(Tabla_3[COD]="","",VLOOKUP(Tabla_3[COD],'Stock inicial'!A:D,2,FALSE))</f>
        <v>PALITOS MASTICABLES IZZY x6</v>
      </c>
      <c r="E787" s="59">
        <v>1.0</v>
      </c>
      <c r="F787" s="141">
        <v>600.0</v>
      </c>
      <c r="G787" s="142">
        <v>238.56</v>
      </c>
      <c r="H787" s="143">
        <v>238.56</v>
      </c>
      <c r="I787" s="141">
        <v>600.0</v>
      </c>
      <c r="J787" s="27" t="s">
        <v>3</v>
      </c>
    </row>
    <row r="788">
      <c r="A788" s="78">
        <v>45874.0</v>
      </c>
      <c r="B788" s="91"/>
      <c r="C788" s="95"/>
      <c r="D788" s="81" t="s">
        <v>384</v>
      </c>
      <c r="E788" s="58">
        <v>1.0</v>
      </c>
      <c r="F788" s="141">
        <v>-300.0</v>
      </c>
      <c r="G788" s="141">
        <v>0.0</v>
      </c>
      <c r="H788" s="141">
        <v>0.0</v>
      </c>
      <c r="I788" s="141">
        <v>-300.0</v>
      </c>
      <c r="J788" s="27" t="s">
        <v>3</v>
      </c>
    </row>
    <row r="789">
      <c r="A789" s="74">
        <v>45874.0</v>
      </c>
      <c r="B789" s="75" t="s">
        <v>385</v>
      </c>
      <c r="C789" s="96">
        <v>274.0</v>
      </c>
      <c r="D789" s="77" t="str">
        <f>IF(Tabla_3[COD]="","",VLOOKUP(Tabla_3[COD],'Stock inicial'!A:D,2,FALSE))</f>
        <v>PERFUMINA CHERRY 5L</v>
      </c>
      <c r="E789" s="59">
        <v>1.0</v>
      </c>
      <c r="F789" s="141">
        <v>1499.0</v>
      </c>
      <c r="G789" s="142">
        <v>728.25</v>
      </c>
      <c r="H789" s="143">
        <v>728.25</v>
      </c>
      <c r="I789" s="141">
        <v>1499.0</v>
      </c>
      <c r="J789" s="27" t="s">
        <v>3</v>
      </c>
    </row>
    <row r="790">
      <c r="A790" s="78">
        <v>45874.0</v>
      </c>
      <c r="B790" s="91"/>
      <c r="C790" s="99">
        <v>290.0</v>
      </c>
      <c r="D790" s="81" t="str">
        <f>IF(Tabla_3[COD]="","",VLOOKUP(Tabla_3[COD],'Stock inicial'!A:D,2,FALSE))</f>
        <v>LAVANDINA 5L</v>
      </c>
      <c r="E790" s="58">
        <v>1.0</v>
      </c>
      <c r="F790" s="141">
        <v>2499.0</v>
      </c>
      <c r="G790" s="142">
        <v>1586.0</v>
      </c>
      <c r="H790" s="143">
        <v>1586.0</v>
      </c>
      <c r="I790" s="141">
        <v>2499.0</v>
      </c>
      <c r="J790" s="27" t="s">
        <v>3</v>
      </c>
    </row>
    <row r="791">
      <c r="A791" s="74">
        <v>45874.0</v>
      </c>
      <c r="B791" s="75" t="s">
        <v>386</v>
      </c>
      <c r="C791" s="96">
        <v>246.0</v>
      </c>
      <c r="D791" s="77" t="str">
        <f>IF(Tabla_3[COD]="","",VLOOKUP(Tabla_3[COD],'Stock inicial'!A:D,2,FALSE))</f>
        <v>ARIEL ECO (VERDE) 5L</v>
      </c>
      <c r="E791" s="59">
        <v>1.0</v>
      </c>
      <c r="F791" s="141">
        <v>2500.0</v>
      </c>
      <c r="G791" s="142">
        <v>1584.0</v>
      </c>
      <c r="H791" s="143">
        <v>1584.0</v>
      </c>
      <c r="I791" s="141">
        <v>2500.0</v>
      </c>
      <c r="J791" s="27" t="s">
        <v>3</v>
      </c>
    </row>
    <row r="792">
      <c r="A792" s="78">
        <v>45874.0</v>
      </c>
      <c r="B792" s="91"/>
      <c r="C792" s="99">
        <v>273.0</v>
      </c>
      <c r="D792" s="81" t="str">
        <f>IF(Tabla_3[COD]="","",VLOOKUP(Tabla_3[COD],'Stock inicial'!A:D,2,FALSE))</f>
        <v>PERFUMINA CHERRY 1L</v>
      </c>
      <c r="E792" s="58">
        <v>1.0</v>
      </c>
      <c r="F792" s="141">
        <v>290.0</v>
      </c>
      <c r="G792" s="142">
        <v>57.45</v>
      </c>
      <c r="H792" s="143">
        <v>57.45</v>
      </c>
      <c r="I792" s="141">
        <v>290.0</v>
      </c>
      <c r="J792" s="27" t="s">
        <v>3</v>
      </c>
    </row>
    <row r="793">
      <c r="A793" s="74">
        <v>45874.0</v>
      </c>
      <c r="B793" s="92"/>
      <c r="C793" s="98">
        <v>257.0</v>
      </c>
      <c r="D793" s="87" t="str">
        <f>IF(Tabla_3[COD]="","",VLOOKUP(Tabla_3[COD],'Stock inicial'!A:D,2,FALSE))</f>
        <v>MAGISTRAL ECO (LIMON AMARILLO) 1L</v>
      </c>
      <c r="E793" s="59">
        <v>1.0</v>
      </c>
      <c r="F793" s="141">
        <v>690.0</v>
      </c>
      <c r="G793" s="142">
        <v>280.0</v>
      </c>
      <c r="H793" s="143">
        <v>280.0</v>
      </c>
      <c r="I793" s="141">
        <v>690.0</v>
      </c>
      <c r="J793" s="27" t="s">
        <v>3</v>
      </c>
    </row>
    <row r="794">
      <c r="A794" s="78">
        <v>45874.0</v>
      </c>
      <c r="B794" s="91"/>
      <c r="C794" s="99">
        <v>289.0</v>
      </c>
      <c r="D794" s="81" t="str">
        <f>IF(Tabla_3[COD]="","",VLOOKUP(Tabla_3[COD],'Stock inicial'!A:D,2,FALSE))</f>
        <v>LAVANDINA 1L</v>
      </c>
      <c r="E794" s="58">
        <v>1.0</v>
      </c>
      <c r="F794" s="141">
        <v>499.0</v>
      </c>
      <c r="G794" s="142">
        <v>229.0</v>
      </c>
      <c r="H794" s="143">
        <v>229.0</v>
      </c>
      <c r="I794" s="141">
        <v>499.0</v>
      </c>
      <c r="J794" s="27" t="s">
        <v>3</v>
      </c>
    </row>
    <row r="795">
      <c r="A795" s="74">
        <v>45874.0</v>
      </c>
      <c r="B795" s="140"/>
      <c r="C795" s="96">
        <v>165.0</v>
      </c>
      <c r="D795" s="77" t="str">
        <f>IF(Tabla_3[COD]="","",VLOOKUP(Tabla_3[COD],'Stock inicial'!A:D,2,FALSE))</f>
        <v>SHAMPOO MASCOTA X 300 CC</v>
      </c>
      <c r="E795" s="59">
        <v>1.0</v>
      </c>
      <c r="F795" s="141">
        <v>0.0</v>
      </c>
      <c r="G795" s="142">
        <v>4416.0</v>
      </c>
      <c r="H795" s="143">
        <v>4416.0</v>
      </c>
      <c r="I795" s="141">
        <v>0.0</v>
      </c>
      <c r="J795" s="27" t="s">
        <v>29</v>
      </c>
    </row>
    <row r="796">
      <c r="A796" s="78">
        <v>45874.0</v>
      </c>
      <c r="B796" s="82" t="s">
        <v>387</v>
      </c>
      <c r="C796" s="40">
        <v>226.0</v>
      </c>
      <c r="D796" s="84" t="str">
        <f>IF(Tabla_3[COD]="","",VLOOKUP(Tabla_3[COD],'Stock inicial'!A:D,2,FALSE))</f>
        <v>GATI GATO CARNE Y POLLO</v>
      </c>
      <c r="E796" s="58">
        <v>1.3</v>
      </c>
      <c r="F796" s="141">
        <v>2700.0</v>
      </c>
      <c r="G796" s="142">
        <v>2073.33</v>
      </c>
      <c r="H796" s="143">
        <v>2695.329</v>
      </c>
      <c r="I796" s="141">
        <v>3510.0</v>
      </c>
      <c r="J796" s="27" t="s">
        <v>11</v>
      </c>
    </row>
    <row r="797">
      <c r="A797" s="74">
        <v>45874.0</v>
      </c>
      <c r="B797" s="92"/>
      <c r="C797" s="51">
        <v>357.0</v>
      </c>
      <c r="D797" s="87" t="str">
        <f>IF(Tabla_3[COD]="","",VLOOKUP(Tabla_3[COD],'Stock inicial'!A:D,2,FALSE))</f>
        <v>PAPEL HIGIENICO "ELEGANTE"</v>
      </c>
      <c r="E797" s="59">
        <v>1.0</v>
      </c>
      <c r="F797" s="141">
        <v>1900.0</v>
      </c>
      <c r="G797" s="142">
        <v>1170.0</v>
      </c>
      <c r="H797" s="143">
        <v>1170.0</v>
      </c>
      <c r="I797" s="141">
        <v>1900.0</v>
      </c>
      <c r="J797" s="27" t="s">
        <v>11</v>
      </c>
    </row>
    <row r="798">
      <c r="A798" s="78">
        <v>45875.0</v>
      </c>
      <c r="B798" s="82" t="s">
        <v>388</v>
      </c>
      <c r="C798" s="40">
        <v>212.0</v>
      </c>
      <c r="D798" s="84" t="str">
        <f>IF(Tabla_3[COD]="","",VLOOKUP(Tabla_3[COD],'Stock inicial'!A:D,2,FALSE))</f>
        <v>DOGPRO ADULTO MORDIDA PEQUEñA XKG</v>
      </c>
      <c r="E798" s="58">
        <v>1.62</v>
      </c>
      <c r="F798" s="141">
        <v>3700.0</v>
      </c>
      <c r="G798" s="142">
        <v>2778.13</v>
      </c>
      <c r="H798" s="143">
        <v>4500.570600000001</v>
      </c>
      <c r="I798" s="141">
        <v>5994.0</v>
      </c>
      <c r="J798" s="27" t="s">
        <v>3</v>
      </c>
    </row>
    <row r="799">
      <c r="A799" s="74">
        <v>45875.0</v>
      </c>
      <c r="B799" s="92"/>
      <c r="C799" s="51">
        <v>230.0</v>
      </c>
      <c r="D799" s="87" t="str">
        <f>IF(Tabla_3[COD]="","",VLOOKUP(Tabla_3[COD],'Stock inicial'!A:D,2,FALSE))</f>
        <v>EXCELLENT PERRO ADULTO BONUS 20K +2</v>
      </c>
      <c r="E799" s="59">
        <v>1.03</v>
      </c>
      <c r="F799" s="141">
        <v>3900.0</v>
      </c>
      <c r="G799" s="142">
        <v>2690.89</v>
      </c>
      <c r="H799" s="143">
        <v>2771.6167</v>
      </c>
      <c r="I799" s="141">
        <v>4017.0</v>
      </c>
      <c r="J799" s="27" t="s">
        <v>3</v>
      </c>
    </row>
    <row r="800">
      <c r="A800" s="78">
        <v>45875.0</v>
      </c>
      <c r="B800" s="91"/>
      <c r="C800" s="50">
        <v>278.0</v>
      </c>
      <c r="D800" s="81" t="str">
        <f>IF(Tabla_3[COD]="","",VLOOKUP(Tabla_3[COD],'Stock inicial'!A:D,2,FALSE))</f>
        <v>PERFUMINA LIMON 5L</v>
      </c>
      <c r="E800" s="58">
        <v>1.0</v>
      </c>
      <c r="F800" s="141">
        <v>1499.0</v>
      </c>
      <c r="G800" s="142">
        <v>532.25</v>
      </c>
      <c r="H800" s="143">
        <v>532.25</v>
      </c>
      <c r="I800" s="141">
        <v>1499.0</v>
      </c>
      <c r="J800" s="27" t="s">
        <v>3</v>
      </c>
    </row>
    <row r="801">
      <c r="A801" s="74">
        <v>45875.0</v>
      </c>
      <c r="B801" s="75" t="s">
        <v>389</v>
      </c>
      <c r="C801" s="96">
        <v>257.0</v>
      </c>
      <c r="D801" s="77" t="str">
        <f>IF(Tabla_3[COD]="","",VLOOKUP(Tabla_3[COD],'Stock inicial'!A:D,2,FALSE))</f>
        <v>MAGISTRAL ECO (LIMON AMARILLO) 1L</v>
      </c>
      <c r="E801" s="59">
        <v>1.0</v>
      </c>
      <c r="F801" s="141">
        <v>690.0</v>
      </c>
      <c r="G801" s="142">
        <v>280.0</v>
      </c>
      <c r="H801" s="143">
        <v>280.0</v>
      </c>
      <c r="I801" s="141">
        <v>690.0</v>
      </c>
      <c r="J801" s="27" t="s">
        <v>3</v>
      </c>
    </row>
    <row r="802">
      <c r="A802" s="78">
        <v>45875.0</v>
      </c>
      <c r="B802" s="91"/>
      <c r="C802" s="99">
        <v>2912.0</v>
      </c>
      <c r="D802" s="81" t="str">
        <f>IF(Tabla_3[COD]="","",VLOOKUP(Tabla_3[COD],'Stock inicial'!A:D,2,FALSE))</f>
        <v>CLORO 5L</v>
      </c>
      <c r="E802" s="58">
        <v>1.0</v>
      </c>
      <c r="F802" s="141">
        <v>4200.0</v>
      </c>
      <c r="G802" s="142">
        <v>2650.0</v>
      </c>
      <c r="H802" s="143">
        <v>2650.0</v>
      </c>
      <c r="I802" s="141">
        <v>4200.0</v>
      </c>
      <c r="J802" s="27" t="s">
        <v>3</v>
      </c>
    </row>
    <row r="803">
      <c r="A803" s="74">
        <v>45875.0</v>
      </c>
      <c r="B803" s="75" t="s">
        <v>390</v>
      </c>
      <c r="C803" s="96">
        <v>246.0</v>
      </c>
      <c r="D803" s="77" t="str">
        <f>IF(Tabla_3[COD]="","",VLOOKUP(Tabla_3[COD],'Stock inicial'!A:D,2,FALSE))</f>
        <v>ARIEL ECO (VERDE) 5L</v>
      </c>
      <c r="E803" s="59">
        <v>1.0</v>
      </c>
      <c r="F803" s="141">
        <v>1990.0</v>
      </c>
      <c r="G803" s="142">
        <v>1143.0</v>
      </c>
      <c r="H803" s="143">
        <v>1143.0</v>
      </c>
      <c r="I803" s="141">
        <v>1990.0</v>
      </c>
      <c r="J803" s="27" t="s">
        <v>3</v>
      </c>
    </row>
    <row r="804">
      <c r="A804" s="78">
        <v>45875.0</v>
      </c>
      <c r="B804" s="91"/>
      <c r="C804" s="99">
        <v>256.0</v>
      </c>
      <c r="D804" s="81" t="str">
        <f>IF(Tabla_3[COD]="","",VLOOKUP(Tabla_3[COD],'Stock inicial'!A:D,2,FALSE))</f>
        <v>VIVERE EXT. PERF. (CELESTE) 5L</v>
      </c>
      <c r="E804" s="58">
        <v>1.0</v>
      </c>
      <c r="F804" s="141">
        <v>3499.0</v>
      </c>
      <c r="G804" s="142">
        <v>1770.0</v>
      </c>
      <c r="H804" s="143">
        <v>1770.0</v>
      </c>
      <c r="I804" s="141">
        <v>3499.0</v>
      </c>
      <c r="J804" s="27" t="s">
        <v>3</v>
      </c>
    </row>
    <row r="805">
      <c r="A805" s="74">
        <v>45875.0</v>
      </c>
      <c r="B805" s="75" t="s">
        <v>391</v>
      </c>
      <c r="C805" s="138"/>
      <c r="D805" s="77" t="s">
        <v>392</v>
      </c>
      <c r="E805" s="59">
        <v>1.0</v>
      </c>
      <c r="F805" s="141">
        <v>32000.0</v>
      </c>
      <c r="G805" s="141">
        <v>19230.0</v>
      </c>
      <c r="H805" s="141">
        <v>19230.0</v>
      </c>
      <c r="I805" s="141">
        <v>32000.0</v>
      </c>
      <c r="J805" s="27" t="s">
        <v>11</v>
      </c>
    </row>
    <row r="806">
      <c r="A806" s="78">
        <v>45875.0</v>
      </c>
      <c r="B806" s="193"/>
      <c r="C806" s="128">
        <v>212.0</v>
      </c>
      <c r="D806" s="129" t="str">
        <f>IF(Tabla_3[COD]="","",VLOOKUP(Tabla_3[COD],'Stock inicial'!A:D,2,FALSE))</f>
        <v>DOGPRO ADULTO MORDIDA PEQUEñA XKG</v>
      </c>
      <c r="E806" s="58">
        <v>1.2</v>
      </c>
      <c r="F806" s="141">
        <v>0.0</v>
      </c>
      <c r="G806" s="142">
        <v>2778.13</v>
      </c>
      <c r="H806" s="143">
        <v>3333.756</v>
      </c>
      <c r="I806" s="141">
        <v>0.0</v>
      </c>
      <c r="J806" s="27" t="s">
        <v>29</v>
      </c>
    </row>
    <row r="807">
      <c r="A807" s="74">
        <v>45875.0</v>
      </c>
      <c r="B807" s="100" t="s">
        <v>393</v>
      </c>
      <c r="C807" s="51">
        <v>261.0</v>
      </c>
      <c r="D807" s="87" t="str">
        <f>IF(Tabla_3[COD]="","",VLOOKUP(Tabla_3[COD],'Stock inicial'!A:D,2,FALSE))</f>
        <v>LAVANDINA EN GEL</v>
      </c>
      <c r="E807" s="59">
        <v>1.0</v>
      </c>
      <c r="F807" s="141">
        <v>1499.0</v>
      </c>
      <c r="G807" s="142">
        <v>944.0</v>
      </c>
      <c r="H807" s="143">
        <v>944.0</v>
      </c>
      <c r="I807" s="141">
        <v>1499.0</v>
      </c>
      <c r="J807" s="27" t="s">
        <v>3</v>
      </c>
    </row>
    <row r="808">
      <c r="A808" s="78">
        <v>45875.0</v>
      </c>
      <c r="B808" s="91"/>
      <c r="C808" s="50">
        <v>270.0</v>
      </c>
      <c r="D808" s="81" t="str">
        <f>IF(Tabla_3[COD]="","",VLOOKUP(Tabla_3[COD],'Stock inicial'!A:D,2,FALSE))</f>
        <v>HECHO EN BALDE 1L</v>
      </c>
      <c r="E808" s="58">
        <v>1.0</v>
      </c>
      <c r="F808" s="141">
        <v>1299.0</v>
      </c>
      <c r="G808" s="142">
        <v>705.4</v>
      </c>
      <c r="H808" s="143">
        <v>705.4</v>
      </c>
      <c r="I808" s="141">
        <v>1299.0</v>
      </c>
      <c r="J808" s="27" t="s">
        <v>3</v>
      </c>
    </row>
    <row r="809">
      <c r="A809" s="74">
        <v>45875.0</v>
      </c>
      <c r="B809" s="92"/>
      <c r="C809" s="51">
        <v>277.0</v>
      </c>
      <c r="D809" s="87" t="str">
        <f>IF(Tabla_3[COD]="","",VLOOKUP(Tabla_3[COD],'Stock inicial'!A:D,2,FALSE))</f>
        <v>PERFUMINA LIMON 1L</v>
      </c>
      <c r="E809" s="59">
        <v>1.0</v>
      </c>
      <c r="F809" s="141">
        <v>599.0</v>
      </c>
      <c r="G809" s="142">
        <v>352.45</v>
      </c>
      <c r="H809" s="143">
        <v>352.45</v>
      </c>
      <c r="I809" s="141">
        <v>599.0</v>
      </c>
      <c r="J809" s="27" t="s">
        <v>3</v>
      </c>
    </row>
    <row r="810">
      <c r="A810" s="78">
        <v>45875.0</v>
      </c>
      <c r="B810" s="91"/>
      <c r="C810" s="50">
        <v>340.0</v>
      </c>
      <c r="D810" s="81" t="str">
        <f>IF(Tabla_3[COD]="","",VLOOKUP(Tabla_3[COD],'Stock inicial'!A:D,2,FALSE))</f>
        <v>ESPONJA BATUQUE ECO</v>
      </c>
      <c r="E810" s="58">
        <v>1.0</v>
      </c>
      <c r="F810" s="141">
        <v>499.0</v>
      </c>
      <c r="G810" s="142">
        <v>225.0</v>
      </c>
      <c r="H810" s="143">
        <v>225.0</v>
      </c>
      <c r="I810" s="141">
        <v>499.0</v>
      </c>
      <c r="J810" s="27" t="s">
        <v>3</v>
      </c>
    </row>
    <row r="811">
      <c r="A811" s="74">
        <v>45876.0</v>
      </c>
      <c r="B811" s="75" t="s">
        <v>394</v>
      </c>
      <c r="C811" s="155">
        <v>152.0</v>
      </c>
      <c r="D811" s="77" t="str">
        <f>IF(Tabla_3[COD]="","",VLOOKUP(Tabla_3[COD],'Stock inicial'!A:D,2,FALSE))</f>
        <v>OREJAS BOVINAS</v>
      </c>
      <c r="E811" s="59">
        <v>2.0</v>
      </c>
      <c r="F811" s="141">
        <v>800.0</v>
      </c>
      <c r="G811" s="142">
        <v>330.0</v>
      </c>
      <c r="H811" s="143">
        <v>660.0</v>
      </c>
      <c r="I811" s="141">
        <v>1600.0</v>
      </c>
      <c r="J811" s="27" t="s">
        <v>3</v>
      </c>
    </row>
    <row r="812">
      <c r="A812" s="78">
        <v>45876.0</v>
      </c>
      <c r="B812" s="82" t="s">
        <v>395</v>
      </c>
      <c r="C812" s="40">
        <v>227.0</v>
      </c>
      <c r="D812" s="84" t="str">
        <f>IF(Tabla_3[COD]="","",VLOOKUP(Tabla_3[COD],'Stock inicial'!A:D,2,FALSE))</f>
        <v>CATPRO GATO ADULTO</v>
      </c>
      <c r="E812" s="58">
        <v>1.0</v>
      </c>
      <c r="F812" s="141">
        <v>5250.0</v>
      </c>
      <c r="G812" s="142">
        <v>3657.41</v>
      </c>
      <c r="H812" s="143">
        <v>3657.41</v>
      </c>
      <c r="I812" s="141">
        <v>5250.0</v>
      </c>
      <c r="J812" s="27" t="s">
        <v>3</v>
      </c>
    </row>
    <row r="813">
      <c r="A813" s="74">
        <v>45876.0</v>
      </c>
      <c r="B813" s="75" t="s">
        <v>396</v>
      </c>
      <c r="C813" s="96">
        <v>214.0</v>
      </c>
      <c r="D813" s="77" t="str">
        <f>IF(Tabla_3[COD]="","",VLOOKUP(Tabla_3[COD],'Stock inicial'!A:D,2,FALSE))</f>
        <v>DOGPRO ADULTO SUPER PREMIUM XKG</v>
      </c>
      <c r="E813" s="59">
        <v>2.0</v>
      </c>
      <c r="F813" s="141">
        <v>3700.0</v>
      </c>
      <c r="G813" s="142">
        <v>2324.4</v>
      </c>
      <c r="H813" s="143">
        <v>4648.8</v>
      </c>
      <c r="I813" s="141">
        <v>7400.0</v>
      </c>
      <c r="J813" s="27" t="s">
        <v>3</v>
      </c>
    </row>
    <row r="814">
      <c r="A814" s="78">
        <v>45876.0</v>
      </c>
      <c r="B814" s="91"/>
      <c r="C814" s="99">
        <v>149.0</v>
      </c>
      <c r="D814" s="81" t="str">
        <f>IF(Tabla_3[COD]="","",VLOOKUP(Tabla_3[COD],'Stock inicial'!A:D,2,FALSE))</f>
        <v>PALITOS MASTICABLES IZZY x6</v>
      </c>
      <c r="E814" s="58">
        <v>1.0</v>
      </c>
      <c r="F814" s="141">
        <v>0.0</v>
      </c>
      <c r="G814" s="142">
        <v>238.56</v>
      </c>
      <c r="H814" s="143">
        <v>238.56</v>
      </c>
      <c r="I814" s="141">
        <v>0.0</v>
      </c>
      <c r="J814" s="27" t="s">
        <v>3</v>
      </c>
    </row>
    <row r="815">
      <c r="A815" s="74">
        <v>45876.0</v>
      </c>
      <c r="B815" s="75" t="s">
        <v>397</v>
      </c>
      <c r="C815" s="96">
        <v>162.0</v>
      </c>
      <c r="D815" s="77" t="str">
        <f>IF(Tabla_3[COD]="","",VLOOKUP(Tabla_3[COD],'Stock inicial'!A:D,2,FALSE))</f>
        <v>PIEDRA SANITARIA THEBEST X20KG</v>
      </c>
      <c r="E815" s="59">
        <v>4.5</v>
      </c>
      <c r="F815" s="141">
        <v>680.0</v>
      </c>
      <c r="G815" s="142">
        <v>440.0</v>
      </c>
      <c r="H815" s="143">
        <v>1980.0</v>
      </c>
      <c r="I815" s="141">
        <v>3060.0</v>
      </c>
      <c r="J815" s="27" t="s">
        <v>3</v>
      </c>
    </row>
    <row r="816">
      <c r="A816" s="78">
        <v>45876.0</v>
      </c>
      <c r="B816" s="82" t="s">
        <v>398</v>
      </c>
      <c r="C816" s="40">
        <v>248.0</v>
      </c>
      <c r="D816" s="84" t="str">
        <f>IF(Tabla_3[COD]="","",VLOOKUP(Tabla_3[COD],'Stock inicial'!A:D,2,FALSE))</f>
        <v>ARIEL PREMIUM (VERDE) 5L</v>
      </c>
      <c r="E816" s="58">
        <v>1.0</v>
      </c>
      <c r="F816" s="141">
        <v>3199.0</v>
      </c>
      <c r="G816" s="142">
        <v>2056.5</v>
      </c>
      <c r="H816" s="143">
        <v>2056.5</v>
      </c>
      <c r="I816" s="141">
        <v>3199.0</v>
      </c>
      <c r="J816" s="27" t="s">
        <v>3</v>
      </c>
    </row>
    <row r="817">
      <c r="A817" s="74">
        <v>45876.0</v>
      </c>
      <c r="B817" s="92"/>
      <c r="C817" s="51">
        <v>256.0</v>
      </c>
      <c r="D817" s="87" t="str">
        <f>IF(Tabla_3[COD]="","",VLOOKUP(Tabla_3[COD],'Stock inicial'!A:D,2,FALSE))</f>
        <v>VIVERE EXT. PERF. (CELESTE) 5L</v>
      </c>
      <c r="E817" s="59">
        <v>1.0</v>
      </c>
      <c r="F817" s="141">
        <v>3499.0</v>
      </c>
      <c r="G817" s="142">
        <v>2211.0</v>
      </c>
      <c r="H817" s="143">
        <v>2211.0</v>
      </c>
      <c r="I817" s="141">
        <v>3499.0</v>
      </c>
      <c r="J817" s="27" t="s">
        <v>3</v>
      </c>
    </row>
    <row r="818">
      <c r="A818" s="78">
        <v>45876.0</v>
      </c>
      <c r="B818" s="91"/>
      <c r="C818" s="50">
        <v>259.0</v>
      </c>
      <c r="D818" s="81" t="str">
        <f>IF(Tabla_3[COD]="","",VLOOKUP(Tabla_3[COD],'Stock inicial'!A:D,2,FALSE))</f>
        <v>ALOE VERA (VERDE) 1L</v>
      </c>
      <c r="E818" s="58">
        <v>1.0</v>
      </c>
      <c r="F818" s="141">
        <v>1299.0</v>
      </c>
      <c r="G818" s="142">
        <v>727.0</v>
      </c>
      <c r="H818" s="143">
        <v>727.0</v>
      </c>
      <c r="I818" s="141">
        <v>1299.0</v>
      </c>
      <c r="J818" s="27" t="s">
        <v>3</v>
      </c>
    </row>
    <row r="819">
      <c r="A819" s="74">
        <v>45876.0</v>
      </c>
      <c r="B819" s="92"/>
      <c r="C819" s="51">
        <v>274.0</v>
      </c>
      <c r="D819" s="87" t="str">
        <f>IF(Tabla_3[COD]="","",VLOOKUP(Tabla_3[COD],'Stock inicial'!A:D,2,FALSE))</f>
        <v>PERFUMINA CHERRY 5L</v>
      </c>
      <c r="E819" s="59">
        <v>1.0</v>
      </c>
      <c r="F819" s="141">
        <v>1499.0</v>
      </c>
      <c r="G819" s="142">
        <v>532.25</v>
      </c>
      <c r="H819" s="143">
        <v>532.25</v>
      </c>
      <c r="I819" s="141">
        <v>1499.0</v>
      </c>
      <c r="J819" s="27" t="s">
        <v>3</v>
      </c>
    </row>
    <row r="820">
      <c r="A820" s="78">
        <v>45876.0</v>
      </c>
      <c r="B820" s="82" t="s">
        <v>399</v>
      </c>
      <c r="C820" s="40">
        <v>246.0</v>
      </c>
      <c r="D820" s="84" t="str">
        <f>IF(Tabla_3[COD]="","",VLOOKUP(Tabla_3[COD],'Stock inicial'!A:D,2,FALSE))</f>
        <v>ARIEL ECO (VERDE) 5L</v>
      </c>
      <c r="E820" s="58">
        <v>1.0</v>
      </c>
      <c r="F820" s="141">
        <v>1990.0</v>
      </c>
      <c r="G820" s="142">
        <v>1143.0</v>
      </c>
      <c r="H820" s="143">
        <v>1143.0</v>
      </c>
      <c r="I820" s="141">
        <v>1990.0</v>
      </c>
      <c r="J820" s="27" t="s">
        <v>11</v>
      </c>
    </row>
    <row r="821">
      <c r="A821" s="74">
        <v>45876.0</v>
      </c>
      <c r="B821" s="92"/>
      <c r="C821" s="51">
        <v>255.0</v>
      </c>
      <c r="D821" s="87" t="str">
        <f>IF(Tabla_3[COD]="","",VLOOKUP(Tabla_3[COD],'Stock inicial'!A:D,2,FALSE))</f>
        <v>VIVERE EXT. PERF. (CELESTE) 1L</v>
      </c>
      <c r="E821" s="59">
        <v>1.0</v>
      </c>
      <c r="F821" s="141">
        <v>999.0</v>
      </c>
      <c r="G821" s="142">
        <v>380.0</v>
      </c>
      <c r="H821" s="143">
        <v>380.0</v>
      </c>
      <c r="I821" s="141">
        <v>999.0</v>
      </c>
      <c r="J821" s="27" t="s">
        <v>11</v>
      </c>
    </row>
    <row r="822">
      <c r="A822" s="78">
        <v>45876.0</v>
      </c>
      <c r="B822" s="91"/>
      <c r="C822" s="50">
        <v>261.0</v>
      </c>
      <c r="D822" s="81" t="str">
        <f>IF(Tabla_3[COD]="","",VLOOKUP(Tabla_3[COD],'Stock inicial'!A:D,2,FALSE))</f>
        <v>LAVANDINA EN GEL</v>
      </c>
      <c r="E822" s="58">
        <v>1.0</v>
      </c>
      <c r="F822" s="141">
        <v>1200.0</v>
      </c>
      <c r="G822" s="142">
        <v>649.0</v>
      </c>
      <c r="H822" s="143">
        <v>649.0</v>
      </c>
      <c r="I822" s="141">
        <v>1200.0</v>
      </c>
      <c r="J822" s="27" t="s">
        <v>3</v>
      </c>
    </row>
    <row r="823">
      <c r="A823" s="74">
        <v>45877.0</v>
      </c>
      <c r="B823" s="75" t="s">
        <v>400</v>
      </c>
      <c r="C823" s="155">
        <v>248.0</v>
      </c>
      <c r="D823" s="77" t="str">
        <f>IF(Tabla_3[COD]="","",VLOOKUP(Tabla_3[COD],'Stock inicial'!A:D,2,FALSE))</f>
        <v>ARIEL PREMIUM (VERDE) 5L</v>
      </c>
      <c r="E823" s="59">
        <v>2.0</v>
      </c>
      <c r="F823" s="141">
        <v>2700.0</v>
      </c>
      <c r="G823" s="142">
        <v>1615.5</v>
      </c>
      <c r="H823" s="143">
        <v>3231.0</v>
      </c>
      <c r="I823" s="141">
        <v>5400.0</v>
      </c>
      <c r="J823" s="27" t="s">
        <v>3</v>
      </c>
    </row>
    <row r="824">
      <c r="A824" s="78">
        <v>45877.0</v>
      </c>
      <c r="B824" s="91"/>
      <c r="C824" s="50">
        <v>258.0</v>
      </c>
      <c r="D824" s="81" t="str">
        <f>IF(Tabla_3[COD]="","",VLOOKUP(Tabla_3[COD],'Stock inicial'!A:D,2,FALSE))</f>
        <v>MAGISTRAL ECO (LIMON AMARILLO) 5L</v>
      </c>
      <c r="E824" s="58">
        <v>1.0</v>
      </c>
      <c r="F824" s="141">
        <v>2490.0</v>
      </c>
      <c r="G824" s="142">
        <v>1400.0</v>
      </c>
      <c r="H824" s="143">
        <v>1400.0</v>
      </c>
      <c r="I824" s="141">
        <v>2490.0</v>
      </c>
      <c r="J824" s="27" t="s">
        <v>3</v>
      </c>
    </row>
    <row r="825">
      <c r="A825" s="74">
        <v>45877.0</v>
      </c>
      <c r="B825" s="92"/>
      <c r="C825" s="98">
        <v>385.0</v>
      </c>
      <c r="D825" s="87" t="str">
        <f>IF(Tabla_3[COD]="","",VLOOKUP(Tabla_3[COD],'Stock inicial'!A:D,2,FALSE))</f>
        <v>SAHUMERIOS SUELTOS X6</v>
      </c>
      <c r="E825" s="59">
        <v>2.0</v>
      </c>
      <c r="F825" s="141">
        <v>1000.0</v>
      </c>
      <c r="G825" s="142">
        <v>360.0</v>
      </c>
      <c r="H825" s="143">
        <v>720.0</v>
      </c>
      <c r="I825" s="141">
        <v>2000.0</v>
      </c>
      <c r="J825" s="27" t="s">
        <v>3</v>
      </c>
    </row>
    <row r="826">
      <c r="A826" s="78">
        <v>45877.0</v>
      </c>
      <c r="B826" s="82" t="s">
        <v>401</v>
      </c>
      <c r="C826" s="97">
        <v>264.0</v>
      </c>
      <c r="D826" s="84" t="str">
        <f>IF(Tabla_3[COD]="","",VLOOKUP(Tabla_3[COD],'Stock inicial'!A:D,2,FALSE))</f>
        <v>BICARBONATO x100g</v>
      </c>
      <c r="E826" s="58">
        <v>9.0</v>
      </c>
      <c r="F826" s="141">
        <v>500.0</v>
      </c>
      <c r="G826" s="142">
        <v>235.69</v>
      </c>
      <c r="H826" s="143">
        <v>2121.21</v>
      </c>
      <c r="I826" s="141">
        <v>4500.0</v>
      </c>
      <c r="J826" s="27" t="s">
        <v>3</v>
      </c>
    </row>
    <row r="827">
      <c r="A827" s="74">
        <v>45877.0</v>
      </c>
      <c r="B827" s="75" t="s">
        <v>402</v>
      </c>
      <c r="C827" s="96">
        <v>341.0</v>
      </c>
      <c r="D827" s="77" t="str">
        <f>IF(Tabla_3[COD]="","",VLOOKUP(Tabla_3[COD],'Stock inicial'!A:D,2,FALSE))</f>
        <v>BOLSA C 60X90</v>
      </c>
      <c r="E827" s="59">
        <v>1.0</v>
      </c>
      <c r="F827" s="141">
        <v>1000.0</v>
      </c>
      <c r="G827" s="142">
        <v>596.0</v>
      </c>
      <c r="H827" s="143">
        <v>596.0</v>
      </c>
      <c r="I827" s="141">
        <v>1000.0</v>
      </c>
      <c r="J827" s="27" t="s">
        <v>3</v>
      </c>
    </row>
    <row r="828">
      <c r="A828" s="78">
        <v>45877.0</v>
      </c>
      <c r="B828" s="82" t="s">
        <v>403</v>
      </c>
      <c r="C828" s="97">
        <v>162.0</v>
      </c>
      <c r="D828" s="84" t="str">
        <f>IF(Tabla_3[COD]="","",VLOOKUP(Tabla_3[COD],'Stock inicial'!A:D,2,FALSE))</f>
        <v>PIEDRA SANITARIA THEBEST X20KG</v>
      </c>
      <c r="E828" s="58">
        <v>6.0</v>
      </c>
      <c r="F828" s="141">
        <v>680.0</v>
      </c>
      <c r="G828" s="142">
        <v>440.0</v>
      </c>
      <c r="H828" s="143">
        <v>2640.0</v>
      </c>
      <c r="I828" s="141">
        <v>4080.0</v>
      </c>
      <c r="J828" s="27" t="s">
        <v>3</v>
      </c>
    </row>
    <row r="829">
      <c r="A829" s="74">
        <v>45877.0</v>
      </c>
      <c r="B829" s="75" t="s">
        <v>404</v>
      </c>
      <c r="C829" s="155">
        <v>229.0</v>
      </c>
      <c r="D829" s="77" t="str">
        <f>IF(Tabla_3[COD]="","",VLOOKUP(Tabla_3[COD],'Stock inicial'!A:D,2,FALSE))</f>
        <v>EXCELLENT GATO ADULTO</v>
      </c>
      <c r="E829" s="59">
        <v>1.0</v>
      </c>
      <c r="F829" s="141">
        <v>7500.0</v>
      </c>
      <c r="G829" s="142">
        <v>5239.88</v>
      </c>
      <c r="H829" s="143">
        <v>5239.88</v>
      </c>
      <c r="I829" s="141">
        <v>7500.0</v>
      </c>
      <c r="J829" s="27" t="s">
        <v>11</v>
      </c>
    </row>
    <row r="830">
      <c r="A830" s="78">
        <v>45877.0</v>
      </c>
      <c r="B830" s="82" t="s">
        <v>405</v>
      </c>
      <c r="C830" s="40">
        <v>284.0</v>
      </c>
      <c r="D830" s="84" t="str">
        <f>IF(Tabla_3[COD]="","",VLOOKUP(Tabla_3[COD],'Stock inicial'!A:D,2,FALSE))</f>
        <v>VAINILLA/COCO ROPA 1L</v>
      </c>
      <c r="E830" s="58">
        <v>4.0</v>
      </c>
      <c r="F830" s="141">
        <v>999.0</v>
      </c>
      <c r="G830" s="142">
        <v>210.0</v>
      </c>
      <c r="H830" s="143">
        <v>1430.0</v>
      </c>
      <c r="I830" s="141">
        <v>3996.0</v>
      </c>
      <c r="J830" s="27" t="s">
        <v>3</v>
      </c>
    </row>
    <row r="831">
      <c r="A831" s="74">
        <v>45878.0</v>
      </c>
      <c r="B831" s="75" t="s">
        <v>406</v>
      </c>
      <c r="C831" s="96">
        <v>245.0</v>
      </c>
      <c r="D831" s="77" t="str">
        <f>IF(Tabla_3[COD]="","",VLOOKUP(Tabla_3[COD],'Stock inicial'!A:D,2,FALSE))</f>
        <v>ARIEL ECO (VERDE) 1L</v>
      </c>
      <c r="E831" s="59">
        <v>2.0</v>
      </c>
      <c r="F831" s="141">
        <v>600.0</v>
      </c>
      <c r="G831" s="142">
        <v>228.6</v>
      </c>
      <c r="H831" s="142">
        <f>G831*E831</f>
        <v>457.2</v>
      </c>
      <c r="I831" s="141">
        <v>890.0</v>
      </c>
      <c r="J831" s="27" t="s">
        <v>11</v>
      </c>
    </row>
    <row r="832">
      <c r="A832" s="78">
        <v>45878.0</v>
      </c>
      <c r="B832" s="82" t="s">
        <v>407</v>
      </c>
      <c r="C832" s="40">
        <v>149.0</v>
      </c>
      <c r="D832" s="84" t="str">
        <f>IF(Tabla_3[COD]="","",VLOOKUP(Tabla_3[COD],'Stock inicial'!A:D,2,FALSE))</f>
        <v>PALITOS MASTICABLES IZZY x6</v>
      </c>
      <c r="E832" s="58">
        <v>1.0</v>
      </c>
      <c r="F832" s="141">
        <v>600.0</v>
      </c>
      <c r="G832" s="142">
        <v>238.56</v>
      </c>
      <c r="H832" s="142">
        <v>238.56</v>
      </c>
      <c r="I832" s="141">
        <v>600.0</v>
      </c>
      <c r="J832" s="27" t="s">
        <v>3</v>
      </c>
    </row>
    <row r="833">
      <c r="A833" s="74">
        <v>45878.0</v>
      </c>
      <c r="B833" s="92"/>
      <c r="C833" s="51">
        <v>217.0</v>
      </c>
      <c r="D833" s="87" t="str">
        <f>IF(Tabla_3[COD]="","",VLOOKUP(Tabla_3[COD],'Stock inicial'!A:D,2,FALSE))</f>
        <v>VORAZ GATO ADULTO X2OK</v>
      </c>
      <c r="E833" s="59">
        <v>0.99</v>
      </c>
      <c r="F833" s="141">
        <v>2100.0</v>
      </c>
      <c r="G833" s="142">
        <v>1482.0</v>
      </c>
      <c r="H833" s="143">
        <f>G833*E833</f>
        <v>1467.18</v>
      </c>
      <c r="I833" s="141">
        <v>2079.0</v>
      </c>
      <c r="J833" s="27" t="s">
        <v>3</v>
      </c>
    </row>
    <row r="834">
      <c r="A834" s="78">
        <v>45878.0</v>
      </c>
      <c r="B834" s="82" t="s">
        <v>408</v>
      </c>
      <c r="C834" s="97">
        <v>1441.0</v>
      </c>
      <c r="D834" s="84" t="str">
        <f>IF(Tabla_3[COD]="","",VLOOKUP(Tabla_3[COD],'Stock inicial'!A:D,2,FALSE))</f>
        <v>CATPRO GATO LATA PESCADO 340G</v>
      </c>
      <c r="E834" s="58">
        <v>1.0</v>
      </c>
      <c r="F834" s="194">
        <v>4500.0</v>
      </c>
      <c r="G834" s="195">
        <v>2665.0</v>
      </c>
      <c r="H834" s="195">
        <v>2665.0</v>
      </c>
      <c r="I834" s="194">
        <v>4500.0</v>
      </c>
      <c r="J834" s="27" t="s">
        <v>3</v>
      </c>
    </row>
    <row r="835">
      <c r="A835" s="74">
        <v>45878.0</v>
      </c>
      <c r="B835" s="75" t="s">
        <v>409</v>
      </c>
      <c r="C835" s="96">
        <v>250.0</v>
      </c>
      <c r="D835" s="77" t="str">
        <f>IF(Tabla_3[COD]="","",VLOOKUP(Tabla_3[COD],'Stock inicial'!A:D,2,FALSE))</f>
        <v>ARIEL. EXT. PERF. (VERDE CON SUAVIZANTE) 5L</v>
      </c>
      <c r="E835" s="59">
        <v>1.0</v>
      </c>
      <c r="F835" s="194">
        <v>4000.0</v>
      </c>
      <c r="G835" s="195">
        <v>2430.0</v>
      </c>
      <c r="H835" s="195">
        <v>2430.0</v>
      </c>
      <c r="I835" s="194">
        <v>4000.0</v>
      </c>
      <c r="J835" s="27" t="s">
        <v>3</v>
      </c>
    </row>
    <row r="836">
      <c r="A836" s="78">
        <v>45878.0</v>
      </c>
      <c r="B836" s="82" t="s">
        <v>410</v>
      </c>
      <c r="C836" s="97">
        <v>232.0</v>
      </c>
      <c r="D836" s="84" t="str">
        <f>IF(Tabla_3[COD]="","",VLOOKUP(Tabla_3[COD],'Stock inicial'!A:D,2,FALSE))</f>
        <v>NUTRIBON URINARY XKG</v>
      </c>
      <c r="E836" s="58">
        <v>1.0</v>
      </c>
      <c r="F836" s="194">
        <v>4000.0</v>
      </c>
      <c r="G836" s="195">
        <v>2837.5</v>
      </c>
      <c r="H836" s="195">
        <v>2837.5</v>
      </c>
      <c r="I836" s="194">
        <v>4000.0</v>
      </c>
      <c r="J836" s="27" t="s">
        <v>3</v>
      </c>
    </row>
    <row r="837">
      <c r="A837" s="74">
        <v>45878.0</v>
      </c>
      <c r="B837" s="75" t="s">
        <v>411</v>
      </c>
      <c r="C837" s="96">
        <v>223.0</v>
      </c>
      <c r="D837" s="77" t="str">
        <f>IF(Tabla_3[COD]="","",VLOOKUP(Tabla_3[COD],'Stock inicial'!A:D,2,FALSE))</f>
        <v>VORAZ PERRO ADULTO MIX</v>
      </c>
      <c r="E837" s="59">
        <v>4.0</v>
      </c>
      <c r="F837" s="194">
        <v>1100.0</v>
      </c>
      <c r="G837" s="195">
        <v>819.5</v>
      </c>
      <c r="H837" s="195">
        <v>3278.0</v>
      </c>
      <c r="I837" s="194">
        <v>4400.0</v>
      </c>
      <c r="J837" s="27" t="s">
        <v>11</v>
      </c>
    </row>
    <row r="838">
      <c r="A838" s="78">
        <v>45878.0</v>
      </c>
      <c r="B838" s="91"/>
      <c r="C838" s="99">
        <v>149.0</v>
      </c>
      <c r="D838" s="81" t="str">
        <f>IF(Tabla_3[COD]="","",VLOOKUP(Tabla_3[COD],'Stock inicial'!A:D,2,FALSE))</f>
        <v>PALITOS MASTICABLES IZZY x6</v>
      </c>
      <c r="E838" s="58">
        <v>2.0</v>
      </c>
      <c r="F838" s="194">
        <v>600.0</v>
      </c>
      <c r="G838" s="195">
        <v>238.56</v>
      </c>
      <c r="H838" s="195">
        <v>477.12</v>
      </c>
      <c r="I838" s="194">
        <v>1200.0</v>
      </c>
      <c r="J838" s="27" t="s">
        <v>11</v>
      </c>
    </row>
    <row r="839">
      <c r="A839" s="74">
        <v>45878.0</v>
      </c>
      <c r="B839" s="92"/>
      <c r="C839" s="51"/>
      <c r="D839" s="87" t="s">
        <v>152</v>
      </c>
      <c r="E839" s="59">
        <v>2.0</v>
      </c>
      <c r="F839" s="194">
        <v>-300.0</v>
      </c>
      <c r="G839" s="194">
        <v>0.0</v>
      </c>
      <c r="H839" s="194">
        <v>0.0</v>
      </c>
      <c r="I839" s="194">
        <v>-600.0</v>
      </c>
      <c r="J839" s="27" t="s">
        <v>11</v>
      </c>
    </row>
    <row r="840">
      <c r="A840" s="78">
        <v>45878.0</v>
      </c>
      <c r="B840" s="91"/>
      <c r="C840" s="50">
        <v>275.0</v>
      </c>
      <c r="D840" s="81" t="str">
        <f>IF(Tabla_3[COD]="","",VLOOKUP(Tabla_3[COD],'Stock inicial'!A:D,2,FALSE))</f>
        <v>PERFUMINA UVA 1L</v>
      </c>
      <c r="E840" s="58">
        <v>1.0</v>
      </c>
      <c r="F840" s="194">
        <v>599.0</v>
      </c>
      <c r="G840" s="195">
        <v>302.45</v>
      </c>
      <c r="H840" s="195">
        <v>302.45</v>
      </c>
      <c r="I840" s="194">
        <v>599.0</v>
      </c>
      <c r="J840" s="27" t="s">
        <v>11</v>
      </c>
    </row>
    <row r="841">
      <c r="A841" s="74">
        <v>45878.0</v>
      </c>
      <c r="B841" s="92"/>
      <c r="C841" s="51">
        <v>313.0</v>
      </c>
      <c r="D841" s="87" t="str">
        <f>IF(Tabla_3[COD]="","",VLOOKUP(Tabla_3[COD],'Stock inicial'!A:D,2,FALSE))</f>
        <v>JABON EN POLVO "ZORRO" X400G</v>
      </c>
      <c r="E841" s="59">
        <v>1.0</v>
      </c>
      <c r="F841" s="194">
        <v>1100.0</v>
      </c>
      <c r="G841" s="195">
        <v>875.0</v>
      </c>
      <c r="H841" s="195">
        <v>875.0</v>
      </c>
      <c r="I841" s="194">
        <v>1100.0</v>
      </c>
      <c r="J841" s="27" t="s">
        <v>11</v>
      </c>
    </row>
    <row r="842">
      <c r="A842" s="78">
        <v>45878.0</v>
      </c>
      <c r="B842" s="91"/>
      <c r="C842" s="99">
        <v>378.0</v>
      </c>
      <c r="D842" s="81" t="str">
        <f>IF(Tabla_3[COD]="","",VLOOKUP(Tabla_3[COD],'Stock inicial'!A:D,2,FALSE))</f>
        <v>SAHUMERIOS "MOMENTOS"</v>
      </c>
      <c r="E842" s="58">
        <v>1.0</v>
      </c>
      <c r="F842" s="194">
        <v>3500.0</v>
      </c>
      <c r="G842" s="195">
        <v>1700.0</v>
      </c>
      <c r="H842" s="195">
        <v>1700.0</v>
      </c>
      <c r="I842" s="194">
        <v>3500.0</v>
      </c>
      <c r="J842" s="27" t="s">
        <v>11</v>
      </c>
    </row>
    <row r="843">
      <c r="A843" s="74">
        <v>45878.0</v>
      </c>
      <c r="B843" s="92"/>
      <c r="C843" s="98">
        <v>385.0</v>
      </c>
      <c r="D843" s="87" t="str">
        <f>IF(Tabla_3[COD]="","",VLOOKUP(Tabla_3[COD],'Stock inicial'!A:D,2,FALSE))</f>
        <v>SAHUMERIOS SUELTOS X6</v>
      </c>
      <c r="E843" s="59">
        <v>1.0</v>
      </c>
      <c r="F843" s="194">
        <v>1000.0</v>
      </c>
      <c r="G843" s="195">
        <v>360.0</v>
      </c>
      <c r="H843" s="195">
        <v>360.0</v>
      </c>
      <c r="I843" s="194">
        <v>1000.0</v>
      </c>
      <c r="J843" s="27" t="s">
        <v>11</v>
      </c>
    </row>
    <row r="844">
      <c r="A844" s="78">
        <v>45878.0</v>
      </c>
      <c r="B844" s="82" t="s">
        <v>412</v>
      </c>
      <c r="C844" s="40">
        <v>250.0</v>
      </c>
      <c r="D844" s="84" t="str">
        <f>IF(Tabla_3[COD]="","",VLOOKUP(Tabla_3[COD],'Stock inicial'!A:D,2,FALSE))</f>
        <v>ARIEL. EXT. PERF. (VERDE CON SUAVIZANTE) 5L</v>
      </c>
      <c r="E844" s="58">
        <v>1.0</v>
      </c>
      <c r="F844" s="194">
        <v>4000.0</v>
      </c>
      <c r="G844" s="195">
        <v>2430.0</v>
      </c>
      <c r="H844" s="195">
        <v>2430.0</v>
      </c>
      <c r="I844" s="194">
        <v>4000.0</v>
      </c>
      <c r="J844" s="27" t="s">
        <v>3</v>
      </c>
    </row>
    <row r="845">
      <c r="A845" s="74">
        <v>45878.0</v>
      </c>
      <c r="B845" s="92"/>
      <c r="C845" s="51">
        <v>284.0</v>
      </c>
      <c r="D845" s="87" t="str">
        <f>IF(Tabla_3[COD]="","",VLOOKUP(Tabla_3[COD],'Stock inicial'!A:D,2,FALSE))</f>
        <v>VAINILLA/COCO ROPA 1L</v>
      </c>
      <c r="E845" s="59">
        <v>2.0</v>
      </c>
      <c r="F845" s="194">
        <v>999.0</v>
      </c>
      <c r="G845" s="195">
        <v>505.0</v>
      </c>
      <c r="H845" s="195">
        <v>1010.0</v>
      </c>
      <c r="I845" s="194">
        <v>1998.0</v>
      </c>
      <c r="J845" s="27" t="s">
        <v>3</v>
      </c>
    </row>
    <row r="846">
      <c r="A846" s="78">
        <v>45878.0</v>
      </c>
      <c r="B846" s="91"/>
      <c r="C846" s="99">
        <v>386.0</v>
      </c>
      <c r="D846" s="81" t="str">
        <f>IF(Tabla_3[COD]="","",VLOOKUP(Tabla_3[COD],'Stock inicial'!A:D,2,FALSE))</f>
        <v>SAPHIRUS AEROSOL</v>
      </c>
      <c r="E846" s="58">
        <v>1.0</v>
      </c>
      <c r="F846" s="194">
        <v>4500.0</v>
      </c>
      <c r="G846" s="195">
        <v>3380.0</v>
      </c>
      <c r="H846" s="195">
        <v>3380.0</v>
      </c>
      <c r="I846" s="194">
        <v>4500.0</v>
      </c>
      <c r="J846" s="27" t="s">
        <v>3</v>
      </c>
    </row>
    <row r="847">
      <c r="A847" s="74">
        <v>45878.0</v>
      </c>
      <c r="B847" s="75" t="s">
        <v>413</v>
      </c>
      <c r="C847" s="155">
        <v>223.0</v>
      </c>
      <c r="D847" s="77" t="str">
        <f>IF(Tabla_3[COD]="","",VLOOKUP(Tabla_3[COD],'Stock inicial'!A:D,2,FALSE))</f>
        <v>VORAZ PERRO ADULTO MIX</v>
      </c>
      <c r="E847" s="59">
        <v>3.7</v>
      </c>
      <c r="F847" s="194">
        <v>1100.0</v>
      </c>
      <c r="G847" s="195">
        <v>819.5</v>
      </c>
      <c r="H847" s="195">
        <v>3032.15</v>
      </c>
      <c r="I847" s="194">
        <v>4070.0</v>
      </c>
      <c r="J847" s="27" t="s">
        <v>3</v>
      </c>
    </row>
    <row r="848">
      <c r="A848" s="78">
        <v>45878.0</v>
      </c>
      <c r="B848" s="91"/>
      <c r="C848" s="50">
        <v>230.0</v>
      </c>
      <c r="D848" s="81" t="str">
        <f>IF(Tabla_3[COD]="","",VLOOKUP(Tabla_3[COD],'Stock inicial'!A:D,2,FALSE))</f>
        <v>EXCELLENT PERRO ADULTO BONUS 20K +2</v>
      </c>
      <c r="E848" s="58">
        <v>0.8</v>
      </c>
      <c r="F848" s="194">
        <v>4400.0</v>
      </c>
      <c r="G848" s="195">
        <v>2690.89</v>
      </c>
      <c r="H848" s="195">
        <v>2152.712</v>
      </c>
      <c r="I848" s="194">
        <v>3520.0</v>
      </c>
      <c r="J848" s="27" t="s">
        <v>3</v>
      </c>
    </row>
    <row r="849">
      <c r="A849" s="74">
        <v>45878.0</v>
      </c>
      <c r="B849" s="75" t="s">
        <v>414</v>
      </c>
      <c r="C849" s="138"/>
      <c r="D849" s="77" t="s">
        <v>415</v>
      </c>
      <c r="E849" s="59">
        <v>1.0</v>
      </c>
      <c r="F849" s="194">
        <v>40400.0</v>
      </c>
      <c r="G849" s="194">
        <v>32000.0</v>
      </c>
      <c r="H849" s="194">
        <v>32000.0</v>
      </c>
      <c r="I849" s="194">
        <v>40400.0</v>
      </c>
      <c r="J849" s="27" t="s">
        <v>3</v>
      </c>
    </row>
    <row r="850">
      <c r="A850" s="78">
        <v>45878.0</v>
      </c>
      <c r="B850" s="82" t="s">
        <v>416</v>
      </c>
      <c r="C850" s="97">
        <v>250.0</v>
      </c>
      <c r="D850" s="84" t="str">
        <f>IF(Tabla_3[COD]="","",VLOOKUP(Tabla_3[COD],'Stock inicial'!A:D,2,FALSE))</f>
        <v>ARIEL. EXT. PERF. (VERDE CON SUAVIZANTE) 5L</v>
      </c>
      <c r="E850" s="58">
        <v>1.0</v>
      </c>
      <c r="F850" s="194">
        <v>4000.0</v>
      </c>
      <c r="G850" s="195">
        <v>2430.0</v>
      </c>
      <c r="H850" s="195">
        <v>2430.0</v>
      </c>
      <c r="I850" s="194">
        <v>4000.0</v>
      </c>
      <c r="J850" s="27" t="s">
        <v>3</v>
      </c>
    </row>
    <row r="851">
      <c r="A851" s="74">
        <v>45878.0</v>
      </c>
      <c r="B851" s="75" t="s">
        <v>417</v>
      </c>
      <c r="C851" s="155">
        <v>257.0</v>
      </c>
      <c r="D851" s="77" t="str">
        <f>IF(Tabla_3[COD]="","",VLOOKUP(Tabla_3[COD],'Stock inicial'!A:D,2,FALSE))</f>
        <v>MAGISTRAL ECO (LIMON AMARILLO) 1L</v>
      </c>
      <c r="E851" s="59">
        <v>1.0</v>
      </c>
      <c r="F851" s="194">
        <v>999.0</v>
      </c>
      <c r="G851" s="195">
        <v>575.0</v>
      </c>
      <c r="H851" s="195">
        <v>575.0</v>
      </c>
      <c r="I851" s="194">
        <v>999.0</v>
      </c>
      <c r="J851" s="27" t="s">
        <v>3</v>
      </c>
    </row>
    <row r="852">
      <c r="A852" s="78">
        <v>45878.0</v>
      </c>
      <c r="B852" s="91"/>
      <c r="C852" s="50">
        <v>273.0</v>
      </c>
      <c r="D852" s="81" t="str">
        <f>IF(Tabla_3[COD]="","",VLOOKUP(Tabla_3[COD],'Stock inicial'!A:D,2,FALSE))</f>
        <v>PERFUMINA CHERRY 1L</v>
      </c>
      <c r="E852" s="58">
        <v>1.0</v>
      </c>
      <c r="F852" s="194">
        <v>599.0</v>
      </c>
      <c r="G852" s="195">
        <v>352.45</v>
      </c>
      <c r="H852" s="195">
        <v>352.45</v>
      </c>
      <c r="I852" s="194">
        <v>599.0</v>
      </c>
      <c r="J852" s="27" t="s">
        <v>3</v>
      </c>
    </row>
    <row r="853">
      <c r="A853" s="74">
        <v>45878.0</v>
      </c>
      <c r="B853" s="92"/>
      <c r="C853" s="51">
        <v>285.0</v>
      </c>
      <c r="D853" s="87" t="str">
        <f>IF(Tabla_3[COD]="","",VLOOKUP(Tabla_3[COD],'Stock inicial'!A:D,2,FALSE))</f>
        <v>JABON LIQUIDO  P/MANOS COCO 1/2L</v>
      </c>
      <c r="E853" s="59">
        <v>2.0</v>
      </c>
      <c r="F853" s="194">
        <v>999.0</v>
      </c>
      <c r="G853" s="195">
        <v>455.0</v>
      </c>
      <c r="H853" s="195">
        <v>910.0</v>
      </c>
      <c r="I853" s="194">
        <v>1998.0</v>
      </c>
      <c r="J853" s="27" t="s">
        <v>3</v>
      </c>
    </row>
    <row r="854">
      <c r="A854" s="78">
        <v>45878.0</v>
      </c>
      <c r="B854" s="91"/>
      <c r="C854" s="50">
        <v>354.0</v>
      </c>
      <c r="D854" s="81" t="str">
        <f>IF(Tabla_3[COD]="","",VLOOKUP(Tabla_3[COD],'Stock inicial'!A:D,2,FALSE))</f>
        <v>ROLLISEC "EL COLOSO" 40 X3 </v>
      </c>
      <c r="E854" s="58">
        <v>1.0</v>
      </c>
      <c r="F854" s="194">
        <v>1350.0</v>
      </c>
      <c r="G854" s="195">
        <v>1035.0</v>
      </c>
      <c r="H854" s="195">
        <v>1035.0</v>
      </c>
      <c r="I854" s="194">
        <v>1350.0</v>
      </c>
      <c r="J854" s="27" t="s">
        <v>3</v>
      </c>
    </row>
    <row r="855">
      <c r="A855" s="74">
        <v>45878.0</v>
      </c>
      <c r="B855" s="92"/>
      <c r="C855" s="51">
        <v>357.0</v>
      </c>
      <c r="D855" s="87" t="str">
        <f>IF(Tabla_3[COD]="","",VLOOKUP(Tabla_3[COD],'Stock inicial'!A:D,2,FALSE))</f>
        <v>PAPEL HIGIENICO "ELEGANTE"</v>
      </c>
      <c r="E855" s="59">
        <v>1.0</v>
      </c>
      <c r="F855" s="194">
        <v>1900.0</v>
      </c>
      <c r="G855" s="195">
        <v>1170.0</v>
      </c>
      <c r="H855" s="195">
        <v>1170.0</v>
      </c>
      <c r="I855" s="194">
        <v>1900.0</v>
      </c>
      <c r="J855" s="27" t="s">
        <v>3</v>
      </c>
    </row>
    <row r="856">
      <c r="A856" s="78">
        <v>45878.0</v>
      </c>
      <c r="B856" s="82" t="s">
        <v>418</v>
      </c>
      <c r="C856" s="40">
        <v>215.0</v>
      </c>
      <c r="D856" s="84" t="str">
        <f>IF(Tabla_3[COD]="","",VLOOKUP(Tabla_3[COD],'Stock inicial'!A:D,2,FALSE))</f>
        <v>4 HUELLAS GATO ADULTO</v>
      </c>
      <c r="E856" s="58">
        <v>0.56</v>
      </c>
      <c r="F856" s="194">
        <v>3600.0</v>
      </c>
      <c r="G856" s="195">
        <v>2118.6</v>
      </c>
      <c r="H856" s="195">
        <v>1186.4160000000002</v>
      </c>
      <c r="I856" s="194">
        <v>2016.0000000000002</v>
      </c>
      <c r="J856" s="27" t="s">
        <v>3</v>
      </c>
    </row>
    <row r="857">
      <c r="A857" s="74">
        <v>45878.0</v>
      </c>
      <c r="B857" s="92"/>
      <c r="C857" s="51">
        <v>217.0</v>
      </c>
      <c r="D857" s="87" t="str">
        <f>IF(Tabla_3[COD]="","",VLOOKUP(Tabla_3[COD],'Stock inicial'!A:D,2,FALSE))</f>
        <v>VORAZ GATO ADULTO X2OK</v>
      </c>
      <c r="E857" s="59">
        <v>0.95</v>
      </c>
      <c r="F857" s="194">
        <v>2100.0</v>
      </c>
      <c r="G857" s="195">
        <v>1482.0</v>
      </c>
      <c r="H857" s="195">
        <v>1407.8999999999999</v>
      </c>
      <c r="I857" s="194">
        <v>1995.0</v>
      </c>
      <c r="J857" s="27" t="s">
        <v>3</v>
      </c>
    </row>
    <row r="858">
      <c r="A858" s="78">
        <v>45878.0</v>
      </c>
      <c r="B858" s="82" t="s">
        <v>419</v>
      </c>
      <c r="C858" s="97">
        <v>212.0</v>
      </c>
      <c r="D858" s="84" t="str">
        <f>IF(Tabla_3[COD]="","",VLOOKUP(Tabla_3[COD],'Stock inicial'!A:D,2,FALSE))</f>
        <v>DOGPRO ADULTO MORDIDA PEQUEñA XKG</v>
      </c>
      <c r="E858" s="58">
        <v>0.5</v>
      </c>
      <c r="F858" s="194">
        <v>4000.0</v>
      </c>
      <c r="G858" s="195">
        <v>2778.13</v>
      </c>
      <c r="H858" s="195">
        <v>1389.065</v>
      </c>
      <c r="I858" s="194">
        <v>2000.0</v>
      </c>
      <c r="J858" s="27" t="s">
        <v>3</v>
      </c>
    </row>
    <row r="859">
      <c r="A859" s="74">
        <v>45878.0</v>
      </c>
      <c r="B859" s="75" t="s">
        <v>420</v>
      </c>
      <c r="C859" s="96">
        <v>229.0</v>
      </c>
      <c r="D859" s="77" t="str">
        <f>IF(Tabla_3[COD]="","",VLOOKUP(Tabla_3[COD],'Stock inicial'!A:D,2,FALSE))</f>
        <v>EXCELLENT GATO ADULTO</v>
      </c>
      <c r="E859" s="59">
        <v>1.0</v>
      </c>
      <c r="F859" s="194">
        <v>7500.0</v>
      </c>
      <c r="G859" s="195">
        <v>5239.88</v>
      </c>
      <c r="H859" s="195">
        <v>5239.88</v>
      </c>
      <c r="I859" s="194">
        <v>7500.0</v>
      </c>
      <c r="J859" s="27" t="s">
        <v>11</v>
      </c>
    </row>
    <row r="860">
      <c r="A860" s="78">
        <v>45880.0</v>
      </c>
      <c r="B860" s="196" t="s">
        <v>421</v>
      </c>
      <c r="C860" s="197">
        <v>216.0</v>
      </c>
      <c r="D860" s="198" t="str">
        <f>IF(Tabla_3[COD]="","",VLOOKUP(Tabla_3[COD],'Stock inicial'!A:D,2,FALSE))</f>
        <v>EXCELLENT PUPPY FORMULA XKG</v>
      </c>
      <c r="E860" s="58">
        <v>0.5</v>
      </c>
      <c r="F860" s="103">
        <v>4600.0</v>
      </c>
      <c r="G860" s="199">
        <v>2361.8</v>
      </c>
      <c r="H860" s="199">
        <v>1180.9</v>
      </c>
      <c r="I860" s="73">
        <v>2300.0</v>
      </c>
      <c r="J860" s="27" t="s">
        <v>11</v>
      </c>
    </row>
    <row r="861">
      <c r="A861" s="74">
        <v>45880.0</v>
      </c>
      <c r="B861" s="200"/>
      <c r="C861" s="201">
        <v>218.0</v>
      </c>
      <c r="D861" s="202" t="str">
        <f>IF(Tabla_3[COD]="","",VLOOKUP(Tabla_3[COD],'Stock inicial'!A:D,2,FALSE))</f>
        <v>EXCELLENT GATO URINARY X7.5KG</v>
      </c>
      <c r="E861" s="59">
        <v>1.0</v>
      </c>
      <c r="F861" s="103">
        <v>9900.0</v>
      </c>
      <c r="G861" s="199">
        <v>7325.5</v>
      </c>
      <c r="H861" s="199">
        <v>7325.5</v>
      </c>
      <c r="I861" s="73">
        <v>9900.0</v>
      </c>
      <c r="J861" s="27" t="s">
        <v>11</v>
      </c>
    </row>
    <row r="862">
      <c r="A862" s="152">
        <v>45884.0</v>
      </c>
      <c r="B862" s="203" t="s">
        <v>422</v>
      </c>
      <c r="C862" s="177">
        <v>261.0</v>
      </c>
      <c r="D862" s="203" t="str">
        <f>IF(Tabla_3[COD]="","",VLOOKUP(Tabla_3[COD],'Stock inicial'!A:D,2,FALSE))</f>
        <v>LAVANDINA EN GEL</v>
      </c>
      <c r="E862" s="141">
        <v>1.0</v>
      </c>
      <c r="F862" s="149">
        <v>1499.0</v>
      </c>
      <c r="G862" s="142">
        <v>944.0</v>
      </c>
      <c r="H862" s="142">
        <v>944.0</v>
      </c>
      <c r="I862" s="204">
        <v>1499.0</v>
      </c>
      <c r="J862" s="27" t="s">
        <v>11</v>
      </c>
    </row>
    <row r="863">
      <c r="A863" s="28">
        <v>45880.0</v>
      </c>
      <c r="B863" s="166" t="s">
        <v>423</v>
      </c>
      <c r="C863" s="31">
        <v>250.0</v>
      </c>
      <c r="D863" s="47" t="str">
        <f>IF(Tabla_3[COD]="","",VLOOKUP(Tabla_3[COD],'Stock inicial'!A:D,2,FALSE))</f>
        <v>ARIEL. EXT. PERF. (VERDE CON SUAVIZANTE) 5L</v>
      </c>
      <c r="E863" s="27">
        <v>1.0</v>
      </c>
      <c r="F863" s="103">
        <v>4500.0</v>
      </c>
      <c r="G863" s="199">
        <v>2871.0</v>
      </c>
      <c r="H863" s="199">
        <v>2871.0</v>
      </c>
      <c r="I863" s="73">
        <v>4500.0</v>
      </c>
      <c r="J863" s="27" t="s">
        <v>11</v>
      </c>
    </row>
    <row r="864">
      <c r="A864" s="78">
        <v>45880.0</v>
      </c>
      <c r="B864" s="82" t="s">
        <v>424</v>
      </c>
      <c r="C864" s="97">
        <v>223.0</v>
      </c>
      <c r="D864" s="84" t="str">
        <f>IF(Tabla_3[COD]="","",VLOOKUP(Tabla_3[COD],'Stock inicial'!A:D,2,FALSE))</f>
        <v>VORAZ PERRO ADULTO MIX</v>
      </c>
      <c r="E864" s="58">
        <v>2.0</v>
      </c>
      <c r="F864" s="103">
        <v>1100.0</v>
      </c>
      <c r="G864" s="199">
        <v>819.5</v>
      </c>
      <c r="H864" s="199">
        <v>1639.0</v>
      </c>
      <c r="I864" s="73">
        <v>2200.0</v>
      </c>
      <c r="J864" s="27" t="s">
        <v>3</v>
      </c>
    </row>
    <row r="865">
      <c r="A865" s="74">
        <v>45880.0</v>
      </c>
      <c r="B865" s="92"/>
      <c r="C865" s="98">
        <v>149.0</v>
      </c>
      <c r="D865" s="87" t="str">
        <f>IF(Tabla_3[COD]="","",VLOOKUP(Tabla_3[COD],'Stock inicial'!A:D,2,FALSE))</f>
        <v>PALITOS MASTICABLES IZZY x6</v>
      </c>
      <c r="E865" s="59">
        <v>1.0</v>
      </c>
      <c r="F865" s="103">
        <v>600.0</v>
      </c>
      <c r="G865" s="199">
        <v>238.56</v>
      </c>
      <c r="H865" s="199">
        <v>238.56</v>
      </c>
      <c r="I865" s="73">
        <v>600.0</v>
      </c>
      <c r="J865" s="27" t="s">
        <v>3</v>
      </c>
    </row>
    <row r="866">
      <c r="A866" s="78">
        <v>45880.0</v>
      </c>
      <c r="B866" s="91"/>
      <c r="C866" s="95"/>
      <c r="D866" s="81" t="s">
        <v>152</v>
      </c>
      <c r="E866" s="58">
        <v>1.0</v>
      </c>
      <c r="F866" s="103">
        <v>-300.0</v>
      </c>
      <c r="G866" s="103">
        <v>0.0</v>
      </c>
      <c r="H866" s="73">
        <v>0.0</v>
      </c>
      <c r="I866" s="73">
        <v>-300.0</v>
      </c>
      <c r="J866" s="27" t="s">
        <v>3</v>
      </c>
    </row>
    <row r="867">
      <c r="A867" s="74">
        <v>45880.0</v>
      </c>
      <c r="B867" s="92"/>
      <c r="C867" s="98">
        <v>223.0</v>
      </c>
      <c r="D867" s="87" t="str">
        <f>IF(Tabla_3[COD]="","",VLOOKUP(Tabla_3[COD],'Stock inicial'!A:D,2,FALSE))</f>
        <v>VORAZ PERRO ADULTO MIX</v>
      </c>
      <c r="E867" s="59">
        <v>1.0</v>
      </c>
      <c r="F867" s="103">
        <v>1100.0</v>
      </c>
      <c r="G867" s="199">
        <v>819.5</v>
      </c>
      <c r="H867" s="199">
        <v>819.5</v>
      </c>
      <c r="I867" s="73">
        <v>1100.0</v>
      </c>
      <c r="J867" s="27" t="s">
        <v>3</v>
      </c>
    </row>
    <row r="868">
      <c r="A868" s="78">
        <v>45880.0</v>
      </c>
      <c r="B868" s="82" t="s">
        <v>425</v>
      </c>
      <c r="C868" s="137"/>
      <c r="D868" s="84" t="s">
        <v>426</v>
      </c>
      <c r="E868" s="58">
        <v>1.0</v>
      </c>
      <c r="F868" s="103">
        <v>18842.0</v>
      </c>
      <c r="G868" s="103">
        <v>16300.0</v>
      </c>
      <c r="H868" s="73">
        <v>16300.0</v>
      </c>
      <c r="I868" s="73">
        <v>18842.0</v>
      </c>
      <c r="J868" s="27" t="s">
        <v>11</v>
      </c>
    </row>
    <row r="869">
      <c r="A869" s="74">
        <v>45880.0</v>
      </c>
      <c r="B869" s="75" t="s">
        <v>427</v>
      </c>
      <c r="C869" s="96">
        <v>223.0</v>
      </c>
      <c r="D869" s="77" t="str">
        <f>IF(Tabla_3[COD]="","",VLOOKUP(Tabla_3[COD],'Stock inicial'!A:D,2,FALSE))</f>
        <v>VORAZ PERRO ADULTO MIX</v>
      </c>
      <c r="E869" s="59">
        <v>2.0</v>
      </c>
      <c r="F869" s="103">
        <v>1100.0</v>
      </c>
      <c r="G869" s="199">
        <v>819.5</v>
      </c>
      <c r="H869" s="199">
        <v>1639.0</v>
      </c>
      <c r="I869" s="73">
        <v>2200.0</v>
      </c>
      <c r="J869" s="27" t="s">
        <v>3</v>
      </c>
    </row>
    <row r="870">
      <c r="A870" s="78">
        <v>45880.0</v>
      </c>
      <c r="B870" s="91"/>
      <c r="C870" s="99">
        <v>149.0</v>
      </c>
      <c r="D870" s="81" t="str">
        <f>IF(Tabla_3[COD]="","",VLOOKUP(Tabla_3[COD],'Stock inicial'!A:D,2,FALSE))</f>
        <v>PALITOS MASTICABLES IZZY x6</v>
      </c>
      <c r="E870" s="58">
        <v>1.0</v>
      </c>
      <c r="F870" s="103">
        <v>600.0</v>
      </c>
      <c r="G870" s="199">
        <v>238.56</v>
      </c>
      <c r="H870" s="199">
        <v>238.56</v>
      </c>
      <c r="I870" s="73">
        <v>600.0</v>
      </c>
      <c r="J870" s="27" t="s">
        <v>3</v>
      </c>
    </row>
    <row r="871">
      <c r="A871" s="74">
        <v>45880.0</v>
      </c>
      <c r="B871" s="92"/>
      <c r="C871" s="101"/>
      <c r="D871" s="87" t="s">
        <v>152</v>
      </c>
      <c r="E871" s="59">
        <v>1.0</v>
      </c>
      <c r="F871" s="103">
        <v>-300.0</v>
      </c>
      <c r="G871" s="103">
        <v>0.0</v>
      </c>
      <c r="H871" s="73">
        <v>0.0</v>
      </c>
      <c r="I871" s="73">
        <v>-300.0</v>
      </c>
      <c r="J871" s="27" t="s">
        <v>3</v>
      </c>
    </row>
    <row r="872">
      <c r="A872" s="78">
        <v>45880.0</v>
      </c>
      <c r="B872" s="82" t="s">
        <v>428</v>
      </c>
      <c r="C872" s="40">
        <v>257.0</v>
      </c>
      <c r="D872" s="84" t="str">
        <f>IF(Tabla_3[COD]="","",VLOOKUP(Tabla_3[COD],'Stock inicial'!A:D,2,FALSE))</f>
        <v>MAGISTRAL ECO (LIMON AMARILLO) 1L</v>
      </c>
      <c r="E872" s="58">
        <v>1.0</v>
      </c>
      <c r="F872" s="103">
        <v>999.0</v>
      </c>
      <c r="G872" s="199">
        <v>575.0</v>
      </c>
      <c r="H872" s="199">
        <v>575.0</v>
      </c>
      <c r="I872" s="73">
        <v>999.0</v>
      </c>
      <c r="J872" s="27" t="s">
        <v>3</v>
      </c>
    </row>
    <row r="873">
      <c r="A873" s="74">
        <v>45880.0</v>
      </c>
      <c r="B873" s="92"/>
      <c r="C873" s="51">
        <v>273.0</v>
      </c>
      <c r="D873" s="87" t="str">
        <f>IF(Tabla_3[COD]="","",VLOOKUP(Tabla_3[COD],'Stock inicial'!A:D,2,FALSE))</f>
        <v>PERFUMINA CHERRY 1L</v>
      </c>
      <c r="E873" s="59">
        <v>1.0</v>
      </c>
      <c r="F873" s="103">
        <v>599.0</v>
      </c>
      <c r="G873" s="199">
        <v>352.45</v>
      </c>
      <c r="H873" s="199">
        <v>352.45</v>
      </c>
      <c r="I873" s="73">
        <v>599.0</v>
      </c>
      <c r="J873" s="27" t="s">
        <v>3</v>
      </c>
    </row>
    <row r="874">
      <c r="A874" s="78">
        <v>45880.0</v>
      </c>
      <c r="B874" s="91"/>
      <c r="C874" s="50">
        <v>275.0</v>
      </c>
      <c r="D874" s="81" t="str">
        <f>IF(Tabla_3[COD]="","",VLOOKUP(Tabla_3[COD],'Stock inicial'!A:D,2,FALSE))</f>
        <v>PERFUMINA UVA 1L</v>
      </c>
      <c r="E874" s="58">
        <v>1.0</v>
      </c>
      <c r="F874" s="103">
        <v>599.0</v>
      </c>
      <c r="G874" s="199">
        <v>352.45</v>
      </c>
      <c r="H874" s="199">
        <v>352.45</v>
      </c>
      <c r="I874" s="73">
        <v>599.0</v>
      </c>
      <c r="J874" s="27" t="s">
        <v>3</v>
      </c>
    </row>
    <row r="875">
      <c r="A875" s="74">
        <v>45880.0</v>
      </c>
      <c r="B875" s="92"/>
      <c r="C875" s="51">
        <v>290.0</v>
      </c>
      <c r="D875" s="87" t="str">
        <f>IF(Tabla_3[COD]="","",VLOOKUP(Tabla_3[COD],'Stock inicial'!A:D,2,FALSE))</f>
        <v>LAVANDINA 5L</v>
      </c>
      <c r="E875" s="59">
        <v>1.0</v>
      </c>
      <c r="F875" s="103">
        <v>2499.0</v>
      </c>
      <c r="G875" s="199">
        <v>1586.0</v>
      </c>
      <c r="H875" s="199">
        <v>1586.0</v>
      </c>
      <c r="I875" s="73">
        <v>2499.0</v>
      </c>
      <c r="J875" s="27" t="s">
        <v>3</v>
      </c>
    </row>
    <row r="876">
      <c r="A876" s="78">
        <v>45880.0</v>
      </c>
      <c r="B876" s="91"/>
      <c r="C876" s="50">
        <v>328.0</v>
      </c>
      <c r="D876" s="81" t="str">
        <f>IF(Tabla_3[COD]="","",VLOOKUP(Tabla_3[COD],'Stock inicial'!A:D,2,FALSE))</f>
        <v>TRAPO DE PISO "ESTRELLA" 48X60CM</v>
      </c>
      <c r="E876" s="58">
        <v>2.0</v>
      </c>
      <c r="F876" s="103">
        <v>999.0</v>
      </c>
      <c r="G876" s="199">
        <v>595.0</v>
      </c>
      <c r="H876" s="199">
        <v>1190.0</v>
      </c>
      <c r="I876" s="73">
        <v>1998.0</v>
      </c>
      <c r="J876" s="27" t="s">
        <v>3</v>
      </c>
    </row>
    <row r="877">
      <c r="A877" s="74">
        <v>45880.0</v>
      </c>
      <c r="B877" s="92"/>
      <c r="C877" s="51">
        <v>334.0</v>
      </c>
      <c r="D877" s="87" t="str">
        <f>IF(Tabla_3[COD]="","",VLOOKUP(Tabla_3[COD],'Stock inicial'!A:D,2,FALSE))</f>
        <v>TOALLITAS "LINA" PACK X8 </v>
      </c>
      <c r="E877" s="59">
        <v>1.0</v>
      </c>
      <c r="F877" s="103">
        <v>1190.0</v>
      </c>
      <c r="G877" s="199">
        <v>930.0</v>
      </c>
      <c r="H877" s="199">
        <v>930.0</v>
      </c>
      <c r="I877" s="73">
        <v>1190.0</v>
      </c>
      <c r="J877" s="27" t="s">
        <v>3</v>
      </c>
    </row>
    <row r="878">
      <c r="A878" s="78">
        <v>45880.0</v>
      </c>
      <c r="B878" s="91"/>
      <c r="C878" s="99">
        <v>385.0</v>
      </c>
      <c r="D878" s="81" t="str">
        <f>IF(Tabla_3[COD]="","",VLOOKUP(Tabla_3[COD],'Stock inicial'!A:D,2,FALSE))</f>
        <v>SAHUMERIOS SUELTOS X6</v>
      </c>
      <c r="E878" s="58">
        <v>1.0</v>
      </c>
      <c r="F878" s="103">
        <v>1000.0</v>
      </c>
      <c r="G878" s="199">
        <v>360.0</v>
      </c>
      <c r="H878" s="199">
        <v>360.0</v>
      </c>
      <c r="I878" s="73">
        <v>1000.0</v>
      </c>
      <c r="J878" s="27" t="s">
        <v>3</v>
      </c>
    </row>
    <row r="879">
      <c r="A879" s="74">
        <v>45880.0</v>
      </c>
      <c r="B879" s="92"/>
      <c r="C879" s="98">
        <v>137.0</v>
      </c>
      <c r="D879" s="87" t="str">
        <f>IF(Tabla_3[COD]="","",VLOOKUP(Tabla_3[COD],'Stock inicial'!A:D,2,FALSE))</f>
        <v>PELOTA SOFT</v>
      </c>
      <c r="E879" s="59">
        <v>1.0</v>
      </c>
      <c r="F879" s="103">
        <v>1000.0</v>
      </c>
      <c r="G879" s="199">
        <v>659.33</v>
      </c>
      <c r="H879" s="199">
        <v>659.33</v>
      </c>
      <c r="I879" s="73">
        <v>1000.0</v>
      </c>
      <c r="J879" s="27" t="s">
        <v>3</v>
      </c>
    </row>
    <row r="880">
      <c r="A880" s="78">
        <v>45880.0</v>
      </c>
      <c r="B880" s="82" t="s">
        <v>429</v>
      </c>
      <c r="C880" s="40">
        <v>246.0</v>
      </c>
      <c r="D880" s="84" t="str">
        <f>IF(Tabla_3[COD]="","",VLOOKUP(Tabla_3[COD],'Stock inicial'!A:D,2,FALSE))</f>
        <v>ARIEL ECO (VERDE) 5L</v>
      </c>
      <c r="E880" s="58">
        <v>1.0</v>
      </c>
      <c r="F880" s="103">
        <v>1990.0</v>
      </c>
      <c r="G880" s="199">
        <v>1143.0</v>
      </c>
      <c r="H880" s="199">
        <v>1143.0</v>
      </c>
      <c r="I880" s="73">
        <v>1990.0</v>
      </c>
      <c r="J880" s="27" t="s">
        <v>3</v>
      </c>
    </row>
    <row r="881">
      <c r="A881" s="74">
        <v>45880.0</v>
      </c>
      <c r="B881" s="92"/>
      <c r="C881" s="51">
        <v>251.0</v>
      </c>
      <c r="D881" s="87" t="str">
        <f>IF(Tabla_3[COD]="","",VLOOKUP(Tabla_3[COD],'Stock inicial'!A:D,2,FALSE))</f>
        <v>VIVERE ECO (CELESTE) 1L</v>
      </c>
      <c r="E881" s="59">
        <v>1.0</v>
      </c>
      <c r="F881" s="103">
        <v>990.0</v>
      </c>
      <c r="G881" s="199">
        <v>591.0</v>
      </c>
      <c r="H881" s="199">
        <v>591.0</v>
      </c>
      <c r="I881" s="73">
        <v>990.0</v>
      </c>
      <c r="J881" s="27" t="s">
        <v>3</v>
      </c>
    </row>
    <row r="882">
      <c r="A882" s="78">
        <v>45880.0</v>
      </c>
      <c r="B882" s="82" t="s">
        <v>430</v>
      </c>
      <c r="C882" s="40">
        <v>252.0</v>
      </c>
      <c r="D882" s="84" t="str">
        <f>IF(Tabla_3[COD]="","",VLOOKUP(Tabla_3[COD],'Stock inicial'!A:D,2,FALSE))</f>
        <v>VIVERE ECO (CELESTE) 5L</v>
      </c>
      <c r="E882" s="58">
        <v>1.0</v>
      </c>
      <c r="F882" s="103">
        <v>2400.0</v>
      </c>
      <c r="G882" s="199">
        <v>1480.0</v>
      </c>
      <c r="H882" s="199">
        <v>1480.0</v>
      </c>
      <c r="I882" s="73">
        <v>2400.0</v>
      </c>
      <c r="J882" s="27" t="s">
        <v>3</v>
      </c>
    </row>
    <row r="883">
      <c r="A883" s="74">
        <v>45880.0</v>
      </c>
      <c r="B883" s="92"/>
      <c r="C883" s="51">
        <v>290.0</v>
      </c>
      <c r="D883" s="87" t="str">
        <f>IF(Tabla_3[COD]="","",VLOOKUP(Tabla_3[COD],'Stock inicial'!A:D,2,FALSE))</f>
        <v>LAVANDINA 5L</v>
      </c>
      <c r="E883" s="59">
        <v>1.0</v>
      </c>
      <c r="F883" s="103">
        <v>1990.0</v>
      </c>
      <c r="G883" s="199">
        <v>1145.0</v>
      </c>
      <c r="H883" s="199">
        <v>1145.0</v>
      </c>
      <c r="I883" s="73">
        <v>1990.0</v>
      </c>
      <c r="J883" s="27" t="s">
        <v>3</v>
      </c>
    </row>
    <row r="884">
      <c r="A884" s="78">
        <v>45880.0</v>
      </c>
      <c r="B884" s="91"/>
      <c r="C884" s="99">
        <v>371.0</v>
      </c>
      <c r="D884" s="81" t="str">
        <f>IF(Tabla_3[COD]="","",VLOOKUP(Tabla_3[COD],'Stock inicial'!A:D,2,FALSE))</f>
        <v>ESFERAS MAGICAS ORG.</v>
      </c>
      <c r="E884" s="58">
        <v>1.0</v>
      </c>
      <c r="F884" s="103">
        <v>1300.0</v>
      </c>
      <c r="G884" s="199">
        <v>650.0</v>
      </c>
      <c r="H884" s="199">
        <v>650.0</v>
      </c>
      <c r="I884" s="73">
        <v>1300.0</v>
      </c>
      <c r="J884" s="27" t="s">
        <v>3</v>
      </c>
    </row>
    <row r="885">
      <c r="A885" s="74">
        <v>45880.0</v>
      </c>
      <c r="B885" s="92"/>
      <c r="C885" s="98">
        <v>385.0</v>
      </c>
      <c r="D885" s="87" t="str">
        <f>IF(Tabla_3[COD]="","",VLOOKUP(Tabla_3[COD],'Stock inicial'!A:D,2,FALSE))</f>
        <v>SAHUMERIOS SUELTOS X6</v>
      </c>
      <c r="E885" s="59">
        <v>1.0</v>
      </c>
      <c r="F885" s="103">
        <v>1000.0</v>
      </c>
      <c r="G885" s="199">
        <v>360.0</v>
      </c>
      <c r="H885" s="199">
        <v>360.0</v>
      </c>
      <c r="I885" s="73">
        <v>1000.0</v>
      </c>
      <c r="J885" s="27" t="s">
        <v>3</v>
      </c>
    </row>
    <row r="886">
      <c r="A886" s="78">
        <v>45880.0</v>
      </c>
      <c r="B886" s="82" t="s">
        <v>431</v>
      </c>
      <c r="C886" s="40">
        <v>214.0</v>
      </c>
      <c r="D886" s="84" t="str">
        <f>IF(Tabla_3[COD]="","",VLOOKUP(Tabla_3[COD],'Stock inicial'!A:D,2,FALSE))</f>
        <v>DOGPRO ADULTO SUPER PREMIUM XKG</v>
      </c>
      <c r="E886" s="58">
        <v>2.0</v>
      </c>
      <c r="F886" s="103">
        <v>4000.0</v>
      </c>
      <c r="G886" s="199">
        <v>2324.4</v>
      </c>
      <c r="H886" s="199">
        <v>4648.8</v>
      </c>
      <c r="I886" s="73">
        <v>8000.0</v>
      </c>
      <c r="J886" s="27" t="s">
        <v>11</v>
      </c>
    </row>
    <row r="887">
      <c r="A887" s="74">
        <v>45880.0</v>
      </c>
      <c r="B887" s="75" t="s">
        <v>432</v>
      </c>
      <c r="C887" s="155">
        <v>234.0</v>
      </c>
      <c r="D887" s="77" t="str">
        <f>IF(Tabla_3[COD]="","",VLOOKUP(Tabla_3[COD],'Stock inicial'!A:D,2,FALSE))</f>
        <v>CAT CHOW ADULTO CARNE POLLO</v>
      </c>
      <c r="E887" s="59">
        <v>1.0</v>
      </c>
      <c r="F887" s="103">
        <v>4700.0</v>
      </c>
      <c r="G887" s="199">
        <v>3586.66</v>
      </c>
      <c r="H887" s="199">
        <v>3586.66</v>
      </c>
      <c r="I887" s="73">
        <v>4700.0</v>
      </c>
      <c r="J887" s="27" t="s">
        <v>3</v>
      </c>
    </row>
    <row r="888">
      <c r="A888" s="78">
        <v>45880.0</v>
      </c>
      <c r="B888" s="68" t="s">
        <v>433</v>
      </c>
      <c r="C888" s="128">
        <v>1522.0</v>
      </c>
      <c r="D888" s="129" t="str">
        <f>IF(Tabla_3[COD]="","",VLOOKUP(Tabla_3[COD],'Stock inicial'!A:D,2,FALSE))</f>
        <v>CEPILLO VAPOR</v>
      </c>
      <c r="E888" s="58">
        <v>1.0</v>
      </c>
      <c r="F888" s="103">
        <v>4500.0</v>
      </c>
      <c r="G888" s="199">
        <v>2800.0</v>
      </c>
      <c r="H888" s="199">
        <v>2800.0</v>
      </c>
      <c r="I888" s="73">
        <v>4500.0</v>
      </c>
      <c r="J888" s="27" t="s">
        <v>3</v>
      </c>
    </row>
    <row r="889">
      <c r="A889" s="74">
        <v>45880.0</v>
      </c>
      <c r="B889" s="100" t="s">
        <v>434</v>
      </c>
      <c r="C889" s="98">
        <v>223.0</v>
      </c>
      <c r="D889" s="87" t="str">
        <f>IF(Tabla_3[COD]="","",VLOOKUP(Tabla_3[COD],'Stock inicial'!A:D,2,FALSE))</f>
        <v>VORAZ PERRO ADULTO MIX</v>
      </c>
      <c r="E889" s="59">
        <v>2.0</v>
      </c>
      <c r="F889" s="103">
        <v>1100.0</v>
      </c>
      <c r="G889" s="199">
        <v>819.5</v>
      </c>
      <c r="H889" s="199">
        <v>1639.0</v>
      </c>
      <c r="I889" s="73">
        <v>2200.0</v>
      </c>
      <c r="J889" s="27" t="s">
        <v>3</v>
      </c>
    </row>
    <row r="890">
      <c r="A890" s="78">
        <v>45880.0</v>
      </c>
      <c r="B890" s="91"/>
      <c r="C890" s="99">
        <v>149.0</v>
      </c>
      <c r="D890" s="81" t="str">
        <f>IF(Tabla_3[COD]="","",VLOOKUP(Tabla_3[COD],'Stock inicial'!A:D,2,FALSE))</f>
        <v>PALITOS MASTICABLES IZZY x6</v>
      </c>
      <c r="E890" s="58">
        <v>1.0</v>
      </c>
      <c r="F890" s="103">
        <v>600.0</v>
      </c>
      <c r="G890" s="199">
        <v>238.56</v>
      </c>
      <c r="H890" s="199">
        <v>238.56</v>
      </c>
      <c r="I890" s="73">
        <v>600.0</v>
      </c>
      <c r="J890" s="27" t="s">
        <v>3</v>
      </c>
    </row>
    <row r="891">
      <c r="A891" s="74">
        <v>45880.0</v>
      </c>
      <c r="B891" s="92"/>
      <c r="C891" s="101"/>
      <c r="D891" s="87" t="s">
        <v>152</v>
      </c>
      <c r="E891" s="59">
        <v>1.0</v>
      </c>
      <c r="F891" s="103">
        <v>-300.0</v>
      </c>
      <c r="G891" s="103">
        <v>0.0</v>
      </c>
      <c r="H891" s="73">
        <v>0.0</v>
      </c>
      <c r="I891" s="73">
        <v>-300.0</v>
      </c>
      <c r="J891" s="27" t="s">
        <v>3</v>
      </c>
    </row>
    <row r="892">
      <c r="A892" s="78">
        <v>45881.0</v>
      </c>
      <c r="B892" s="68" t="s">
        <v>435</v>
      </c>
      <c r="C892" s="128">
        <v>225.0</v>
      </c>
      <c r="D892" s="129" t="str">
        <f>IF(Tabla_3[COD]="","",VLOOKUP(Tabla_3[COD],'Stock inicial'!A:D,2,FALSE))</f>
        <v>GATI GATO PESCADO Y SALMON</v>
      </c>
      <c r="E892" s="58">
        <v>1.0</v>
      </c>
      <c r="F892" s="103">
        <v>2900.0</v>
      </c>
      <c r="G892" s="199">
        <v>2206.0</v>
      </c>
      <c r="H892" s="199">
        <v>2206.0</v>
      </c>
      <c r="I892" s="73">
        <v>2900.0</v>
      </c>
      <c r="J892" s="27" t="s">
        <v>11</v>
      </c>
    </row>
    <row r="893">
      <c r="A893" s="28">
        <v>45881.0</v>
      </c>
      <c r="B893" s="75" t="s">
        <v>436</v>
      </c>
      <c r="C893" s="167">
        <v>217.0</v>
      </c>
      <c r="D893" s="47" t="str">
        <f>IF(Tabla_3[COD]="","",VLOOKUP(Tabla_3[COD],'Stock inicial'!A:D,2,FALSE))</f>
        <v>VORAZ GATO ADULTO X2OK</v>
      </c>
      <c r="E893" s="27">
        <v>0.575</v>
      </c>
      <c r="F893" s="103">
        <v>2100.0</v>
      </c>
      <c r="G893" s="199">
        <v>1482.0</v>
      </c>
      <c r="H893" s="199">
        <v>852.15</v>
      </c>
      <c r="I893" s="73">
        <v>1207.5</v>
      </c>
      <c r="J893" s="27" t="s">
        <v>3</v>
      </c>
    </row>
    <row r="894">
      <c r="A894" s="78">
        <v>45881.0</v>
      </c>
      <c r="B894" s="82" t="s">
        <v>437</v>
      </c>
      <c r="C894" s="97">
        <v>223.0</v>
      </c>
      <c r="D894" s="84" t="str">
        <f>IF(Tabla_3[COD]="","",VLOOKUP(Tabla_3[COD],'Stock inicial'!A:D,2,FALSE))</f>
        <v>VORAZ PERRO ADULTO MIX</v>
      </c>
      <c r="E894" s="58">
        <v>2.0</v>
      </c>
      <c r="F894" s="103">
        <v>1100.0</v>
      </c>
      <c r="G894" s="199">
        <v>819.5</v>
      </c>
      <c r="H894" s="199">
        <v>1639.0</v>
      </c>
      <c r="I894" s="73">
        <v>2200.0</v>
      </c>
      <c r="J894" s="27" t="s">
        <v>3</v>
      </c>
    </row>
    <row r="895">
      <c r="A895" s="74">
        <v>45881.0</v>
      </c>
      <c r="B895" s="92"/>
      <c r="C895" s="98">
        <v>149.0</v>
      </c>
      <c r="D895" s="87" t="str">
        <f>IF(Tabla_3[COD]="","",VLOOKUP(Tabla_3[COD],'Stock inicial'!A:D,2,FALSE))</f>
        <v>PALITOS MASTICABLES IZZY x6</v>
      </c>
      <c r="E895" s="59">
        <v>1.0</v>
      </c>
      <c r="F895" s="103">
        <v>600.0</v>
      </c>
      <c r="G895" s="199">
        <v>238.56</v>
      </c>
      <c r="H895" s="199">
        <v>238.56</v>
      </c>
      <c r="I895" s="73">
        <v>600.0</v>
      </c>
      <c r="J895" s="27" t="s">
        <v>3</v>
      </c>
    </row>
    <row r="896">
      <c r="A896" s="78">
        <v>45881.0</v>
      </c>
      <c r="B896" s="91"/>
      <c r="C896" s="95"/>
      <c r="D896" s="81" t="s">
        <v>152</v>
      </c>
      <c r="E896" s="58">
        <v>1.0</v>
      </c>
      <c r="F896" s="103">
        <v>-300.0</v>
      </c>
      <c r="G896" s="103">
        <v>0.0</v>
      </c>
      <c r="H896" s="73">
        <v>0.0</v>
      </c>
      <c r="I896" s="73">
        <v>-300.0</v>
      </c>
      <c r="J896" s="27" t="s">
        <v>3</v>
      </c>
    </row>
    <row r="897">
      <c r="A897" s="74">
        <v>45881.0</v>
      </c>
      <c r="B897" s="75" t="s">
        <v>438</v>
      </c>
      <c r="C897" s="96">
        <v>212.0</v>
      </c>
      <c r="D897" s="77" t="str">
        <f>IF(Tabla_3[COD]="","",VLOOKUP(Tabla_3[COD],'Stock inicial'!A:D,2,FALSE))</f>
        <v>DOGPRO ADULTO MORDIDA PEQUEñA XKG</v>
      </c>
      <c r="E897" s="59">
        <v>2.0</v>
      </c>
      <c r="F897" s="103">
        <v>4000.0</v>
      </c>
      <c r="G897" s="199">
        <v>2778.13</v>
      </c>
      <c r="H897" s="199">
        <v>5556.26</v>
      </c>
      <c r="I897" s="73">
        <v>8000.0</v>
      </c>
      <c r="J897" s="27" t="s">
        <v>11</v>
      </c>
    </row>
    <row r="898">
      <c r="A898" s="78">
        <v>45881.0</v>
      </c>
      <c r="B898" s="91"/>
      <c r="C898" s="99">
        <v>149.0</v>
      </c>
      <c r="D898" s="81" t="str">
        <f>IF(Tabla_3[COD]="","",VLOOKUP(Tabla_3[COD],'Stock inicial'!A:D,2,FALSE))</f>
        <v>PALITOS MASTICABLES IZZY x6</v>
      </c>
      <c r="E898" s="58">
        <v>1.0</v>
      </c>
      <c r="F898" s="103">
        <v>600.0</v>
      </c>
      <c r="G898" s="199">
        <v>238.56</v>
      </c>
      <c r="H898" s="199">
        <v>238.56</v>
      </c>
      <c r="I898" s="73">
        <v>600.0</v>
      </c>
      <c r="J898" s="27" t="s">
        <v>11</v>
      </c>
    </row>
    <row r="899">
      <c r="A899" s="74">
        <v>45881.0</v>
      </c>
      <c r="B899" s="92"/>
      <c r="C899" s="101"/>
      <c r="D899" s="87" t="s">
        <v>384</v>
      </c>
      <c r="E899" s="59">
        <v>1.0</v>
      </c>
      <c r="F899" s="103">
        <v>-600.0</v>
      </c>
      <c r="G899" s="103">
        <v>0.0</v>
      </c>
      <c r="H899" s="73">
        <v>0.0</v>
      </c>
      <c r="I899" s="73">
        <v>-600.0</v>
      </c>
      <c r="J899" s="27" t="s">
        <v>11</v>
      </c>
    </row>
    <row r="900">
      <c r="A900" s="78">
        <v>45881.0</v>
      </c>
      <c r="B900" s="82" t="s">
        <v>439</v>
      </c>
      <c r="C900" s="137"/>
      <c r="D900" s="84" t="s">
        <v>440</v>
      </c>
      <c r="E900" s="58">
        <v>1.0</v>
      </c>
      <c r="F900" s="103">
        <v>34000.0</v>
      </c>
      <c r="G900" s="103">
        <v>27700.0</v>
      </c>
      <c r="H900" s="103">
        <v>27700.0</v>
      </c>
      <c r="I900" s="103">
        <v>34000.0</v>
      </c>
      <c r="J900" s="27" t="s">
        <v>11</v>
      </c>
    </row>
    <row r="901">
      <c r="A901" s="147">
        <v>45885.0</v>
      </c>
      <c r="B901" s="180" t="s">
        <v>441</v>
      </c>
      <c r="C901" s="181"/>
      <c r="D901" s="182" t="s">
        <v>442</v>
      </c>
      <c r="E901" s="148">
        <v>1.0</v>
      </c>
      <c r="F901" s="149">
        <v>55000.0</v>
      </c>
      <c r="G901" s="149">
        <v>44200.0</v>
      </c>
      <c r="H901" s="149">
        <v>44200.0</v>
      </c>
      <c r="I901" s="149">
        <v>55000.0</v>
      </c>
      <c r="J901" s="141" t="s">
        <v>11</v>
      </c>
    </row>
    <row r="902">
      <c r="A902" s="28">
        <v>45881.0</v>
      </c>
      <c r="B902" s="82" t="s">
        <v>443</v>
      </c>
      <c r="C902" s="187">
        <v>125.0</v>
      </c>
      <c r="D902" s="45" t="str">
        <f>IF(Tabla_3[COD]="","",VLOOKUP(Tabla_3[COD],'Stock inicial'!A:D,2,FALSE))</f>
        <v>CORREA C/PRETAL ACOLCH.</v>
      </c>
      <c r="E902" s="27">
        <v>1.0</v>
      </c>
      <c r="F902" s="103">
        <v>9500.0</v>
      </c>
      <c r="G902" s="199">
        <v>4784.0</v>
      </c>
      <c r="H902" s="199">
        <v>4784.0</v>
      </c>
      <c r="I902" s="103">
        <v>9300.0</v>
      </c>
      <c r="J902" s="27" t="s">
        <v>11</v>
      </c>
    </row>
    <row r="903">
      <c r="A903" s="74">
        <v>45883.0</v>
      </c>
      <c r="B903" s="75" t="s">
        <v>444</v>
      </c>
      <c r="C903" s="155">
        <v>246.0</v>
      </c>
      <c r="D903" s="77" t="str">
        <f>IF(Tabla_3[COD]="","",VLOOKUP(Tabla_3[COD],'Stock inicial'!A:D,2,FALSE))</f>
        <v>ARIEL ECO (VERDE) 5L</v>
      </c>
      <c r="E903" s="59">
        <v>1.0</v>
      </c>
      <c r="F903" s="103">
        <v>2500.0</v>
      </c>
      <c r="G903" s="199">
        <v>1584.0</v>
      </c>
      <c r="H903" s="199">
        <v>1584.0</v>
      </c>
      <c r="I903" s="73">
        <v>2500.0</v>
      </c>
      <c r="J903" s="27" t="s">
        <v>11</v>
      </c>
    </row>
    <row r="904">
      <c r="A904" s="78">
        <v>45883.0</v>
      </c>
      <c r="B904" s="91"/>
      <c r="C904" s="50">
        <v>252.0</v>
      </c>
      <c r="D904" s="81" t="str">
        <f>IF(Tabla_3[COD]="","",VLOOKUP(Tabla_3[COD],'Stock inicial'!A:D,2,FALSE))</f>
        <v>VIVERE ECO (CELESTE) 5L</v>
      </c>
      <c r="E904" s="58">
        <v>1.0</v>
      </c>
      <c r="F904" s="103">
        <v>2900.0</v>
      </c>
      <c r="G904" s="199">
        <v>1921.0</v>
      </c>
      <c r="H904" s="199">
        <v>1921.0</v>
      </c>
      <c r="I904" s="73">
        <v>2900.0</v>
      </c>
      <c r="J904" s="27" t="s">
        <v>11</v>
      </c>
    </row>
    <row r="905">
      <c r="A905" s="74">
        <v>45883.0</v>
      </c>
      <c r="B905" s="92"/>
      <c r="C905" s="51">
        <v>258.0</v>
      </c>
      <c r="D905" s="87" t="str">
        <f>IF(Tabla_3[COD]="","",VLOOKUP(Tabla_3[COD],'Stock inicial'!A:D,2,FALSE))</f>
        <v>MAGISTRAL ECO (LIMON AMARILLO) 5L</v>
      </c>
      <c r="E905" s="59">
        <v>1.0</v>
      </c>
      <c r="F905" s="103">
        <v>2799.0</v>
      </c>
      <c r="G905" s="199">
        <v>1841.0</v>
      </c>
      <c r="H905" s="199">
        <v>1841.0</v>
      </c>
      <c r="I905" s="73">
        <v>2799.0</v>
      </c>
      <c r="J905" s="27" t="s">
        <v>11</v>
      </c>
    </row>
    <row r="906">
      <c r="A906" s="78">
        <v>45883.0</v>
      </c>
      <c r="B906" s="91"/>
      <c r="C906" s="50">
        <v>267.0</v>
      </c>
      <c r="D906" s="81" t="str">
        <f>IF(Tabla_3[COD]="","",VLOOKUP(Tabla_3[COD],'Stock inicial'!A:D,2,FALSE))</f>
        <v>DESENGRASANTE COCINA 5L</v>
      </c>
      <c r="E906" s="58">
        <v>1.0</v>
      </c>
      <c r="F906" s="103">
        <v>2199.0</v>
      </c>
      <c r="G906" s="199">
        <v>1441.0</v>
      </c>
      <c r="H906" s="199">
        <v>1441.0</v>
      </c>
      <c r="I906" s="73">
        <v>2199.0</v>
      </c>
      <c r="J906" s="27" t="s">
        <v>11</v>
      </c>
    </row>
    <row r="907">
      <c r="A907" s="74">
        <v>45883.0</v>
      </c>
      <c r="B907" s="92"/>
      <c r="C907" s="51">
        <v>282.0</v>
      </c>
      <c r="D907" s="87" t="str">
        <f>IF(Tabla_3[COD]="","",VLOOKUP(Tabla_3[COD],'Stock inicial'!A:D,2,FALSE))</f>
        <v>PERFUMINA VAINILLA 5L</v>
      </c>
      <c r="E907" s="59">
        <v>1.0</v>
      </c>
      <c r="F907" s="103">
        <v>1499.0</v>
      </c>
      <c r="G907" s="199">
        <v>728.25</v>
      </c>
      <c r="H907" s="199">
        <v>728.25</v>
      </c>
      <c r="I907" s="73">
        <v>1499.0</v>
      </c>
      <c r="J907" s="27" t="s">
        <v>11</v>
      </c>
    </row>
    <row r="908">
      <c r="A908" s="78">
        <v>45883.0</v>
      </c>
      <c r="B908" s="91"/>
      <c r="C908" s="95"/>
      <c r="D908" s="81" t="s">
        <v>44</v>
      </c>
      <c r="E908" s="58">
        <v>1.0</v>
      </c>
      <c r="F908" s="103">
        <v>0.0</v>
      </c>
      <c r="G908" s="103">
        <v>0.0</v>
      </c>
      <c r="H908" s="73">
        <v>0.0</v>
      </c>
      <c r="I908" s="103">
        <v>0.0</v>
      </c>
      <c r="J908" s="27" t="s">
        <v>11</v>
      </c>
    </row>
    <row r="909">
      <c r="A909" s="147">
        <v>45884.0</v>
      </c>
      <c r="B909" s="104" t="s">
        <v>445</v>
      </c>
      <c r="C909" s="105">
        <v>245.0</v>
      </c>
      <c r="D909" s="106" t="str">
        <f>IF(Tabla_3[COD]="","",VLOOKUP(Tabla_3[COD],'Stock inicial'!A:D,2,FALSE))</f>
        <v>ARIEL ECO (VERDE) 1L</v>
      </c>
      <c r="E909" s="148">
        <v>1.0</v>
      </c>
      <c r="F909" s="149">
        <v>600.0</v>
      </c>
      <c r="G909" s="142">
        <v>228.6</v>
      </c>
      <c r="H909" s="142">
        <v>228.6</v>
      </c>
      <c r="I909" s="204">
        <v>600.0</v>
      </c>
      <c r="J909" s="27" t="s">
        <v>11</v>
      </c>
    </row>
    <row r="910">
      <c r="A910" s="147">
        <v>45884.0</v>
      </c>
      <c r="B910" s="119"/>
      <c r="C910" s="108">
        <v>251.0</v>
      </c>
      <c r="D910" s="109" t="str">
        <f>IF(Tabla_3[COD]="","",VLOOKUP(Tabla_3[COD],'Stock inicial'!A:D,2,FALSE))</f>
        <v>VIVERE ECO (CELESTE) 1L</v>
      </c>
      <c r="E910" s="148">
        <v>1.0</v>
      </c>
      <c r="F910" s="149">
        <v>690.0</v>
      </c>
      <c r="G910" s="142">
        <v>296.0</v>
      </c>
      <c r="H910" s="142">
        <v>296.0</v>
      </c>
      <c r="I910" s="204">
        <v>690.0</v>
      </c>
      <c r="J910" s="27" t="s">
        <v>11</v>
      </c>
    </row>
    <row r="911">
      <c r="A911" s="147">
        <v>45884.0</v>
      </c>
      <c r="B911" s="180" t="s">
        <v>446</v>
      </c>
      <c r="C911" s="183">
        <v>250.0</v>
      </c>
      <c r="D911" s="182" t="str">
        <f>IF(Tabla_3[COD]="","",VLOOKUP(Tabla_3[COD],'Stock inicial'!A:D,2,FALSE))</f>
        <v>ARIEL. EXT. PERF. (VERDE CON SUAVIZANTE) 5L</v>
      </c>
      <c r="E911" s="148">
        <v>1.0</v>
      </c>
      <c r="F911" s="149">
        <v>4500.0</v>
      </c>
      <c r="G911" s="142">
        <v>2871.0</v>
      </c>
      <c r="H911" s="142">
        <v>2871.0</v>
      </c>
      <c r="I911" s="204">
        <v>4500.0</v>
      </c>
      <c r="J911" s="141" t="s">
        <v>11</v>
      </c>
    </row>
    <row r="912">
      <c r="A912" s="28">
        <v>45882.0</v>
      </c>
      <c r="B912" s="188"/>
      <c r="C912" s="187">
        <v>328.0</v>
      </c>
      <c r="D912" s="45" t="str">
        <f>IF(Tabla_3[COD]="","",VLOOKUP(Tabla_3[COD],'Stock inicial'!A:D,2,FALSE))</f>
        <v>TRAPO DE PISO "ESTRELLA" 48X60CM</v>
      </c>
      <c r="E912" s="27">
        <v>1.0</v>
      </c>
      <c r="F912" s="103">
        <v>0.0</v>
      </c>
      <c r="G912" s="199">
        <v>595.0</v>
      </c>
      <c r="H912" s="199">
        <v>595.0</v>
      </c>
      <c r="I912" s="73">
        <v>0.0</v>
      </c>
      <c r="J912" s="27" t="s">
        <v>136</v>
      </c>
    </row>
    <row r="913">
      <c r="A913" s="74">
        <v>45882.0</v>
      </c>
      <c r="B913" s="75" t="s">
        <v>447</v>
      </c>
      <c r="C913" s="155">
        <v>118.0</v>
      </c>
      <c r="D913" s="77" t="str">
        <f>IF(Tabla_3[COD]="","",VLOOKUP(Tabla_3[COD],'Stock inicial'!A:D,2,FALSE))</f>
        <v>COMEDERO GATO PLASTICO</v>
      </c>
      <c r="E913" s="59">
        <v>1.0</v>
      </c>
      <c r="F913" s="103">
        <v>1500.0</v>
      </c>
      <c r="G913" s="199">
        <v>500.0</v>
      </c>
      <c r="H913" s="199">
        <v>500.0</v>
      </c>
      <c r="I913" s="73">
        <v>1500.0</v>
      </c>
      <c r="J913" s="27" t="s">
        <v>11</v>
      </c>
    </row>
    <row r="914">
      <c r="A914" s="78">
        <v>45882.0</v>
      </c>
      <c r="B914" s="91"/>
      <c r="C914" s="50">
        <v>162.0</v>
      </c>
      <c r="D914" s="81" t="str">
        <f>IF(Tabla_3[COD]="","",VLOOKUP(Tabla_3[COD],'Stock inicial'!A:D,2,FALSE))</f>
        <v>PIEDRA SANITARIA THEBEST X20KG</v>
      </c>
      <c r="E914" s="58">
        <v>3.0</v>
      </c>
      <c r="F914" s="103">
        <v>680.0</v>
      </c>
      <c r="G914" s="199">
        <v>440.0</v>
      </c>
      <c r="H914" s="199">
        <v>1320.0</v>
      </c>
      <c r="I914" s="73">
        <v>2040.0</v>
      </c>
      <c r="J914" s="27" t="s">
        <v>11</v>
      </c>
    </row>
    <row r="915">
      <c r="A915" s="74">
        <v>45882.0</v>
      </c>
      <c r="B915" s="75" t="s">
        <v>448</v>
      </c>
      <c r="C915" s="155">
        <v>217.0</v>
      </c>
      <c r="D915" s="77" t="str">
        <f>IF(Tabla_3[COD]="","",VLOOKUP(Tabla_3[COD],'Stock inicial'!A:D,2,FALSE))</f>
        <v>VORAZ GATO ADULTO X2OK</v>
      </c>
      <c r="E915" s="59">
        <v>1.0</v>
      </c>
      <c r="F915" s="103">
        <v>2100.0</v>
      </c>
      <c r="G915" s="199">
        <v>1482.0</v>
      </c>
      <c r="H915" s="199">
        <v>1482.0</v>
      </c>
      <c r="I915" s="73">
        <v>2100.0</v>
      </c>
      <c r="J915" s="27" t="s">
        <v>11</v>
      </c>
    </row>
    <row r="916">
      <c r="A916" s="78">
        <v>45882.0</v>
      </c>
      <c r="B916" s="82" t="s">
        <v>449</v>
      </c>
      <c r="C916" s="40">
        <v>278.0</v>
      </c>
      <c r="D916" s="84" t="str">
        <f>IF(Tabla_3[COD]="","",VLOOKUP(Tabla_3[COD],'Stock inicial'!A:D,2,FALSE))</f>
        <v>PERFUMINA LIMON 5L</v>
      </c>
      <c r="E916" s="58">
        <v>1.0</v>
      </c>
      <c r="F916" s="103">
        <v>1499.0</v>
      </c>
      <c r="G916" s="199">
        <v>532.25</v>
      </c>
      <c r="H916" s="199">
        <v>532.25</v>
      </c>
      <c r="I916" s="73">
        <v>1499.0</v>
      </c>
      <c r="J916" s="27" t="s">
        <v>3</v>
      </c>
    </row>
    <row r="917">
      <c r="A917" s="74">
        <v>45882.0</v>
      </c>
      <c r="B917" s="75" t="s">
        <v>450</v>
      </c>
      <c r="C917" s="155">
        <v>273.0</v>
      </c>
      <c r="D917" s="77" t="str">
        <f>IF(Tabla_3[COD]="","",VLOOKUP(Tabla_3[COD],'Stock inicial'!A:D,2,FALSE))</f>
        <v>PERFUMINA CHERRY 1L</v>
      </c>
      <c r="E917" s="59">
        <v>1.0</v>
      </c>
      <c r="F917" s="103">
        <v>599.0</v>
      </c>
      <c r="G917" s="199">
        <v>352.45</v>
      </c>
      <c r="H917" s="199">
        <v>352.45</v>
      </c>
      <c r="I917" s="73">
        <v>599.0</v>
      </c>
      <c r="J917" s="27" t="s">
        <v>3</v>
      </c>
    </row>
    <row r="918">
      <c r="A918" s="78">
        <v>45882.0</v>
      </c>
      <c r="B918" s="91"/>
      <c r="C918" s="50">
        <v>284.0</v>
      </c>
      <c r="D918" s="81" t="str">
        <f>IF(Tabla_3[COD]="","",VLOOKUP(Tabla_3[COD],'Stock inicial'!A:D,2,FALSE))</f>
        <v>VAINILLA/COCO ROPA 1L</v>
      </c>
      <c r="E918" s="58">
        <v>2.0</v>
      </c>
      <c r="F918" s="103">
        <v>999.0</v>
      </c>
      <c r="G918" s="199">
        <v>210.0</v>
      </c>
      <c r="H918" s="199">
        <v>715.0</v>
      </c>
      <c r="I918" s="73">
        <v>1998.0</v>
      </c>
      <c r="J918" s="27" t="s">
        <v>3</v>
      </c>
    </row>
    <row r="919">
      <c r="A919" s="74">
        <v>45882.0</v>
      </c>
      <c r="B919" s="75" t="s">
        <v>451</v>
      </c>
      <c r="C919" s="155">
        <v>152.0</v>
      </c>
      <c r="D919" s="77" t="str">
        <f>IF(Tabla_3[COD]="","",VLOOKUP(Tabla_3[COD],'Stock inicial'!A:D,2,FALSE))</f>
        <v>OREJAS BOVINAS</v>
      </c>
      <c r="E919" s="59">
        <v>2.0</v>
      </c>
      <c r="F919" s="103">
        <v>800.0</v>
      </c>
      <c r="G919" s="199">
        <v>330.0</v>
      </c>
      <c r="H919" s="199">
        <v>660.0</v>
      </c>
      <c r="I919" s="73">
        <v>1600.0</v>
      </c>
      <c r="J919" s="27" t="s">
        <v>3</v>
      </c>
    </row>
    <row r="920">
      <c r="A920" s="78">
        <v>45882.0</v>
      </c>
      <c r="B920" s="91"/>
      <c r="C920" s="50">
        <v>230.0</v>
      </c>
      <c r="D920" s="81" t="str">
        <f>IF(Tabla_3[COD]="","",VLOOKUP(Tabla_3[COD],'Stock inicial'!A:D,2,FALSE))</f>
        <v>EXCELLENT PERRO ADULTO BONUS 20K +2</v>
      </c>
      <c r="E920" s="58">
        <v>2.0</v>
      </c>
      <c r="F920" s="103">
        <v>4400.0</v>
      </c>
      <c r="G920" s="199">
        <v>2690.89</v>
      </c>
      <c r="H920" s="199">
        <v>5381.78</v>
      </c>
      <c r="I920" s="73">
        <v>8800.0</v>
      </c>
      <c r="J920" s="27" t="s">
        <v>3</v>
      </c>
    </row>
    <row r="921">
      <c r="A921" s="74">
        <v>45882.0</v>
      </c>
      <c r="B921" s="75" t="s">
        <v>452</v>
      </c>
      <c r="C921" s="155">
        <v>212.0</v>
      </c>
      <c r="D921" s="77" t="str">
        <f>IF(Tabla_3[COD]="","",VLOOKUP(Tabla_3[COD],'Stock inicial'!A:D,2,FALSE))</f>
        <v>DOGPRO ADULTO MORDIDA PEQUEñA XKG</v>
      </c>
      <c r="E921" s="59">
        <v>1.0</v>
      </c>
      <c r="F921" s="103">
        <v>4000.0</v>
      </c>
      <c r="G921" s="199">
        <v>2778.13</v>
      </c>
      <c r="H921" s="199">
        <v>2778.13</v>
      </c>
      <c r="I921" s="73">
        <v>4000.0</v>
      </c>
      <c r="J921" s="27" t="s">
        <v>3</v>
      </c>
    </row>
    <row r="922">
      <c r="A922" s="78">
        <v>45882.0</v>
      </c>
      <c r="B922" s="91"/>
      <c r="C922" s="50">
        <v>364.0</v>
      </c>
      <c r="D922" s="81" t="str">
        <f>IF(Tabla_3[COD]="","",VLOOKUP(Tabla_3[COD],'Stock inicial'!A:D,2,FALSE))</f>
        <v>CAMITAS  70x70</v>
      </c>
      <c r="E922" s="58">
        <v>1.0</v>
      </c>
      <c r="F922" s="103">
        <v>16500.0</v>
      </c>
      <c r="G922" s="199">
        <v>11000.0</v>
      </c>
      <c r="H922" s="199">
        <v>11000.0</v>
      </c>
      <c r="I922" s="73">
        <v>16500.0</v>
      </c>
      <c r="J922" s="27" t="s">
        <v>3</v>
      </c>
    </row>
    <row r="923">
      <c r="A923" s="74">
        <v>45883.0</v>
      </c>
      <c r="B923" s="75" t="s">
        <v>453</v>
      </c>
      <c r="C923" s="155">
        <v>162.0</v>
      </c>
      <c r="D923" s="77" t="str">
        <f>IF(Tabla_3[COD]="","",VLOOKUP(Tabla_3[COD],'Stock inicial'!A:D,2,FALSE))</f>
        <v>PIEDRA SANITARIA THEBEST X20KG</v>
      </c>
      <c r="E923" s="59">
        <v>2.95</v>
      </c>
      <c r="F923" s="103">
        <v>680.0</v>
      </c>
      <c r="G923" s="199">
        <v>440.0</v>
      </c>
      <c r="H923" s="199">
        <v>1298.0</v>
      </c>
      <c r="I923" s="73">
        <v>2006.0000000000002</v>
      </c>
      <c r="J923" s="27" t="s">
        <v>11</v>
      </c>
    </row>
    <row r="924">
      <c r="A924" s="78">
        <v>45883.0</v>
      </c>
      <c r="B924" s="91"/>
      <c r="C924" s="50">
        <v>234.0</v>
      </c>
      <c r="D924" s="81" t="str">
        <f>IF(Tabla_3[COD]="","",VLOOKUP(Tabla_3[COD],'Stock inicial'!A:D,2,FALSE))</f>
        <v>CAT CHOW ADULTO CARNE POLLO</v>
      </c>
      <c r="E924" s="58">
        <v>1.07</v>
      </c>
      <c r="F924" s="103">
        <v>4700.0</v>
      </c>
      <c r="G924" s="199">
        <v>3586.66</v>
      </c>
      <c r="H924" s="199">
        <v>3837.7262</v>
      </c>
      <c r="I924" s="73">
        <v>5029.0</v>
      </c>
      <c r="J924" s="27" t="s">
        <v>11</v>
      </c>
    </row>
    <row r="925">
      <c r="A925" s="74">
        <v>45883.0</v>
      </c>
      <c r="B925" s="92"/>
      <c r="C925" s="51">
        <v>274.0</v>
      </c>
      <c r="D925" s="87" t="str">
        <f>IF(Tabla_3[COD]="","",VLOOKUP(Tabla_3[COD],'Stock inicial'!A:D,2,FALSE))</f>
        <v>PERFUMINA CHERRY 5L</v>
      </c>
      <c r="E925" s="59">
        <v>1.0</v>
      </c>
      <c r="F925" s="103">
        <v>1499.0</v>
      </c>
      <c r="G925" s="199">
        <v>532.25</v>
      </c>
      <c r="H925" s="199">
        <v>532.25</v>
      </c>
      <c r="I925" s="73">
        <v>1499.0</v>
      </c>
      <c r="J925" s="27" t="s">
        <v>11</v>
      </c>
    </row>
    <row r="926">
      <c r="A926" s="78">
        <v>45883.0</v>
      </c>
      <c r="B926" s="68" t="s">
        <v>454</v>
      </c>
      <c r="C926" s="128">
        <v>212.0</v>
      </c>
      <c r="D926" s="129" t="str">
        <f>IF(Tabla_3[COD]="","",VLOOKUP(Tabla_3[COD],'Stock inicial'!A:D,2,FALSE))</f>
        <v>DOGPRO ADULTO MORDIDA PEQUEñA XKG</v>
      </c>
      <c r="E926" s="58">
        <v>1.0</v>
      </c>
      <c r="F926" s="103">
        <v>4000.0</v>
      </c>
      <c r="G926" s="199">
        <v>2778.13</v>
      </c>
      <c r="H926" s="199">
        <v>2778.13</v>
      </c>
      <c r="I926" s="73">
        <v>4000.0</v>
      </c>
      <c r="J926" s="27" t="s">
        <v>3</v>
      </c>
    </row>
    <row r="927">
      <c r="A927" s="74">
        <v>45883.0</v>
      </c>
      <c r="B927" s="192" t="s">
        <v>455</v>
      </c>
      <c r="C927" s="169">
        <v>227.0</v>
      </c>
      <c r="D927" s="170" t="str">
        <f>IF(Tabla_3[COD]="","",VLOOKUP(Tabla_3[COD],'Stock inicial'!A:D,2,FALSE))</f>
        <v>CATPRO GATO ADULTO</v>
      </c>
      <c r="E927" s="59">
        <v>2.0</v>
      </c>
      <c r="F927" s="103">
        <v>5700.0</v>
      </c>
      <c r="G927" s="199">
        <v>3657.41</v>
      </c>
      <c r="H927" s="199">
        <v>7314.82</v>
      </c>
      <c r="I927" s="73">
        <v>11400.0</v>
      </c>
      <c r="J927" s="27" t="s">
        <v>11</v>
      </c>
    </row>
    <row r="928">
      <c r="A928" s="78">
        <v>45883.0</v>
      </c>
      <c r="B928" s="139" t="s">
        <v>456</v>
      </c>
      <c r="C928" s="99">
        <v>206.0</v>
      </c>
      <c r="D928" s="81" t="str">
        <f>IF(Tabla_3[COD]="","",VLOOKUP(Tabla_3[COD],'Stock inicial'!A:D,2,FALSE))</f>
        <v>PIPETA POWER ULTRA DE 5 A 10KG</v>
      </c>
      <c r="E928" s="58">
        <v>1.0</v>
      </c>
      <c r="F928" s="103">
        <v>5500.0</v>
      </c>
      <c r="G928" s="199">
        <v>3700.0</v>
      </c>
      <c r="H928" s="199">
        <v>3700.0</v>
      </c>
      <c r="I928" s="73">
        <v>5500.0</v>
      </c>
      <c r="J928" s="27" t="s">
        <v>3</v>
      </c>
    </row>
    <row r="929">
      <c r="A929" s="74">
        <v>45883.0</v>
      </c>
      <c r="B929" s="92"/>
      <c r="C929" s="98">
        <v>279.0</v>
      </c>
      <c r="D929" s="87" t="str">
        <f>IF(Tabla_3[COD]="","",VLOOKUP(Tabla_3[COD],'Stock inicial'!A:D,2,FALSE))</f>
        <v>PERFUMINA LISOFORM 1L</v>
      </c>
      <c r="E929" s="59">
        <v>1.0</v>
      </c>
      <c r="F929" s="103">
        <v>599.0</v>
      </c>
      <c r="G929" s="199">
        <v>352.45</v>
      </c>
      <c r="H929" s="199">
        <v>352.45</v>
      </c>
      <c r="I929" s="73">
        <v>599.0</v>
      </c>
      <c r="J929" s="27" t="s">
        <v>3</v>
      </c>
    </row>
    <row r="930">
      <c r="A930" s="78">
        <v>45883.0</v>
      </c>
      <c r="B930" s="82" t="s">
        <v>457</v>
      </c>
      <c r="C930" s="97">
        <v>229.0</v>
      </c>
      <c r="D930" s="84" t="str">
        <f>IF(Tabla_3[COD]="","",VLOOKUP(Tabla_3[COD],'Stock inicial'!A:D,2,FALSE))</f>
        <v>EXCELLENT GATO ADULTO</v>
      </c>
      <c r="E930" s="58">
        <v>1.0</v>
      </c>
      <c r="F930" s="103">
        <v>7500.0</v>
      </c>
      <c r="G930" s="199">
        <v>5239.88</v>
      </c>
      <c r="H930" s="199">
        <v>5239.88</v>
      </c>
      <c r="I930" s="73">
        <v>7500.0</v>
      </c>
      <c r="J930" s="27" t="s">
        <v>3</v>
      </c>
    </row>
    <row r="931">
      <c r="A931" s="74">
        <v>45883.0</v>
      </c>
      <c r="B931" s="75" t="s">
        <v>458</v>
      </c>
      <c r="C931" s="96">
        <v>246.0</v>
      </c>
      <c r="D931" s="77" t="str">
        <f>IF(Tabla_3[COD]="","",VLOOKUP(Tabla_3[COD],'Stock inicial'!A:D,2,FALSE))</f>
        <v>ARIEL ECO (VERDE) 5L</v>
      </c>
      <c r="E931" s="59">
        <v>1.0</v>
      </c>
      <c r="F931" s="103">
        <v>1990.0</v>
      </c>
      <c r="G931" s="199">
        <v>1143.0</v>
      </c>
      <c r="H931" s="199">
        <v>1143.0</v>
      </c>
      <c r="I931" s="73">
        <v>1990.0</v>
      </c>
      <c r="J931" s="27" t="s">
        <v>3</v>
      </c>
    </row>
    <row r="932">
      <c r="A932" s="78">
        <v>45883.0</v>
      </c>
      <c r="B932" s="91"/>
      <c r="C932" s="99">
        <v>257.0</v>
      </c>
      <c r="D932" s="81" t="str">
        <f>IF(Tabla_3[COD]="","",VLOOKUP(Tabla_3[COD],'Stock inicial'!A:D,2,FALSE))</f>
        <v>MAGISTRAL ECO (LIMON AMARILLO) 1L</v>
      </c>
      <c r="E932" s="58">
        <v>1.0</v>
      </c>
      <c r="F932" s="103">
        <v>999.0</v>
      </c>
      <c r="G932" s="199">
        <v>575.0</v>
      </c>
      <c r="H932" s="199">
        <v>575.0</v>
      </c>
      <c r="I932" s="73">
        <v>999.0</v>
      </c>
      <c r="J932" s="27" t="s">
        <v>3</v>
      </c>
    </row>
    <row r="933">
      <c r="A933" s="74">
        <v>45883.0</v>
      </c>
      <c r="B933" s="92"/>
      <c r="C933" s="98">
        <v>274.0</v>
      </c>
      <c r="D933" s="87" t="str">
        <f>IF(Tabla_3[COD]="","",VLOOKUP(Tabla_3[COD],'Stock inicial'!A:D,2,FALSE))</f>
        <v>PERFUMINA CHERRY 5L</v>
      </c>
      <c r="E933" s="59">
        <v>1.0</v>
      </c>
      <c r="F933" s="103">
        <v>990.0</v>
      </c>
      <c r="G933" s="199">
        <v>287.25</v>
      </c>
      <c r="H933" s="199">
        <v>287.25</v>
      </c>
      <c r="I933" s="73">
        <v>990.0</v>
      </c>
      <c r="J933" s="27" t="s">
        <v>3</v>
      </c>
    </row>
    <row r="934">
      <c r="A934" s="78">
        <v>45883.0</v>
      </c>
      <c r="B934" s="82" t="s">
        <v>459</v>
      </c>
      <c r="C934" s="97">
        <v>223.0</v>
      </c>
      <c r="D934" s="84" t="str">
        <f>IF(Tabla_3[COD]="","",VLOOKUP(Tabla_3[COD],'Stock inicial'!A:D,2,FALSE))</f>
        <v>VORAZ PERRO ADULTO MIX</v>
      </c>
      <c r="E934" s="58">
        <v>2.0</v>
      </c>
      <c r="F934" s="103">
        <v>1100.0</v>
      </c>
      <c r="G934" s="199">
        <v>819.5</v>
      </c>
      <c r="H934" s="199">
        <v>1639.0</v>
      </c>
      <c r="I934" s="73">
        <v>2200.0</v>
      </c>
      <c r="J934" s="27" t="s">
        <v>11</v>
      </c>
    </row>
    <row r="935">
      <c r="A935" s="74">
        <v>45883.0</v>
      </c>
      <c r="B935" s="92"/>
      <c r="C935" s="98">
        <v>149.0</v>
      </c>
      <c r="D935" s="87" t="str">
        <f>IF(Tabla_3[COD]="","",VLOOKUP(Tabla_3[COD],'Stock inicial'!A:D,2,FALSE))</f>
        <v>PALITOS MASTICABLES IZZY x6</v>
      </c>
      <c r="E935" s="59">
        <v>1.0</v>
      </c>
      <c r="F935" s="103">
        <v>600.0</v>
      </c>
      <c r="G935" s="199">
        <v>238.56</v>
      </c>
      <c r="H935" s="199">
        <v>238.56</v>
      </c>
      <c r="I935" s="73">
        <v>600.0</v>
      </c>
      <c r="J935" s="27" t="s">
        <v>11</v>
      </c>
    </row>
    <row r="936">
      <c r="A936" s="78">
        <v>45883.0</v>
      </c>
      <c r="B936" s="91"/>
      <c r="C936" s="95"/>
      <c r="D936" s="81" t="s">
        <v>152</v>
      </c>
      <c r="E936" s="58">
        <v>1.0</v>
      </c>
      <c r="F936" s="103">
        <v>-300.0</v>
      </c>
      <c r="G936" s="103">
        <v>0.0</v>
      </c>
      <c r="H936" s="73">
        <v>0.0</v>
      </c>
      <c r="I936" s="73">
        <v>-300.0</v>
      </c>
      <c r="J936" s="27" t="s">
        <v>11</v>
      </c>
    </row>
    <row r="937">
      <c r="A937" s="74">
        <v>45883.0</v>
      </c>
      <c r="B937" s="75" t="s">
        <v>460</v>
      </c>
      <c r="C937" s="155">
        <v>243.0</v>
      </c>
      <c r="D937" s="77" t="str">
        <f>IF(Tabla_3[COD]="","",VLOOKUP(Tabla_3[COD],'Stock inicial'!A:D,2,FALSE))</f>
        <v>PEDIGREE POUCH AD. PEQ. CARNE</v>
      </c>
      <c r="E937" s="59">
        <v>1.0</v>
      </c>
      <c r="F937" s="103">
        <v>1100.0</v>
      </c>
      <c r="G937" s="199">
        <v>787.5</v>
      </c>
      <c r="H937" s="199">
        <v>787.5</v>
      </c>
      <c r="I937" s="73">
        <v>1100.0</v>
      </c>
      <c r="J937" s="27" t="s">
        <v>3</v>
      </c>
    </row>
    <row r="938">
      <c r="A938" s="78">
        <v>45883.0</v>
      </c>
      <c r="B938" s="91"/>
      <c r="C938" s="50">
        <v>255.0</v>
      </c>
      <c r="D938" s="81" t="str">
        <f>IF(Tabla_3[COD]="","",VLOOKUP(Tabla_3[COD],'Stock inicial'!A:D,2,FALSE))</f>
        <v>VIVERE EXT. PERF. (CELESTE) 1L</v>
      </c>
      <c r="E938" s="58">
        <v>1.0</v>
      </c>
      <c r="F938" s="103">
        <v>1299.0</v>
      </c>
      <c r="G938" s="199">
        <v>675.0</v>
      </c>
      <c r="H938" s="199">
        <v>675.0</v>
      </c>
      <c r="I938" s="73">
        <v>1299.0</v>
      </c>
      <c r="J938" s="27" t="s">
        <v>3</v>
      </c>
    </row>
    <row r="939">
      <c r="A939" s="74">
        <v>45883.0</v>
      </c>
      <c r="B939" s="168"/>
      <c r="C939" s="169">
        <v>380.0</v>
      </c>
      <c r="D939" s="170" t="str">
        <f>IF(Tabla_3[COD]="","",VLOOKUP(Tabla_3[COD],'Stock inicial'!A:D,2,FALSE))</f>
        <v>TIBETANOS</v>
      </c>
      <c r="E939" s="59">
        <v>1.0</v>
      </c>
      <c r="F939" s="103">
        <v>3500.0</v>
      </c>
      <c r="G939" s="199">
        <v>2000.0</v>
      </c>
      <c r="H939" s="199">
        <v>2000.0</v>
      </c>
      <c r="I939" s="73">
        <v>3500.0</v>
      </c>
      <c r="J939" s="27" t="s">
        <v>3</v>
      </c>
    </row>
    <row r="940">
      <c r="A940" s="28">
        <v>45883.0</v>
      </c>
      <c r="B940" s="186" t="s">
        <v>461</v>
      </c>
      <c r="C940" s="187">
        <v>223.0</v>
      </c>
      <c r="D940" s="81" t="str">
        <f>IF(Tabla_3[COD]="","",VLOOKUP(Tabla_3[COD],'Stock inicial'!A:D,2,FALSE))</f>
        <v>VORAZ PERRO ADULTO MIX</v>
      </c>
      <c r="E940" s="27">
        <v>3.0</v>
      </c>
      <c r="F940" s="103">
        <v>1100.0</v>
      </c>
      <c r="G940" s="199">
        <v>819.5</v>
      </c>
      <c r="H940" s="199">
        <v>2458.5</v>
      </c>
      <c r="I940" s="73">
        <v>3300.0</v>
      </c>
      <c r="J940" s="27" t="s">
        <v>3</v>
      </c>
    </row>
    <row r="941">
      <c r="A941" s="74">
        <v>45883.0</v>
      </c>
      <c r="B941" s="75" t="s">
        <v>462</v>
      </c>
      <c r="C941" s="155">
        <v>162.0</v>
      </c>
      <c r="D941" s="77" t="str">
        <f>IF(Tabla_3[COD]="","",VLOOKUP(Tabla_3[COD],'Stock inicial'!A:D,2,FALSE))</f>
        <v>PIEDRA SANITARIA THEBEST X20KG</v>
      </c>
      <c r="E941" s="59">
        <v>2.0</v>
      </c>
      <c r="F941" s="103">
        <v>680.0</v>
      </c>
      <c r="G941" s="199">
        <v>440.0</v>
      </c>
      <c r="H941" s="199">
        <v>880.0</v>
      </c>
      <c r="I941" s="73">
        <v>1360.0</v>
      </c>
      <c r="J941" s="27" t="s">
        <v>3</v>
      </c>
    </row>
    <row r="942">
      <c r="A942" s="78">
        <v>45883.0</v>
      </c>
      <c r="B942" s="91"/>
      <c r="C942" s="50">
        <v>235.0</v>
      </c>
      <c r="D942" s="81" t="str">
        <f>IF(Tabla_3[COD]="","",VLOOKUP(Tabla_3[COD],'Stock inicial'!A:D,2,FALSE))</f>
        <v>CATCHOW POUCH ADULTO POLLO</v>
      </c>
      <c r="E942" s="58">
        <v>3.0</v>
      </c>
      <c r="F942" s="103">
        <v>1500.0</v>
      </c>
      <c r="G942" s="199">
        <v>876.04</v>
      </c>
      <c r="H942" s="199">
        <v>2628.12</v>
      </c>
      <c r="I942" s="73">
        <v>4500.0</v>
      </c>
      <c r="J942" s="27" t="s">
        <v>3</v>
      </c>
    </row>
    <row r="943">
      <c r="A943" s="74">
        <v>45883.0</v>
      </c>
      <c r="B943" s="75" t="s">
        <v>463</v>
      </c>
      <c r="C943" s="96">
        <v>370.0</v>
      </c>
      <c r="D943" s="77" t="str">
        <f>IF(Tabla_3[COD]="","",VLOOKUP(Tabla_3[COD],'Stock inicial'!A:D,2,FALSE))</f>
        <v>CUBO 3 POSICIONES</v>
      </c>
      <c r="E943" s="59">
        <v>1.0</v>
      </c>
      <c r="F943" s="103">
        <v>30000.0</v>
      </c>
      <c r="G943" s="199">
        <v>20000.0</v>
      </c>
      <c r="H943" s="199">
        <v>20000.0</v>
      </c>
      <c r="I943" s="73">
        <v>30000.0</v>
      </c>
      <c r="J943" s="27" t="s">
        <v>3</v>
      </c>
    </row>
    <row r="944">
      <c r="A944" s="78">
        <v>45883.0</v>
      </c>
      <c r="B944" s="82" t="s">
        <v>464</v>
      </c>
      <c r="C944" s="97">
        <v>212.0</v>
      </c>
      <c r="D944" s="84" t="str">
        <f>IF(Tabla_3[COD]="","",VLOOKUP(Tabla_3[COD],'Stock inicial'!A:D,2,FALSE))</f>
        <v>DOGPRO ADULTO MORDIDA PEQUEñA XKG</v>
      </c>
      <c r="E944" s="58">
        <v>1.0</v>
      </c>
      <c r="F944" s="103">
        <v>4000.0</v>
      </c>
      <c r="G944" s="199">
        <v>2778.13</v>
      </c>
      <c r="H944" s="199">
        <v>2778.13</v>
      </c>
      <c r="I944" s="73">
        <v>4000.0</v>
      </c>
      <c r="J944" s="27" t="s">
        <v>3</v>
      </c>
    </row>
    <row r="945">
      <c r="A945" s="74">
        <v>45883.0</v>
      </c>
      <c r="B945" s="92"/>
      <c r="C945" s="98">
        <v>243.0</v>
      </c>
      <c r="D945" s="87" t="str">
        <f>IF(Tabla_3[COD]="","",VLOOKUP(Tabla_3[COD],'Stock inicial'!A:D,2,FALSE))</f>
        <v>PEDIGREE POUCH AD. PEQ. CARNE</v>
      </c>
      <c r="E945" s="59">
        <v>2.0</v>
      </c>
      <c r="F945" s="103">
        <v>1100.0</v>
      </c>
      <c r="G945" s="199">
        <v>787.5</v>
      </c>
      <c r="H945" s="199">
        <v>1575.0</v>
      </c>
      <c r="I945" s="73">
        <v>2200.0</v>
      </c>
      <c r="J945" s="27" t="s">
        <v>3</v>
      </c>
    </row>
    <row r="946">
      <c r="A946" s="78">
        <v>45883.0</v>
      </c>
      <c r="B946" s="82" t="s">
        <v>465</v>
      </c>
      <c r="C946" s="137"/>
      <c r="D946" s="84" t="s">
        <v>466</v>
      </c>
      <c r="E946" s="58">
        <v>1.0</v>
      </c>
      <c r="F946" s="27">
        <v>16000.0</v>
      </c>
      <c r="G946" s="27">
        <v>8980.0</v>
      </c>
      <c r="H946" s="73">
        <v>8980.0</v>
      </c>
      <c r="I946" s="73">
        <v>16000.0</v>
      </c>
      <c r="J946" s="27" t="s">
        <v>11</v>
      </c>
    </row>
    <row r="947">
      <c r="A947" s="74">
        <v>45883.0</v>
      </c>
      <c r="B947" s="75" t="s">
        <v>467</v>
      </c>
      <c r="C947" s="138"/>
      <c r="D947" s="77" t="s">
        <v>426</v>
      </c>
      <c r="E947" s="59">
        <v>1.0</v>
      </c>
      <c r="F947" s="27">
        <v>20000.0</v>
      </c>
      <c r="G947" s="27">
        <v>16500.0</v>
      </c>
      <c r="H947" s="73">
        <v>16500.0</v>
      </c>
      <c r="I947" s="73">
        <v>20000.0</v>
      </c>
      <c r="J947" s="27" t="s">
        <v>11</v>
      </c>
    </row>
    <row r="948">
      <c r="A948" s="78">
        <v>45883.0</v>
      </c>
      <c r="B948" s="82" t="s">
        <v>468</v>
      </c>
      <c r="C948" s="40">
        <v>212.0</v>
      </c>
      <c r="D948" s="84" t="str">
        <f>IF(Tabla_3[COD]="","",VLOOKUP(Tabla_3[COD],'Stock inicial'!A:D,2,FALSE))</f>
        <v>DOGPRO ADULTO MORDIDA PEQUEñA XKG</v>
      </c>
      <c r="E948" s="58">
        <v>0.5</v>
      </c>
      <c r="F948" s="103">
        <v>4000.0</v>
      </c>
      <c r="G948" s="199">
        <v>2778.13</v>
      </c>
      <c r="H948" s="199">
        <v>1389.065</v>
      </c>
      <c r="I948" s="73">
        <v>2000.0</v>
      </c>
      <c r="J948" s="27" t="s">
        <v>3</v>
      </c>
    </row>
    <row r="949">
      <c r="A949" s="74">
        <v>45883.0</v>
      </c>
      <c r="B949" s="100"/>
      <c r="C949" s="51">
        <v>220.0</v>
      </c>
      <c r="D949" s="87" t="str">
        <f>IF(Tabla_3[COD]="","",VLOOKUP(Tabla_3[COD],'Stock inicial'!A:D,2,FALSE))</f>
        <v>EXCELLENT PERRO ADULTO MORD. PEQ. 15KG</v>
      </c>
      <c r="E949" s="59">
        <v>0.5</v>
      </c>
      <c r="F949" s="103">
        <v>5200.0</v>
      </c>
      <c r="G949" s="199">
        <v>3683.17</v>
      </c>
      <c r="H949" s="199">
        <v>1841.585</v>
      </c>
      <c r="I949" s="73">
        <v>2600.0</v>
      </c>
      <c r="J949" s="27" t="s">
        <v>3</v>
      </c>
    </row>
    <row r="950">
      <c r="A950" s="78">
        <v>45883.0</v>
      </c>
      <c r="B950" s="125"/>
      <c r="C950" s="146">
        <v>149.0</v>
      </c>
      <c r="D950" s="127" t="str">
        <f>IF(Tabla_3[COD]="","",VLOOKUP(Tabla_3[COD],'Stock inicial'!A:D,2,FALSE))</f>
        <v>PALITOS MASTICABLES IZZY x6</v>
      </c>
      <c r="E950" s="58">
        <v>1.0</v>
      </c>
      <c r="F950" s="103">
        <v>600.0</v>
      </c>
      <c r="G950" s="199">
        <v>238.56</v>
      </c>
      <c r="H950" s="199">
        <v>238.56</v>
      </c>
      <c r="I950" s="73">
        <v>600.0</v>
      </c>
      <c r="J950" s="27" t="s">
        <v>3</v>
      </c>
    </row>
    <row r="951">
      <c r="A951" s="28">
        <v>45883.0</v>
      </c>
      <c r="B951" s="100" t="s">
        <v>469</v>
      </c>
      <c r="C951" s="51">
        <v>223.0</v>
      </c>
      <c r="D951" s="87" t="str">
        <f>IF(Tabla_3[COD]="","",VLOOKUP(Tabla_3[COD],'Stock inicial'!A:D,2,FALSE))</f>
        <v>VORAZ PERRO ADULTO MIX</v>
      </c>
      <c r="E951" s="27">
        <v>2.0</v>
      </c>
      <c r="F951" s="103">
        <v>1100.0</v>
      </c>
      <c r="G951" s="199">
        <v>819.5</v>
      </c>
      <c r="H951" s="199">
        <v>1639.0</v>
      </c>
      <c r="I951" s="73">
        <v>2200.0</v>
      </c>
      <c r="J951" s="27" t="s">
        <v>3</v>
      </c>
    </row>
    <row r="952">
      <c r="A952" s="78">
        <v>45883.0</v>
      </c>
      <c r="B952" s="82" t="s">
        <v>470</v>
      </c>
      <c r="C952" s="97">
        <v>357.0</v>
      </c>
      <c r="D952" s="84" t="str">
        <f>IF(Tabla_3[COD]="","",VLOOKUP(Tabla_3[COD],'Stock inicial'!A:D,2,FALSE))</f>
        <v>PAPEL HIGIENICO "ELEGANTE"</v>
      </c>
      <c r="E952" s="58">
        <v>1.0</v>
      </c>
      <c r="F952" s="103">
        <v>1900.0</v>
      </c>
      <c r="G952" s="199">
        <v>1170.0</v>
      </c>
      <c r="H952" s="199">
        <v>1170.0</v>
      </c>
      <c r="I952" s="73">
        <v>1900.0</v>
      </c>
      <c r="J952" s="27" t="s">
        <v>11</v>
      </c>
    </row>
    <row r="953">
      <c r="A953" s="74">
        <v>45884.0</v>
      </c>
      <c r="B953" s="75" t="s">
        <v>471</v>
      </c>
      <c r="C953" s="138"/>
      <c r="D953" s="77" t="s">
        <v>472</v>
      </c>
      <c r="E953" s="59">
        <v>1.0</v>
      </c>
      <c r="F953" s="27">
        <v>8960.0</v>
      </c>
      <c r="G953" s="27">
        <v>6400.0</v>
      </c>
      <c r="H953" s="73">
        <v>6400.0</v>
      </c>
      <c r="I953" s="73">
        <v>8960.0</v>
      </c>
      <c r="J953" s="27" t="s">
        <v>11</v>
      </c>
    </row>
    <row r="954">
      <c r="A954" s="78">
        <v>45884.0</v>
      </c>
      <c r="B954" s="91"/>
      <c r="C954" s="95"/>
      <c r="D954" s="81" t="s">
        <v>473</v>
      </c>
      <c r="E954" s="58">
        <v>1.0</v>
      </c>
      <c r="F954" s="27">
        <v>3710.0</v>
      </c>
      <c r="G954" s="27">
        <v>2650.0</v>
      </c>
      <c r="H954" s="73">
        <v>2650.0</v>
      </c>
      <c r="I954" s="73">
        <v>3710.0</v>
      </c>
      <c r="J954" s="27" t="s">
        <v>11</v>
      </c>
    </row>
    <row r="955">
      <c r="A955" s="74">
        <v>45884.0</v>
      </c>
      <c r="B955" s="92"/>
      <c r="C955" s="101"/>
      <c r="D955" s="87" t="s">
        <v>474</v>
      </c>
      <c r="E955" s="59">
        <v>1.0</v>
      </c>
      <c r="F955" s="27">
        <v>2050.0</v>
      </c>
      <c r="G955" s="27">
        <v>1470.0</v>
      </c>
      <c r="H955" s="73">
        <v>1470.0</v>
      </c>
      <c r="I955" s="73">
        <v>2050.0</v>
      </c>
      <c r="J955" s="27" t="s">
        <v>11</v>
      </c>
    </row>
    <row r="956">
      <c r="A956" s="78">
        <v>45884.0</v>
      </c>
      <c r="B956" s="91"/>
      <c r="C956" s="95"/>
      <c r="D956" s="81" t="s">
        <v>475</v>
      </c>
      <c r="E956" s="58">
        <v>1.0</v>
      </c>
      <c r="F956" s="27">
        <v>1060.0</v>
      </c>
      <c r="G956" s="27">
        <v>1060.0</v>
      </c>
      <c r="H956" s="73">
        <v>1060.0</v>
      </c>
      <c r="I956" s="73">
        <v>1060.0</v>
      </c>
      <c r="J956" s="27" t="s">
        <v>11</v>
      </c>
    </row>
    <row r="957">
      <c r="A957" s="74">
        <v>45884.0</v>
      </c>
      <c r="B957" s="92"/>
      <c r="C957" s="101"/>
      <c r="D957" s="87" t="s">
        <v>476</v>
      </c>
      <c r="E957" s="59">
        <v>1.0</v>
      </c>
      <c r="F957" s="27">
        <v>899.0</v>
      </c>
      <c r="G957" s="27">
        <v>899.0</v>
      </c>
      <c r="H957" s="73">
        <v>899.0</v>
      </c>
      <c r="I957" s="73">
        <v>899.0</v>
      </c>
      <c r="J957" s="27" t="s">
        <v>11</v>
      </c>
    </row>
    <row r="958">
      <c r="A958" s="78">
        <v>45884.0</v>
      </c>
      <c r="B958" s="82" t="s">
        <v>477</v>
      </c>
      <c r="C958" s="40">
        <v>246.0</v>
      </c>
      <c r="D958" s="84" t="str">
        <f>IF(Tabla_3[COD]="","",VLOOKUP(Tabla_3[COD],'Stock inicial'!A:D,2,FALSE))</f>
        <v>ARIEL ECO (VERDE) 5L</v>
      </c>
      <c r="E958" s="58">
        <v>1.0</v>
      </c>
      <c r="F958" s="103">
        <v>1990.0</v>
      </c>
      <c r="G958" s="199">
        <v>1143.0</v>
      </c>
      <c r="H958" s="199">
        <v>1143.0</v>
      </c>
      <c r="I958" s="73">
        <v>1990.0</v>
      </c>
      <c r="J958" s="27" t="s">
        <v>3</v>
      </c>
    </row>
    <row r="959">
      <c r="A959" s="74">
        <v>45884.0</v>
      </c>
      <c r="B959" s="92"/>
      <c r="C959" s="51">
        <v>258.0</v>
      </c>
      <c r="D959" s="87" t="str">
        <f>IF(Tabla_3[COD]="","",VLOOKUP(Tabla_3[COD],'Stock inicial'!A:D,2,FALSE))</f>
        <v>MAGISTRAL ECO (LIMON AMARILLO) 5L</v>
      </c>
      <c r="E959" s="59">
        <v>1.0</v>
      </c>
      <c r="F959" s="103">
        <v>2490.0</v>
      </c>
      <c r="G959" s="199">
        <v>1400.0</v>
      </c>
      <c r="H959" s="199">
        <v>1400.0</v>
      </c>
      <c r="I959" s="73">
        <v>2490.0</v>
      </c>
      <c r="J959" s="27" t="s">
        <v>3</v>
      </c>
    </row>
    <row r="960">
      <c r="A960" s="78">
        <v>45884.0</v>
      </c>
      <c r="B960" s="91"/>
      <c r="C960" s="50">
        <v>290.0</v>
      </c>
      <c r="D960" s="81" t="str">
        <f>IF(Tabla_3[COD]="","",VLOOKUP(Tabla_3[COD],'Stock inicial'!A:D,2,FALSE))</f>
        <v>LAVANDINA 5L</v>
      </c>
      <c r="E960" s="58">
        <v>2.0</v>
      </c>
      <c r="F960" s="103">
        <v>1990.0</v>
      </c>
      <c r="G960" s="199">
        <v>1145.0</v>
      </c>
      <c r="H960" s="199">
        <v>2290.0</v>
      </c>
      <c r="I960" s="73">
        <v>3980.0</v>
      </c>
      <c r="J960" s="27" t="s">
        <v>3</v>
      </c>
    </row>
    <row r="961">
      <c r="A961" s="74">
        <v>45884.0</v>
      </c>
      <c r="B961" s="70" t="s">
        <v>478</v>
      </c>
      <c r="C961" s="205">
        <v>248.0</v>
      </c>
      <c r="D961" s="124" t="str">
        <f>IF(Tabla_3[COD]="","",VLOOKUP(Tabla_3[COD],'Stock inicial'!A:D,2,FALSE))</f>
        <v>ARIEL PREMIUM (VERDE) 5L</v>
      </c>
      <c r="E961" s="59">
        <v>1.0</v>
      </c>
      <c r="F961" s="103">
        <v>3000.0</v>
      </c>
      <c r="G961" s="199">
        <v>1615.5</v>
      </c>
      <c r="H961" s="199">
        <v>1615.5</v>
      </c>
      <c r="I961" s="73">
        <v>3000.0</v>
      </c>
      <c r="J961" s="27" t="s">
        <v>3</v>
      </c>
    </row>
    <row r="962">
      <c r="A962" s="78">
        <v>45884.0</v>
      </c>
      <c r="B962" s="139" t="s">
        <v>479</v>
      </c>
      <c r="C962" s="50">
        <v>249.0</v>
      </c>
      <c r="D962" s="81" t="str">
        <f>IF(Tabla_3[COD]="","",VLOOKUP(Tabla_3[COD],'Stock inicial'!A:D,2,FALSE))</f>
        <v>ARIEL. EXT. PERF. (VERDE CON SUAVIZANTE) 1L</v>
      </c>
      <c r="E962" s="58">
        <v>2.0</v>
      </c>
      <c r="F962" s="103">
        <v>1500.0</v>
      </c>
      <c r="G962" s="199">
        <v>781.0</v>
      </c>
      <c r="H962" s="199">
        <v>1562.0</v>
      </c>
      <c r="I962" s="73">
        <v>3000.0</v>
      </c>
      <c r="J962" s="27" t="s">
        <v>3</v>
      </c>
    </row>
    <row r="963">
      <c r="A963" s="74">
        <v>45884.0</v>
      </c>
      <c r="B963" s="75" t="s">
        <v>480</v>
      </c>
      <c r="C963" s="96">
        <v>214.0</v>
      </c>
      <c r="D963" s="77" t="str">
        <f>IF(Tabla_3[COD]="","",VLOOKUP(Tabla_3[COD],'Stock inicial'!A:D,2,FALSE))</f>
        <v>DOGPRO ADULTO SUPER PREMIUM XKG</v>
      </c>
      <c r="E963" s="59">
        <v>2.0</v>
      </c>
      <c r="F963" s="103">
        <v>4000.0</v>
      </c>
      <c r="G963" s="199">
        <v>2619.4</v>
      </c>
      <c r="H963" s="199">
        <v>5238.8</v>
      </c>
      <c r="I963" s="73">
        <v>8000.0</v>
      </c>
      <c r="J963" s="27" t="s">
        <v>3</v>
      </c>
    </row>
    <row r="964">
      <c r="A964" s="78">
        <v>45884.0</v>
      </c>
      <c r="B964" s="82" t="s">
        <v>481</v>
      </c>
      <c r="C964" s="40">
        <v>280.0</v>
      </c>
      <c r="D964" s="84" t="str">
        <f>IF(Tabla_3[COD]="","",VLOOKUP(Tabla_3[COD],'Stock inicial'!A:D,2,FALSE))</f>
        <v>PERFUMINA LISOFORM 1/2</v>
      </c>
      <c r="E964" s="58">
        <v>1.0</v>
      </c>
      <c r="F964" s="103">
        <v>1500.0</v>
      </c>
      <c r="G964" s="199">
        <v>869.5</v>
      </c>
      <c r="H964" s="199">
        <v>869.5</v>
      </c>
      <c r="I964" s="73">
        <v>1500.0</v>
      </c>
      <c r="J964" s="27" t="s">
        <v>3</v>
      </c>
    </row>
    <row r="965">
      <c r="A965" s="74">
        <v>45884.0</v>
      </c>
      <c r="B965" s="92"/>
      <c r="C965" s="51">
        <v>354.0</v>
      </c>
      <c r="D965" s="87" t="str">
        <f>IF(Tabla_3[COD]="","",VLOOKUP(Tabla_3[COD],'Stock inicial'!A:D,2,FALSE))</f>
        <v>ROLLISEC "EL COLOSO" 40 X3 </v>
      </c>
      <c r="E965" s="59">
        <v>1.0</v>
      </c>
      <c r="F965" s="103">
        <v>1350.0</v>
      </c>
      <c r="G965" s="199">
        <v>1330.0</v>
      </c>
      <c r="H965" s="199">
        <v>1330.0</v>
      </c>
      <c r="I965" s="73">
        <v>1350.0</v>
      </c>
      <c r="J965" s="27" t="s">
        <v>3</v>
      </c>
    </row>
    <row r="966">
      <c r="A966" s="78">
        <v>45884.0</v>
      </c>
      <c r="B966" s="91"/>
      <c r="C966" s="50">
        <v>355.0</v>
      </c>
      <c r="D966" s="81" t="str">
        <f>IF(Tabla_3[COD]="","",VLOOKUP(Tabla_3[COD],'Stock inicial'!A:D,2,FALSE))</f>
        <v>JABON DE TOCADOR "LUX"</v>
      </c>
      <c r="E966" s="58">
        <v>3.0</v>
      </c>
      <c r="F966" s="103">
        <v>1000.0</v>
      </c>
      <c r="G966" s="199">
        <v>1204.0</v>
      </c>
      <c r="H966" s="199">
        <v>3612.0</v>
      </c>
      <c r="I966" s="73">
        <v>3000.0</v>
      </c>
      <c r="J966" s="27" t="s">
        <v>3</v>
      </c>
    </row>
    <row r="967">
      <c r="A967" s="74">
        <v>45884.0</v>
      </c>
      <c r="B967" s="92"/>
      <c r="C967" s="51">
        <v>357.0</v>
      </c>
      <c r="D967" s="87" t="str">
        <f>IF(Tabla_3[COD]="","",VLOOKUP(Tabla_3[COD],'Stock inicial'!A:D,2,FALSE))</f>
        <v>PAPEL HIGIENICO "ELEGANTE"</v>
      </c>
      <c r="E967" s="59">
        <v>1.0</v>
      </c>
      <c r="F967" s="103">
        <v>1900.0</v>
      </c>
      <c r="G967" s="199">
        <v>1465.0</v>
      </c>
      <c r="H967" s="199">
        <v>1465.0</v>
      </c>
      <c r="I967" s="73">
        <v>1900.0</v>
      </c>
      <c r="J967" s="27" t="s">
        <v>3</v>
      </c>
    </row>
    <row r="968">
      <c r="A968" s="78">
        <v>45884.0</v>
      </c>
      <c r="B968" s="82" t="s">
        <v>482</v>
      </c>
      <c r="C968" s="40">
        <v>266.0</v>
      </c>
      <c r="D968" s="84" t="str">
        <f>IF(Tabla_3[COD]="","",VLOOKUP(Tabla_3[COD],'Stock inicial'!A:D,2,FALSE))</f>
        <v>DESENGRASANTE COCINA 1L</v>
      </c>
      <c r="E968" s="58">
        <v>3.0</v>
      </c>
      <c r="F968" s="103">
        <v>799.0</v>
      </c>
      <c r="G968" s="199">
        <v>495.0</v>
      </c>
      <c r="H968" s="199">
        <v>1485.0</v>
      </c>
      <c r="I968" s="73">
        <v>2397.0</v>
      </c>
      <c r="J968" s="27" t="s">
        <v>3</v>
      </c>
    </row>
    <row r="969">
      <c r="A969" s="74">
        <v>45884.0</v>
      </c>
      <c r="B969" s="92"/>
      <c r="C969" s="51">
        <v>268.0</v>
      </c>
      <c r="D969" s="87" t="str">
        <f>IF(Tabla_3[COD]="","",VLOOKUP(Tabla_3[COD],'Stock inicial'!A:D,2,FALSE))</f>
        <v>LIMPIAVIDRIOS 1L</v>
      </c>
      <c r="E969" s="59">
        <v>2.0</v>
      </c>
      <c r="F969" s="103">
        <v>899.0</v>
      </c>
      <c r="G969" s="199">
        <v>547.0</v>
      </c>
      <c r="H969" s="199">
        <v>1094.0</v>
      </c>
      <c r="I969" s="73">
        <v>1798.0</v>
      </c>
      <c r="J969" s="27" t="s">
        <v>3</v>
      </c>
    </row>
    <row r="970">
      <c r="A970" s="78">
        <v>45884.0</v>
      </c>
      <c r="B970" s="91"/>
      <c r="C970" s="50">
        <v>276.0</v>
      </c>
      <c r="D970" s="81" t="str">
        <f>IF(Tabla_3[COD]="","",VLOOKUP(Tabla_3[COD],'Stock inicial'!A:D,2,FALSE))</f>
        <v>PERFUMINA UVA 5L</v>
      </c>
      <c r="E970" s="58">
        <v>1.0</v>
      </c>
      <c r="F970" s="103">
        <v>1499.0</v>
      </c>
      <c r="G970" s="199">
        <v>532.25</v>
      </c>
      <c r="H970" s="199">
        <v>532.25</v>
      </c>
      <c r="I970" s="73">
        <v>1499.0</v>
      </c>
      <c r="J970" s="27" t="s">
        <v>3</v>
      </c>
    </row>
    <row r="971">
      <c r="A971" s="74">
        <v>45884.0</v>
      </c>
      <c r="B971" s="92"/>
      <c r="C971" s="51">
        <v>280.0</v>
      </c>
      <c r="D971" s="87" t="str">
        <f>IF(Tabla_3[COD]="","",VLOOKUP(Tabla_3[COD],'Stock inicial'!A:D,2,FALSE))</f>
        <v>PERFUMINA LISOFORM 1/2</v>
      </c>
      <c r="E971" s="59">
        <v>1.0</v>
      </c>
      <c r="F971" s="103">
        <v>1500.0</v>
      </c>
      <c r="G971" s="199">
        <v>819.5</v>
      </c>
      <c r="H971" s="199">
        <v>819.5</v>
      </c>
      <c r="I971" s="73">
        <v>1500.0</v>
      </c>
      <c r="J971" s="27" t="s">
        <v>3</v>
      </c>
    </row>
    <row r="972">
      <c r="A972" s="78">
        <v>45884.0</v>
      </c>
      <c r="B972" s="91"/>
      <c r="C972" s="50">
        <v>283.0</v>
      </c>
      <c r="D972" s="81" t="str">
        <f>IF(Tabla_3[COD]="","",VLOOKUP(Tabla_3[COD],'Stock inicial'!A:D,2,FALSE))</f>
        <v>TICKET ROPA 1L</v>
      </c>
      <c r="E972" s="58">
        <v>1.0</v>
      </c>
      <c r="F972" s="103">
        <v>2000.0</v>
      </c>
      <c r="G972" s="199">
        <v>715.0</v>
      </c>
      <c r="H972" s="199">
        <v>715.0</v>
      </c>
      <c r="I972" s="73">
        <v>2000.0</v>
      </c>
      <c r="J972" s="27" t="s">
        <v>3</v>
      </c>
    </row>
    <row r="973">
      <c r="A973" s="74">
        <v>45884.0</v>
      </c>
      <c r="B973" s="92"/>
      <c r="C973" s="51">
        <v>284.0</v>
      </c>
      <c r="D973" s="87" t="str">
        <f>IF(Tabla_3[COD]="","",VLOOKUP(Tabla_3[COD],'Stock inicial'!A:D,2,FALSE))</f>
        <v>VAINILLA/COCO ROPA 1L</v>
      </c>
      <c r="E973" s="59">
        <v>1.0</v>
      </c>
      <c r="F973" s="103">
        <v>2000.0</v>
      </c>
      <c r="G973" s="199">
        <v>715.0</v>
      </c>
      <c r="H973" s="199">
        <v>715.0</v>
      </c>
      <c r="I973" s="73">
        <v>2000.0</v>
      </c>
      <c r="J973" s="27" t="s">
        <v>3</v>
      </c>
    </row>
    <row r="974">
      <c r="A974" s="78">
        <v>45884.0</v>
      </c>
      <c r="B974" s="91"/>
      <c r="C974" s="95"/>
      <c r="D974" s="81" t="s">
        <v>483</v>
      </c>
      <c r="E974" s="58">
        <v>1.0</v>
      </c>
      <c r="F974" s="27">
        <v>11490.0</v>
      </c>
      <c r="G974" s="27">
        <v>7921.0</v>
      </c>
      <c r="H974" s="73">
        <v>7921.0</v>
      </c>
      <c r="I974" s="73">
        <v>11490.0</v>
      </c>
      <c r="J974" s="27" t="s">
        <v>3</v>
      </c>
    </row>
    <row r="975">
      <c r="A975" s="74">
        <v>45884.0</v>
      </c>
      <c r="B975" s="75" t="s">
        <v>484</v>
      </c>
      <c r="C975" s="96">
        <v>212.0</v>
      </c>
      <c r="D975" s="77" t="str">
        <f>IF(Tabla_3[COD]="","",VLOOKUP(Tabla_3[COD],'Stock inicial'!A:D,2,FALSE))</f>
        <v>DOGPRO ADULTO MORDIDA PEQUEñA XKG</v>
      </c>
      <c r="E975" s="59">
        <v>0.5</v>
      </c>
      <c r="F975" s="103">
        <v>4000.0</v>
      </c>
      <c r="G975" s="199">
        <v>2778.13</v>
      </c>
      <c r="H975" s="199">
        <v>1389.065</v>
      </c>
      <c r="I975" s="73">
        <v>2000.0</v>
      </c>
      <c r="J975" s="27" t="s">
        <v>11</v>
      </c>
    </row>
    <row r="976">
      <c r="A976" s="78">
        <v>45884.0</v>
      </c>
      <c r="B976" s="91"/>
      <c r="C976" s="99">
        <v>217.0</v>
      </c>
      <c r="D976" s="81" t="str">
        <f>IF(Tabla_3[COD]="","",VLOOKUP(Tabla_3[COD],'Stock inicial'!A:D,2,FALSE))</f>
        <v>VORAZ GATO ADULTO X2OK</v>
      </c>
      <c r="E976" s="58">
        <v>2.4</v>
      </c>
      <c r="F976" s="103">
        <v>2100.0</v>
      </c>
      <c r="G976" s="199">
        <v>1482.0</v>
      </c>
      <c r="H976" s="199">
        <v>3556.7999999999997</v>
      </c>
      <c r="I976" s="73">
        <v>5040.0</v>
      </c>
      <c r="J976" s="27" t="s">
        <v>11</v>
      </c>
    </row>
    <row r="977">
      <c r="A977" s="74">
        <v>45884.0</v>
      </c>
      <c r="B977" s="75" t="s">
        <v>485</v>
      </c>
      <c r="C977" s="96">
        <v>223.0</v>
      </c>
      <c r="D977" s="77" t="str">
        <f>IF(Tabla_3[COD]="","",VLOOKUP(Tabla_3[COD],'Stock inicial'!A:D,2,FALSE))</f>
        <v>VORAZ PERRO ADULTO MIX</v>
      </c>
      <c r="E977" s="59">
        <v>2.0</v>
      </c>
      <c r="F977" s="103">
        <v>1100.0</v>
      </c>
      <c r="G977" s="199">
        <v>819.5</v>
      </c>
      <c r="H977" s="199">
        <v>1639.0</v>
      </c>
      <c r="I977" s="73">
        <v>2200.0</v>
      </c>
      <c r="J977" s="27" t="s">
        <v>11</v>
      </c>
    </row>
    <row r="978">
      <c r="A978" s="78">
        <v>45884.0</v>
      </c>
      <c r="B978" s="91"/>
      <c r="C978" s="99">
        <v>149.0</v>
      </c>
      <c r="D978" s="81" t="str">
        <f>IF(Tabla_3[COD]="","",VLOOKUP(Tabla_3[COD],'Stock inicial'!A:D,2,FALSE))</f>
        <v>PALITOS MASTICABLES IZZY x6</v>
      </c>
      <c r="E978" s="58">
        <v>1.0</v>
      </c>
      <c r="F978" s="103">
        <v>600.0</v>
      </c>
      <c r="G978" s="199">
        <v>238.56</v>
      </c>
      <c r="H978" s="199">
        <v>238.56</v>
      </c>
      <c r="I978" s="73">
        <v>600.0</v>
      </c>
      <c r="J978" s="27" t="s">
        <v>11</v>
      </c>
    </row>
    <row r="979">
      <c r="A979" s="74">
        <v>45884.0</v>
      </c>
      <c r="B979" s="92"/>
      <c r="C979" s="101"/>
      <c r="D979" s="87" t="s">
        <v>152</v>
      </c>
      <c r="E979" s="59">
        <v>1.0</v>
      </c>
      <c r="F979" s="27">
        <v>-120.0</v>
      </c>
      <c r="G979" s="27">
        <v>0.0</v>
      </c>
      <c r="H979" s="73">
        <v>0.0</v>
      </c>
      <c r="I979" s="73">
        <v>-120.0</v>
      </c>
      <c r="J979" s="27" t="s">
        <v>11</v>
      </c>
    </row>
    <row r="980">
      <c r="A980" s="78">
        <v>45885.0</v>
      </c>
      <c r="B980" s="82" t="s">
        <v>486</v>
      </c>
      <c r="C980" s="40">
        <v>342.0</v>
      </c>
      <c r="D980" s="84" t="str">
        <f>IF(Tabla_3[COD]="","",VLOOKUP(Tabla_3[COD],'Stock inicial'!A:D,2,FALSE))</f>
        <v>BOLSA R 45X60</v>
      </c>
      <c r="E980" s="58">
        <v>1.0</v>
      </c>
      <c r="F980" s="103">
        <v>899.0</v>
      </c>
      <c r="G980" s="199">
        <v>532.0</v>
      </c>
      <c r="H980" s="199">
        <v>532.0</v>
      </c>
      <c r="I980" s="73">
        <v>899.0</v>
      </c>
      <c r="J980" s="27" t="s">
        <v>3</v>
      </c>
    </row>
    <row r="981">
      <c r="A981" s="74">
        <v>45885.0</v>
      </c>
      <c r="B981" s="92"/>
      <c r="C981" s="98">
        <v>385.0</v>
      </c>
      <c r="D981" s="87" t="str">
        <f>IF(Tabla_3[COD]="","",VLOOKUP(Tabla_3[COD],'Stock inicial'!A:D,2,FALSE))</f>
        <v>SAHUMERIOS SUELTOS X6</v>
      </c>
      <c r="E981" s="59">
        <v>1.0</v>
      </c>
      <c r="F981" s="103">
        <v>1000.0</v>
      </c>
      <c r="G981" s="199">
        <v>360.0</v>
      </c>
      <c r="H981" s="199">
        <v>360.0</v>
      </c>
      <c r="I981" s="73">
        <v>1000.0</v>
      </c>
      <c r="J981" s="27" t="s">
        <v>3</v>
      </c>
    </row>
    <row r="982">
      <c r="A982" s="78">
        <v>45885.0</v>
      </c>
      <c r="B982" s="206"/>
      <c r="C982" s="40">
        <v>281.0</v>
      </c>
      <c r="D982" s="84" t="str">
        <f>IF(Tabla_3[COD]="","",VLOOKUP(Tabla_3[COD],'Stock inicial'!A:D,2,FALSE))</f>
        <v>PERFUMINA VAINILLA 1L</v>
      </c>
      <c r="E982" s="58">
        <v>2.0</v>
      </c>
      <c r="F982" s="27">
        <v>0.0</v>
      </c>
      <c r="G982" s="199">
        <v>57.45</v>
      </c>
      <c r="H982" s="199">
        <v>114.9</v>
      </c>
      <c r="I982" s="73">
        <v>0.0</v>
      </c>
      <c r="J982" s="27" t="s">
        <v>29</v>
      </c>
    </row>
    <row r="983">
      <c r="A983" s="74">
        <v>45885.0</v>
      </c>
      <c r="B983" s="92"/>
      <c r="C983" s="51">
        <v>302.0</v>
      </c>
      <c r="D983" s="87" t="str">
        <f>IF(Tabla_3[COD]="","",VLOOKUP(Tabla_3[COD],'Stock inicial'!A:D,2,FALSE))</f>
        <v>GUANTES BATUQUE</v>
      </c>
      <c r="E983" s="59">
        <v>1.0</v>
      </c>
      <c r="F983" s="27">
        <v>0.0</v>
      </c>
      <c r="G983" s="199">
        <v>1250.0</v>
      </c>
      <c r="H983" s="199">
        <v>1250.0</v>
      </c>
      <c r="I983" s="73">
        <v>0.0</v>
      </c>
      <c r="J983" s="27" t="s">
        <v>29</v>
      </c>
    </row>
    <row r="984">
      <c r="A984" s="78">
        <v>45885.0</v>
      </c>
      <c r="B984" s="91"/>
      <c r="C984" s="50">
        <v>337.0</v>
      </c>
      <c r="D984" s="81" t="str">
        <f>IF(Tabla_3[COD]="","",VLOOKUP(Tabla_3[COD],'Stock inicial'!A:D,2,FALSE))</f>
        <v>ALCOHOL ETILICO X500 "COLOSO"</v>
      </c>
      <c r="E984" s="58">
        <v>1.0</v>
      </c>
      <c r="F984" s="27">
        <v>0.0</v>
      </c>
      <c r="G984" s="199">
        <v>1610.0</v>
      </c>
      <c r="H984" s="199">
        <v>1610.0</v>
      </c>
      <c r="I984" s="73">
        <v>0.0</v>
      </c>
      <c r="J984" s="27" t="s">
        <v>29</v>
      </c>
    </row>
    <row r="985">
      <c r="A985" s="74">
        <v>45885.0</v>
      </c>
      <c r="B985" s="75" t="s">
        <v>487</v>
      </c>
      <c r="C985" s="96">
        <v>223.0</v>
      </c>
      <c r="D985" s="77" t="str">
        <f>IF(Tabla_3[COD]="","",VLOOKUP(Tabla_3[COD],'Stock inicial'!A:D,2,FALSE))</f>
        <v>VORAZ PERRO ADULTO MIX</v>
      </c>
      <c r="E985" s="59">
        <v>3.64</v>
      </c>
      <c r="F985" s="103">
        <v>1100.0</v>
      </c>
      <c r="G985" s="199">
        <v>819.5</v>
      </c>
      <c r="H985" s="199">
        <v>2982.98</v>
      </c>
      <c r="I985" s="73">
        <v>4004.0</v>
      </c>
      <c r="J985" s="27" t="s">
        <v>3</v>
      </c>
    </row>
    <row r="986">
      <c r="A986" s="78">
        <v>45885.0</v>
      </c>
      <c r="B986" s="91"/>
      <c r="C986" s="99">
        <v>149.0</v>
      </c>
      <c r="D986" s="81" t="str">
        <f>IF(Tabla_3[COD]="","",VLOOKUP(Tabla_3[COD],'Stock inicial'!A:D,2,FALSE))</f>
        <v>PALITOS MASTICABLES IZZY x6</v>
      </c>
      <c r="E986" s="58">
        <v>1.0</v>
      </c>
      <c r="F986" s="27">
        <v>0.0</v>
      </c>
      <c r="G986" s="199">
        <v>238.56</v>
      </c>
      <c r="H986" s="199">
        <v>238.56</v>
      </c>
      <c r="I986" s="27">
        <v>0.0</v>
      </c>
      <c r="J986" s="27" t="s">
        <v>3</v>
      </c>
    </row>
    <row r="987">
      <c r="A987" s="74">
        <v>45885.0</v>
      </c>
      <c r="B987" s="92"/>
      <c r="C987" s="98">
        <v>278.0</v>
      </c>
      <c r="D987" s="87" t="str">
        <f>IF(Tabla_3[COD]="","",VLOOKUP(Tabla_3[COD],'Stock inicial'!A:D,2,FALSE))</f>
        <v>PERFUMINA LIMON 5L</v>
      </c>
      <c r="E987" s="59">
        <v>1.0</v>
      </c>
      <c r="F987" s="103">
        <v>1499.0</v>
      </c>
      <c r="G987" s="199">
        <v>532.25</v>
      </c>
      <c r="H987" s="199">
        <v>532.25</v>
      </c>
      <c r="I987" s="73">
        <v>1499.0</v>
      </c>
      <c r="J987" s="27" t="s">
        <v>3</v>
      </c>
    </row>
    <row r="988">
      <c r="A988" s="78">
        <v>45885.0</v>
      </c>
      <c r="B988" s="82" t="s">
        <v>488</v>
      </c>
      <c r="C988" s="40">
        <v>240.0</v>
      </c>
      <c r="D988" s="84" t="str">
        <f>IF(Tabla_3[COD]="","",VLOOKUP(Tabla_3[COD],'Stock inicial'!A:D,2,FALSE))</f>
        <v>PEDIGREE POUCH AD. CARNE</v>
      </c>
      <c r="E988" s="58">
        <v>2.0</v>
      </c>
      <c r="F988" s="103">
        <v>1100.0</v>
      </c>
      <c r="G988" s="199">
        <v>787.5</v>
      </c>
      <c r="H988" s="199">
        <v>1575.0</v>
      </c>
      <c r="I988" s="73">
        <v>2200.0</v>
      </c>
      <c r="J988" s="27" t="s">
        <v>11</v>
      </c>
    </row>
    <row r="989">
      <c r="A989" s="74">
        <v>45885.0</v>
      </c>
      <c r="B989" s="92"/>
      <c r="C989" s="51">
        <v>364.0</v>
      </c>
      <c r="D989" s="87" t="str">
        <f>IF(Tabla_3[COD]="","",VLOOKUP(Tabla_3[COD],'Stock inicial'!A:D,2,FALSE))</f>
        <v>CAMITAS  70x70</v>
      </c>
      <c r="E989" s="59">
        <v>1.0</v>
      </c>
      <c r="F989" s="103">
        <v>16500.0</v>
      </c>
      <c r="G989" s="199">
        <v>11000.0</v>
      </c>
      <c r="H989" s="199">
        <v>11000.0</v>
      </c>
      <c r="I989" s="73">
        <v>16500.0</v>
      </c>
      <c r="J989" s="27" t="s">
        <v>11</v>
      </c>
    </row>
    <row r="990">
      <c r="A990" s="78">
        <v>45885.0</v>
      </c>
      <c r="B990" s="91"/>
      <c r="C990" s="95"/>
      <c r="D990" s="81" t="s">
        <v>112</v>
      </c>
      <c r="E990" s="58">
        <v>1.0</v>
      </c>
      <c r="F990" s="27">
        <v>-1400.0</v>
      </c>
      <c r="G990" s="27">
        <v>0.0</v>
      </c>
      <c r="H990" s="27">
        <v>0.0</v>
      </c>
      <c r="I990" s="73">
        <v>-1400.0</v>
      </c>
      <c r="J990" s="27" t="s">
        <v>11</v>
      </c>
    </row>
    <row r="991">
      <c r="A991" s="74">
        <v>45885.0</v>
      </c>
      <c r="B991" s="75" t="s">
        <v>489</v>
      </c>
      <c r="C991" s="96">
        <v>217.0</v>
      </c>
      <c r="D991" s="77" t="str">
        <f>IF(Tabla_3[COD]="","",VLOOKUP(Tabla_3[COD],'Stock inicial'!A:D,2,FALSE))</f>
        <v>VORAZ GATO ADULTO X2OK</v>
      </c>
      <c r="E991" s="59">
        <v>0.72</v>
      </c>
      <c r="F991" s="103">
        <v>2100.0</v>
      </c>
      <c r="G991" s="199">
        <v>1482.0</v>
      </c>
      <c r="H991" s="199">
        <v>1067.04</v>
      </c>
      <c r="I991" s="73">
        <v>1512.0</v>
      </c>
      <c r="J991" s="27" t="s">
        <v>3</v>
      </c>
    </row>
    <row r="992">
      <c r="A992" s="78">
        <v>45885.0</v>
      </c>
      <c r="B992" s="82" t="s">
        <v>490</v>
      </c>
      <c r="C992" s="97">
        <v>217.0</v>
      </c>
      <c r="D992" s="84" t="str">
        <f>IF(Tabla_3[COD]="","",VLOOKUP(Tabla_3[COD],'Stock inicial'!A:D,2,FALSE))</f>
        <v>VORAZ GATO ADULTO X2OK</v>
      </c>
      <c r="E992" s="58">
        <v>0.5</v>
      </c>
      <c r="F992" s="103">
        <v>2100.0</v>
      </c>
      <c r="G992" s="199">
        <v>1482.0</v>
      </c>
      <c r="H992" s="199">
        <v>741.0</v>
      </c>
      <c r="I992" s="73">
        <v>1050.0</v>
      </c>
      <c r="J992" s="27" t="s">
        <v>3</v>
      </c>
    </row>
    <row r="993">
      <c r="A993" s="74">
        <v>45885.0</v>
      </c>
      <c r="B993" s="92"/>
      <c r="C993" s="98">
        <v>235.0</v>
      </c>
      <c r="D993" s="87" t="str">
        <f>IF(Tabla_3[COD]="","",VLOOKUP(Tabla_3[COD],'Stock inicial'!A:D,2,FALSE))</f>
        <v>CATCHOW POUCH ADULTO POLLO</v>
      </c>
      <c r="E993" s="59">
        <v>1.0</v>
      </c>
      <c r="F993" s="103">
        <v>1500.0</v>
      </c>
      <c r="G993" s="199">
        <v>876.04</v>
      </c>
      <c r="H993" s="199">
        <v>876.04</v>
      </c>
      <c r="I993" s="27">
        <v>1100.0</v>
      </c>
      <c r="J993" s="27" t="s">
        <v>3</v>
      </c>
    </row>
    <row r="994">
      <c r="A994" s="78">
        <v>45885.0</v>
      </c>
      <c r="B994" s="82" t="s">
        <v>491</v>
      </c>
      <c r="C994" s="40">
        <v>212.0</v>
      </c>
      <c r="D994" s="84" t="str">
        <f>IF(Tabla_3[COD]="","",VLOOKUP(Tabla_3[COD],'Stock inicial'!A:D,2,FALSE))</f>
        <v>DOGPRO ADULTO MORDIDA PEQUEñA XKG</v>
      </c>
      <c r="E994" s="58">
        <v>1.5</v>
      </c>
      <c r="F994" s="103">
        <v>4000.0</v>
      </c>
      <c r="G994" s="199">
        <v>2778.13</v>
      </c>
      <c r="H994" s="199">
        <v>4167.195</v>
      </c>
      <c r="I994" s="73">
        <v>6000.0</v>
      </c>
      <c r="J994" s="27" t="s">
        <v>3</v>
      </c>
    </row>
    <row r="995">
      <c r="A995" s="74">
        <v>45885.0</v>
      </c>
      <c r="B995" s="92"/>
      <c r="C995" s="51">
        <v>230.0</v>
      </c>
      <c r="D995" s="87" t="str">
        <f>IF(Tabla_3[COD]="","",VLOOKUP(Tabla_3[COD],'Stock inicial'!A:D,2,FALSE))</f>
        <v>EXCELLENT PERRO ADULTO BONUS 20K +2</v>
      </c>
      <c r="E995" s="59">
        <v>2.0</v>
      </c>
      <c r="F995" s="103">
        <v>4400.0</v>
      </c>
      <c r="G995" s="199">
        <v>2690.89</v>
      </c>
      <c r="H995" s="199">
        <v>5381.78</v>
      </c>
      <c r="I995" s="73">
        <v>8800.0</v>
      </c>
      <c r="J995" s="27" t="s">
        <v>3</v>
      </c>
    </row>
    <row r="996">
      <c r="A996" s="78">
        <v>45885.0</v>
      </c>
      <c r="B996" s="91"/>
      <c r="C996" s="50">
        <v>249.0</v>
      </c>
      <c r="D996" s="81" t="str">
        <f>IF(Tabla_3[COD]="","",VLOOKUP(Tabla_3[COD],'Stock inicial'!A:D,2,FALSE))</f>
        <v>ARIEL. EXT. PERF. (VERDE CON SUAVIZANTE) 1L</v>
      </c>
      <c r="E996" s="58">
        <v>1.0</v>
      </c>
      <c r="F996" s="103">
        <v>1500.0</v>
      </c>
      <c r="G996" s="199">
        <v>781.0</v>
      </c>
      <c r="H996" s="199">
        <v>781.0</v>
      </c>
      <c r="I996" s="73">
        <v>1500.0</v>
      </c>
      <c r="J996" s="27" t="s">
        <v>3</v>
      </c>
    </row>
    <row r="997">
      <c r="A997" s="74">
        <v>45885.0</v>
      </c>
      <c r="B997" s="92"/>
      <c r="C997" s="51">
        <v>280.0</v>
      </c>
      <c r="D997" s="87" t="str">
        <f>IF(Tabla_3[COD]="","",VLOOKUP(Tabla_3[COD],'Stock inicial'!A:D,2,FALSE))</f>
        <v>PERFUMINA LISOFORM 1/2</v>
      </c>
      <c r="E997" s="59">
        <v>1.0</v>
      </c>
      <c r="F997" s="103">
        <v>1500.0</v>
      </c>
      <c r="G997" s="199">
        <v>819.5</v>
      </c>
      <c r="H997" s="199">
        <v>819.5</v>
      </c>
      <c r="I997" s="73">
        <v>1500.0</v>
      </c>
      <c r="J997" s="27" t="s">
        <v>3</v>
      </c>
    </row>
    <row r="998">
      <c r="A998" s="78">
        <v>45885.0</v>
      </c>
      <c r="B998" s="91"/>
      <c r="C998" s="50">
        <v>2912.0</v>
      </c>
      <c r="D998" s="81" t="str">
        <f>IF(Tabla_3[COD]="","",VLOOKUP(Tabla_3[COD],'Stock inicial'!A:D,2,FALSE))</f>
        <v>CLORO 5L</v>
      </c>
      <c r="E998" s="58">
        <v>1.0</v>
      </c>
      <c r="F998" s="103">
        <v>4500.0</v>
      </c>
      <c r="G998" s="199">
        <v>3090.0</v>
      </c>
      <c r="H998" s="199">
        <v>3090.0</v>
      </c>
      <c r="I998" s="73">
        <v>4500.0</v>
      </c>
      <c r="J998" s="27" t="s">
        <v>3</v>
      </c>
    </row>
    <row r="999">
      <c r="A999" s="74">
        <v>45885.0</v>
      </c>
      <c r="B999" s="75" t="s">
        <v>492</v>
      </c>
      <c r="C999" s="155">
        <v>135.0</v>
      </c>
      <c r="D999" s="77" t="str">
        <f>IF(Tabla_3[COD]="","",VLOOKUP(Tabla_3[COD],'Stock inicial'!A:D,2,FALSE))</f>
        <v>PALITO C/FIBRAS Y CASCABELL</v>
      </c>
      <c r="E999" s="59">
        <v>1.0</v>
      </c>
      <c r="F999" s="27">
        <v>2500.0</v>
      </c>
      <c r="G999" s="199">
        <v>1196.0</v>
      </c>
      <c r="H999" s="199">
        <v>1196.0</v>
      </c>
      <c r="I999" s="73">
        <v>2500.0</v>
      </c>
      <c r="J999" s="27" t="s">
        <v>3</v>
      </c>
    </row>
    <row r="1000">
      <c r="A1000" s="78">
        <v>45885.0</v>
      </c>
      <c r="B1000" s="91"/>
      <c r="C1000" s="50">
        <v>137.0</v>
      </c>
      <c r="D1000" s="81" t="str">
        <f>IF(Tabla_3[COD]="","",VLOOKUP(Tabla_3[COD],'Stock inicial'!A:D,2,FALSE))</f>
        <v>PELOTA SOFT</v>
      </c>
      <c r="E1000" s="58">
        <v>1.0</v>
      </c>
      <c r="F1000" s="103">
        <v>1000.0</v>
      </c>
      <c r="G1000" s="199">
        <v>659.33</v>
      </c>
      <c r="H1000" s="199">
        <v>659.33</v>
      </c>
      <c r="I1000" s="73">
        <v>1000.0</v>
      </c>
      <c r="J1000" s="27" t="s">
        <v>3</v>
      </c>
    </row>
    <row r="1001">
      <c r="A1001" s="74">
        <v>45885.0</v>
      </c>
      <c r="B1001" s="70" t="s">
        <v>493</v>
      </c>
      <c r="C1001" s="123">
        <v>162.0</v>
      </c>
      <c r="D1001" s="124" t="str">
        <f>IF(Tabla_3[COD]="","",VLOOKUP(Tabla_3[COD],'Stock inicial'!A:D,2,FALSE))</f>
        <v>PIEDRA SANITARIA THEBEST X20KG</v>
      </c>
      <c r="E1001" s="59">
        <v>5.9</v>
      </c>
      <c r="F1001" s="103">
        <v>680.0</v>
      </c>
      <c r="G1001" s="199">
        <v>440.0</v>
      </c>
      <c r="H1001" s="199">
        <v>2596.0</v>
      </c>
      <c r="I1001" s="73">
        <v>4012.0000000000005</v>
      </c>
      <c r="J1001" s="27" t="s">
        <v>3</v>
      </c>
    </row>
    <row r="1002">
      <c r="A1002" s="28">
        <v>45885.0</v>
      </c>
      <c r="B1002" s="186" t="s">
        <v>494</v>
      </c>
      <c r="C1002" s="187">
        <v>162.0</v>
      </c>
      <c r="D1002" s="81" t="str">
        <f>IF(Tabla_3[COD]="","",VLOOKUP(Tabla_3[COD],'Stock inicial'!A:D,2,FALSE))</f>
        <v>PIEDRA SANITARIA THEBEST X20KG</v>
      </c>
      <c r="E1002" s="27">
        <v>2.97</v>
      </c>
      <c r="F1002" s="103">
        <v>680.0</v>
      </c>
      <c r="G1002" s="199">
        <v>440.0</v>
      </c>
      <c r="H1002" s="199">
        <v>1306.8000000000002</v>
      </c>
      <c r="I1002" s="73">
        <v>2019.6000000000001</v>
      </c>
      <c r="J1002" s="27" t="s">
        <v>3</v>
      </c>
    </row>
    <row r="1003">
      <c r="A1003" s="74">
        <v>45885.0</v>
      </c>
      <c r="B1003" s="75" t="s">
        <v>495</v>
      </c>
      <c r="C1003" s="207">
        <v>1611.0</v>
      </c>
      <c r="D1003" s="77" t="str">
        <f>IF(Tabla_3[COD]="","",VLOOKUP(Tabla_3[COD],'Stock inicial'!A:D,2,FALSE))</f>
        <v>ZOOTEC PIEDRA AGLUTINANTE X 4KG</v>
      </c>
      <c r="E1003" s="59">
        <v>1.0</v>
      </c>
      <c r="F1003" s="103">
        <v>4590.0</v>
      </c>
      <c r="G1003" s="199">
        <v>2990.0</v>
      </c>
      <c r="H1003" s="199">
        <v>2990.0</v>
      </c>
      <c r="I1003" s="73">
        <v>4590.0</v>
      </c>
      <c r="J1003" s="27" t="s">
        <v>11</v>
      </c>
    </row>
    <row r="1004">
      <c r="A1004" s="78">
        <v>45885.0</v>
      </c>
      <c r="B1004" s="91"/>
      <c r="C1004" s="208">
        <v>229.0</v>
      </c>
      <c r="D1004" s="81" t="str">
        <f>IF(Tabla_3[COD]="","",VLOOKUP(Tabla_3[COD],'Stock inicial'!A:D,2,FALSE))</f>
        <v>EXCELLENT GATO ADULTO</v>
      </c>
      <c r="E1004" s="58">
        <v>1.0</v>
      </c>
      <c r="F1004" s="103">
        <v>7500.0</v>
      </c>
      <c r="G1004" s="199">
        <v>5239.88</v>
      </c>
      <c r="H1004" s="199">
        <v>5239.88</v>
      </c>
      <c r="I1004" s="73">
        <v>7500.0</v>
      </c>
      <c r="J1004" s="27" t="s">
        <v>11</v>
      </c>
    </row>
    <row r="1005">
      <c r="A1005" s="74">
        <v>45885.0</v>
      </c>
      <c r="B1005" s="92"/>
      <c r="C1005" s="209">
        <v>257.0</v>
      </c>
      <c r="D1005" s="87" t="str">
        <f>IF(Tabla_3[COD]="","",VLOOKUP(Tabla_3[COD],'Stock inicial'!A:D,2,FALSE))</f>
        <v>MAGISTRAL ECO (LIMON AMARILLO) 1L</v>
      </c>
      <c r="E1005" s="59">
        <v>1.0</v>
      </c>
      <c r="F1005" s="103">
        <v>999.0</v>
      </c>
      <c r="G1005" s="199">
        <v>575.0</v>
      </c>
      <c r="H1005" s="199">
        <v>575.0</v>
      </c>
      <c r="I1005" s="73">
        <v>999.0</v>
      </c>
      <c r="J1005" s="27" t="s">
        <v>11</v>
      </c>
    </row>
    <row r="1006">
      <c r="A1006" s="78">
        <v>45885.0</v>
      </c>
      <c r="B1006" s="82" t="s">
        <v>496</v>
      </c>
      <c r="C1006" s="97">
        <v>162.0</v>
      </c>
      <c r="D1006" s="84" t="str">
        <f>IF(Tabla_3[COD]="","",VLOOKUP(Tabla_3[COD],'Stock inicial'!A:D,2,FALSE))</f>
        <v>PIEDRA SANITARIA THEBEST X20KG</v>
      </c>
      <c r="E1006" s="58">
        <v>2.94</v>
      </c>
      <c r="F1006" s="103">
        <v>680.0</v>
      </c>
      <c r="G1006" s="199">
        <f>735-295</f>
        <v>440</v>
      </c>
      <c r="H1006" s="25">
        <v>880.0</v>
      </c>
      <c r="I1006" s="73">
        <v>1999.2</v>
      </c>
      <c r="J1006" s="27" t="s">
        <v>11</v>
      </c>
    </row>
    <row r="1007">
      <c r="A1007" s="74">
        <v>45885.0</v>
      </c>
      <c r="B1007" s="168"/>
      <c r="C1007" s="169">
        <v>234.0</v>
      </c>
      <c r="D1007" s="170" t="str">
        <f>IF(Tabla_3[COD]="","",VLOOKUP(Tabla_3[COD],'Stock inicial'!A:D,2,FALSE))</f>
        <v>CAT CHOW ADULTO CARNE POLLO</v>
      </c>
      <c r="E1007" s="59">
        <v>1.0</v>
      </c>
      <c r="F1007" s="103">
        <f>VLOOKUP( C1007 , 'Stock inicial'!$A:$G , 7 , FALSE )</f>
        <v>4700</v>
      </c>
      <c r="G1007" s="199">
        <f>VLOOKUP( C1007 , 'Stock inicial'!$A:$F , 5 , FALSE )</f>
        <v>3586.66</v>
      </c>
      <c r="H1007" s="199">
        <f t="shared" ref="H1007:H1015" si="10">(G1007*E1007)</f>
        <v>3586.66</v>
      </c>
      <c r="I1007" s="73">
        <f t="shared" ref="I1007:I1015" si="11">F1007*E1007</f>
        <v>4700</v>
      </c>
      <c r="J1007" s="27" t="s">
        <v>11</v>
      </c>
    </row>
    <row r="1008">
      <c r="A1008" s="210"/>
      <c r="B1008" s="211" t="s">
        <v>497</v>
      </c>
      <c r="C1008" s="212">
        <v>225.0</v>
      </c>
      <c r="D1008" s="211" t="str">
        <f>IF(Tabla_3[COD]="","",VLOOKUP(Tabla_3[COD],'Stock inicial'!A:D,2,FALSE))</f>
        <v>GATI GATO PESCADO Y SALMON</v>
      </c>
      <c r="E1008" s="213">
        <v>1.0</v>
      </c>
      <c r="F1008" s="214">
        <f>VLOOKUP( C1008 , 'Stock inicial'!$A:$G , 7 , FALSE )</f>
        <v>2900</v>
      </c>
      <c r="G1008" s="215">
        <f>VLOOKUP( C1008 , 'Stock inicial'!$A:$F , 5 , FALSE )</f>
        <v>2206</v>
      </c>
      <c r="H1008" s="215">
        <f t="shared" si="10"/>
        <v>2206</v>
      </c>
      <c r="I1008" s="216">
        <f t="shared" si="11"/>
        <v>2900</v>
      </c>
      <c r="J1008" s="213"/>
    </row>
    <row r="1009">
      <c r="A1009" s="217"/>
      <c r="B1009" s="218"/>
      <c r="C1009" s="212">
        <v>250.0</v>
      </c>
      <c r="D1009" s="219" t="str">
        <f>IF(Tabla_3[COD]="","",VLOOKUP(Tabla_3[COD],'Stock inicial'!A:D,2,FALSE))</f>
        <v>ARIEL. EXT. PERF. (VERDE CON SUAVIZANTE) 5L</v>
      </c>
      <c r="E1009" s="213">
        <v>1.0</v>
      </c>
      <c r="F1009" s="214">
        <f>VLOOKUP( C1009 , 'Stock inicial'!$A:$G , 7 , FALSE )</f>
        <v>4000</v>
      </c>
      <c r="G1009" s="215">
        <f>VLOOKUP( C1009 , 'Stock inicial'!$A:$F , 5 , FALSE )</f>
        <v>2430</v>
      </c>
      <c r="H1009" s="215">
        <f t="shared" si="10"/>
        <v>2430</v>
      </c>
      <c r="I1009" s="216">
        <f t="shared" si="11"/>
        <v>4000</v>
      </c>
      <c r="J1009" s="216"/>
    </row>
    <row r="1010">
      <c r="A1010" s="147">
        <v>45887.0</v>
      </c>
      <c r="B1010" s="104" t="s">
        <v>498</v>
      </c>
      <c r="C1010" s="105">
        <v>218.0</v>
      </c>
      <c r="D1010" s="106" t="str">
        <f>IF(Tabla_3[COD]="","",VLOOKUP(Tabla_3[COD],'Stock inicial'!A:D,2,FALSE))</f>
        <v>EXCELLENT GATO URINARY X7.5KG</v>
      </c>
      <c r="E1010" s="148">
        <v>0.5</v>
      </c>
      <c r="F1010" s="149">
        <f>VLOOKUP( C1010 , 'Stock inicial'!$A:$G , 7 , FALSE )</f>
        <v>9900</v>
      </c>
      <c r="G1010" s="142">
        <f>VLOOKUP( C1010 , 'Stock inicial'!$A:$F , 5 , FALSE )</f>
        <v>7325.5</v>
      </c>
      <c r="H1010" s="142">
        <f t="shared" si="10"/>
        <v>3662.75</v>
      </c>
      <c r="I1010" s="204">
        <f t="shared" si="11"/>
        <v>4950</v>
      </c>
      <c r="J1010" s="141" t="s">
        <v>11</v>
      </c>
    </row>
    <row r="1011">
      <c r="A1011" s="147">
        <v>45887.0</v>
      </c>
      <c r="B1011" s="119"/>
      <c r="C1011" s="108">
        <v>227.0</v>
      </c>
      <c r="D1011" s="109" t="str">
        <f>IF(Tabla_3[COD]="","",VLOOKUP(Tabla_3[COD],'Stock inicial'!A:D,2,FALSE))</f>
        <v>CATPRO GATO ADULTO</v>
      </c>
      <c r="E1011" s="148">
        <v>1.0</v>
      </c>
      <c r="F1011" s="149">
        <f>VLOOKUP( C1011 , 'Stock inicial'!$A:$G , 7 , FALSE )</f>
        <v>5700</v>
      </c>
      <c r="G1011" s="142">
        <f>VLOOKUP( C1011 , 'Stock inicial'!$A:$F , 5 , FALSE )</f>
        <v>3657.41</v>
      </c>
      <c r="H1011" s="142">
        <f t="shared" si="10"/>
        <v>3657.41</v>
      </c>
      <c r="I1011" s="204">
        <f t="shared" si="11"/>
        <v>5700</v>
      </c>
      <c r="J1011" s="141" t="s">
        <v>11</v>
      </c>
    </row>
    <row r="1012">
      <c r="A1012" s="78">
        <v>45887.0</v>
      </c>
      <c r="B1012" s="82" t="s">
        <v>499</v>
      </c>
      <c r="C1012" s="97">
        <v>152.0</v>
      </c>
      <c r="D1012" s="84" t="str">
        <f>IF(Tabla_3[COD]="","",VLOOKUP(Tabla_3[COD],'Stock inicial'!A:D,2,FALSE))</f>
        <v>OREJAS BOVINAS</v>
      </c>
      <c r="E1012" s="58">
        <v>2.0</v>
      </c>
      <c r="F1012" s="149">
        <f>VLOOKUP( C1012 , 'Stock inicial'!$A:$G , 7 , FALSE )</f>
        <v>800</v>
      </c>
      <c r="G1012" s="142">
        <f>VLOOKUP( C1012 , 'Stock inicial'!$A:$F , 5 , FALSE )</f>
        <v>330</v>
      </c>
      <c r="H1012" s="142">
        <f t="shared" si="10"/>
        <v>660</v>
      </c>
      <c r="I1012" s="204">
        <f t="shared" si="11"/>
        <v>1600</v>
      </c>
      <c r="J1012" s="27" t="s">
        <v>11</v>
      </c>
    </row>
    <row r="1013">
      <c r="A1013" s="74">
        <v>45887.0</v>
      </c>
      <c r="B1013" s="75" t="s">
        <v>500</v>
      </c>
      <c r="C1013" s="155">
        <v>357.0</v>
      </c>
      <c r="D1013" s="77" t="str">
        <f>IF(Tabla_3[COD]="","",VLOOKUP(Tabla_3[COD],'Stock inicial'!A:D,2,FALSE))</f>
        <v>PAPEL HIGIENICO "ELEGANTE"</v>
      </c>
      <c r="E1013" s="59">
        <v>1.0</v>
      </c>
      <c r="F1013" s="149">
        <f>VLOOKUP( C1013 , 'Stock inicial'!$A:$G , 7 , FALSE )</f>
        <v>1900</v>
      </c>
      <c r="G1013" s="142">
        <f>VLOOKUP( C1013 , 'Stock inicial'!$A:$F , 5 , FALSE )</f>
        <v>1170</v>
      </c>
      <c r="H1013" s="142">
        <f t="shared" si="10"/>
        <v>1170</v>
      </c>
      <c r="I1013" s="204">
        <f t="shared" si="11"/>
        <v>1900</v>
      </c>
      <c r="J1013" s="27" t="s">
        <v>3</v>
      </c>
    </row>
    <row r="1014">
      <c r="A1014" s="78">
        <v>45887.0</v>
      </c>
      <c r="B1014" s="91"/>
      <c r="C1014" s="99">
        <v>379.0</v>
      </c>
      <c r="D1014" s="81" t="str">
        <f>IF(Tabla_3[COD]="","",VLOOKUP(Tabla_3[COD],'Stock inicial'!A:D,2,FALSE))</f>
        <v>PALO SANTO BUENA ONDA</v>
      </c>
      <c r="E1014" s="58">
        <v>1.0</v>
      </c>
      <c r="F1014" s="149">
        <f>VLOOKUP( C1014 , 'Stock inicial'!$A:$G , 7 , FALSE )</f>
        <v>2600</v>
      </c>
      <c r="G1014" s="142">
        <f>VLOOKUP( C1014 , 'Stock inicial'!$A:$F , 5 , FALSE )</f>
        <v>1300</v>
      </c>
      <c r="H1014" s="142">
        <f t="shared" si="10"/>
        <v>1300</v>
      </c>
      <c r="I1014" s="204">
        <f t="shared" si="11"/>
        <v>2600</v>
      </c>
      <c r="J1014" s="27" t="s">
        <v>3</v>
      </c>
    </row>
    <row r="1015">
      <c r="A1015" s="74">
        <v>45887.0</v>
      </c>
      <c r="B1015" s="92"/>
      <c r="C1015" s="98">
        <v>220.0</v>
      </c>
      <c r="D1015" s="87" t="str">
        <f>IF(Tabla_3[COD]="","",VLOOKUP(Tabla_3[COD],'Stock inicial'!A:D,2,FALSE))</f>
        <v>EXCELLENT PERRO ADULTO MORD. PEQ. 15KG</v>
      </c>
      <c r="E1015" s="59">
        <v>0.3</v>
      </c>
      <c r="F1015" s="149">
        <f>VLOOKUP( C1015 , 'Stock inicial'!$A:$G , 7 , FALSE )</f>
        <v>5200</v>
      </c>
      <c r="G1015" s="142">
        <f>VLOOKUP( C1015 , 'Stock inicial'!$A:$F , 5 , FALSE )</f>
        <v>3683.17</v>
      </c>
      <c r="H1015" s="142">
        <f t="shared" si="10"/>
        <v>1104.951</v>
      </c>
      <c r="I1015" s="204">
        <f t="shared" si="11"/>
        <v>1560</v>
      </c>
      <c r="J1015" s="27" t="s">
        <v>3</v>
      </c>
    </row>
    <row r="1016">
      <c r="A1016" s="220">
        <v>45887.0</v>
      </c>
      <c r="B1016" s="221" t="s">
        <v>501</v>
      </c>
      <c r="C1016" s="222"/>
      <c r="D1016" s="223" t="s">
        <v>502</v>
      </c>
      <c r="E1016" s="224">
        <v>1.0</v>
      </c>
      <c r="F1016" s="213">
        <v>20000.0</v>
      </c>
      <c r="G1016" s="213">
        <v>16300.0</v>
      </c>
      <c r="H1016" s="213">
        <v>16300.0</v>
      </c>
      <c r="I1016" s="213">
        <v>20000.0</v>
      </c>
      <c r="J1016" s="213" t="s">
        <v>3</v>
      </c>
    </row>
    <row r="1017">
      <c r="A1017" s="74">
        <v>45887.0</v>
      </c>
      <c r="B1017" s="75" t="s">
        <v>503</v>
      </c>
      <c r="C1017" s="96">
        <v>246.0</v>
      </c>
      <c r="D1017" s="77" t="str">
        <f>IF(Tabla_3[COD]="","",VLOOKUP(Tabla_3[COD],'Stock inicial'!A:D,2,FALSE))</f>
        <v>ARIEL ECO (VERDE) 5L</v>
      </c>
      <c r="E1017" s="59">
        <v>1.0</v>
      </c>
      <c r="F1017" s="149">
        <f>VLOOKUP( C1017 , 'Stock inicial'!$A:$G , 7 , FALSE )</f>
        <v>1990</v>
      </c>
      <c r="G1017" s="142">
        <f>VLOOKUP( C1017 , 'Stock inicial'!$A:$F , 5 , FALSE )</f>
        <v>1143</v>
      </c>
      <c r="H1017" s="142">
        <f t="shared" ref="H1017:H1019" si="12">(G1017*E1017)</f>
        <v>1143</v>
      </c>
      <c r="I1017" s="204">
        <f t="shared" ref="I1017:I1019" si="13">F1017*E1017</f>
        <v>1990</v>
      </c>
      <c r="J1017" s="27" t="s">
        <v>3</v>
      </c>
    </row>
    <row r="1018">
      <c r="A1018" s="78">
        <v>45887.0</v>
      </c>
      <c r="B1018" s="82" t="s">
        <v>504</v>
      </c>
      <c r="C1018" s="97">
        <v>223.0</v>
      </c>
      <c r="D1018" s="84" t="str">
        <f>IF(Tabla_3[COD]="","",VLOOKUP(Tabla_3[COD],'Stock inicial'!A:D,2,FALSE))</f>
        <v>VORAZ PERRO ADULTO MIX</v>
      </c>
      <c r="E1018" s="58">
        <v>2.5</v>
      </c>
      <c r="F1018" s="149">
        <f>VLOOKUP( C1018 , 'Stock inicial'!$A:$G , 7 , FALSE )</f>
        <v>1500</v>
      </c>
      <c r="G1018" s="142">
        <f>VLOOKUP( C1018 , 'Stock inicial'!$A:$F , 5 , FALSE )</f>
        <v>808</v>
      </c>
      <c r="H1018" s="142">
        <f t="shared" si="12"/>
        <v>2020</v>
      </c>
      <c r="I1018" s="204">
        <f t="shared" si="13"/>
        <v>3750</v>
      </c>
      <c r="J1018" s="27" t="s">
        <v>3</v>
      </c>
    </row>
    <row r="1019">
      <c r="A1019" s="74">
        <v>45887.0</v>
      </c>
      <c r="B1019" s="92"/>
      <c r="C1019" s="98">
        <v>149.0</v>
      </c>
      <c r="D1019" s="87" t="str">
        <f>IF(Tabla_3[COD]="","",VLOOKUP(Tabla_3[COD],'Stock inicial'!A:D,2,FALSE))</f>
        <v>PALITOS MASTICABLES IZZY x6</v>
      </c>
      <c r="E1019" s="59">
        <v>1.0</v>
      </c>
      <c r="F1019" s="149">
        <f>VLOOKUP( C1019 , 'Stock inicial'!$A:$G , 7 , FALSE )</f>
        <v>600</v>
      </c>
      <c r="G1019" s="142">
        <f>VLOOKUP( C1019 , 'Stock inicial'!$A:$F , 5 , FALSE )</f>
        <v>238.56</v>
      </c>
      <c r="H1019" s="142">
        <f t="shared" si="12"/>
        <v>238.56</v>
      </c>
      <c r="I1019" s="204">
        <f t="shared" si="13"/>
        <v>600</v>
      </c>
      <c r="J1019" s="27" t="s">
        <v>3</v>
      </c>
    </row>
    <row r="1020">
      <c r="A1020" s="78">
        <v>45887.0</v>
      </c>
      <c r="B1020" s="91"/>
      <c r="C1020" s="95"/>
      <c r="D1020" s="81" t="s">
        <v>152</v>
      </c>
      <c r="E1020" s="58">
        <v>1.0</v>
      </c>
      <c r="F1020" s="27">
        <v>-150.0</v>
      </c>
      <c r="G1020" s="27">
        <v>0.0</v>
      </c>
      <c r="H1020" s="27">
        <v>0.0</v>
      </c>
      <c r="I1020" s="27">
        <v>-150.0</v>
      </c>
      <c r="J1020" s="27" t="s">
        <v>3</v>
      </c>
    </row>
    <row r="1021">
      <c r="A1021" s="74">
        <v>45887.0</v>
      </c>
      <c r="B1021" s="75" t="s">
        <v>505</v>
      </c>
      <c r="C1021" s="155">
        <v>225.0</v>
      </c>
      <c r="D1021" s="77" t="str">
        <f>IF(Tabla_3[COD]="","",VLOOKUP(Tabla_3[COD],'Stock inicial'!A:D,2,FALSE))</f>
        <v>GATI GATO PESCADO Y SALMON</v>
      </c>
      <c r="E1021" s="59">
        <v>0.8</v>
      </c>
      <c r="F1021" s="149">
        <f>VLOOKUP( C1021 , 'Stock inicial'!$A:$G , 7 , FALSE )</f>
        <v>2900</v>
      </c>
      <c r="G1021" s="142">
        <f>VLOOKUP( C1021 , 'Stock inicial'!$A:$F , 5 , FALSE )</f>
        <v>2206</v>
      </c>
      <c r="H1021" s="142">
        <f t="shared" ref="H1021:H1032" si="14">(G1021*E1021)</f>
        <v>1764.8</v>
      </c>
      <c r="I1021" s="204">
        <f t="shared" ref="I1021:I1032" si="15">F1021*E1021</f>
        <v>2320</v>
      </c>
      <c r="J1021" s="27" t="s">
        <v>3</v>
      </c>
    </row>
    <row r="1022">
      <c r="A1022" s="78">
        <v>45887.0</v>
      </c>
      <c r="B1022" s="91"/>
      <c r="C1022" s="50">
        <v>227.0</v>
      </c>
      <c r="D1022" s="81" t="str">
        <f>IF(Tabla_3[COD]="","",VLOOKUP(Tabla_3[COD],'Stock inicial'!A:D,2,FALSE))</f>
        <v>CATPRO GATO ADULTO</v>
      </c>
      <c r="E1022" s="58">
        <v>1.0</v>
      </c>
      <c r="F1022" s="149">
        <f>VLOOKUP( C1022 , 'Stock inicial'!$A:$G , 7 , FALSE )</f>
        <v>5700</v>
      </c>
      <c r="G1022" s="142">
        <f>VLOOKUP( C1022 , 'Stock inicial'!$A:$F , 5 , FALSE )</f>
        <v>3657.41</v>
      </c>
      <c r="H1022" s="142">
        <f t="shared" si="14"/>
        <v>3657.41</v>
      </c>
      <c r="I1022" s="204">
        <f t="shared" si="15"/>
        <v>5700</v>
      </c>
      <c r="J1022" s="27" t="s">
        <v>3</v>
      </c>
    </row>
    <row r="1023">
      <c r="A1023" s="74">
        <v>45887.0</v>
      </c>
      <c r="B1023" s="75" t="s">
        <v>506</v>
      </c>
      <c r="C1023" s="96">
        <v>229.0</v>
      </c>
      <c r="D1023" s="77" t="str">
        <f>IF(Tabla_3[COD]="","",VLOOKUP(Tabla_3[COD],'Stock inicial'!A:D,2,FALSE))</f>
        <v>EXCELLENT GATO ADULTO</v>
      </c>
      <c r="E1023" s="59">
        <v>1.47</v>
      </c>
      <c r="F1023" s="149">
        <f>VLOOKUP( C1023 , 'Stock inicial'!$A:$G , 7 , FALSE )</f>
        <v>8500</v>
      </c>
      <c r="G1023" s="142">
        <f>VLOOKUP( C1023 , 'Stock inicial'!$A:$F , 5 , FALSE )</f>
        <v>6132</v>
      </c>
      <c r="H1023" s="142">
        <f t="shared" si="14"/>
        <v>9014.04</v>
      </c>
      <c r="I1023" s="204">
        <f t="shared" si="15"/>
        <v>12495</v>
      </c>
      <c r="J1023" s="27" t="s">
        <v>3</v>
      </c>
    </row>
    <row r="1024">
      <c r="A1024" s="220"/>
      <c r="B1024" s="221" t="s">
        <v>507</v>
      </c>
      <c r="C1024" s="225">
        <v>212.0</v>
      </c>
      <c r="D1024" s="223" t="str">
        <f>IF(Tabla_3[COD]="","",VLOOKUP(Tabla_3[COD],'Stock inicial'!A:D,2,FALSE))</f>
        <v>DOGPRO ADULTO MORDIDA PEQUEñA XKG</v>
      </c>
      <c r="E1024" s="224">
        <v>2.0</v>
      </c>
      <c r="F1024" s="214">
        <f>VLOOKUP( C1024 , 'Stock inicial'!$A:$G , 7 , FALSE )</f>
        <v>4000</v>
      </c>
      <c r="G1024" s="215">
        <f>VLOOKUP( C1024 , 'Stock inicial'!$A:$F , 5 , FALSE )</f>
        <v>2778.13</v>
      </c>
      <c r="H1024" s="215">
        <f t="shared" si="14"/>
        <v>5556.26</v>
      </c>
      <c r="I1024" s="216">
        <f t="shared" si="15"/>
        <v>8000</v>
      </c>
      <c r="J1024" s="213"/>
    </row>
    <row r="1025">
      <c r="A1025" s="226"/>
      <c r="B1025" s="227"/>
      <c r="C1025" s="212">
        <v>237.0</v>
      </c>
      <c r="D1025" s="228" t="str">
        <f>IF(Tabla_3[COD]="","",VLOOKUP(Tabla_3[COD],'Stock inicial'!A:D,2,FALSE))</f>
        <v>PEDIGREE DENTASTIX RAZA MED X1</v>
      </c>
      <c r="E1025" s="224">
        <v>1.0</v>
      </c>
      <c r="F1025" s="214">
        <f>VLOOKUP( C1025 , 'Stock inicial'!$A:$G , 7 , FALSE )</f>
        <v>800</v>
      </c>
      <c r="G1025" s="215">
        <f>VLOOKUP( C1025 , 'Stock inicial'!$A:$F , 5 , FALSE )</f>
        <v>579.6</v>
      </c>
      <c r="H1025" s="215">
        <f t="shared" si="14"/>
        <v>579.6</v>
      </c>
      <c r="I1025" s="216">
        <f t="shared" si="15"/>
        <v>800</v>
      </c>
      <c r="J1025" s="213"/>
    </row>
    <row r="1026">
      <c r="A1026" s="78">
        <v>45887.0</v>
      </c>
      <c r="B1026" s="82" t="s">
        <v>508</v>
      </c>
      <c r="C1026" s="97">
        <v>214.0</v>
      </c>
      <c r="D1026" s="84" t="str">
        <f>IF(Tabla_3[COD]="","",VLOOKUP(Tabla_3[COD],'Stock inicial'!A:D,2,FALSE))</f>
        <v>DOGPRO ADULTO SUPER PREMIUM XKG</v>
      </c>
      <c r="E1026" s="58">
        <v>0.5</v>
      </c>
      <c r="F1026" s="149">
        <f>VLOOKUP( C1026 , 'Stock inicial'!$A:$G , 7 , FALSE )</f>
        <v>4000</v>
      </c>
      <c r="G1026" s="142">
        <f>VLOOKUP( C1026 , 'Stock inicial'!$A:$F , 5 , FALSE )</f>
        <v>2324.4</v>
      </c>
      <c r="H1026" s="142">
        <f t="shared" si="14"/>
        <v>1162.2</v>
      </c>
      <c r="I1026" s="204">
        <f t="shared" si="15"/>
        <v>2000</v>
      </c>
      <c r="J1026" s="27" t="s">
        <v>3</v>
      </c>
    </row>
    <row r="1027">
      <c r="A1027" s="74">
        <v>45888.0</v>
      </c>
      <c r="B1027" s="75" t="s">
        <v>509</v>
      </c>
      <c r="C1027" s="155">
        <v>215.0</v>
      </c>
      <c r="D1027" s="77" t="str">
        <f>IF(Tabla_3[COD]="","",VLOOKUP(Tabla_3[COD],'Stock inicial'!A:D,2,FALSE))</f>
        <v>4 HUELLAS GATO ADULTO</v>
      </c>
      <c r="E1027" s="59">
        <v>0.834</v>
      </c>
      <c r="F1027" s="149">
        <f>VLOOKUP( C1027 , 'Stock inicial'!$A:$G , 7 , FALSE )</f>
        <v>3600</v>
      </c>
      <c r="G1027" s="142">
        <f>VLOOKUP( C1027 , 'Stock inicial'!$A:$F , 5 , FALSE )</f>
        <v>2118.6</v>
      </c>
      <c r="H1027" s="142">
        <f t="shared" si="14"/>
        <v>1766.9124</v>
      </c>
      <c r="I1027" s="204">
        <f t="shared" si="15"/>
        <v>3002.4</v>
      </c>
      <c r="J1027" s="27" t="s">
        <v>3</v>
      </c>
    </row>
    <row r="1028">
      <c r="A1028" s="78">
        <v>45888.0</v>
      </c>
      <c r="B1028" s="145"/>
      <c r="C1028" s="146">
        <v>217.0</v>
      </c>
      <c r="D1028" s="127" t="str">
        <f>IF(Tabla_3[COD]="","",VLOOKUP(Tabla_3[COD],'Stock inicial'!A:D,2,FALSE))</f>
        <v>VORAZ GATO ADULTO X2OK</v>
      </c>
      <c r="E1028" s="58">
        <v>0.96</v>
      </c>
      <c r="F1028" s="149">
        <f>VLOOKUP( C1028 , 'Stock inicial'!$A:$G , 7 , FALSE )</f>
        <v>2100</v>
      </c>
      <c r="G1028" s="142">
        <f>VLOOKUP( C1028 , 'Stock inicial'!$A:$F , 5 , FALSE )</f>
        <v>1482</v>
      </c>
      <c r="H1028" s="142">
        <f t="shared" si="14"/>
        <v>1422.72</v>
      </c>
      <c r="I1028" s="204">
        <f t="shared" si="15"/>
        <v>2016</v>
      </c>
      <c r="J1028" s="27" t="s">
        <v>3</v>
      </c>
    </row>
    <row r="1029">
      <c r="A1029" s="28">
        <v>45888.0</v>
      </c>
      <c r="B1029" s="66" t="s">
        <v>510</v>
      </c>
      <c r="C1029" s="51">
        <v>162.0</v>
      </c>
      <c r="D1029" s="48" t="str">
        <f>IF(Tabla_3[COD]="","",VLOOKUP(Tabla_3[COD],'Stock inicial'!A:D,2,FALSE))</f>
        <v>PIEDRA SANITARIA THEBEST X20KG</v>
      </c>
      <c r="E1029" s="27">
        <v>2.97</v>
      </c>
      <c r="F1029" s="149">
        <f>VLOOKUP( C1029 , 'Stock inicial'!$A:$G , 7 , FALSE )</f>
        <v>800</v>
      </c>
      <c r="G1029" s="142">
        <f>VLOOKUP( C1029 , 'Stock inicial'!$A:$F , 5 , FALSE )</f>
        <v>475</v>
      </c>
      <c r="H1029" s="142">
        <f t="shared" si="14"/>
        <v>1410.75</v>
      </c>
      <c r="I1029" s="204">
        <f t="shared" si="15"/>
        <v>2376</v>
      </c>
      <c r="J1029" s="27" t="s">
        <v>3</v>
      </c>
    </row>
    <row r="1030">
      <c r="A1030" s="28">
        <v>45888.0</v>
      </c>
      <c r="B1030" s="154"/>
      <c r="C1030" s="50">
        <v>225.0</v>
      </c>
      <c r="D1030" s="39" t="str">
        <f>IF(Tabla_3[COD]="","",VLOOKUP(Tabla_3[COD],'Stock inicial'!A:D,2,FALSE))</f>
        <v>GATI GATO PESCADO Y SALMON</v>
      </c>
      <c r="E1030" s="27">
        <v>1.0</v>
      </c>
      <c r="F1030" s="149">
        <f>VLOOKUP( C1030 , 'Stock inicial'!$A:$G , 7 , FALSE )</f>
        <v>2900</v>
      </c>
      <c r="G1030" s="142">
        <f>VLOOKUP( C1030 , 'Stock inicial'!$A:$F , 5 , FALSE )</f>
        <v>2206</v>
      </c>
      <c r="H1030" s="142">
        <f t="shared" si="14"/>
        <v>2206</v>
      </c>
      <c r="I1030" s="204">
        <f t="shared" si="15"/>
        <v>2900</v>
      </c>
      <c r="J1030" s="27" t="s">
        <v>3</v>
      </c>
    </row>
    <row r="1031">
      <c r="A1031" s="74"/>
      <c r="B1031" s="75" t="s">
        <v>511</v>
      </c>
      <c r="C1031" s="138"/>
      <c r="D1031" s="77" t="s">
        <v>512</v>
      </c>
      <c r="E1031" s="59">
        <v>1.0</v>
      </c>
      <c r="F1031" s="141">
        <v>47900.0</v>
      </c>
      <c r="G1031" s="141">
        <v>45265.22</v>
      </c>
      <c r="H1031" s="204">
        <f t="shared" si="14"/>
        <v>45265.22</v>
      </c>
      <c r="I1031" s="204">
        <f t="shared" si="15"/>
        <v>47900</v>
      </c>
      <c r="J1031" s="73"/>
    </row>
    <row r="1032">
      <c r="A1032" s="78"/>
      <c r="B1032" s="145"/>
      <c r="C1032" s="229"/>
      <c r="D1032" s="127" t="s">
        <v>513</v>
      </c>
      <c r="E1032" s="58">
        <v>1.0</v>
      </c>
      <c r="F1032" s="141">
        <v>68000.0</v>
      </c>
      <c r="G1032" s="141">
        <v>58701.37</v>
      </c>
      <c r="H1032" s="204">
        <f t="shared" si="14"/>
        <v>58701.37</v>
      </c>
      <c r="I1032" s="204">
        <f t="shared" si="15"/>
        <v>68000</v>
      </c>
      <c r="J1032" s="73"/>
      <c r="K1032" s="230"/>
    </row>
    <row r="1033">
      <c r="A1033" s="231"/>
      <c r="B1033" s="151"/>
      <c r="C1033" s="151"/>
      <c r="D1033" s="48" t="str">
        <f>IF(Tabla_3[COD]="","",VLOOKUP(Tabla_3[COD],'Stock inicial'!A:D,2,FALSE))</f>
        <v/>
      </c>
      <c r="E1033" s="103"/>
      <c r="F1033" s="103"/>
      <c r="G1033" s="73"/>
      <c r="H1033" s="73"/>
      <c r="I1033" s="73"/>
      <c r="J1033" s="73"/>
      <c r="K1033" s="230"/>
    </row>
    <row r="1034">
      <c r="A1034" s="231"/>
      <c r="B1034" s="103"/>
      <c r="C1034" s="103"/>
      <c r="D1034" s="22" t="str">
        <f>IF(Tabla_3[COD]="","",VLOOKUP(Tabla_3[COD],'Stock inicial'!A:D,2,FALSE))</f>
        <v/>
      </c>
      <c r="E1034" s="103"/>
      <c r="F1034" s="103"/>
      <c r="G1034" s="73"/>
      <c r="H1034" s="73"/>
      <c r="I1034" s="73"/>
      <c r="J1034" s="73"/>
      <c r="K1034" s="230"/>
    </row>
    <row r="1035">
      <c r="A1035" s="231"/>
      <c r="B1035" s="151"/>
      <c r="C1035" s="151"/>
      <c r="D1035" s="48" t="str">
        <f>IF(Tabla_3[COD]="","",VLOOKUP(Tabla_3[COD],'Stock inicial'!A:D,2,FALSE))</f>
        <v/>
      </c>
      <c r="E1035" s="103"/>
      <c r="F1035" s="103"/>
      <c r="G1035" s="73"/>
      <c r="H1035" s="73"/>
      <c r="I1035" s="73"/>
      <c r="J1035" s="73"/>
      <c r="K1035" s="230"/>
    </row>
    <row r="1036">
      <c r="A1036" s="231"/>
      <c r="B1036" s="103"/>
      <c r="C1036" s="103"/>
      <c r="D1036" s="22" t="str">
        <f>IF(Tabla_3[COD]="","",VLOOKUP(Tabla_3[COD],'Stock inicial'!A:D,2,FALSE))</f>
        <v/>
      </c>
      <c r="E1036" s="103"/>
      <c r="F1036" s="103"/>
      <c r="G1036" s="73"/>
      <c r="H1036" s="73"/>
      <c r="I1036" s="73"/>
      <c r="J1036" s="73"/>
      <c r="K1036" s="230"/>
    </row>
    <row r="1037">
      <c r="A1037" s="231"/>
      <c r="B1037" s="151"/>
      <c r="C1037" s="151"/>
      <c r="D1037" s="48" t="str">
        <f>IF(Tabla_3[COD]="","",VLOOKUP(Tabla_3[COD],'Stock inicial'!A:D,2,FALSE))</f>
        <v/>
      </c>
      <c r="E1037" s="103"/>
      <c r="F1037" s="103"/>
      <c r="G1037" s="73"/>
      <c r="H1037" s="73"/>
      <c r="I1037" s="73"/>
      <c r="J1037" s="73"/>
      <c r="K1037" s="230"/>
    </row>
    <row r="1038">
      <c r="A1038" s="231"/>
      <c r="B1038" s="103"/>
      <c r="C1038" s="103"/>
      <c r="D1038" s="22" t="str">
        <f>IF(Tabla_3[COD]="","",VLOOKUP(Tabla_3[COD],'Stock inicial'!A:D,2,FALSE))</f>
        <v/>
      </c>
      <c r="E1038" s="103"/>
      <c r="F1038" s="103"/>
      <c r="G1038" s="73"/>
      <c r="H1038" s="73"/>
      <c r="I1038" s="73"/>
      <c r="J1038" s="73"/>
      <c r="K1038" s="230"/>
    </row>
    <row r="1039">
      <c r="A1039" s="231"/>
      <c r="B1039" s="103"/>
      <c r="C1039" s="103"/>
      <c r="D1039" s="22" t="str">
        <f>IF(Tabla_3[COD]="","",VLOOKUP(Tabla_3[COD],'Stock inicial'!A:D,2,FALSE))</f>
        <v/>
      </c>
      <c r="E1039" s="103"/>
      <c r="F1039" s="103"/>
      <c r="G1039" s="73"/>
      <c r="H1039" s="73"/>
      <c r="I1039" s="73"/>
      <c r="J1039" s="73"/>
      <c r="K1039" s="230"/>
    </row>
    <row r="1040">
      <c r="A1040" s="231"/>
      <c r="B1040" s="156"/>
      <c r="C1040" s="156"/>
      <c r="D1040" s="49" t="str">
        <f>IF(Tabla_3[COD]="","",VLOOKUP(Tabla_3[COD],'Stock inicial'!A:D,2,FALSE))</f>
        <v/>
      </c>
      <c r="E1040" s="103"/>
      <c r="F1040" s="103"/>
      <c r="G1040" s="73"/>
      <c r="H1040" s="73"/>
      <c r="I1040" s="73"/>
      <c r="J1040" s="73"/>
      <c r="K1040" s="230"/>
    </row>
    <row r="1041">
      <c r="A1041" s="231"/>
      <c r="B1041" s="103"/>
      <c r="C1041" s="103"/>
      <c r="D1041" s="22" t="str">
        <f>IF(Tabla_3[COD]="","",VLOOKUP(Tabla_3[COD],'Stock inicial'!A:D,2,FALSE))</f>
        <v/>
      </c>
      <c r="E1041" s="103"/>
      <c r="F1041" s="103"/>
      <c r="G1041" s="73"/>
      <c r="H1041" s="73"/>
      <c r="I1041" s="73"/>
      <c r="J1041" s="73"/>
      <c r="K1041" s="230"/>
    </row>
    <row r="1042">
      <c r="A1042" s="231"/>
      <c r="B1042" s="103"/>
      <c r="C1042" s="103"/>
      <c r="D1042" s="22" t="str">
        <f>IF(Tabla_3[COD]="","",VLOOKUP(Tabla_3[COD],'Stock inicial'!A:D,2,FALSE))</f>
        <v/>
      </c>
      <c r="E1042" s="103"/>
      <c r="F1042" s="103"/>
      <c r="G1042" s="73"/>
      <c r="H1042" s="73"/>
      <c r="I1042" s="73"/>
      <c r="J1042" s="73"/>
      <c r="K1042" s="230"/>
    </row>
    <row r="1043">
      <c r="A1043" s="231"/>
      <c r="B1043" s="151"/>
      <c r="C1043" s="151"/>
      <c r="D1043" s="48" t="str">
        <f>IF(Tabla_3[COD]="","",VLOOKUP(Tabla_3[COD],'Stock inicial'!A:D,2,FALSE))</f>
        <v/>
      </c>
      <c r="E1043" s="103"/>
      <c r="F1043" s="103"/>
      <c r="G1043" s="73"/>
      <c r="H1043" s="73"/>
      <c r="I1043" s="73"/>
      <c r="J1043" s="73"/>
      <c r="K1043" s="230"/>
    </row>
    <row r="1044">
      <c r="A1044" s="231"/>
      <c r="B1044" s="103"/>
      <c r="C1044" s="103"/>
      <c r="D1044" s="22" t="str">
        <f>IF(Tabla_3[COD]="","",VLOOKUP(Tabla_3[COD],'Stock inicial'!A:D,2,FALSE))</f>
        <v/>
      </c>
      <c r="E1044" s="103"/>
      <c r="F1044" s="103"/>
      <c r="G1044" s="73"/>
      <c r="H1044" s="73"/>
      <c r="I1044" s="73"/>
      <c r="J1044" s="73"/>
      <c r="K1044" s="230"/>
    </row>
    <row r="1045">
      <c r="A1045" s="231"/>
      <c r="B1045" s="151"/>
      <c r="C1045" s="151"/>
      <c r="D1045" s="48" t="str">
        <f>IF(Tabla_3[COD]="","",VLOOKUP(Tabla_3[COD],'Stock inicial'!A:D,2,FALSE))</f>
        <v/>
      </c>
      <c r="E1045" s="103"/>
      <c r="F1045" s="103"/>
      <c r="G1045" s="73"/>
      <c r="H1045" s="73"/>
      <c r="I1045" s="73"/>
      <c r="J1045" s="73"/>
      <c r="K1045" s="230"/>
    </row>
    <row r="1046">
      <c r="A1046" s="231"/>
      <c r="B1046" s="103"/>
      <c r="C1046" s="103"/>
      <c r="D1046" s="22" t="str">
        <f>IF(Tabla_3[COD]="","",VLOOKUP(Tabla_3[COD],'Stock inicial'!A:D,2,FALSE))</f>
        <v/>
      </c>
      <c r="E1046" s="103"/>
      <c r="F1046" s="103"/>
      <c r="G1046" s="73"/>
      <c r="H1046" s="73"/>
      <c r="I1046" s="73"/>
      <c r="J1046" s="73"/>
      <c r="K1046" s="230"/>
    </row>
    <row r="1047">
      <c r="A1047" s="231"/>
      <c r="B1047" s="103"/>
      <c r="C1047" s="103"/>
      <c r="D1047" s="22" t="str">
        <f>IF(Tabla_3[COD]="","",VLOOKUP(Tabla_3[COD],'Stock inicial'!A:D,2,FALSE))</f>
        <v/>
      </c>
      <c r="E1047" s="103"/>
      <c r="F1047" s="103"/>
      <c r="G1047" s="73"/>
      <c r="H1047" s="73"/>
      <c r="I1047" s="73"/>
      <c r="J1047" s="73"/>
      <c r="K1047" s="230"/>
    </row>
    <row r="1048">
      <c r="A1048" s="231"/>
      <c r="B1048" s="156"/>
      <c r="C1048" s="156"/>
      <c r="D1048" s="49" t="str">
        <f>IF(Tabla_3[COD]="","",VLOOKUP(Tabla_3[COD],'Stock inicial'!A:D,2,FALSE))</f>
        <v/>
      </c>
      <c r="E1048" s="103"/>
      <c r="F1048" s="103"/>
      <c r="G1048" s="73"/>
      <c r="H1048" s="73"/>
      <c r="I1048" s="73"/>
      <c r="J1048" s="73"/>
      <c r="K1048" s="230"/>
    </row>
    <row r="1049">
      <c r="A1049" s="231"/>
      <c r="B1049" s="103"/>
      <c r="C1049" s="103"/>
      <c r="D1049" s="22" t="str">
        <f>IF(Tabla_3[COD]="","",VLOOKUP(Tabla_3[COD],'Stock inicial'!A:D,2,FALSE))</f>
        <v/>
      </c>
      <c r="E1049" s="103"/>
      <c r="F1049" s="103"/>
      <c r="G1049" s="73"/>
      <c r="H1049" s="73"/>
      <c r="I1049" s="73"/>
      <c r="J1049" s="73"/>
      <c r="K1049" s="230"/>
    </row>
    <row r="1050">
      <c r="A1050" s="231"/>
      <c r="B1050" s="103"/>
      <c r="C1050" s="103"/>
      <c r="D1050" s="22" t="str">
        <f>IF(Tabla_3[COD]="","",VLOOKUP(Tabla_3[COD],'Stock inicial'!A:D,2,FALSE))</f>
        <v/>
      </c>
      <c r="E1050" s="103"/>
      <c r="F1050" s="103"/>
      <c r="G1050" s="73"/>
      <c r="H1050" s="73"/>
      <c r="I1050" s="73"/>
      <c r="J1050" s="73"/>
      <c r="K1050" s="230"/>
    </row>
    <row r="1051">
      <c r="A1051" s="231"/>
      <c r="B1051" s="151"/>
      <c r="C1051" s="151"/>
      <c r="D1051" s="48" t="str">
        <f>IF(Tabla_3[COD]="","",VLOOKUP(Tabla_3[COD],'Stock inicial'!A:D,2,FALSE))</f>
        <v/>
      </c>
      <c r="E1051" s="103"/>
      <c r="F1051" s="103"/>
      <c r="G1051" s="73"/>
      <c r="H1051" s="73"/>
      <c r="I1051" s="73"/>
      <c r="J1051" s="73"/>
      <c r="K1051" s="230"/>
    </row>
    <row r="1052">
      <c r="A1052" s="231"/>
      <c r="B1052" s="103"/>
      <c r="C1052" s="103"/>
      <c r="D1052" s="22" t="str">
        <f>IF(Tabla_3[COD]="","",VLOOKUP(Tabla_3[COD],'Stock inicial'!A:D,2,FALSE))</f>
        <v/>
      </c>
      <c r="E1052" s="103"/>
      <c r="F1052" s="103"/>
      <c r="G1052" s="73"/>
      <c r="H1052" s="73"/>
      <c r="I1052" s="73"/>
      <c r="J1052" s="73"/>
      <c r="K1052" s="230"/>
    </row>
    <row r="1053">
      <c r="A1053" s="231"/>
      <c r="B1053" s="151"/>
      <c r="C1053" s="151"/>
      <c r="D1053" s="48" t="str">
        <f>IF(Tabla_3[COD]="","",VLOOKUP(Tabla_3[COD],'Stock inicial'!A:D,2,FALSE))</f>
        <v/>
      </c>
      <c r="E1053" s="103"/>
      <c r="F1053" s="103"/>
      <c r="G1053" s="73"/>
      <c r="H1053" s="73"/>
      <c r="I1053" s="73"/>
      <c r="J1053" s="73"/>
      <c r="K1053" s="230"/>
    </row>
    <row r="1054">
      <c r="A1054" s="231"/>
      <c r="B1054" s="103"/>
      <c r="C1054" s="103"/>
      <c r="D1054" s="22" t="str">
        <f>IF(Tabla_3[COD]="","",VLOOKUP(Tabla_3[COD],'Stock inicial'!A:D,2,FALSE))</f>
        <v/>
      </c>
      <c r="E1054" s="103"/>
      <c r="F1054" s="103"/>
      <c r="G1054" s="73"/>
      <c r="H1054" s="73"/>
      <c r="I1054" s="73"/>
      <c r="J1054" s="73"/>
      <c r="K1054" s="230"/>
    </row>
    <row r="1055">
      <c r="A1055" s="231"/>
      <c r="B1055" s="103"/>
      <c r="C1055" s="103"/>
      <c r="D1055" s="22" t="str">
        <f>IF(Tabla_3[COD]="","",VLOOKUP(Tabla_3[COD],'Stock inicial'!A:D,2,FALSE))</f>
        <v/>
      </c>
      <c r="E1055" s="103"/>
      <c r="F1055" s="103"/>
      <c r="G1055" s="73"/>
      <c r="H1055" s="73"/>
      <c r="I1055" s="73"/>
      <c r="J1055" s="73"/>
      <c r="K1055" s="230"/>
    </row>
    <row r="1056">
      <c r="A1056" s="231"/>
      <c r="B1056" s="156"/>
      <c r="C1056" s="156"/>
      <c r="D1056" s="49" t="str">
        <f>IF(Tabla_3[COD]="","",VLOOKUP(Tabla_3[COD],'Stock inicial'!A:D,2,FALSE))</f>
        <v/>
      </c>
      <c r="E1056" s="103"/>
      <c r="F1056" s="103"/>
      <c r="G1056" s="73"/>
      <c r="H1056" s="73"/>
      <c r="I1056" s="73"/>
      <c r="J1056" s="73"/>
      <c r="K1056" s="230"/>
    </row>
    <row r="1057">
      <c r="A1057" s="231"/>
      <c r="B1057" s="103"/>
      <c r="C1057" s="103"/>
      <c r="D1057" s="22" t="str">
        <f>IF(Tabla_3[COD]="","",VLOOKUP(Tabla_3[COD],'Stock inicial'!A:D,2,FALSE))</f>
        <v/>
      </c>
      <c r="E1057" s="103"/>
      <c r="F1057" s="103"/>
      <c r="G1057" s="73"/>
      <c r="H1057" s="73"/>
      <c r="I1057" s="73"/>
      <c r="J1057" s="73"/>
      <c r="K1057" s="230"/>
    </row>
    <row r="1058">
      <c r="A1058" s="231"/>
      <c r="B1058" s="103"/>
      <c r="C1058" s="103"/>
      <c r="D1058" s="22" t="str">
        <f>IF(Tabla_3[COD]="","",VLOOKUP(Tabla_3[COD],'Stock inicial'!A:D,2,FALSE))</f>
        <v/>
      </c>
      <c r="E1058" s="103"/>
      <c r="F1058" s="103"/>
      <c r="G1058" s="73"/>
      <c r="H1058" s="73"/>
      <c r="I1058" s="73"/>
      <c r="J1058" s="73"/>
      <c r="K1058" s="230"/>
    </row>
    <row r="1059">
      <c r="A1059" s="231"/>
      <c r="B1059" s="151"/>
      <c r="C1059" s="151"/>
      <c r="D1059" s="48" t="str">
        <f>IF(Tabla_3[COD]="","",VLOOKUP(Tabla_3[COD],'Stock inicial'!A:D,2,FALSE))</f>
        <v/>
      </c>
      <c r="E1059" s="103"/>
      <c r="F1059" s="103"/>
      <c r="G1059" s="73"/>
      <c r="H1059" s="73"/>
      <c r="I1059" s="73"/>
      <c r="J1059" s="73"/>
      <c r="K1059" s="230"/>
    </row>
    <row r="1060">
      <c r="A1060" s="231"/>
      <c r="B1060" s="103"/>
      <c r="C1060" s="103"/>
      <c r="D1060" s="22" t="str">
        <f>IF(Tabla_3[COD]="","",VLOOKUP(Tabla_3[COD],'Stock inicial'!A:D,2,FALSE))</f>
        <v/>
      </c>
      <c r="E1060" s="103"/>
      <c r="F1060" s="103"/>
      <c r="G1060" s="73"/>
      <c r="H1060" s="73"/>
      <c r="I1060" s="73"/>
      <c r="J1060" s="73"/>
      <c r="K1060" s="230"/>
    </row>
    <row r="1061">
      <c r="A1061" s="231"/>
      <c r="B1061" s="151"/>
      <c r="C1061" s="151"/>
      <c r="D1061" s="48" t="str">
        <f>IF(Tabla_3[COD]="","",VLOOKUP(Tabla_3[COD],'Stock inicial'!A:D,2,FALSE))</f>
        <v/>
      </c>
      <c r="E1061" s="103"/>
      <c r="F1061" s="103"/>
      <c r="G1061" s="73"/>
      <c r="H1061" s="73"/>
      <c r="I1061" s="73"/>
      <c r="J1061" s="73"/>
      <c r="K1061" s="230"/>
    </row>
    <row r="1062">
      <c r="A1062" s="231"/>
      <c r="B1062" s="103"/>
      <c r="C1062" s="103"/>
      <c r="D1062" s="22" t="str">
        <f>IF(Tabla_3[COD]="","",VLOOKUP(Tabla_3[COD],'Stock inicial'!A:D,2,FALSE))</f>
        <v/>
      </c>
      <c r="E1062" s="103"/>
      <c r="F1062" s="103"/>
      <c r="G1062" s="73"/>
      <c r="H1062" s="73"/>
      <c r="I1062" s="73"/>
      <c r="J1062" s="73"/>
      <c r="K1062" s="230"/>
    </row>
    <row r="1063">
      <c r="A1063" s="231"/>
      <c r="B1063" s="103"/>
      <c r="C1063" s="103"/>
      <c r="D1063" s="22" t="str">
        <f>IF(Tabla_3[COD]="","",VLOOKUP(Tabla_3[COD],'Stock inicial'!A:D,2,FALSE))</f>
        <v/>
      </c>
      <c r="E1063" s="103"/>
      <c r="F1063" s="103"/>
      <c r="G1063" s="73"/>
      <c r="H1063" s="73"/>
      <c r="I1063" s="73"/>
      <c r="J1063" s="73"/>
      <c r="K1063" s="230"/>
    </row>
    <row r="1064">
      <c r="A1064" s="231"/>
      <c r="B1064" s="156"/>
      <c r="C1064" s="156"/>
      <c r="D1064" s="49" t="str">
        <f>IF(Tabla_3[COD]="","",VLOOKUP(Tabla_3[COD],'Stock inicial'!A:D,2,FALSE))</f>
        <v/>
      </c>
      <c r="E1064" s="103"/>
      <c r="F1064" s="103"/>
      <c r="G1064" s="73"/>
      <c r="H1064" s="73"/>
      <c r="I1064" s="73"/>
      <c r="J1064" s="73"/>
      <c r="K1064" s="230"/>
    </row>
    <row r="1065">
      <c r="A1065" s="231"/>
      <c r="B1065" s="103"/>
      <c r="C1065" s="103"/>
      <c r="D1065" s="22" t="str">
        <f>IF(Tabla_3[COD]="","",VLOOKUP(Tabla_3[COD],'Stock inicial'!A:D,2,FALSE))</f>
        <v/>
      </c>
      <c r="E1065" s="103"/>
      <c r="F1065" s="103"/>
      <c r="G1065" s="73"/>
      <c r="H1065" s="73"/>
      <c r="I1065" s="73"/>
      <c r="J1065" s="73"/>
      <c r="K1065" s="230"/>
    </row>
    <row r="1066">
      <c r="A1066" s="231"/>
      <c r="B1066" s="103"/>
      <c r="C1066" s="103"/>
      <c r="D1066" s="22" t="str">
        <f>IF(Tabla_3[COD]="","",VLOOKUP(Tabla_3[COD],'Stock inicial'!A:D,2,FALSE))</f>
        <v/>
      </c>
      <c r="E1066" s="103"/>
      <c r="F1066" s="103"/>
      <c r="G1066" s="73"/>
      <c r="H1066" s="73"/>
      <c r="I1066" s="73"/>
      <c r="J1066" s="73"/>
      <c r="K1066" s="230"/>
    </row>
    <row r="1067">
      <c r="A1067" s="231"/>
      <c r="B1067" s="151"/>
      <c r="C1067" s="151"/>
      <c r="D1067" s="48" t="str">
        <f>IF(Tabla_3[COD]="","",VLOOKUP(Tabla_3[COD],'Stock inicial'!A:D,2,FALSE))</f>
        <v/>
      </c>
      <c r="E1067" s="103"/>
      <c r="F1067" s="103"/>
      <c r="G1067" s="73"/>
      <c r="H1067" s="73"/>
      <c r="I1067" s="73"/>
      <c r="J1067" s="73"/>
      <c r="K1067" s="230"/>
    </row>
    <row r="1068">
      <c r="A1068" s="231"/>
      <c r="B1068" s="103"/>
      <c r="C1068" s="103"/>
      <c r="D1068" s="22" t="str">
        <f>IF(Tabla_3[COD]="","",VLOOKUP(Tabla_3[COD],'Stock inicial'!A:D,2,FALSE))</f>
        <v/>
      </c>
      <c r="E1068" s="103"/>
      <c r="F1068" s="103"/>
      <c r="G1068" s="73"/>
      <c r="H1068" s="73"/>
      <c r="I1068" s="73"/>
      <c r="J1068" s="73"/>
      <c r="K1068" s="230"/>
    </row>
    <row r="1069">
      <c r="A1069" s="231"/>
      <c r="B1069" s="151"/>
      <c r="C1069" s="151"/>
      <c r="D1069" s="48" t="str">
        <f>IF(Tabla_3[COD]="","",VLOOKUP(Tabla_3[COD],'Stock inicial'!A:D,2,FALSE))</f>
        <v/>
      </c>
      <c r="E1069" s="103"/>
      <c r="F1069" s="103"/>
      <c r="G1069" s="73"/>
      <c r="H1069" s="73"/>
      <c r="I1069" s="73"/>
      <c r="J1069" s="73"/>
      <c r="K1069" s="230"/>
    </row>
    <row r="1070">
      <c r="A1070" s="231"/>
      <c r="B1070" s="103"/>
      <c r="C1070" s="103"/>
      <c r="D1070" s="22" t="str">
        <f>IF(Tabla_3[COD]="","",VLOOKUP(Tabla_3[COD],'Stock inicial'!A:D,2,FALSE))</f>
        <v/>
      </c>
      <c r="E1070" s="103"/>
      <c r="F1070" s="103"/>
      <c r="G1070" s="73"/>
      <c r="H1070" s="73"/>
      <c r="I1070" s="73"/>
      <c r="J1070" s="73"/>
      <c r="K1070" s="230"/>
    </row>
    <row r="1071">
      <c r="A1071" s="231"/>
      <c r="B1071" s="103"/>
      <c r="C1071" s="103"/>
      <c r="D1071" s="22" t="str">
        <f>IF(Tabla_3[COD]="","",VLOOKUP(Tabla_3[COD],'Stock inicial'!A:D,2,FALSE))</f>
        <v/>
      </c>
      <c r="E1071" s="103"/>
      <c r="F1071" s="103"/>
      <c r="G1071" s="73"/>
      <c r="H1071" s="73"/>
      <c r="I1071" s="73"/>
      <c r="J1071" s="73"/>
      <c r="K1071" s="230"/>
    </row>
    <row r="1072">
      <c r="A1072" s="231"/>
      <c r="B1072" s="156"/>
      <c r="C1072" s="156"/>
      <c r="D1072" s="49" t="str">
        <f>IF(Tabla_3[COD]="","",VLOOKUP(Tabla_3[COD],'Stock inicial'!A:D,2,FALSE))</f>
        <v/>
      </c>
      <c r="E1072" s="103"/>
      <c r="F1072" s="103"/>
      <c r="G1072" s="73"/>
      <c r="H1072" s="73"/>
      <c r="I1072" s="73"/>
      <c r="J1072" s="73"/>
      <c r="K1072" s="230"/>
    </row>
    <row r="1073">
      <c r="A1073" s="231"/>
      <c r="B1073" s="103"/>
      <c r="C1073" s="103"/>
      <c r="D1073" s="22" t="str">
        <f>IF(Tabla_3[COD]="","",VLOOKUP(Tabla_3[COD],'Stock inicial'!A:D,2,FALSE))</f>
        <v/>
      </c>
      <c r="E1073" s="103"/>
      <c r="F1073" s="103"/>
      <c r="G1073" s="73"/>
      <c r="H1073" s="73"/>
      <c r="I1073" s="73"/>
      <c r="J1073" s="73"/>
      <c r="K1073" s="230"/>
    </row>
    <row r="1074">
      <c r="A1074" s="231"/>
      <c r="B1074" s="103"/>
      <c r="C1074" s="103"/>
      <c r="D1074" s="22" t="str">
        <f>IF(Tabla_3[COD]="","",VLOOKUP(Tabla_3[COD],'Stock inicial'!A:D,2,FALSE))</f>
        <v/>
      </c>
      <c r="E1074" s="103"/>
      <c r="F1074" s="103"/>
      <c r="G1074" s="73"/>
      <c r="H1074" s="73"/>
      <c r="I1074" s="73"/>
      <c r="J1074" s="73"/>
      <c r="K1074" s="230"/>
    </row>
    <row r="1075">
      <c r="A1075" s="231"/>
      <c r="B1075" s="151"/>
      <c r="C1075" s="151"/>
      <c r="D1075" s="48" t="str">
        <f>IF(Tabla_3[COD]="","",VLOOKUP(Tabla_3[COD],'Stock inicial'!A:D,2,FALSE))</f>
        <v/>
      </c>
      <c r="E1075" s="103"/>
      <c r="F1075" s="103"/>
      <c r="G1075" s="73"/>
      <c r="H1075" s="73"/>
      <c r="I1075" s="73"/>
      <c r="J1075" s="73"/>
      <c r="K1075" s="230"/>
    </row>
    <row r="1076">
      <c r="A1076" s="231"/>
      <c r="B1076" s="103"/>
      <c r="C1076" s="103"/>
      <c r="D1076" s="22" t="str">
        <f>IF(Tabla_3[COD]="","",VLOOKUP(Tabla_3[COD],'Stock inicial'!A:D,2,FALSE))</f>
        <v/>
      </c>
      <c r="E1076" s="103"/>
      <c r="F1076" s="103"/>
      <c r="G1076" s="73"/>
      <c r="H1076" s="73"/>
      <c r="I1076" s="73"/>
      <c r="J1076" s="73"/>
      <c r="K1076" s="230"/>
    </row>
    <row r="1077">
      <c r="A1077" s="231"/>
      <c r="B1077" s="151"/>
      <c r="C1077" s="151"/>
      <c r="D1077" s="48" t="str">
        <f>IF(Tabla_3[COD]="","",VLOOKUP(Tabla_3[COD],'Stock inicial'!A:D,2,FALSE))</f>
        <v/>
      </c>
      <c r="E1077" s="103"/>
      <c r="F1077" s="103"/>
      <c r="G1077" s="73"/>
      <c r="H1077" s="73"/>
      <c r="I1077" s="73"/>
      <c r="J1077" s="73"/>
      <c r="K1077" s="230"/>
    </row>
    <row r="1078">
      <c r="A1078" s="231"/>
      <c r="B1078" s="103"/>
      <c r="C1078" s="103"/>
      <c r="D1078" s="22" t="str">
        <f>IF(Tabla_3[COD]="","",VLOOKUP(Tabla_3[COD],'Stock inicial'!A:D,2,FALSE))</f>
        <v/>
      </c>
      <c r="E1078" s="103"/>
      <c r="F1078" s="103"/>
      <c r="G1078" s="73"/>
      <c r="H1078" s="73"/>
      <c r="I1078" s="73"/>
      <c r="J1078" s="73"/>
      <c r="K1078" s="230"/>
    </row>
    <row r="1079">
      <c r="A1079" s="231"/>
      <c r="B1079" s="103"/>
      <c r="C1079" s="103"/>
      <c r="D1079" s="22" t="str">
        <f>IF(Tabla_3[COD]="","",VLOOKUP(Tabla_3[COD],'Stock inicial'!A:D,2,FALSE))</f>
        <v/>
      </c>
      <c r="E1079" s="103"/>
      <c r="F1079" s="103"/>
      <c r="G1079" s="73"/>
      <c r="H1079" s="73"/>
      <c r="I1079" s="73"/>
      <c r="J1079" s="73"/>
      <c r="K1079" s="230"/>
    </row>
    <row r="1080">
      <c r="A1080" s="231"/>
      <c r="B1080" s="156"/>
      <c r="C1080" s="156"/>
      <c r="D1080" s="49" t="str">
        <f>IF(Tabla_3[COD]="","",VLOOKUP(Tabla_3[COD],'Stock inicial'!A:D,2,FALSE))</f>
        <v/>
      </c>
      <c r="E1080" s="103"/>
      <c r="F1080" s="103"/>
      <c r="G1080" s="73"/>
      <c r="H1080" s="73"/>
      <c r="I1080" s="73"/>
      <c r="J1080" s="73"/>
      <c r="K1080" s="230"/>
    </row>
    <row r="1081">
      <c r="A1081" s="231"/>
      <c r="B1081" s="103"/>
      <c r="C1081" s="103"/>
      <c r="D1081" s="22" t="str">
        <f>IF(Tabla_3[COD]="","",VLOOKUP(Tabla_3[COD],'Stock inicial'!A:D,2,FALSE))</f>
        <v/>
      </c>
      <c r="E1081" s="103"/>
      <c r="F1081" s="103"/>
      <c r="G1081" s="73"/>
      <c r="H1081" s="73"/>
      <c r="I1081" s="73"/>
      <c r="J1081" s="73"/>
      <c r="K1081" s="230"/>
    </row>
    <row r="1082">
      <c r="A1082" s="231"/>
      <c r="B1082" s="103"/>
      <c r="C1082" s="103"/>
      <c r="D1082" s="22" t="str">
        <f>IF(Tabla_3[COD]="","",VLOOKUP(Tabla_3[COD],'Stock inicial'!A:D,2,FALSE))</f>
        <v/>
      </c>
      <c r="E1082" s="103"/>
      <c r="F1082" s="103"/>
      <c r="G1082" s="73"/>
      <c r="H1082" s="73"/>
      <c r="I1082" s="73"/>
      <c r="J1082" s="73"/>
      <c r="K1082" s="230"/>
    </row>
    <row r="1083">
      <c r="A1083" s="231"/>
      <c r="B1083" s="151"/>
      <c r="C1083" s="151"/>
      <c r="D1083" s="48" t="str">
        <f>IF(Tabla_3[COD]="","",VLOOKUP(Tabla_3[COD],'Stock inicial'!A:D,2,FALSE))</f>
        <v/>
      </c>
      <c r="E1083" s="103"/>
      <c r="F1083" s="103"/>
      <c r="G1083" s="73"/>
      <c r="H1083" s="73"/>
      <c r="I1083" s="73"/>
      <c r="J1083" s="73"/>
      <c r="K1083" s="230"/>
    </row>
    <row r="1084">
      <c r="A1084" s="231"/>
      <c r="B1084" s="103"/>
      <c r="C1084" s="103"/>
      <c r="D1084" s="22" t="str">
        <f>IF(Tabla_3[COD]="","",VLOOKUP(Tabla_3[COD],'Stock inicial'!A:D,2,FALSE))</f>
        <v/>
      </c>
      <c r="E1084" s="103"/>
      <c r="F1084" s="103"/>
      <c r="G1084" s="73"/>
      <c r="H1084" s="73"/>
      <c r="I1084" s="73"/>
      <c r="J1084" s="73"/>
      <c r="K1084" s="230"/>
    </row>
    <row r="1085">
      <c r="A1085" s="231"/>
      <c r="B1085" s="151"/>
      <c r="C1085" s="151"/>
      <c r="D1085" s="48" t="str">
        <f>IF(Tabla_3[COD]="","",VLOOKUP(Tabla_3[COD],'Stock inicial'!A:D,2,FALSE))</f>
        <v/>
      </c>
      <c r="E1085" s="103"/>
      <c r="F1085" s="103"/>
      <c r="G1085" s="73"/>
      <c r="H1085" s="73"/>
      <c r="I1085" s="73"/>
      <c r="J1085" s="73"/>
      <c r="K1085" s="230"/>
    </row>
    <row r="1086">
      <c r="A1086" s="231"/>
      <c r="B1086" s="103"/>
      <c r="C1086" s="103"/>
      <c r="D1086" s="22" t="str">
        <f>IF(Tabla_3[COD]="","",VLOOKUP(Tabla_3[COD],'Stock inicial'!A:D,2,FALSE))</f>
        <v/>
      </c>
      <c r="E1086" s="103"/>
      <c r="F1086" s="103"/>
      <c r="G1086" s="73"/>
      <c r="H1086" s="73"/>
      <c r="I1086" s="73"/>
      <c r="J1086" s="73"/>
      <c r="K1086" s="230"/>
    </row>
    <row r="1087">
      <c r="A1087" s="231"/>
      <c r="B1087" s="103"/>
      <c r="C1087" s="103"/>
      <c r="D1087" s="22" t="str">
        <f>IF(Tabla_3[COD]="","",VLOOKUP(Tabla_3[COD],'Stock inicial'!A:D,2,FALSE))</f>
        <v/>
      </c>
      <c r="E1087" s="103"/>
      <c r="F1087" s="103"/>
      <c r="G1087" s="73"/>
      <c r="H1087" s="73"/>
      <c r="I1087" s="73"/>
      <c r="J1087" s="73"/>
      <c r="K1087" s="230"/>
    </row>
    <row r="1088">
      <c r="A1088" s="231"/>
      <c r="B1088" s="156"/>
      <c r="C1088" s="156"/>
      <c r="D1088" s="49" t="str">
        <f>IF(Tabla_3[COD]="","",VLOOKUP(Tabla_3[COD],'Stock inicial'!A:D,2,FALSE))</f>
        <v/>
      </c>
      <c r="E1088" s="103"/>
      <c r="F1088" s="103"/>
      <c r="G1088" s="73"/>
      <c r="H1088" s="73"/>
      <c r="I1088" s="73"/>
      <c r="J1088" s="73"/>
      <c r="K1088" s="230"/>
    </row>
    <row r="1089">
      <c r="A1089" s="231"/>
      <c r="B1089" s="103"/>
      <c r="C1089" s="103"/>
      <c r="D1089" s="22" t="str">
        <f>IF(Tabla_3[COD]="","",VLOOKUP(Tabla_3[COD],'Stock inicial'!A:D,2,FALSE))</f>
        <v/>
      </c>
      <c r="E1089" s="103"/>
      <c r="F1089" s="103"/>
      <c r="G1089" s="73"/>
      <c r="H1089" s="73"/>
      <c r="I1089" s="73"/>
      <c r="J1089" s="73"/>
      <c r="K1089" s="230"/>
    </row>
    <row r="1090">
      <c r="A1090" s="231"/>
      <c r="B1090" s="103"/>
      <c r="C1090" s="103"/>
      <c r="D1090" s="22" t="str">
        <f>IF(Tabla_3[COD]="","",VLOOKUP(Tabla_3[COD],'Stock inicial'!A:D,2,FALSE))</f>
        <v/>
      </c>
      <c r="E1090" s="103"/>
      <c r="F1090" s="103"/>
      <c r="G1090" s="73"/>
      <c r="H1090" s="73"/>
      <c r="I1090" s="73"/>
      <c r="J1090" s="73"/>
      <c r="K1090" s="230"/>
    </row>
    <row r="1091">
      <c r="A1091" s="231"/>
      <c r="B1091" s="151"/>
      <c r="C1091" s="151"/>
      <c r="D1091" s="48" t="str">
        <f>IF(Tabla_3[COD]="","",VLOOKUP(Tabla_3[COD],'Stock inicial'!A:D,2,FALSE))</f>
        <v/>
      </c>
      <c r="E1091" s="103"/>
      <c r="F1091" s="103"/>
      <c r="G1091" s="73"/>
      <c r="H1091" s="73"/>
      <c r="I1091" s="73"/>
      <c r="J1091" s="73"/>
      <c r="K1091" s="230"/>
    </row>
    <row r="1092">
      <c r="A1092" s="231"/>
      <c r="B1092" s="103"/>
      <c r="C1092" s="103"/>
      <c r="D1092" s="22" t="str">
        <f>IF(Tabla_3[COD]="","",VLOOKUP(Tabla_3[COD],'Stock inicial'!A:D,2,FALSE))</f>
        <v/>
      </c>
      <c r="E1092" s="103"/>
      <c r="F1092" s="103"/>
      <c r="G1092" s="73"/>
      <c r="H1092" s="73"/>
      <c r="I1092" s="73"/>
      <c r="J1092" s="73"/>
      <c r="K1092" s="230"/>
    </row>
    <row r="1093">
      <c r="A1093" s="231"/>
      <c r="B1093" s="151"/>
      <c r="C1093" s="151"/>
      <c r="D1093" s="48" t="str">
        <f>IF(Tabla_3[COD]="","",VLOOKUP(Tabla_3[COD],'Stock inicial'!A:D,2,FALSE))</f>
        <v/>
      </c>
      <c r="E1093" s="103"/>
      <c r="F1093" s="103"/>
      <c r="G1093" s="73"/>
      <c r="H1093" s="73"/>
      <c r="I1093" s="73"/>
      <c r="J1093" s="73"/>
      <c r="K1093" s="230"/>
    </row>
    <row r="1094">
      <c r="A1094" s="231"/>
      <c r="B1094" s="103"/>
      <c r="C1094" s="103"/>
      <c r="D1094" s="22" t="str">
        <f>IF(Tabla_3[COD]="","",VLOOKUP(Tabla_3[COD],'Stock inicial'!A:D,2,FALSE))</f>
        <v/>
      </c>
      <c r="E1094" s="103"/>
      <c r="F1094" s="103"/>
      <c r="G1094" s="73"/>
      <c r="H1094" s="73"/>
      <c r="I1094" s="73"/>
      <c r="J1094" s="73"/>
      <c r="K1094" s="230"/>
    </row>
    <row r="1095">
      <c r="A1095" s="231"/>
      <c r="B1095" s="103"/>
      <c r="C1095" s="103"/>
      <c r="D1095" s="22" t="str">
        <f>IF(Tabla_3[COD]="","",VLOOKUP(Tabla_3[COD],'Stock inicial'!A:D,2,FALSE))</f>
        <v/>
      </c>
      <c r="E1095" s="103"/>
      <c r="F1095" s="103"/>
      <c r="G1095" s="73"/>
      <c r="H1095" s="73"/>
      <c r="I1095" s="73"/>
      <c r="J1095" s="73"/>
      <c r="K1095" s="230"/>
    </row>
    <row r="1096">
      <c r="A1096" s="231"/>
      <c r="B1096" s="156"/>
      <c r="C1096" s="156"/>
      <c r="D1096" s="49" t="str">
        <f>IF(Tabla_3[COD]="","",VLOOKUP(Tabla_3[COD],'Stock inicial'!A:D,2,FALSE))</f>
        <v/>
      </c>
      <c r="E1096" s="103"/>
      <c r="F1096" s="103"/>
      <c r="G1096" s="73"/>
      <c r="H1096" s="73"/>
      <c r="I1096" s="73"/>
      <c r="J1096" s="73"/>
      <c r="K1096" s="230"/>
    </row>
    <row r="1097">
      <c r="A1097" s="231"/>
      <c r="B1097" s="103"/>
      <c r="C1097" s="103"/>
      <c r="D1097" s="22" t="str">
        <f>IF(Tabla_3[COD]="","",VLOOKUP(Tabla_3[COD],'Stock inicial'!A:D,2,FALSE))</f>
        <v/>
      </c>
      <c r="E1097" s="103"/>
      <c r="F1097" s="103"/>
      <c r="G1097" s="73"/>
      <c r="H1097" s="73"/>
      <c r="I1097" s="73"/>
      <c r="J1097" s="73"/>
      <c r="K1097" s="230"/>
    </row>
    <row r="1098">
      <c r="A1098" s="231"/>
      <c r="B1098" s="103"/>
      <c r="C1098" s="103"/>
      <c r="D1098" s="22" t="str">
        <f>IF(Tabla_3[COD]="","",VLOOKUP(Tabla_3[COD],'Stock inicial'!A:D,2,FALSE))</f>
        <v/>
      </c>
      <c r="E1098" s="103"/>
      <c r="F1098" s="103"/>
      <c r="G1098" s="73"/>
      <c r="H1098" s="73"/>
      <c r="I1098" s="73"/>
      <c r="J1098" s="73"/>
      <c r="K1098" s="230"/>
    </row>
    <row r="1099">
      <c r="A1099" s="231"/>
      <c r="B1099" s="151"/>
      <c r="C1099" s="151"/>
      <c r="D1099" s="48" t="str">
        <f>IF(Tabla_3[COD]="","",VLOOKUP(Tabla_3[COD],'Stock inicial'!A:D,2,FALSE))</f>
        <v/>
      </c>
      <c r="E1099" s="103"/>
      <c r="F1099" s="103"/>
      <c r="G1099" s="73"/>
      <c r="H1099" s="73"/>
      <c r="I1099" s="73"/>
      <c r="J1099" s="73"/>
      <c r="K1099" s="230"/>
    </row>
    <row r="1100">
      <c r="A1100" s="231"/>
      <c r="B1100" s="103"/>
      <c r="C1100" s="103"/>
      <c r="D1100" s="22" t="str">
        <f>IF(Tabla_3[COD]="","",VLOOKUP(Tabla_3[COD],'Stock inicial'!A:D,2,FALSE))</f>
        <v/>
      </c>
      <c r="E1100" s="103"/>
      <c r="F1100" s="103"/>
      <c r="G1100" s="73"/>
      <c r="H1100" s="73"/>
      <c r="I1100" s="73"/>
      <c r="J1100" s="73"/>
      <c r="K1100" s="230"/>
    </row>
    <row r="1101">
      <c r="A1101" s="231"/>
      <c r="B1101" s="151"/>
      <c r="C1101" s="151"/>
      <c r="D1101" s="48" t="str">
        <f>IF(Tabla_3[COD]="","",VLOOKUP(Tabla_3[COD],'Stock inicial'!A:D,2,FALSE))</f>
        <v/>
      </c>
      <c r="E1101" s="103"/>
      <c r="F1101" s="103"/>
      <c r="G1101" s="73"/>
      <c r="H1101" s="73"/>
      <c r="I1101" s="73"/>
      <c r="J1101" s="73"/>
      <c r="K1101" s="230"/>
    </row>
    <row r="1102">
      <c r="A1102" s="231"/>
      <c r="B1102" s="103"/>
      <c r="C1102" s="103"/>
      <c r="D1102" s="22" t="str">
        <f>IF(Tabla_3[COD]="","",VLOOKUP(Tabla_3[COD],'Stock inicial'!A:D,2,FALSE))</f>
        <v/>
      </c>
      <c r="E1102" s="103"/>
      <c r="F1102" s="103"/>
      <c r="G1102" s="73"/>
      <c r="H1102" s="73"/>
      <c r="I1102" s="73"/>
      <c r="J1102" s="73"/>
      <c r="K1102" s="230"/>
    </row>
    <row r="1103">
      <c r="A1103" s="231"/>
      <c r="B1103" s="103"/>
      <c r="C1103" s="103"/>
      <c r="D1103" s="22" t="str">
        <f>IF(Tabla_3[COD]="","",VLOOKUP(Tabla_3[COD],'Stock inicial'!A:D,2,FALSE))</f>
        <v/>
      </c>
      <c r="E1103" s="103"/>
      <c r="F1103" s="103"/>
      <c r="G1103" s="73"/>
      <c r="H1103" s="73"/>
      <c r="I1103" s="73"/>
      <c r="J1103" s="73"/>
      <c r="K1103" s="230"/>
    </row>
    <row r="1104">
      <c r="A1104" s="231"/>
      <c r="B1104" s="156"/>
      <c r="C1104" s="156"/>
      <c r="D1104" s="49" t="str">
        <f>IF(Tabla_3[COD]="","",VLOOKUP(Tabla_3[COD],'Stock inicial'!A:D,2,FALSE))</f>
        <v/>
      </c>
      <c r="E1104" s="103"/>
      <c r="F1104" s="103"/>
      <c r="G1104" s="73"/>
      <c r="H1104" s="73"/>
      <c r="I1104" s="73"/>
      <c r="J1104" s="73"/>
      <c r="K1104" s="230"/>
    </row>
    <row r="1105">
      <c r="A1105" s="231"/>
      <c r="B1105" s="103"/>
      <c r="C1105" s="103"/>
      <c r="D1105" s="22" t="str">
        <f>IF(Tabla_3[COD]="","",VLOOKUP(Tabla_3[COD],'Stock inicial'!A:D,2,FALSE))</f>
        <v/>
      </c>
      <c r="E1105" s="103"/>
      <c r="F1105" s="103"/>
      <c r="G1105" s="73"/>
      <c r="H1105" s="73"/>
      <c r="I1105" s="73"/>
      <c r="J1105" s="73"/>
      <c r="K1105" s="230"/>
    </row>
    <row r="1106">
      <c r="A1106" s="231"/>
      <c r="B1106" s="103"/>
      <c r="C1106" s="103"/>
      <c r="D1106" s="22" t="str">
        <f>IF(Tabla_3[COD]="","",VLOOKUP(Tabla_3[COD],'Stock inicial'!A:D,2,FALSE))</f>
        <v/>
      </c>
      <c r="E1106" s="103"/>
      <c r="F1106" s="103"/>
      <c r="G1106" s="73"/>
      <c r="H1106" s="73"/>
      <c r="I1106" s="73"/>
      <c r="J1106" s="73"/>
      <c r="K1106" s="230"/>
    </row>
    <row r="1107">
      <c r="A1107" s="231"/>
      <c r="B1107" s="151"/>
      <c r="C1107" s="151"/>
      <c r="D1107" s="48" t="str">
        <f>IF(Tabla_3[COD]="","",VLOOKUP(Tabla_3[COD],'Stock inicial'!A:D,2,FALSE))</f>
        <v/>
      </c>
      <c r="E1107" s="103"/>
      <c r="F1107" s="103"/>
      <c r="G1107" s="73"/>
      <c r="H1107" s="73"/>
      <c r="I1107" s="73"/>
      <c r="J1107" s="73"/>
      <c r="K1107" s="230"/>
    </row>
    <row r="1108">
      <c r="A1108" s="231"/>
      <c r="B1108" s="103"/>
      <c r="C1108" s="103"/>
      <c r="D1108" s="22" t="str">
        <f>IF(Tabla_3[COD]="","",VLOOKUP(Tabla_3[COD],'Stock inicial'!A:D,2,FALSE))</f>
        <v/>
      </c>
      <c r="E1108" s="103"/>
      <c r="F1108" s="103"/>
      <c r="G1108" s="73"/>
      <c r="H1108" s="73"/>
      <c r="I1108" s="73"/>
      <c r="J1108" s="73"/>
      <c r="K1108" s="230"/>
    </row>
    <row r="1109">
      <c r="A1109" s="231"/>
      <c r="B1109" s="151"/>
      <c r="C1109" s="151"/>
      <c r="D1109" s="48" t="str">
        <f>IF(Tabla_3[COD]="","",VLOOKUP(Tabla_3[COD],'Stock inicial'!A:D,2,FALSE))</f>
        <v/>
      </c>
      <c r="E1109" s="103"/>
      <c r="F1109" s="103"/>
      <c r="G1109" s="73"/>
      <c r="H1109" s="73"/>
      <c r="I1109" s="73"/>
      <c r="J1109" s="73"/>
      <c r="K1109" s="230"/>
    </row>
    <row r="1110">
      <c r="A1110" s="231"/>
      <c r="B1110" s="103"/>
      <c r="C1110" s="103"/>
      <c r="D1110" s="22" t="str">
        <f>IF(Tabla_3[COD]="","",VLOOKUP(Tabla_3[COD],'Stock inicial'!A:D,2,FALSE))</f>
        <v/>
      </c>
      <c r="E1110" s="103"/>
      <c r="F1110" s="103"/>
      <c r="G1110" s="73"/>
      <c r="H1110" s="73"/>
      <c r="I1110" s="73"/>
      <c r="J1110" s="73"/>
      <c r="K1110" s="230"/>
    </row>
    <row r="1111">
      <c r="A1111" s="231"/>
      <c r="B1111" s="103"/>
      <c r="C1111" s="103"/>
      <c r="D1111" s="22" t="str">
        <f>IF(Tabla_3[COD]="","",VLOOKUP(Tabla_3[COD],'Stock inicial'!A:D,2,FALSE))</f>
        <v/>
      </c>
      <c r="E1111" s="103"/>
      <c r="F1111" s="103"/>
      <c r="G1111" s="73"/>
      <c r="H1111" s="73"/>
      <c r="I1111" s="73"/>
      <c r="J1111" s="73"/>
      <c r="K1111" s="230"/>
    </row>
    <row r="1112">
      <c r="A1112" s="231"/>
      <c r="B1112" s="156"/>
      <c r="C1112" s="156"/>
      <c r="D1112" s="49" t="str">
        <f>IF(Tabla_3[COD]="","",VLOOKUP(Tabla_3[COD],'Stock inicial'!A:D,2,FALSE))</f>
        <v/>
      </c>
      <c r="E1112" s="103"/>
      <c r="F1112" s="103"/>
      <c r="G1112" s="73"/>
      <c r="H1112" s="73"/>
      <c r="I1112" s="73"/>
      <c r="J1112" s="73"/>
      <c r="K1112" s="230"/>
    </row>
    <row r="1113">
      <c r="A1113" s="231"/>
      <c r="B1113" s="103"/>
      <c r="C1113" s="103"/>
      <c r="D1113" s="22" t="str">
        <f>IF(Tabla_3[COD]="","",VLOOKUP(Tabla_3[COD],'Stock inicial'!A:D,2,FALSE))</f>
        <v/>
      </c>
      <c r="E1113" s="103"/>
      <c r="F1113" s="103"/>
      <c r="G1113" s="73"/>
      <c r="H1113" s="73"/>
      <c r="I1113" s="73"/>
      <c r="J1113" s="73"/>
      <c r="K1113" s="230"/>
    </row>
    <row r="1114">
      <c r="A1114" s="231"/>
      <c r="B1114" s="103"/>
      <c r="C1114" s="103"/>
      <c r="D1114" s="22" t="str">
        <f>IF(Tabla_3[COD]="","",VLOOKUP(Tabla_3[COD],'Stock inicial'!A:D,2,FALSE))</f>
        <v/>
      </c>
      <c r="E1114" s="103"/>
      <c r="F1114" s="103"/>
      <c r="G1114" s="73"/>
      <c r="H1114" s="73"/>
      <c r="I1114" s="73"/>
      <c r="J1114" s="73"/>
      <c r="K1114" s="230"/>
    </row>
    <row r="1115">
      <c r="A1115" s="231"/>
      <c r="B1115" s="151"/>
      <c r="C1115" s="151"/>
      <c r="D1115" s="48" t="str">
        <f>IF(Tabla_3[COD]="","",VLOOKUP(Tabla_3[COD],'Stock inicial'!A:D,2,FALSE))</f>
        <v/>
      </c>
      <c r="E1115" s="103"/>
      <c r="F1115" s="103"/>
      <c r="G1115" s="73"/>
      <c r="H1115" s="73"/>
      <c r="I1115" s="73"/>
      <c r="J1115" s="73"/>
      <c r="K1115" s="230"/>
    </row>
    <row r="1116">
      <c r="A1116" s="231"/>
      <c r="B1116" s="103"/>
      <c r="C1116" s="103"/>
      <c r="D1116" s="22" t="str">
        <f>IF(Tabla_3[COD]="","",VLOOKUP(Tabla_3[COD],'Stock inicial'!A:D,2,FALSE))</f>
        <v/>
      </c>
      <c r="E1116" s="103"/>
      <c r="F1116" s="103"/>
      <c r="G1116" s="73"/>
      <c r="H1116" s="73"/>
      <c r="I1116" s="73"/>
      <c r="J1116" s="73"/>
      <c r="K1116" s="230"/>
    </row>
    <row r="1117">
      <c r="A1117" s="231"/>
      <c r="B1117" s="151"/>
      <c r="C1117" s="151"/>
      <c r="D1117" s="48" t="str">
        <f>IF(Tabla_3[COD]="","",VLOOKUP(Tabla_3[COD],'Stock inicial'!A:D,2,FALSE))</f>
        <v/>
      </c>
      <c r="E1117" s="103"/>
      <c r="F1117" s="103"/>
      <c r="G1117" s="73"/>
      <c r="H1117" s="73"/>
      <c r="I1117" s="73"/>
      <c r="J1117" s="73"/>
      <c r="K1117" s="230"/>
    </row>
    <row r="1118">
      <c r="A1118" s="231"/>
      <c r="B1118" s="103"/>
      <c r="C1118" s="103"/>
      <c r="D1118" s="22" t="str">
        <f>IF(Tabla_3[COD]="","",VLOOKUP(Tabla_3[COD],'Stock inicial'!A:D,2,FALSE))</f>
        <v/>
      </c>
      <c r="E1118" s="103"/>
      <c r="F1118" s="103"/>
      <c r="G1118" s="73"/>
      <c r="H1118" s="73"/>
      <c r="I1118" s="73"/>
      <c r="J1118" s="73"/>
      <c r="K1118" s="230"/>
    </row>
    <row r="1119">
      <c r="A1119" s="231"/>
      <c r="B1119" s="103"/>
      <c r="C1119" s="103"/>
      <c r="D1119" s="22" t="str">
        <f>IF(Tabla_3[COD]="","",VLOOKUP(Tabla_3[COD],'Stock inicial'!A:D,2,FALSE))</f>
        <v/>
      </c>
      <c r="E1119" s="103"/>
      <c r="F1119" s="103"/>
      <c r="G1119" s="73"/>
      <c r="H1119" s="73"/>
      <c r="I1119" s="73"/>
      <c r="J1119" s="73"/>
      <c r="K1119" s="230"/>
    </row>
    <row r="1120">
      <c r="A1120" s="231"/>
      <c r="B1120" s="156"/>
      <c r="C1120" s="156"/>
      <c r="D1120" s="49" t="str">
        <f>IF(Tabla_3[COD]="","",VLOOKUP(Tabla_3[COD],'Stock inicial'!A:D,2,FALSE))</f>
        <v/>
      </c>
      <c r="E1120" s="103"/>
      <c r="F1120" s="103"/>
      <c r="G1120" s="73"/>
      <c r="H1120" s="73"/>
      <c r="I1120" s="73"/>
      <c r="J1120" s="73"/>
      <c r="K1120" s="230"/>
    </row>
    <row r="1121">
      <c r="A1121" s="231"/>
      <c r="B1121" s="103"/>
      <c r="C1121" s="103"/>
      <c r="D1121" s="22" t="str">
        <f>IF(Tabla_3[COD]="","",VLOOKUP(Tabla_3[COD],'Stock inicial'!A:D,2,FALSE))</f>
        <v/>
      </c>
      <c r="E1121" s="103"/>
      <c r="F1121" s="103"/>
      <c r="G1121" s="73"/>
      <c r="H1121" s="73"/>
      <c r="I1121" s="73"/>
      <c r="J1121" s="73"/>
      <c r="K1121" s="230"/>
    </row>
    <row r="1122">
      <c r="A1122" s="231"/>
      <c r="B1122" s="103"/>
      <c r="C1122" s="103"/>
      <c r="D1122" s="22" t="str">
        <f>IF(Tabla_3[COD]="","",VLOOKUP(Tabla_3[COD],'Stock inicial'!A:D,2,FALSE))</f>
        <v/>
      </c>
      <c r="E1122" s="103"/>
      <c r="F1122" s="103"/>
      <c r="G1122" s="73"/>
      <c r="H1122" s="73"/>
      <c r="I1122" s="73"/>
      <c r="J1122" s="73"/>
      <c r="K1122" s="230"/>
    </row>
    <row r="1123">
      <c r="A1123" s="231"/>
      <c r="B1123" s="151"/>
      <c r="C1123" s="151"/>
      <c r="D1123" s="48" t="str">
        <f>IF(Tabla_3[COD]="","",VLOOKUP(Tabla_3[COD],'Stock inicial'!A:D,2,FALSE))</f>
        <v/>
      </c>
      <c r="E1123" s="103"/>
      <c r="F1123" s="103"/>
      <c r="G1123" s="73"/>
      <c r="H1123" s="73"/>
      <c r="I1123" s="73"/>
      <c r="J1123" s="73"/>
      <c r="K1123" s="230"/>
    </row>
    <row r="1124">
      <c r="A1124" s="231"/>
      <c r="B1124" s="103"/>
      <c r="C1124" s="103"/>
      <c r="D1124" s="22" t="str">
        <f>IF(Tabla_3[COD]="","",VLOOKUP(Tabla_3[COD],'Stock inicial'!A:D,2,FALSE))</f>
        <v/>
      </c>
      <c r="E1124" s="103"/>
      <c r="F1124" s="103"/>
      <c r="G1124" s="73"/>
      <c r="H1124" s="73"/>
      <c r="I1124" s="73"/>
      <c r="J1124" s="73"/>
      <c r="K1124" s="230"/>
    </row>
    <row r="1125">
      <c r="A1125" s="231"/>
      <c r="B1125" s="151"/>
      <c r="C1125" s="151"/>
      <c r="D1125" s="48" t="str">
        <f>IF(Tabla_3[COD]="","",VLOOKUP(Tabla_3[COD],'Stock inicial'!A:D,2,FALSE))</f>
        <v/>
      </c>
      <c r="E1125" s="103"/>
      <c r="F1125" s="103"/>
      <c r="G1125" s="73"/>
      <c r="H1125" s="73"/>
      <c r="I1125" s="73"/>
      <c r="J1125" s="73"/>
      <c r="K1125" s="230"/>
    </row>
    <row r="1126">
      <c r="A1126" s="231"/>
      <c r="B1126" s="103"/>
      <c r="C1126" s="103"/>
      <c r="D1126" s="22" t="str">
        <f>IF(Tabla_3[COD]="","",VLOOKUP(Tabla_3[COD],'Stock inicial'!A:D,2,FALSE))</f>
        <v/>
      </c>
      <c r="E1126" s="103"/>
      <c r="F1126" s="103"/>
      <c r="G1126" s="73"/>
      <c r="H1126" s="73"/>
      <c r="I1126" s="73"/>
      <c r="J1126" s="73"/>
      <c r="K1126" s="230"/>
    </row>
    <row r="1127">
      <c r="A1127" s="231"/>
      <c r="B1127" s="103"/>
      <c r="C1127" s="103"/>
      <c r="D1127" s="22" t="str">
        <f>IF(Tabla_3[COD]="","",VLOOKUP(Tabla_3[COD],'Stock inicial'!A:D,2,FALSE))</f>
        <v/>
      </c>
      <c r="E1127" s="103"/>
      <c r="F1127" s="103"/>
      <c r="G1127" s="73"/>
      <c r="H1127" s="73"/>
      <c r="I1127" s="73"/>
      <c r="J1127" s="73"/>
      <c r="K1127" s="230"/>
    </row>
    <row r="1128">
      <c r="A1128" s="231"/>
      <c r="B1128" s="156"/>
      <c r="C1128" s="156"/>
      <c r="D1128" s="49" t="str">
        <f>IF(Tabla_3[COD]="","",VLOOKUP(Tabla_3[COD],'Stock inicial'!A:D,2,FALSE))</f>
        <v/>
      </c>
      <c r="E1128" s="103"/>
      <c r="F1128" s="103"/>
      <c r="G1128" s="73"/>
      <c r="H1128" s="73"/>
      <c r="I1128" s="73"/>
      <c r="J1128" s="73"/>
      <c r="K1128" s="230"/>
    </row>
    <row r="1129">
      <c r="A1129" s="231"/>
      <c r="B1129" s="103"/>
      <c r="C1129" s="103"/>
      <c r="D1129" s="22" t="str">
        <f>IF(Tabla_3[COD]="","",VLOOKUP(Tabla_3[COD],'Stock inicial'!A:D,2,FALSE))</f>
        <v/>
      </c>
      <c r="E1129" s="103"/>
      <c r="F1129" s="103"/>
      <c r="G1129" s="73"/>
      <c r="H1129" s="73"/>
      <c r="I1129" s="73"/>
      <c r="J1129" s="73"/>
      <c r="K1129" s="230"/>
    </row>
    <row r="1130">
      <c r="A1130" s="231"/>
      <c r="B1130" s="103"/>
      <c r="C1130" s="103"/>
      <c r="D1130" s="22" t="str">
        <f>IF(Tabla_3[COD]="","",VLOOKUP(Tabla_3[COD],'Stock inicial'!A:D,2,FALSE))</f>
        <v/>
      </c>
      <c r="E1130" s="103"/>
      <c r="F1130" s="103"/>
      <c r="G1130" s="73"/>
      <c r="H1130" s="73"/>
      <c r="I1130" s="73"/>
      <c r="J1130" s="73"/>
      <c r="K1130" s="230"/>
    </row>
    <row r="1131">
      <c r="A1131" s="231"/>
      <c r="B1131" s="151"/>
      <c r="C1131" s="151"/>
      <c r="D1131" s="48" t="str">
        <f>IF(Tabla_3[COD]="","",VLOOKUP(Tabla_3[COD],'Stock inicial'!A:D,2,FALSE))</f>
        <v/>
      </c>
      <c r="E1131" s="103"/>
      <c r="F1131" s="103"/>
      <c r="G1131" s="73"/>
      <c r="H1131" s="73"/>
      <c r="I1131" s="73"/>
      <c r="J1131" s="73"/>
      <c r="K1131" s="230"/>
    </row>
    <row r="1132">
      <c r="A1132" s="231"/>
      <c r="B1132" s="103"/>
      <c r="C1132" s="103"/>
      <c r="D1132" s="22" t="str">
        <f>IF(Tabla_3[COD]="","",VLOOKUP(Tabla_3[COD],'Stock inicial'!A:D,2,FALSE))</f>
        <v/>
      </c>
      <c r="E1132" s="103"/>
      <c r="F1132" s="103"/>
      <c r="G1132" s="73"/>
      <c r="H1132" s="73"/>
      <c r="I1132" s="73"/>
      <c r="J1132" s="73"/>
      <c r="K1132" s="230"/>
    </row>
    <row r="1133">
      <c r="A1133" s="231"/>
      <c r="B1133" s="151"/>
      <c r="C1133" s="151"/>
      <c r="D1133" s="48" t="str">
        <f>IF(Tabla_3[COD]="","",VLOOKUP(Tabla_3[COD],'Stock inicial'!A:D,2,FALSE))</f>
        <v/>
      </c>
      <c r="E1133" s="103"/>
      <c r="F1133" s="103"/>
      <c r="G1133" s="73"/>
      <c r="H1133" s="73"/>
      <c r="I1133" s="73"/>
      <c r="J1133" s="73"/>
      <c r="K1133" s="230"/>
    </row>
    <row r="1134">
      <c r="A1134" s="231"/>
      <c r="B1134" s="103"/>
      <c r="C1134" s="103"/>
      <c r="D1134" s="22" t="str">
        <f>IF(Tabla_3[COD]="","",VLOOKUP(Tabla_3[COD],'Stock inicial'!A:D,2,FALSE))</f>
        <v/>
      </c>
      <c r="E1134" s="103"/>
      <c r="F1134" s="103"/>
      <c r="G1134" s="73"/>
      <c r="H1134" s="73"/>
      <c r="I1134" s="73"/>
      <c r="J1134" s="73"/>
      <c r="K1134" s="230"/>
    </row>
    <row r="1135">
      <c r="A1135" s="231"/>
      <c r="B1135" s="103"/>
      <c r="C1135" s="103"/>
      <c r="D1135" s="22" t="str">
        <f>IF(Tabla_3[COD]="","",VLOOKUP(Tabla_3[COD],'Stock inicial'!A:D,2,FALSE))</f>
        <v/>
      </c>
      <c r="E1135" s="103"/>
      <c r="F1135" s="103"/>
      <c r="G1135" s="73"/>
      <c r="H1135" s="73"/>
      <c r="I1135" s="73"/>
      <c r="J1135" s="73"/>
      <c r="K1135" s="230"/>
    </row>
    <row r="1136">
      <c r="A1136" s="231"/>
      <c r="B1136" s="156"/>
      <c r="C1136" s="156"/>
      <c r="D1136" s="49" t="str">
        <f>IF(Tabla_3[COD]="","",VLOOKUP(Tabla_3[COD],'Stock inicial'!A:D,2,FALSE))</f>
        <v/>
      </c>
      <c r="E1136" s="103"/>
      <c r="F1136" s="103"/>
      <c r="G1136" s="73"/>
      <c r="H1136" s="73"/>
      <c r="I1136" s="73"/>
      <c r="J1136" s="73"/>
      <c r="K1136" s="230"/>
    </row>
    <row r="1137">
      <c r="A1137" s="231"/>
      <c r="B1137" s="103"/>
      <c r="C1137" s="103"/>
      <c r="D1137" s="22" t="str">
        <f>IF(Tabla_3[COD]="","",VLOOKUP(Tabla_3[COD],'Stock inicial'!A:D,2,FALSE))</f>
        <v/>
      </c>
      <c r="E1137" s="103"/>
      <c r="F1137" s="103"/>
      <c r="G1137" s="73"/>
      <c r="H1137" s="73"/>
      <c r="I1137" s="73"/>
      <c r="J1137" s="73"/>
      <c r="K1137" s="230"/>
    </row>
    <row r="1138">
      <c r="A1138" s="231"/>
      <c r="B1138" s="103"/>
      <c r="C1138" s="103"/>
      <c r="D1138" s="22" t="str">
        <f>IF(Tabla_3[COD]="","",VLOOKUP(Tabla_3[COD],'Stock inicial'!A:D,2,FALSE))</f>
        <v/>
      </c>
      <c r="E1138" s="103"/>
      <c r="F1138" s="103"/>
      <c r="G1138" s="73"/>
      <c r="H1138" s="73"/>
      <c r="I1138" s="73"/>
      <c r="J1138" s="73"/>
      <c r="K1138" s="230"/>
    </row>
    <row r="1139">
      <c r="A1139" s="231"/>
      <c r="B1139" s="151"/>
      <c r="C1139" s="151"/>
      <c r="D1139" s="48" t="str">
        <f>IF(Tabla_3[COD]="","",VLOOKUP(Tabla_3[COD],'Stock inicial'!A:D,2,FALSE))</f>
        <v/>
      </c>
      <c r="E1139" s="103"/>
      <c r="F1139" s="103"/>
      <c r="G1139" s="73"/>
      <c r="H1139" s="73"/>
      <c r="I1139" s="73"/>
      <c r="J1139" s="73"/>
      <c r="K1139" s="230"/>
    </row>
    <row r="1140">
      <c r="A1140" s="231"/>
      <c r="B1140" s="103"/>
      <c r="C1140" s="103"/>
      <c r="D1140" s="22" t="str">
        <f>IF(Tabla_3[COD]="","",VLOOKUP(Tabla_3[COD],'Stock inicial'!A:D,2,FALSE))</f>
        <v/>
      </c>
      <c r="E1140" s="103"/>
      <c r="F1140" s="103"/>
      <c r="G1140" s="73"/>
      <c r="H1140" s="73"/>
      <c r="I1140" s="73"/>
      <c r="J1140" s="73"/>
      <c r="K1140" s="230"/>
    </row>
    <row r="1141">
      <c r="A1141" s="231"/>
      <c r="B1141" s="151"/>
      <c r="C1141" s="151"/>
      <c r="D1141" s="48" t="str">
        <f>IF(Tabla_3[COD]="","",VLOOKUP(Tabla_3[COD],'Stock inicial'!A:D,2,FALSE))</f>
        <v/>
      </c>
      <c r="E1141" s="103"/>
      <c r="F1141" s="103"/>
      <c r="G1141" s="73"/>
      <c r="H1141" s="73"/>
      <c r="I1141" s="73"/>
      <c r="J1141" s="73"/>
      <c r="K1141" s="230"/>
    </row>
    <row r="1142">
      <c r="A1142" s="231"/>
      <c r="B1142" s="103"/>
      <c r="C1142" s="103"/>
      <c r="D1142" s="22" t="str">
        <f>IF(Tabla_3[COD]="","",VLOOKUP(Tabla_3[COD],'Stock inicial'!A:D,2,FALSE))</f>
        <v/>
      </c>
      <c r="E1142" s="103"/>
      <c r="F1142" s="103"/>
      <c r="G1142" s="73"/>
      <c r="H1142" s="73"/>
      <c r="I1142" s="73"/>
      <c r="J1142" s="73"/>
      <c r="K1142" s="230"/>
    </row>
    <row r="1143">
      <c r="A1143" s="231"/>
      <c r="B1143" s="103"/>
      <c r="C1143" s="103"/>
      <c r="D1143" s="22" t="str">
        <f>IF(Tabla_3[COD]="","",VLOOKUP(Tabla_3[COD],'Stock inicial'!A:D,2,FALSE))</f>
        <v/>
      </c>
      <c r="E1143" s="103"/>
      <c r="F1143" s="103"/>
      <c r="G1143" s="73"/>
      <c r="H1143" s="73"/>
      <c r="I1143" s="73"/>
      <c r="J1143" s="73"/>
      <c r="K1143" s="230"/>
    </row>
    <row r="1144">
      <c r="A1144" s="231"/>
      <c r="B1144" s="156"/>
      <c r="C1144" s="156"/>
      <c r="D1144" s="49" t="str">
        <f>IF(Tabla_3[COD]="","",VLOOKUP(Tabla_3[COD],'Stock inicial'!A:D,2,FALSE))</f>
        <v/>
      </c>
      <c r="E1144" s="103"/>
      <c r="F1144" s="103"/>
      <c r="G1144" s="73"/>
      <c r="H1144" s="73"/>
      <c r="I1144" s="73"/>
      <c r="J1144" s="73"/>
      <c r="K1144" s="230"/>
    </row>
    <row r="1145">
      <c r="A1145" s="231"/>
      <c r="B1145" s="103"/>
      <c r="C1145" s="103"/>
      <c r="D1145" s="22" t="str">
        <f>IF(Tabla_3[COD]="","",VLOOKUP(Tabla_3[COD],'Stock inicial'!A:D,2,FALSE))</f>
        <v/>
      </c>
      <c r="E1145" s="103"/>
      <c r="F1145" s="103"/>
      <c r="G1145" s="73"/>
      <c r="H1145" s="73"/>
      <c r="I1145" s="73"/>
      <c r="J1145" s="73"/>
      <c r="K1145" s="230"/>
    </row>
    <row r="1146">
      <c r="A1146" s="231"/>
      <c r="B1146" s="103"/>
      <c r="C1146" s="103"/>
      <c r="D1146" s="22" t="str">
        <f>IF(Tabla_3[COD]="","",VLOOKUP(Tabla_3[COD],'Stock inicial'!A:D,2,FALSE))</f>
        <v/>
      </c>
      <c r="E1146" s="103"/>
      <c r="F1146" s="103"/>
      <c r="G1146" s="73"/>
      <c r="H1146" s="73"/>
      <c r="I1146" s="73"/>
      <c r="J1146" s="73"/>
      <c r="K1146" s="230"/>
    </row>
    <row r="1147">
      <c r="A1147" s="231"/>
      <c r="B1147" s="151"/>
      <c r="C1147" s="151"/>
      <c r="D1147" s="48" t="str">
        <f>IF(Tabla_3[COD]="","",VLOOKUP(Tabla_3[COD],'Stock inicial'!A:D,2,FALSE))</f>
        <v/>
      </c>
      <c r="E1147" s="103"/>
      <c r="F1147" s="103"/>
      <c r="G1147" s="73"/>
      <c r="H1147" s="73"/>
      <c r="I1147" s="73"/>
      <c r="J1147" s="73"/>
      <c r="K1147" s="230"/>
    </row>
    <row r="1148">
      <c r="A1148" s="231"/>
      <c r="B1148" s="103"/>
      <c r="C1148" s="103"/>
      <c r="D1148" s="22" t="str">
        <f>IF(Tabla_3[COD]="","",VLOOKUP(Tabla_3[COD],'Stock inicial'!A:D,2,FALSE))</f>
        <v/>
      </c>
      <c r="E1148" s="103"/>
      <c r="F1148" s="103"/>
      <c r="G1148" s="73"/>
      <c r="H1148" s="73"/>
      <c r="I1148" s="73"/>
      <c r="J1148" s="73"/>
      <c r="K1148" s="230"/>
    </row>
    <row r="1149">
      <c r="A1149" s="232"/>
      <c r="B1149" s="101"/>
      <c r="C1149" s="101"/>
      <c r="D1149" s="101"/>
      <c r="E1149" s="101"/>
      <c r="F1149" s="101"/>
      <c r="G1149" s="233"/>
      <c r="H1149" s="233"/>
      <c r="I1149" s="233"/>
      <c r="J1149" s="234"/>
      <c r="K1149" s="230"/>
    </row>
    <row r="1150">
      <c r="A1150" s="235"/>
      <c r="B1150" s="95"/>
      <c r="C1150" s="95"/>
      <c r="D1150" s="95"/>
      <c r="E1150" s="95"/>
      <c r="F1150" s="95"/>
      <c r="G1150" s="236"/>
      <c r="H1150" s="236"/>
      <c r="I1150" s="236"/>
      <c r="J1150" s="237"/>
      <c r="K1150" s="230"/>
    </row>
    <row r="1151">
      <c r="A1151" s="232"/>
      <c r="B1151" s="101"/>
      <c r="C1151" s="101"/>
      <c r="D1151" s="101"/>
      <c r="E1151" s="101"/>
      <c r="F1151" s="101"/>
      <c r="G1151" s="233"/>
      <c r="H1151" s="233"/>
      <c r="I1151" s="233"/>
      <c r="J1151" s="234"/>
      <c r="K1151" s="230"/>
    </row>
    <row r="1152">
      <c r="A1152" s="235"/>
      <c r="B1152" s="95"/>
      <c r="C1152" s="95"/>
      <c r="D1152" s="95"/>
      <c r="E1152" s="95"/>
      <c r="F1152" s="95"/>
      <c r="G1152" s="236"/>
      <c r="H1152" s="236"/>
      <c r="I1152" s="236"/>
      <c r="J1152" s="237"/>
      <c r="K1152" s="230"/>
    </row>
    <row r="1153">
      <c r="A1153" s="232"/>
      <c r="B1153" s="101"/>
      <c r="C1153" s="101"/>
      <c r="D1153" s="101"/>
      <c r="E1153" s="101"/>
      <c r="F1153" s="101"/>
      <c r="G1153" s="233"/>
      <c r="H1153" s="233"/>
      <c r="I1153" s="233"/>
      <c r="J1153" s="234"/>
      <c r="K1153" s="230"/>
    </row>
    <row r="1154">
      <c r="A1154" s="235"/>
      <c r="B1154" s="95"/>
      <c r="C1154" s="95"/>
      <c r="D1154" s="95"/>
      <c r="E1154" s="95"/>
      <c r="F1154" s="95"/>
      <c r="G1154" s="236"/>
      <c r="H1154" s="236"/>
      <c r="I1154" s="236"/>
      <c r="J1154" s="237"/>
      <c r="K1154" s="230"/>
    </row>
    <row r="1155">
      <c r="A1155" s="232"/>
      <c r="B1155" s="101"/>
      <c r="C1155" s="101"/>
      <c r="D1155" s="101"/>
      <c r="E1155" s="101"/>
      <c r="F1155" s="101"/>
      <c r="G1155" s="233"/>
      <c r="H1155" s="233"/>
      <c r="I1155" s="233"/>
      <c r="J1155" s="234"/>
      <c r="K1155" s="230"/>
    </row>
    <row r="1156">
      <c r="A1156" s="235"/>
      <c r="B1156" s="95"/>
      <c r="C1156" s="95"/>
      <c r="D1156" s="95"/>
      <c r="E1156" s="95"/>
      <c r="F1156" s="95"/>
      <c r="G1156" s="236"/>
      <c r="H1156" s="236"/>
      <c r="I1156" s="236"/>
      <c r="J1156" s="237"/>
      <c r="K1156" s="230"/>
    </row>
    <row r="1157">
      <c r="A1157" s="232"/>
      <c r="B1157" s="101"/>
      <c r="C1157" s="101"/>
      <c r="D1157" s="101"/>
      <c r="E1157" s="101"/>
      <c r="F1157" s="101"/>
      <c r="G1157" s="233"/>
      <c r="H1157" s="233"/>
      <c r="I1157" s="233"/>
      <c r="J1157" s="234"/>
      <c r="K1157" s="230"/>
    </row>
    <row r="1158">
      <c r="A1158" s="235"/>
      <c r="B1158" s="95"/>
      <c r="C1158" s="95"/>
      <c r="D1158" s="95"/>
      <c r="E1158" s="95"/>
      <c r="F1158" s="95"/>
      <c r="G1158" s="236"/>
      <c r="H1158" s="236"/>
      <c r="I1158" s="236"/>
      <c r="J1158" s="237"/>
      <c r="K1158" s="230"/>
    </row>
    <row r="1159">
      <c r="A1159" s="232"/>
      <c r="B1159" s="101"/>
      <c r="C1159" s="101"/>
      <c r="D1159" s="101"/>
      <c r="E1159" s="101"/>
      <c r="F1159" s="101"/>
      <c r="G1159" s="233"/>
      <c r="H1159" s="233"/>
      <c r="I1159" s="233"/>
      <c r="J1159" s="234"/>
      <c r="K1159" s="230"/>
    </row>
    <row r="1160">
      <c r="A1160" s="235"/>
      <c r="B1160" s="95"/>
      <c r="C1160" s="95"/>
      <c r="D1160" s="95"/>
      <c r="E1160" s="95"/>
      <c r="F1160" s="95"/>
      <c r="G1160" s="236"/>
      <c r="H1160" s="236"/>
      <c r="I1160" s="236"/>
      <c r="J1160" s="237"/>
      <c r="K1160" s="230"/>
    </row>
    <row r="1161">
      <c r="A1161" s="232"/>
      <c r="B1161" s="101"/>
      <c r="C1161" s="101"/>
      <c r="D1161" s="101"/>
      <c r="E1161" s="101"/>
      <c r="F1161" s="101"/>
      <c r="G1161" s="233"/>
      <c r="H1161" s="233"/>
      <c r="I1161" s="233"/>
      <c r="J1161" s="234"/>
      <c r="K1161" s="230"/>
    </row>
    <row r="1162">
      <c r="A1162" s="235"/>
      <c r="B1162" s="95"/>
      <c r="C1162" s="95"/>
      <c r="D1162" s="95"/>
      <c r="E1162" s="95"/>
      <c r="F1162" s="95"/>
      <c r="G1162" s="236"/>
      <c r="H1162" s="236"/>
      <c r="I1162" s="236"/>
      <c r="J1162" s="237"/>
      <c r="K1162" s="230"/>
    </row>
    <row r="1163">
      <c r="A1163" s="232"/>
      <c r="B1163" s="101"/>
      <c r="C1163" s="101"/>
      <c r="D1163" s="101"/>
      <c r="E1163" s="101"/>
      <c r="F1163" s="101"/>
      <c r="G1163" s="233"/>
      <c r="H1163" s="233"/>
      <c r="I1163" s="233"/>
      <c r="J1163" s="234"/>
      <c r="K1163" s="230"/>
    </row>
    <row r="1164">
      <c r="A1164" s="235"/>
      <c r="B1164" s="95"/>
      <c r="C1164" s="95"/>
      <c r="D1164" s="95"/>
      <c r="E1164" s="95"/>
      <c r="F1164" s="95"/>
      <c r="G1164" s="236"/>
      <c r="H1164" s="236"/>
      <c r="I1164" s="236"/>
      <c r="J1164" s="237"/>
      <c r="K1164" s="230"/>
    </row>
    <row r="1165">
      <c r="A1165" s="232"/>
      <c r="B1165" s="101"/>
      <c r="C1165" s="101"/>
      <c r="D1165" s="101"/>
      <c r="E1165" s="101"/>
      <c r="F1165" s="101"/>
      <c r="G1165" s="233"/>
      <c r="H1165" s="233"/>
      <c r="I1165" s="233"/>
      <c r="J1165" s="234"/>
      <c r="K1165" s="230"/>
    </row>
    <row r="1166">
      <c r="A1166" s="235"/>
      <c r="B1166" s="95"/>
      <c r="C1166" s="95"/>
      <c r="D1166" s="95"/>
      <c r="E1166" s="95"/>
      <c r="F1166" s="95"/>
      <c r="G1166" s="236"/>
      <c r="H1166" s="236"/>
      <c r="I1166" s="236"/>
      <c r="J1166" s="237"/>
      <c r="K1166" s="230"/>
    </row>
    <row r="1167">
      <c r="A1167" s="232"/>
      <c r="B1167" s="101"/>
      <c r="C1167" s="101"/>
      <c r="D1167" s="101"/>
      <c r="E1167" s="101"/>
      <c r="F1167" s="101"/>
      <c r="G1167" s="233"/>
      <c r="H1167" s="233"/>
      <c r="I1167" s="233"/>
      <c r="J1167" s="234"/>
      <c r="K1167" s="230"/>
    </row>
    <row r="1168">
      <c r="A1168" s="235"/>
      <c r="B1168" s="95"/>
      <c r="C1168" s="95"/>
      <c r="D1168" s="95"/>
      <c r="E1168" s="95"/>
      <c r="F1168" s="95"/>
      <c r="G1168" s="236"/>
      <c r="H1168" s="236"/>
      <c r="I1168" s="236"/>
      <c r="J1168" s="237"/>
      <c r="K1168" s="230"/>
    </row>
    <row r="1169">
      <c r="A1169" s="232"/>
      <c r="B1169" s="101"/>
      <c r="C1169" s="101"/>
      <c r="D1169" s="101"/>
      <c r="E1169" s="101"/>
      <c r="F1169" s="101"/>
      <c r="G1169" s="233"/>
      <c r="H1169" s="233"/>
      <c r="I1169" s="233"/>
      <c r="J1169" s="234"/>
      <c r="K1169" s="230"/>
    </row>
    <row r="1170">
      <c r="A1170" s="235"/>
      <c r="B1170" s="95"/>
      <c r="C1170" s="95"/>
      <c r="D1170" s="95"/>
      <c r="E1170" s="95"/>
      <c r="F1170" s="95"/>
      <c r="G1170" s="236"/>
      <c r="H1170" s="236"/>
      <c r="I1170" s="236"/>
      <c r="J1170" s="237"/>
      <c r="K1170" s="230"/>
    </row>
    <row r="1171">
      <c r="A1171" s="232"/>
      <c r="B1171" s="101"/>
      <c r="C1171" s="101"/>
      <c r="D1171" s="101"/>
      <c r="E1171" s="101"/>
      <c r="F1171" s="101"/>
      <c r="G1171" s="233"/>
      <c r="H1171" s="233"/>
      <c r="I1171" s="233"/>
      <c r="J1171" s="234"/>
      <c r="K1171" s="230"/>
    </row>
    <row r="1172">
      <c r="A1172" s="235"/>
      <c r="B1172" s="95"/>
      <c r="C1172" s="95"/>
      <c r="D1172" s="95"/>
      <c r="E1172" s="95"/>
      <c r="F1172" s="95"/>
      <c r="G1172" s="236"/>
      <c r="H1172" s="236"/>
      <c r="I1172" s="236"/>
      <c r="J1172" s="237"/>
      <c r="K1172" s="230"/>
    </row>
    <row r="1173">
      <c r="A1173" s="232"/>
      <c r="B1173" s="101"/>
      <c r="C1173" s="101"/>
      <c r="D1173" s="101"/>
      <c r="E1173" s="101"/>
      <c r="F1173" s="101"/>
      <c r="G1173" s="233"/>
      <c r="H1173" s="233"/>
      <c r="I1173" s="233"/>
      <c r="J1173" s="234"/>
      <c r="K1173" s="230"/>
    </row>
    <row r="1174">
      <c r="A1174" s="235"/>
      <c r="B1174" s="95"/>
      <c r="C1174" s="95"/>
      <c r="D1174" s="95"/>
      <c r="E1174" s="95"/>
      <c r="F1174" s="95"/>
      <c r="G1174" s="236"/>
      <c r="H1174" s="236"/>
      <c r="I1174" s="236"/>
      <c r="J1174" s="237"/>
      <c r="K1174" s="230"/>
    </row>
    <row r="1175">
      <c r="A1175" s="232"/>
      <c r="B1175" s="101"/>
      <c r="C1175" s="101"/>
      <c r="D1175" s="101"/>
      <c r="E1175" s="101"/>
      <c r="F1175" s="101"/>
      <c r="G1175" s="233"/>
      <c r="H1175" s="233"/>
      <c r="I1175" s="233"/>
      <c r="J1175" s="234"/>
      <c r="K1175" s="230"/>
    </row>
    <row r="1176">
      <c r="A1176" s="235"/>
      <c r="B1176" s="95"/>
      <c r="C1176" s="95"/>
      <c r="D1176" s="95"/>
      <c r="E1176" s="95"/>
      <c r="F1176" s="95"/>
      <c r="G1176" s="236"/>
      <c r="H1176" s="236"/>
      <c r="I1176" s="236"/>
      <c r="J1176" s="237"/>
      <c r="K1176" s="230"/>
    </row>
    <row r="1177">
      <c r="A1177" s="232"/>
      <c r="B1177" s="101"/>
      <c r="C1177" s="101"/>
      <c r="D1177" s="101"/>
      <c r="E1177" s="101"/>
      <c r="F1177" s="101"/>
      <c r="G1177" s="233"/>
      <c r="H1177" s="233"/>
      <c r="I1177" s="233"/>
      <c r="J1177" s="234"/>
      <c r="K1177" s="230"/>
    </row>
    <row r="1178">
      <c r="A1178" s="235"/>
      <c r="B1178" s="95"/>
      <c r="C1178" s="95"/>
      <c r="D1178" s="95"/>
      <c r="E1178" s="95"/>
      <c r="F1178" s="95"/>
      <c r="G1178" s="236"/>
      <c r="H1178" s="236"/>
      <c r="I1178" s="236"/>
      <c r="J1178" s="237"/>
      <c r="K1178" s="230"/>
    </row>
    <row r="1179">
      <c r="A1179" s="232"/>
      <c r="B1179" s="101"/>
      <c r="C1179" s="101"/>
      <c r="D1179" s="101"/>
      <c r="E1179" s="101"/>
      <c r="F1179" s="101"/>
      <c r="G1179" s="233"/>
      <c r="H1179" s="233"/>
      <c r="I1179" s="233"/>
      <c r="J1179" s="234"/>
      <c r="K1179" s="230"/>
    </row>
    <row r="1180">
      <c r="A1180" s="235"/>
      <c r="B1180" s="95"/>
      <c r="C1180" s="95"/>
      <c r="D1180" s="95"/>
      <c r="E1180" s="95"/>
      <c r="F1180" s="95"/>
      <c r="G1180" s="236"/>
      <c r="H1180" s="236"/>
      <c r="I1180" s="236"/>
      <c r="J1180" s="237"/>
      <c r="K1180" s="230"/>
    </row>
    <row r="1181">
      <c r="A1181" s="232"/>
      <c r="B1181" s="101"/>
      <c r="C1181" s="101"/>
      <c r="D1181" s="101"/>
      <c r="E1181" s="101"/>
      <c r="F1181" s="101"/>
      <c r="G1181" s="233"/>
      <c r="H1181" s="233"/>
      <c r="I1181" s="233"/>
      <c r="J1181" s="234"/>
      <c r="K1181" s="230"/>
    </row>
    <row r="1182">
      <c r="A1182" s="235"/>
      <c r="B1182" s="95"/>
      <c r="C1182" s="95"/>
      <c r="D1182" s="95"/>
      <c r="E1182" s="95"/>
      <c r="F1182" s="95"/>
      <c r="G1182" s="236"/>
      <c r="H1182" s="236"/>
      <c r="I1182" s="236"/>
      <c r="J1182" s="237"/>
      <c r="K1182" s="230"/>
    </row>
    <row r="1183">
      <c r="A1183" s="232"/>
      <c r="B1183" s="101"/>
      <c r="C1183" s="101"/>
      <c r="D1183" s="101"/>
      <c r="E1183" s="101"/>
      <c r="F1183" s="101"/>
      <c r="G1183" s="233"/>
      <c r="H1183" s="233"/>
      <c r="I1183" s="233"/>
      <c r="J1183" s="234"/>
      <c r="K1183" s="230"/>
    </row>
    <row r="1184">
      <c r="A1184" s="235"/>
      <c r="B1184" s="95"/>
      <c r="C1184" s="95"/>
      <c r="D1184" s="95"/>
      <c r="E1184" s="95"/>
      <c r="F1184" s="95"/>
      <c r="G1184" s="236"/>
      <c r="H1184" s="236"/>
      <c r="I1184" s="236"/>
      <c r="J1184" s="237"/>
      <c r="K1184" s="230"/>
    </row>
    <row r="1185">
      <c r="A1185" s="232"/>
      <c r="B1185" s="101"/>
      <c r="C1185" s="101"/>
      <c r="D1185" s="101"/>
      <c r="E1185" s="101"/>
      <c r="F1185" s="101"/>
      <c r="G1185" s="233"/>
      <c r="H1185" s="233"/>
      <c r="I1185" s="233"/>
      <c r="J1185" s="234"/>
      <c r="K1185" s="230"/>
    </row>
    <row r="1186">
      <c r="A1186" s="235"/>
      <c r="B1186" s="95"/>
      <c r="C1186" s="95"/>
      <c r="D1186" s="95"/>
      <c r="E1186" s="95"/>
      <c r="F1186" s="95"/>
      <c r="G1186" s="236"/>
      <c r="H1186" s="236"/>
      <c r="I1186" s="236"/>
      <c r="J1186" s="237"/>
      <c r="K1186" s="230"/>
    </row>
    <row r="1187">
      <c r="A1187" s="232"/>
      <c r="B1187" s="101"/>
      <c r="C1187" s="101"/>
      <c r="D1187" s="101"/>
      <c r="E1187" s="101"/>
      <c r="F1187" s="101"/>
      <c r="G1187" s="233"/>
      <c r="H1187" s="233"/>
      <c r="I1187" s="233"/>
      <c r="J1187" s="234"/>
      <c r="K1187" s="230"/>
    </row>
    <row r="1188">
      <c r="A1188" s="235"/>
      <c r="B1188" s="95"/>
      <c r="C1188" s="95"/>
      <c r="D1188" s="95"/>
      <c r="E1188" s="95"/>
      <c r="F1188" s="95"/>
      <c r="G1188" s="236"/>
      <c r="H1188" s="236"/>
      <c r="I1188" s="236"/>
      <c r="J1188" s="237"/>
      <c r="K1188" s="230"/>
    </row>
    <row r="1189">
      <c r="A1189" s="232"/>
      <c r="B1189" s="101"/>
      <c r="C1189" s="101"/>
      <c r="D1189" s="101"/>
      <c r="E1189" s="101"/>
      <c r="F1189" s="101"/>
      <c r="G1189" s="233"/>
      <c r="H1189" s="233"/>
      <c r="I1189" s="233"/>
      <c r="J1189" s="234"/>
      <c r="K1189" s="230"/>
    </row>
    <row r="1190">
      <c r="A1190" s="235"/>
      <c r="B1190" s="95"/>
      <c r="C1190" s="95"/>
      <c r="D1190" s="95"/>
      <c r="E1190" s="95"/>
      <c r="F1190" s="95"/>
      <c r="G1190" s="236"/>
      <c r="H1190" s="236"/>
      <c r="I1190" s="236"/>
      <c r="J1190" s="237"/>
      <c r="K1190" s="230"/>
    </row>
    <row r="1191">
      <c r="A1191" s="232"/>
      <c r="B1191" s="101"/>
      <c r="C1191" s="101"/>
      <c r="D1191" s="101"/>
      <c r="E1191" s="101"/>
      <c r="F1191" s="101"/>
      <c r="G1191" s="233"/>
      <c r="H1191" s="233"/>
      <c r="I1191" s="233"/>
      <c r="J1191" s="234"/>
      <c r="K1191" s="230"/>
    </row>
    <row r="1192">
      <c r="A1192" s="235"/>
      <c r="B1192" s="95"/>
      <c r="C1192" s="95"/>
      <c r="D1192" s="95"/>
      <c r="E1192" s="95"/>
      <c r="F1192" s="95"/>
      <c r="G1192" s="236"/>
      <c r="H1192" s="236"/>
      <c r="I1192" s="236"/>
      <c r="J1192" s="237"/>
      <c r="K1192" s="230"/>
    </row>
    <row r="1193">
      <c r="A1193" s="232"/>
      <c r="B1193" s="101"/>
      <c r="C1193" s="101"/>
      <c r="D1193" s="101"/>
      <c r="E1193" s="101"/>
      <c r="F1193" s="101"/>
      <c r="G1193" s="233"/>
      <c r="H1193" s="233"/>
      <c r="I1193" s="233"/>
      <c r="J1193" s="234"/>
      <c r="K1193" s="230"/>
    </row>
    <row r="1194">
      <c r="A1194" s="235"/>
      <c r="B1194" s="95"/>
      <c r="C1194" s="95"/>
      <c r="D1194" s="95"/>
      <c r="E1194" s="95"/>
      <c r="F1194" s="95"/>
      <c r="G1194" s="236"/>
      <c r="H1194" s="236"/>
      <c r="I1194" s="236"/>
      <c r="J1194" s="237"/>
      <c r="K1194" s="230"/>
    </row>
    <row r="1195">
      <c r="A1195" s="232"/>
      <c r="B1195" s="101"/>
      <c r="C1195" s="101"/>
      <c r="D1195" s="101"/>
      <c r="E1195" s="101"/>
      <c r="F1195" s="101"/>
      <c r="G1195" s="233"/>
      <c r="H1195" s="233"/>
      <c r="I1195" s="233"/>
      <c r="J1195" s="234"/>
      <c r="K1195" s="230"/>
    </row>
    <row r="1196">
      <c r="A1196" s="235"/>
      <c r="B1196" s="95"/>
      <c r="C1196" s="95"/>
      <c r="D1196" s="95"/>
      <c r="E1196" s="95"/>
      <c r="F1196" s="95"/>
      <c r="G1196" s="236"/>
      <c r="H1196" s="236"/>
      <c r="I1196" s="236"/>
      <c r="J1196" s="237"/>
      <c r="K1196" s="230"/>
    </row>
    <row r="1197">
      <c r="A1197" s="232"/>
      <c r="B1197" s="101"/>
      <c r="C1197" s="101"/>
      <c r="D1197" s="101"/>
      <c r="E1197" s="101"/>
      <c r="F1197" s="101"/>
      <c r="G1197" s="233"/>
      <c r="H1197" s="233"/>
      <c r="I1197" s="233"/>
      <c r="J1197" s="234"/>
      <c r="K1197" s="230"/>
    </row>
    <row r="1198">
      <c r="A1198" s="235"/>
      <c r="B1198" s="95"/>
      <c r="C1198" s="95"/>
      <c r="D1198" s="95"/>
      <c r="E1198" s="95"/>
      <c r="F1198" s="95"/>
      <c r="G1198" s="236"/>
      <c r="H1198" s="236"/>
      <c r="I1198" s="236"/>
      <c r="J1198" s="237"/>
      <c r="K1198" s="230"/>
    </row>
    <row r="1199">
      <c r="A1199" s="232"/>
      <c r="B1199" s="101"/>
      <c r="C1199" s="101"/>
      <c r="D1199" s="101"/>
      <c r="E1199" s="101"/>
      <c r="F1199" s="101"/>
      <c r="G1199" s="233"/>
      <c r="H1199" s="233"/>
      <c r="I1199" s="233"/>
      <c r="J1199" s="234"/>
      <c r="K1199" s="230"/>
    </row>
    <row r="1200">
      <c r="A1200" s="235"/>
      <c r="B1200" s="95"/>
      <c r="C1200" s="95"/>
      <c r="D1200" s="95"/>
      <c r="E1200" s="95"/>
      <c r="F1200" s="95"/>
      <c r="G1200" s="236"/>
      <c r="H1200" s="236"/>
      <c r="I1200" s="236"/>
      <c r="J1200" s="237"/>
      <c r="K1200" s="230"/>
    </row>
    <row r="1201">
      <c r="A1201" s="232"/>
      <c r="B1201" s="101"/>
      <c r="C1201" s="101"/>
      <c r="D1201" s="101"/>
      <c r="E1201" s="101"/>
      <c r="F1201" s="101"/>
      <c r="G1201" s="233"/>
      <c r="H1201" s="233"/>
      <c r="I1201" s="233"/>
      <c r="J1201" s="234"/>
      <c r="K1201" s="230"/>
    </row>
    <row r="1202">
      <c r="A1202" s="235"/>
      <c r="B1202" s="95"/>
      <c r="C1202" s="95"/>
      <c r="D1202" s="95"/>
      <c r="E1202" s="95"/>
      <c r="F1202" s="95"/>
      <c r="G1202" s="236"/>
      <c r="H1202" s="236"/>
      <c r="I1202" s="236"/>
      <c r="J1202" s="237"/>
      <c r="K1202" s="230"/>
    </row>
    <row r="1203">
      <c r="A1203" s="232"/>
      <c r="B1203" s="101"/>
      <c r="C1203" s="101"/>
      <c r="D1203" s="101"/>
      <c r="E1203" s="101"/>
      <c r="F1203" s="101"/>
      <c r="G1203" s="233"/>
      <c r="H1203" s="233"/>
      <c r="I1203" s="233"/>
      <c r="J1203" s="234"/>
      <c r="K1203" s="230"/>
    </row>
    <row r="1204">
      <c r="A1204" s="235"/>
      <c r="B1204" s="95"/>
      <c r="C1204" s="95"/>
      <c r="D1204" s="95"/>
      <c r="E1204" s="95"/>
      <c r="F1204" s="95"/>
      <c r="G1204" s="236"/>
      <c r="H1204" s="236"/>
      <c r="I1204" s="236"/>
      <c r="J1204" s="237"/>
      <c r="K1204" s="230"/>
    </row>
    <row r="1205">
      <c r="A1205" s="232"/>
      <c r="B1205" s="101"/>
      <c r="C1205" s="101"/>
      <c r="D1205" s="101"/>
      <c r="E1205" s="101"/>
      <c r="F1205" s="101"/>
      <c r="G1205" s="233"/>
      <c r="H1205" s="233"/>
      <c r="I1205" s="233"/>
      <c r="J1205" s="234"/>
      <c r="K1205" s="230"/>
    </row>
    <row r="1206">
      <c r="A1206" s="235"/>
      <c r="B1206" s="95"/>
      <c r="C1206" s="95"/>
      <c r="D1206" s="95"/>
      <c r="E1206" s="95"/>
      <c r="F1206" s="95"/>
      <c r="G1206" s="236"/>
      <c r="H1206" s="236"/>
      <c r="I1206" s="236"/>
      <c r="J1206" s="237"/>
      <c r="K1206" s="230"/>
    </row>
    <row r="1207">
      <c r="A1207" s="232"/>
      <c r="B1207" s="101"/>
      <c r="C1207" s="101"/>
      <c r="D1207" s="101"/>
      <c r="E1207" s="101"/>
      <c r="F1207" s="101"/>
      <c r="G1207" s="233"/>
      <c r="H1207" s="233"/>
      <c r="I1207" s="233"/>
      <c r="J1207" s="234"/>
      <c r="K1207" s="230"/>
    </row>
    <row r="1208">
      <c r="A1208" s="235"/>
      <c r="B1208" s="95"/>
      <c r="C1208" s="95"/>
      <c r="D1208" s="95"/>
      <c r="E1208" s="95"/>
      <c r="F1208" s="95"/>
      <c r="G1208" s="236"/>
      <c r="H1208" s="236"/>
      <c r="I1208" s="236"/>
      <c r="J1208" s="237"/>
      <c r="K1208" s="230"/>
    </row>
    <row r="1209">
      <c r="A1209" s="232"/>
      <c r="B1209" s="101"/>
      <c r="C1209" s="101"/>
      <c r="D1209" s="101"/>
      <c r="E1209" s="101"/>
      <c r="F1209" s="101"/>
      <c r="G1209" s="233"/>
      <c r="H1209" s="233"/>
      <c r="I1209" s="233"/>
      <c r="J1209" s="234"/>
      <c r="K1209" s="230"/>
    </row>
    <row r="1210">
      <c r="A1210" s="235"/>
      <c r="B1210" s="95"/>
      <c r="C1210" s="95"/>
      <c r="D1210" s="95"/>
      <c r="E1210" s="95"/>
      <c r="F1210" s="95"/>
      <c r="G1210" s="236"/>
      <c r="H1210" s="236"/>
      <c r="I1210" s="236"/>
      <c r="J1210" s="237"/>
      <c r="K1210" s="230"/>
    </row>
    <row r="1211">
      <c r="A1211" s="232"/>
      <c r="B1211" s="101"/>
      <c r="C1211" s="101"/>
      <c r="D1211" s="101"/>
      <c r="E1211" s="101"/>
      <c r="F1211" s="101"/>
      <c r="G1211" s="233"/>
      <c r="H1211" s="233"/>
      <c r="I1211" s="233"/>
      <c r="J1211" s="234"/>
      <c r="K1211" s="230"/>
    </row>
    <row r="1212">
      <c r="A1212" s="235"/>
      <c r="B1212" s="95"/>
      <c r="C1212" s="95"/>
      <c r="D1212" s="95"/>
      <c r="E1212" s="95"/>
      <c r="F1212" s="95"/>
      <c r="G1212" s="236"/>
      <c r="H1212" s="236"/>
      <c r="I1212" s="236"/>
      <c r="J1212" s="237"/>
      <c r="K1212" s="230"/>
    </row>
    <row r="1213">
      <c r="A1213" s="232"/>
      <c r="B1213" s="101"/>
      <c r="C1213" s="101"/>
      <c r="D1213" s="101"/>
      <c r="E1213" s="101"/>
      <c r="F1213" s="101"/>
      <c r="G1213" s="233"/>
      <c r="H1213" s="233"/>
      <c r="I1213" s="233"/>
      <c r="J1213" s="234"/>
      <c r="K1213" s="230"/>
    </row>
    <row r="1214">
      <c r="A1214" s="235"/>
      <c r="B1214" s="95"/>
      <c r="C1214" s="95"/>
      <c r="D1214" s="95"/>
      <c r="E1214" s="95"/>
      <c r="F1214" s="95"/>
      <c r="G1214" s="236"/>
      <c r="H1214" s="236"/>
      <c r="I1214" s="236"/>
      <c r="J1214" s="237"/>
      <c r="K1214" s="230"/>
    </row>
    <row r="1215">
      <c r="A1215" s="232"/>
      <c r="B1215" s="101"/>
      <c r="C1215" s="101"/>
      <c r="D1215" s="101"/>
      <c r="E1215" s="101"/>
      <c r="F1215" s="101"/>
      <c r="G1215" s="233"/>
      <c r="H1215" s="233"/>
      <c r="I1215" s="233"/>
      <c r="J1215" s="234"/>
      <c r="K1215" s="230"/>
    </row>
    <row r="1216">
      <c r="A1216" s="235"/>
      <c r="B1216" s="95"/>
      <c r="C1216" s="95"/>
      <c r="D1216" s="95"/>
      <c r="E1216" s="95"/>
      <c r="F1216" s="95"/>
      <c r="G1216" s="236"/>
      <c r="H1216" s="236"/>
      <c r="I1216" s="236"/>
      <c r="J1216" s="237"/>
      <c r="K1216" s="230"/>
    </row>
    <row r="1217">
      <c r="A1217" s="232"/>
      <c r="B1217" s="101"/>
      <c r="C1217" s="101"/>
      <c r="D1217" s="101"/>
      <c r="E1217" s="101"/>
      <c r="F1217" s="101"/>
      <c r="G1217" s="233"/>
      <c r="H1217" s="233"/>
      <c r="I1217" s="233"/>
      <c r="J1217" s="234"/>
      <c r="K1217" s="230"/>
    </row>
    <row r="1218">
      <c r="A1218" s="235"/>
      <c r="B1218" s="95"/>
      <c r="C1218" s="95"/>
      <c r="D1218" s="95"/>
      <c r="E1218" s="95"/>
      <c r="F1218" s="95"/>
      <c r="G1218" s="236"/>
      <c r="H1218" s="236"/>
      <c r="I1218" s="236"/>
      <c r="J1218" s="237"/>
      <c r="K1218" s="230"/>
    </row>
    <row r="1219">
      <c r="A1219" s="232"/>
      <c r="B1219" s="101"/>
      <c r="C1219" s="101"/>
      <c r="D1219" s="101"/>
      <c r="E1219" s="101"/>
      <c r="F1219" s="101"/>
      <c r="G1219" s="233"/>
      <c r="H1219" s="233"/>
      <c r="I1219" s="233"/>
      <c r="J1219" s="234"/>
      <c r="K1219" s="230"/>
    </row>
    <row r="1220">
      <c r="A1220" s="235"/>
      <c r="B1220" s="95"/>
      <c r="C1220" s="95"/>
      <c r="D1220" s="95"/>
      <c r="E1220" s="95"/>
      <c r="F1220" s="95"/>
      <c r="G1220" s="236"/>
      <c r="H1220" s="236"/>
      <c r="I1220" s="236"/>
      <c r="J1220" s="237"/>
      <c r="K1220" s="230"/>
    </row>
    <row r="1221">
      <c r="A1221" s="232"/>
      <c r="B1221" s="101"/>
      <c r="C1221" s="101"/>
      <c r="D1221" s="101"/>
      <c r="E1221" s="101"/>
      <c r="F1221" s="101"/>
      <c r="G1221" s="233"/>
      <c r="H1221" s="233"/>
      <c r="I1221" s="233"/>
      <c r="J1221" s="234"/>
      <c r="K1221" s="230"/>
    </row>
    <row r="1222">
      <c r="A1222" s="235"/>
      <c r="B1222" s="95"/>
      <c r="C1222" s="95"/>
      <c r="D1222" s="95"/>
      <c r="E1222" s="95"/>
      <c r="F1222" s="95"/>
      <c r="G1222" s="236"/>
      <c r="H1222" s="236"/>
      <c r="I1222" s="236"/>
      <c r="J1222" s="237"/>
      <c r="K1222" s="230"/>
    </row>
    <row r="1223">
      <c r="A1223" s="232"/>
      <c r="B1223" s="101"/>
      <c r="C1223" s="101"/>
      <c r="D1223" s="101"/>
      <c r="E1223" s="101"/>
      <c r="F1223" s="101"/>
      <c r="G1223" s="233"/>
      <c r="H1223" s="233"/>
      <c r="I1223" s="233"/>
      <c r="J1223" s="234"/>
      <c r="K1223" s="230"/>
    </row>
    <row r="1224">
      <c r="A1224" s="235"/>
      <c r="B1224" s="95"/>
      <c r="C1224" s="95"/>
      <c r="D1224" s="95"/>
      <c r="E1224" s="95"/>
      <c r="F1224" s="95"/>
      <c r="G1224" s="236"/>
      <c r="H1224" s="236"/>
      <c r="I1224" s="236"/>
      <c r="J1224" s="237"/>
      <c r="K1224" s="230"/>
    </row>
    <row r="1225">
      <c r="A1225" s="232"/>
      <c r="B1225" s="101"/>
      <c r="C1225" s="101"/>
      <c r="D1225" s="101"/>
      <c r="E1225" s="101"/>
      <c r="F1225" s="101"/>
      <c r="G1225" s="233"/>
      <c r="H1225" s="233"/>
      <c r="I1225" s="233"/>
      <c r="J1225" s="234"/>
      <c r="K1225" s="230"/>
    </row>
    <row r="1226">
      <c r="A1226" s="235"/>
      <c r="B1226" s="95"/>
      <c r="C1226" s="95"/>
      <c r="D1226" s="95"/>
      <c r="E1226" s="95"/>
      <c r="F1226" s="95"/>
      <c r="G1226" s="236"/>
      <c r="H1226" s="236"/>
      <c r="I1226" s="236"/>
      <c r="J1226" s="237"/>
      <c r="K1226" s="230"/>
    </row>
    <row r="1227">
      <c r="A1227" s="232"/>
      <c r="B1227" s="101"/>
      <c r="C1227" s="101"/>
      <c r="D1227" s="101"/>
      <c r="E1227" s="101"/>
      <c r="F1227" s="101"/>
      <c r="G1227" s="233"/>
      <c r="H1227" s="233"/>
      <c r="I1227" s="233"/>
      <c r="J1227" s="234"/>
      <c r="K1227" s="230"/>
    </row>
    <row r="1228">
      <c r="A1228" s="235"/>
      <c r="B1228" s="95"/>
      <c r="C1228" s="95"/>
      <c r="D1228" s="95"/>
      <c r="E1228" s="95"/>
      <c r="F1228" s="95"/>
      <c r="G1228" s="236"/>
      <c r="H1228" s="236"/>
      <c r="I1228" s="236"/>
      <c r="J1228" s="237"/>
      <c r="K1228" s="230"/>
    </row>
    <row r="1229">
      <c r="A1229" s="232"/>
      <c r="B1229" s="101"/>
      <c r="C1229" s="101"/>
      <c r="D1229" s="101"/>
      <c r="E1229" s="101"/>
      <c r="F1229" s="101"/>
      <c r="G1229" s="233"/>
      <c r="H1229" s="233"/>
      <c r="I1229" s="233"/>
      <c r="J1229" s="234"/>
      <c r="K1229" s="230"/>
    </row>
    <row r="1230">
      <c r="A1230" s="235"/>
      <c r="B1230" s="95"/>
      <c r="C1230" s="95"/>
      <c r="D1230" s="95"/>
      <c r="E1230" s="95"/>
      <c r="F1230" s="95"/>
      <c r="G1230" s="236"/>
      <c r="H1230" s="236"/>
      <c r="I1230" s="236"/>
      <c r="J1230" s="237"/>
      <c r="K1230" s="230"/>
    </row>
    <row r="1231">
      <c r="A1231" s="232"/>
      <c r="B1231" s="101"/>
      <c r="C1231" s="101"/>
      <c r="D1231" s="101"/>
      <c r="E1231" s="101"/>
      <c r="F1231" s="101"/>
      <c r="G1231" s="233"/>
      <c r="H1231" s="233"/>
      <c r="I1231" s="233"/>
      <c r="J1231" s="234"/>
      <c r="K1231" s="230"/>
    </row>
    <row r="1232">
      <c r="A1232" s="235"/>
      <c r="B1232" s="95"/>
      <c r="C1232" s="95"/>
      <c r="D1232" s="95"/>
      <c r="E1232" s="95"/>
      <c r="F1232" s="95"/>
      <c r="G1232" s="236"/>
      <c r="H1232" s="236"/>
      <c r="I1232" s="236"/>
      <c r="J1232" s="237"/>
      <c r="K1232" s="230"/>
    </row>
    <row r="1233">
      <c r="A1233" s="232"/>
      <c r="B1233" s="101"/>
      <c r="C1233" s="101"/>
      <c r="D1233" s="101"/>
      <c r="E1233" s="101"/>
      <c r="F1233" s="101"/>
      <c r="G1233" s="233"/>
      <c r="H1233" s="233"/>
      <c r="I1233" s="233"/>
      <c r="J1233" s="234"/>
      <c r="K1233" s="230"/>
    </row>
    <row r="1234">
      <c r="A1234" s="235"/>
      <c r="B1234" s="95"/>
      <c r="C1234" s="95"/>
      <c r="D1234" s="95"/>
      <c r="E1234" s="95"/>
      <c r="F1234" s="95"/>
      <c r="G1234" s="236"/>
      <c r="H1234" s="236"/>
      <c r="I1234" s="236"/>
      <c r="J1234" s="237"/>
      <c r="K1234" s="230"/>
    </row>
    <row r="1235">
      <c r="A1235" s="232"/>
      <c r="B1235" s="101"/>
      <c r="C1235" s="101"/>
      <c r="D1235" s="101"/>
      <c r="E1235" s="101"/>
      <c r="F1235" s="101"/>
      <c r="G1235" s="233"/>
      <c r="H1235" s="233"/>
      <c r="I1235" s="233"/>
      <c r="J1235" s="234"/>
      <c r="K1235" s="230"/>
    </row>
    <row r="1236">
      <c r="A1236" s="235"/>
      <c r="B1236" s="95"/>
      <c r="C1236" s="95"/>
      <c r="D1236" s="95"/>
      <c r="E1236" s="95"/>
      <c r="F1236" s="95"/>
      <c r="G1236" s="236"/>
      <c r="H1236" s="236"/>
      <c r="I1236" s="236"/>
      <c r="J1236" s="237"/>
      <c r="K1236" s="230"/>
    </row>
    <row r="1237">
      <c r="A1237" s="232"/>
      <c r="B1237" s="101"/>
      <c r="C1237" s="101"/>
      <c r="D1237" s="101"/>
      <c r="E1237" s="101"/>
      <c r="F1237" s="101"/>
      <c r="G1237" s="233"/>
      <c r="H1237" s="233"/>
      <c r="I1237" s="233"/>
      <c r="J1237" s="234"/>
      <c r="K1237" s="230"/>
    </row>
    <row r="1238">
      <c r="A1238" s="235"/>
      <c r="B1238" s="95"/>
      <c r="C1238" s="95"/>
      <c r="D1238" s="95"/>
      <c r="E1238" s="95"/>
      <c r="F1238" s="95"/>
      <c r="G1238" s="236"/>
      <c r="H1238" s="236"/>
      <c r="I1238" s="236"/>
      <c r="J1238" s="237"/>
      <c r="K1238" s="230"/>
    </row>
    <row r="1239">
      <c r="A1239" s="232"/>
      <c r="B1239" s="101"/>
      <c r="C1239" s="101"/>
      <c r="D1239" s="101"/>
      <c r="E1239" s="101"/>
      <c r="F1239" s="101"/>
      <c r="G1239" s="233"/>
      <c r="H1239" s="233"/>
      <c r="I1239" s="233"/>
      <c r="J1239" s="234"/>
      <c r="K1239" s="230"/>
    </row>
    <row r="1240">
      <c r="A1240" s="235"/>
      <c r="B1240" s="95"/>
      <c r="C1240" s="95"/>
      <c r="D1240" s="95"/>
      <c r="E1240" s="95"/>
      <c r="F1240" s="95"/>
      <c r="G1240" s="236"/>
      <c r="H1240" s="236"/>
      <c r="I1240" s="236"/>
      <c r="J1240" s="237"/>
      <c r="K1240" s="230"/>
    </row>
    <row r="1241">
      <c r="A1241" s="232"/>
      <c r="B1241" s="101"/>
      <c r="C1241" s="101"/>
      <c r="D1241" s="101"/>
      <c r="E1241" s="101"/>
      <c r="F1241" s="101"/>
      <c r="G1241" s="233"/>
      <c r="H1241" s="233"/>
      <c r="I1241" s="233"/>
      <c r="J1241" s="234"/>
      <c r="K1241" s="230"/>
    </row>
    <row r="1242">
      <c r="A1242" s="235"/>
      <c r="B1242" s="95"/>
      <c r="C1242" s="95"/>
      <c r="D1242" s="95"/>
      <c r="E1242" s="95"/>
      <c r="F1242" s="95"/>
      <c r="G1242" s="236"/>
      <c r="H1242" s="236"/>
      <c r="I1242" s="236"/>
      <c r="J1242" s="237"/>
      <c r="K1242" s="230"/>
    </row>
    <row r="1243">
      <c r="A1243" s="232"/>
      <c r="B1243" s="101"/>
      <c r="C1243" s="101"/>
      <c r="D1243" s="101"/>
      <c r="E1243" s="101"/>
      <c r="F1243" s="101"/>
      <c r="G1243" s="233"/>
      <c r="H1243" s="233"/>
      <c r="I1243" s="233"/>
      <c r="J1243" s="234"/>
      <c r="K1243" s="230"/>
    </row>
    <row r="1244">
      <c r="A1244" s="235"/>
      <c r="B1244" s="95"/>
      <c r="C1244" s="95"/>
      <c r="D1244" s="95"/>
      <c r="E1244" s="95"/>
      <c r="F1244" s="95"/>
      <c r="G1244" s="236"/>
      <c r="H1244" s="236"/>
      <c r="I1244" s="236"/>
      <c r="J1244" s="237"/>
      <c r="K1244" s="230"/>
    </row>
    <row r="1245">
      <c r="A1245" s="232"/>
      <c r="B1245" s="101"/>
      <c r="C1245" s="101"/>
      <c r="D1245" s="101"/>
      <c r="E1245" s="101"/>
      <c r="F1245" s="101"/>
      <c r="G1245" s="233"/>
      <c r="H1245" s="233"/>
      <c r="I1245" s="233"/>
      <c r="J1245" s="234"/>
      <c r="K1245" s="230"/>
    </row>
    <row r="1246">
      <c r="A1246" s="235"/>
      <c r="B1246" s="95"/>
      <c r="C1246" s="95"/>
      <c r="D1246" s="95"/>
      <c r="E1246" s="95"/>
      <c r="F1246" s="95"/>
      <c r="G1246" s="236"/>
      <c r="H1246" s="236"/>
      <c r="I1246" s="236"/>
      <c r="J1246" s="237"/>
      <c r="K1246" s="230"/>
    </row>
    <row r="1247">
      <c r="A1247" s="232"/>
      <c r="B1247" s="101"/>
      <c r="C1247" s="101"/>
      <c r="D1247" s="101"/>
      <c r="E1247" s="101"/>
      <c r="F1247" s="101"/>
      <c r="G1247" s="233"/>
      <c r="H1247" s="233"/>
      <c r="I1247" s="233"/>
      <c r="J1247" s="234"/>
      <c r="K1247" s="230"/>
    </row>
    <row r="1248">
      <c r="A1248" s="235"/>
      <c r="B1248" s="95"/>
      <c r="C1248" s="95"/>
      <c r="D1248" s="95"/>
      <c r="E1248" s="95"/>
      <c r="F1248" s="95"/>
      <c r="G1248" s="236"/>
      <c r="H1248" s="236"/>
      <c r="I1248" s="236"/>
      <c r="J1248" s="237"/>
      <c r="K1248" s="230"/>
    </row>
    <row r="1249">
      <c r="A1249" s="232"/>
      <c r="B1249" s="101"/>
      <c r="C1249" s="101"/>
      <c r="D1249" s="101"/>
      <c r="E1249" s="101"/>
      <c r="F1249" s="101"/>
      <c r="G1249" s="233"/>
      <c r="H1249" s="233"/>
      <c r="I1249" s="233"/>
      <c r="J1249" s="234"/>
      <c r="K1249" s="230"/>
    </row>
    <row r="1250">
      <c r="A1250" s="235"/>
      <c r="B1250" s="95"/>
      <c r="C1250" s="95"/>
      <c r="D1250" s="95"/>
      <c r="E1250" s="95"/>
      <c r="F1250" s="95"/>
      <c r="G1250" s="236"/>
      <c r="H1250" s="236"/>
      <c r="I1250" s="236"/>
      <c r="J1250" s="237"/>
      <c r="K1250" s="230"/>
    </row>
    <row r="1251">
      <c r="A1251" s="232"/>
      <c r="B1251" s="101"/>
      <c r="C1251" s="101"/>
      <c r="D1251" s="101"/>
      <c r="E1251" s="101"/>
      <c r="F1251" s="101"/>
      <c r="G1251" s="233"/>
      <c r="H1251" s="233"/>
      <c r="I1251" s="233"/>
      <c r="J1251" s="234"/>
      <c r="K1251" s="230"/>
    </row>
    <row r="1252">
      <c r="A1252" s="235"/>
      <c r="B1252" s="95"/>
      <c r="C1252" s="95"/>
      <c r="D1252" s="95"/>
      <c r="E1252" s="95"/>
      <c r="F1252" s="95"/>
      <c r="G1252" s="236"/>
      <c r="H1252" s="236"/>
      <c r="I1252" s="236"/>
      <c r="J1252" s="237"/>
      <c r="K1252" s="230"/>
    </row>
    <row r="1253">
      <c r="A1253" s="232"/>
      <c r="B1253" s="101"/>
      <c r="C1253" s="101"/>
      <c r="D1253" s="101"/>
      <c r="E1253" s="101"/>
      <c r="F1253" s="101"/>
      <c r="G1253" s="233"/>
      <c r="H1253" s="233"/>
      <c r="I1253" s="233"/>
      <c r="J1253" s="234"/>
      <c r="K1253" s="230"/>
    </row>
    <row r="1254">
      <c r="A1254" s="235"/>
      <c r="B1254" s="95"/>
      <c r="C1254" s="95"/>
      <c r="D1254" s="95"/>
      <c r="E1254" s="95"/>
      <c r="F1254" s="95"/>
      <c r="G1254" s="236"/>
      <c r="H1254" s="236"/>
      <c r="I1254" s="236"/>
      <c r="J1254" s="237"/>
      <c r="K1254" s="230"/>
    </row>
    <row r="1255">
      <c r="A1255" s="232"/>
      <c r="B1255" s="101"/>
      <c r="C1255" s="101"/>
      <c r="D1255" s="101"/>
      <c r="E1255" s="101"/>
      <c r="F1255" s="101"/>
      <c r="G1255" s="233"/>
      <c r="H1255" s="233"/>
      <c r="I1255" s="233"/>
      <c r="J1255" s="234"/>
      <c r="K1255" s="230"/>
    </row>
    <row r="1256">
      <c r="A1256" s="235"/>
      <c r="B1256" s="95"/>
      <c r="C1256" s="95"/>
      <c r="D1256" s="95"/>
      <c r="E1256" s="95"/>
      <c r="F1256" s="95"/>
      <c r="G1256" s="236"/>
      <c r="H1256" s="236"/>
      <c r="I1256" s="236"/>
      <c r="J1256" s="237"/>
      <c r="K1256" s="230"/>
    </row>
    <row r="1257">
      <c r="A1257" s="232"/>
      <c r="B1257" s="101"/>
      <c r="C1257" s="101"/>
      <c r="D1257" s="101"/>
      <c r="E1257" s="101"/>
      <c r="F1257" s="101"/>
      <c r="G1257" s="233"/>
      <c r="H1257" s="233"/>
      <c r="I1257" s="233"/>
      <c r="J1257" s="234"/>
      <c r="K1257" s="230"/>
    </row>
    <row r="1258">
      <c r="A1258" s="235"/>
      <c r="B1258" s="95"/>
      <c r="C1258" s="95"/>
      <c r="D1258" s="95"/>
      <c r="E1258" s="95"/>
      <c r="F1258" s="95"/>
      <c r="G1258" s="236"/>
      <c r="H1258" s="236"/>
      <c r="I1258" s="236"/>
      <c r="J1258" s="237"/>
      <c r="K1258" s="230"/>
    </row>
    <row r="1259">
      <c r="A1259" s="232"/>
      <c r="B1259" s="101"/>
      <c r="C1259" s="101"/>
      <c r="D1259" s="101"/>
      <c r="E1259" s="101"/>
      <c r="F1259" s="101"/>
      <c r="G1259" s="233"/>
      <c r="H1259" s="233"/>
      <c r="I1259" s="233"/>
      <c r="J1259" s="234"/>
      <c r="K1259" s="230"/>
    </row>
    <row r="1260">
      <c r="A1260" s="235"/>
      <c r="B1260" s="95"/>
      <c r="C1260" s="95"/>
      <c r="D1260" s="95"/>
      <c r="E1260" s="95"/>
      <c r="F1260" s="95"/>
      <c r="G1260" s="236"/>
      <c r="H1260" s="236"/>
      <c r="I1260" s="236"/>
      <c r="J1260" s="237"/>
      <c r="K1260" s="230"/>
    </row>
    <row r="1261">
      <c r="A1261" s="232"/>
      <c r="B1261" s="101"/>
      <c r="C1261" s="101"/>
      <c r="D1261" s="101"/>
      <c r="E1261" s="101"/>
      <c r="F1261" s="101"/>
      <c r="G1261" s="233"/>
      <c r="H1261" s="233"/>
      <c r="I1261" s="233"/>
      <c r="J1261" s="234"/>
      <c r="K1261" s="230"/>
    </row>
    <row r="1262">
      <c r="A1262" s="235"/>
      <c r="B1262" s="95"/>
      <c r="C1262" s="95"/>
      <c r="D1262" s="95"/>
      <c r="E1262" s="95"/>
      <c r="F1262" s="95"/>
      <c r="G1262" s="236"/>
      <c r="H1262" s="236"/>
      <c r="I1262" s="236"/>
      <c r="J1262" s="237"/>
      <c r="K1262" s="230"/>
    </row>
    <row r="1263">
      <c r="A1263" s="232"/>
      <c r="B1263" s="101"/>
      <c r="C1263" s="101"/>
      <c r="D1263" s="101"/>
      <c r="E1263" s="101"/>
      <c r="F1263" s="101"/>
      <c r="G1263" s="233"/>
      <c r="H1263" s="233"/>
      <c r="I1263" s="233"/>
      <c r="J1263" s="234"/>
      <c r="K1263" s="230"/>
    </row>
    <row r="1264">
      <c r="A1264" s="235"/>
      <c r="B1264" s="95"/>
      <c r="C1264" s="95"/>
      <c r="D1264" s="95"/>
      <c r="E1264" s="95"/>
      <c r="F1264" s="95"/>
      <c r="G1264" s="236"/>
      <c r="H1264" s="236"/>
      <c r="I1264" s="236"/>
      <c r="J1264" s="237"/>
      <c r="K1264" s="230"/>
    </row>
    <row r="1265">
      <c r="A1265" s="232"/>
      <c r="B1265" s="101"/>
      <c r="C1265" s="101"/>
      <c r="D1265" s="101"/>
      <c r="E1265" s="101"/>
      <c r="F1265" s="101"/>
      <c r="G1265" s="233"/>
      <c r="H1265" s="233"/>
      <c r="I1265" s="233"/>
      <c r="J1265" s="234"/>
      <c r="K1265" s="230"/>
    </row>
    <row r="1266">
      <c r="A1266" s="235"/>
      <c r="B1266" s="95"/>
      <c r="C1266" s="95"/>
      <c r="D1266" s="95"/>
      <c r="E1266" s="95"/>
      <c r="F1266" s="95"/>
      <c r="G1266" s="236"/>
      <c r="H1266" s="236"/>
      <c r="I1266" s="236"/>
      <c r="J1266" s="237"/>
      <c r="K1266" s="230"/>
    </row>
    <row r="1267">
      <c r="A1267" s="232"/>
      <c r="B1267" s="101"/>
      <c r="C1267" s="101"/>
      <c r="D1267" s="101"/>
      <c r="E1267" s="101"/>
      <c r="F1267" s="101"/>
      <c r="G1267" s="233"/>
      <c r="H1267" s="233"/>
      <c r="I1267" s="233"/>
      <c r="J1267" s="234"/>
      <c r="K1267" s="230"/>
    </row>
    <row r="1268">
      <c r="A1268" s="235"/>
      <c r="B1268" s="95"/>
      <c r="C1268" s="95"/>
      <c r="D1268" s="95"/>
      <c r="E1268" s="95"/>
      <c r="F1268" s="95"/>
      <c r="G1268" s="236"/>
      <c r="H1268" s="236"/>
      <c r="I1268" s="236"/>
      <c r="J1268" s="237"/>
      <c r="K1268" s="230"/>
    </row>
    <row r="1269">
      <c r="A1269" s="232"/>
      <c r="B1269" s="101"/>
      <c r="C1269" s="101"/>
      <c r="D1269" s="101"/>
      <c r="E1269" s="101"/>
      <c r="F1269" s="101"/>
      <c r="G1269" s="233"/>
      <c r="H1269" s="233"/>
      <c r="I1269" s="233"/>
      <c r="J1269" s="234"/>
      <c r="K1269" s="230"/>
    </row>
    <row r="1270">
      <c r="A1270" s="235"/>
      <c r="B1270" s="95"/>
      <c r="C1270" s="95"/>
      <c r="D1270" s="95"/>
      <c r="E1270" s="95"/>
      <c r="F1270" s="95"/>
      <c r="G1270" s="236"/>
      <c r="H1270" s="236"/>
      <c r="I1270" s="236"/>
      <c r="J1270" s="237"/>
      <c r="K1270" s="230"/>
    </row>
    <row r="1271">
      <c r="A1271" s="232"/>
      <c r="B1271" s="101"/>
      <c r="C1271" s="101"/>
      <c r="D1271" s="101"/>
      <c r="E1271" s="101"/>
      <c r="F1271" s="101"/>
      <c r="G1271" s="233"/>
      <c r="H1271" s="233"/>
      <c r="I1271" s="233"/>
      <c r="J1271" s="234"/>
      <c r="K1271" s="230"/>
    </row>
    <row r="1272">
      <c r="A1272" s="235"/>
      <c r="B1272" s="95"/>
      <c r="C1272" s="95"/>
      <c r="D1272" s="95"/>
      <c r="E1272" s="95"/>
      <c r="F1272" s="95"/>
      <c r="G1272" s="236"/>
      <c r="H1272" s="236"/>
      <c r="I1272" s="236"/>
      <c r="J1272" s="237"/>
      <c r="K1272" s="230"/>
    </row>
    <row r="1273">
      <c r="A1273" s="232"/>
      <c r="B1273" s="101"/>
      <c r="C1273" s="101"/>
      <c r="D1273" s="101"/>
      <c r="E1273" s="101"/>
      <c r="F1273" s="101"/>
      <c r="G1273" s="233"/>
      <c r="H1273" s="233"/>
      <c r="I1273" s="233"/>
      <c r="J1273" s="234"/>
      <c r="K1273" s="230"/>
    </row>
    <row r="1274">
      <c r="A1274" s="235"/>
      <c r="B1274" s="95"/>
      <c r="C1274" s="95"/>
      <c r="D1274" s="95"/>
      <c r="E1274" s="95"/>
      <c r="F1274" s="95"/>
      <c r="G1274" s="236"/>
      <c r="H1274" s="236"/>
      <c r="I1274" s="236"/>
      <c r="J1274" s="237"/>
      <c r="K1274" s="230"/>
    </row>
    <row r="1275">
      <c r="A1275" s="232"/>
      <c r="B1275" s="101"/>
      <c r="C1275" s="101"/>
      <c r="D1275" s="101"/>
      <c r="E1275" s="101"/>
      <c r="F1275" s="101"/>
      <c r="G1275" s="233"/>
      <c r="H1275" s="233"/>
      <c r="I1275" s="233"/>
      <c r="J1275" s="234"/>
      <c r="K1275" s="230"/>
    </row>
    <row r="1276">
      <c r="A1276" s="235"/>
      <c r="B1276" s="95"/>
      <c r="C1276" s="95"/>
      <c r="D1276" s="95"/>
      <c r="E1276" s="95"/>
      <c r="F1276" s="95"/>
      <c r="G1276" s="236"/>
      <c r="H1276" s="236"/>
      <c r="I1276" s="236"/>
      <c r="J1276" s="237"/>
      <c r="K1276" s="230"/>
    </row>
    <row r="1277">
      <c r="A1277" s="232"/>
      <c r="B1277" s="101"/>
      <c r="C1277" s="101"/>
      <c r="D1277" s="101"/>
      <c r="E1277" s="101"/>
      <c r="F1277" s="101"/>
      <c r="G1277" s="233"/>
      <c r="H1277" s="233"/>
      <c r="I1277" s="233"/>
      <c r="J1277" s="234"/>
      <c r="K1277" s="230"/>
    </row>
    <row r="1278">
      <c r="A1278" s="235"/>
      <c r="B1278" s="95"/>
      <c r="C1278" s="95"/>
      <c r="D1278" s="95"/>
      <c r="E1278" s="95"/>
      <c r="F1278" s="95"/>
      <c r="G1278" s="236"/>
      <c r="H1278" s="236"/>
      <c r="I1278" s="236"/>
      <c r="J1278" s="237"/>
      <c r="K1278" s="230"/>
    </row>
    <row r="1279">
      <c r="A1279" s="232"/>
      <c r="B1279" s="101"/>
      <c r="C1279" s="101"/>
      <c r="D1279" s="101"/>
      <c r="E1279" s="101"/>
      <c r="F1279" s="101"/>
      <c r="G1279" s="233"/>
      <c r="H1279" s="233"/>
      <c r="I1279" s="233"/>
      <c r="J1279" s="234"/>
      <c r="K1279" s="230"/>
    </row>
    <row r="1280">
      <c r="A1280" s="235"/>
      <c r="B1280" s="95"/>
      <c r="C1280" s="95"/>
      <c r="D1280" s="95"/>
      <c r="E1280" s="95"/>
      <c r="F1280" s="95"/>
      <c r="G1280" s="236"/>
      <c r="H1280" s="236"/>
      <c r="I1280" s="236"/>
      <c r="J1280" s="237"/>
      <c r="K1280" s="230"/>
    </row>
    <row r="1281">
      <c r="A1281" s="232"/>
      <c r="B1281" s="101"/>
      <c r="C1281" s="101"/>
      <c r="D1281" s="101"/>
      <c r="E1281" s="101"/>
      <c r="F1281" s="101"/>
      <c r="G1281" s="233"/>
      <c r="H1281" s="233"/>
      <c r="I1281" s="233"/>
      <c r="J1281" s="234"/>
      <c r="K1281" s="230"/>
    </row>
    <row r="1282">
      <c r="A1282" s="235"/>
      <c r="B1282" s="95"/>
      <c r="C1282" s="95"/>
      <c r="D1282" s="95"/>
      <c r="E1282" s="95"/>
      <c r="F1282" s="95"/>
      <c r="G1282" s="236"/>
      <c r="H1282" s="236"/>
      <c r="I1282" s="236"/>
      <c r="J1282" s="237"/>
      <c r="K1282" s="230"/>
    </row>
    <row r="1283">
      <c r="A1283" s="232"/>
      <c r="B1283" s="101"/>
      <c r="C1283" s="101"/>
      <c r="D1283" s="101"/>
      <c r="E1283" s="101"/>
      <c r="F1283" s="101"/>
      <c r="G1283" s="233"/>
      <c r="H1283" s="233"/>
      <c r="I1283" s="233"/>
      <c r="J1283" s="234"/>
      <c r="K1283" s="230"/>
    </row>
    <row r="1284">
      <c r="A1284" s="235"/>
      <c r="B1284" s="95"/>
      <c r="C1284" s="95"/>
      <c r="D1284" s="95"/>
      <c r="E1284" s="95"/>
      <c r="F1284" s="95"/>
      <c r="G1284" s="236"/>
      <c r="H1284" s="236"/>
      <c r="I1284" s="236"/>
      <c r="J1284" s="237"/>
      <c r="K1284" s="230"/>
    </row>
    <row r="1285">
      <c r="A1285" s="232"/>
      <c r="B1285" s="101"/>
      <c r="C1285" s="101"/>
      <c r="D1285" s="101"/>
      <c r="E1285" s="101"/>
      <c r="F1285" s="101"/>
      <c r="G1285" s="233"/>
      <c r="H1285" s="233"/>
      <c r="I1285" s="233"/>
      <c r="J1285" s="234"/>
      <c r="K1285" s="230"/>
    </row>
    <row r="1286">
      <c r="A1286" s="235"/>
      <c r="B1286" s="95"/>
      <c r="C1286" s="95"/>
      <c r="D1286" s="95"/>
      <c r="E1286" s="95"/>
      <c r="F1286" s="95"/>
      <c r="G1286" s="236"/>
      <c r="H1286" s="236"/>
      <c r="I1286" s="236"/>
      <c r="J1286" s="237"/>
      <c r="K1286" s="230"/>
    </row>
    <row r="1287">
      <c r="A1287" s="232"/>
      <c r="B1287" s="101"/>
      <c r="C1287" s="101"/>
      <c r="D1287" s="101"/>
      <c r="E1287" s="101"/>
      <c r="F1287" s="101"/>
      <c r="G1287" s="233"/>
      <c r="H1287" s="233"/>
      <c r="I1287" s="233"/>
      <c r="J1287" s="234"/>
      <c r="K1287" s="230"/>
    </row>
    <row r="1288">
      <c r="A1288" s="235"/>
      <c r="B1288" s="95"/>
      <c r="C1288" s="95"/>
      <c r="D1288" s="95"/>
      <c r="E1288" s="95"/>
      <c r="F1288" s="95"/>
      <c r="G1288" s="236"/>
      <c r="H1288" s="236"/>
      <c r="I1288" s="236"/>
      <c r="J1288" s="237"/>
      <c r="K1288" s="230"/>
    </row>
    <row r="1289">
      <c r="A1289" s="232"/>
      <c r="B1289" s="101"/>
      <c r="C1289" s="101"/>
      <c r="D1289" s="101"/>
      <c r="E1289" s="101"/>
      <c r="F1289" s="101"/>
      <c r="G1289" s="233"/>
      <c r="H1289" s="233"/>
      <c r="I1289" s="233"/>
      <c r="J1289" s="234"/>
      <c r="K1289" s="230"/>
    </row>
    <row r="1290">
      <c r="A1290" s="235"/>
      <c r="B1290" s="95"/>
      <c r="C1290" s="95"/>
      <c r="D1290" s="95"/>
      <c r="E1290" s="95"/>
      <c r="F1290" s="95"/>
      <c r="G1290" s="236"/>
      <c r="H1290" s="236"/>
      <c r="I1290" s="236"/>
      <c r="J1290" s="237"/>
      <c r="K1290" s="230"/>
    </row>
    <row r="1291">
      <c r="A1291" s="232"/>
      <c r="B1291" s="101"/>
      <c r="C1291" s="101"/>
      <c r="D1291" s="101"/>
      <c r="E1291" s="101"/>
      <c r="F1291" s="101"/>
      <c r="G1291" s="233"/>
      <c r="H1291" s="233"/>
      <c r="I1291" s="233"/>
      <c r="J1291" s="234"/>
      <c r="K1291" s="230"/>
    </row>
    <row r="1292">
      <c r="A1292" s="235"/>
      <c r="B1292" s="95"/>
      <c r="C1292" s="95"/>
      <c r="D1292" s="95"/>
      <c r="E1292" s="95"/>
      <c r="F1292" s="95"/>
      <c r="G1292" s="236"/>
      <c r="H1292" s="236"/>
      <c r="I1292" s="236"/>
      <c r="J1292" s="237"/>
      <c r="K1292" s="230"/>
    </row>
    <row r="1293">
      <c r="A1293" s="232"/>
      <c r="B1293" s="101"/>
      <c r="C1293" s="101"/>
      <c r="D1293" s="101"/>
      <c r="E1293" s="101"/>
      <c r="F1293" s="101"/>
      <c r="G1293" s="233"/>
      <c r="H1293" s="233"/>
      <c r="I1293" s="233"/>
      <c r="J1293" s="234"/>
      <c r="K1293" s="230"/>
    </row>
    <row r="1294">
      <c r="A1294" s="235"/>
      <c r="B1294" s="95"/>
      <c r="C1294" s="95"/>
      <c r="D1294" s="95"/>
      <c r="E1294" s="95"/>
      <c r="F1294" s="95"/>
      <c r="G1294" s="236"/>
      <c r="H1294" s="236"/>
      <c r="I1294" s="236"/>
      <c r="J1294" s="237"/>
      <c r="K1294" s="230"/>
    </row>
    <row r="1295">
      <c r="A1295" s="232"/>
      <c r="B1295" s="101"/>
      <c r="C1295" s="101"/>
      <c r="D1295" s="101"/>
      <c r="E1295" s="101"/>
      <c r="F1295" s="101"/>
      <c r="G1295" s="233"/>
      <c r="H1295" s="233"/>
      <c r="I1295" s="233"/>
      <c r="J1295" s="234"/>
      <c r="K1295" s="230"/>
    </row>
    <row r="1296">
      <c r="A1296" s="235"/>
      <c r="B1296" s="95"/>
      <c r="C1296" s="95"/>
      <c r="D1296" s="95"/>
      <c r="E1296" s="95"/>
      <c r="F1296" s="95"/>
      <c r="G1296" s="236"/>
      <c r="H1296" s="236"/>
      <c r="I1296" s="236"/>
      <c r="J1296" s="237"/>
      <c r="K1296" s="230"/>
    </row>
    <row r="1297">
      <c r="A1297" s="232"/>
      <c r="B1297" s="101"/>
      <c r="C1297" s="101"/>
      <c r="D1297" s="101"/>
      <c r="E1297" s="101"/>
      <c r="F1297" s="101"/>
      <c r="G1297" s="233"/>
      <c r="H1297" s="233"/>
      <c r="I1297" s="233"/>
      <c r="J1297" s="234"/>
      <c r="K1297" s="230"/>
    </row>
    <row r="1298">
      <c r="A1298" s="235"/>
      <c r="B1298" s="95"/>
      <c r="C1298" s="95"/>
      <c r="D1298" s="95"/>
      <c r="E1298" s="95"/>
      <c r="F1298" s="95"/>
      <c r="G1298" s="236"/>
      <c r="H1298" s="236"/>
      <c r="I1298" s="236"/>
      <c r="J1298" s="237"/>
      <c r="K1298" s="230"/>
    </row>
    <row r="1299">
      <c r="A1299" s="232"/>
      <c r="B1299" s="101"/>
      <c r="C1299" s="101"/>
      <c r="D1299" s="101"/>
      <c r="E1299" s="101"/>
      <c r="F1299" s="101"/>
      <c r="G1299" s="233"/>
      <c r="H1299" s="233"/>
      <c r="I1299" s="233"/>
      <c r="J1299" s="234"/>
      <c r="K1299" s="230"/>
    </row>
    <row r="1300">
      <c r="A1300" s="235"/>
      <c r="B1300" s="95"/>
      <c r="C1300" s="95"/>
      <c r="D1300" s="95"/>
      <c r="E1300" s="95"/>
      <c r="F1300" s="95"/>
      <c r="G1300" s="236"/>
      <c r="H1300" s="236"/>
      <c r="I1300" s="236"/>
      <c r="J1300" s="237"/>
      <c r="K1300" s="230"/>
    </row>
    <row r="1301">
      <c r="A1301" s="232"/>
      <c r="B1301" s="101"/>
      <c r="C1301" s="101"/>
      <c r="D1301" s="101"/>
      <c r="E1301" s="101"/>
      <c r="F1301" s="101"/>
      <c r="G1301" s="233"/>
      <c r="H1301" s="233"/>
      <c r="I1301" s="233"/>
      <c r="J1301" s="234"/>
      <c r="K1301" s="230"/>
    </row>
    <row r="1302">
      <c r="A1302" s="235"/>
      <c r="B1302" s="95"/>
      <c r="C1302" s="95"/>
      <c r="D1302" s="95"/>
      <c r="E1302" s="95"/>
      <c r="F1302" s="95"/>
      <c r="G1302" s="236"/>
      <c r="H1302" s="236"/>
      <c r="I1302" s="236"/>
      <c r="J1302" s="237"/>
      <c r="K1302" s="230"/>
    </row>
    <row r="1303">
      <c r="A1303" s="232"/>
      <c r="B1303" s="101"/>
      <c r="C1303" s="101"/>
      <c r="D1303" s="101"/>
      <c r="E1303" s="101"/>
      <c r="F1303" s="101"/>
      <c r="G1303" s="233"/>
      <c r="H1303" s="233"/>
      <c r="I1303" s="233"/>
      <c r="J1303" s="234"/>
      <c r="K1303" s="230"/>
    </row>
    <row r="1304">
      <c r="A1304" s="235"/>
      <c r="B1304" s="95"/>
      <c r="C1304" s="95"/>
      <c r="D1304" s="95"/>
      <c r="E1304" s="95"/>
      <c r="F1304" s="95"/>
      <c r="G1304" s="236"/>
      <c r="H1304" s="236"/>
      <c r="I1304" s="236"/>
      <c r="J1304" s="237"/>
      <c r="K1304" s="230"/>
    </row>
    <row r="1305">
      <c r="A1305" s="232"/>
      <c r="B1305" s="101"/>
      <c r="C1305" s="101"/>
      <c r="D1305" s="101"/>
      <c r="E1305" s="101"/>
      <c r="F1305" s="101"/>
      <c r="G1305" s="233"/>
      <c r="H1305" s="233"/>
      <c r="I1305" s="233"/>
      <c r="J1305" s="234"/>
      <c r="K1305" s="230"/>
    </row>
    <row r="1306">
      <c r="A1306" s="235"/>
      <c r="B1306" s="95"/>
      <c r="C1306" s="95"/>
      <c r="D1306" s="95"/>
      <c r="E1306" s="95"/>
      <c r="F1306" s="95"/>
      <c r="G1306" s="236"/>
      <c r="H1306" s="236"/>
      <c r="I1306" s="236"/>
      <c r="J1306" s="237"/>
      <c r="K1306" s="230"/>
    </row>
    <row r="1307">
      <c r="A1307" s="232"/>
      <c r="B1307" s="101"/>
      <c r="C1307" s="101"/>
      <c r="D1307" s="101"/>
      <c r="E1307" s="101"/>
      <c r="F1307" s="101"/>
      <c r="G1307" s="233"/>
      <c r="H1307" s="233"/>
      <c r="I1307" s="233"/>
      <c r="J1307" s="234"/>
      <c r="K1307" s="230"/>
    </row>
    <row r="1308">
      <c r="A1308" s="235"/>
      <c r="B1308" s="95"/>
      <c r="C1308" s="95"/>
      <c r="D1308" s="95"/>
      <c r="E1308" s="95"/>
      <c r="F1308" s="95"/>
      <c r="G1308" s="236"/>
      <c r="H1308" s="236"/>
      <c r="I1308" s="236"/>
      <c r="J1308" s="237"/>
      <c r="K1308" s="230"/>
    </row>
    <row r="1309">
      <c r="A1309" s="232"/>
      <c r="B1309" s="101"/>
      <c r="C1309" s="101"/>
      <c r="D1309" s="101"/>
      <c r="E1309" s="101"/>
      <c r="F1309" s="101"/>
      <c r="G1309" s="233"/>
      <c r="H1309" s="233"/>
      <c r="I1309" s="233"/>
      <c r="J1309" s="234"/>
      <c r="K1309" s="230"/>
    </row>
    <row r="1310">
      <c r="A1310" s="235"/>
      <c r="B1310" s="95"/>
      <c r="C1310" s="95"/>
      <c r="D1310" s="95"/>
      <c r="E1310" s="95"/>
      <c r="F1310" s="95"/>
      <c r="G1310" s="236"/>
      <c r="H1310" s="236"/>
      <c r="I1310" s="236"/>
      <c r="J1310" s="237"/>
      <c r="K1310" s="230"/>
    </row>
    <row r="1311">
      <c r="A1311" s="232"/>
      <c r="B1311" s="101"/>
      <c r="C1311" s="101"/>
      <c r="D1311" s="101"/>
      <c r="E1311" s="101"/>
      <c r="F1311" s="101"/>
      <c r="G1311" s="233"/>
      <c r="H1311" s="233"/>
      <c r="I1311" s="233"/>
      <c r="J1311" s="234"/>
      <c r="K1311" s="230"/>
    </row>
    <row r="1312">
      <c r="A1312" s="235"/>
      <c r="B1312" s="95"/>
      <c r="C1312" s="95"/>
      <c r="D1312" s="95"/>
      <c r="E1312" s="95"/>
      <c r="F1312" s="95"/>
      <c r="G1312" s="236"/>
      <c r="H1312" s="236"/>
      <c r="I1312" s="236"/>
      <c r="J1312" s="237"/>
      <c r="K1312" s="230"/>
    </row>
    <row r="1313">
      <c r="A1313" s="232"/>
      <c r="B1313" s="101"/>
      <c r="C1313" s="101"/>
      <c r="D1313" s="101"/>
      <c r="E1313" s="101"/>
      <c r="F1313" s="101"/>
      <c r="G1313" s="233"/>
      <c r="H1313" s="233"/>
      <c r="I1313" s="233"/>
      <c r="J1313" s="234"/>
      <c r="K1313" s="230"/>
    </row>
    <row r="1314">
      <c r="A1314" s="235"/>
      <c r="B1314" s="95"/>
      <c r="C1314" s="95"/>
      <c r="D1314" s="95"/>
      <c r="E1314" s="95"/>
      <c r="F1314" s="95"/>
      <c r="G1314" s="236"/>
      <c r="H1314" s="236"/>
      <c r="I1314" s="236"/>
      <c r="J1314" s="237"/>
      <c r="K1314" s="230"/>
    </row>
    <row r="1315">
      <c r="A1315" s="232"/>
      <c r="B1315" s="101"/>
      <c r="C1315" s="101"/>
      <c r="D1315" s="101"/>
      <c r="E1315" s="101"/>
      <c r="F1315" s="101"/>
      <c r="G1315" s="233"/>
      <c r="H1315" s="233"/>
      <c r="I1315" s="233"/>
      <c r="J1315" s="234"/>
      <c r="K1315" s="230"/>
    </row>
    <row r="1316">
      <c r="A1316" s="235"/>
      <c r="B1316" s="95"/>
      <c r="C1316" s="95"/>
      <c r="D1316" s="95"/>
      <c r="E1316" s="95"/>
      <c r="F1316" s="95"/>
      <c r="G1316" s="236"/>
      <c r="H1316" s="236"/>
      <c r="I1316" s="236"/>
      <c r="J1316" s="237"/>
      <c r="K1316" s="230"/>
    </row>
    <row r="1317">
      <c r="A1317" s="232"/>
      <c r="B1317" s="101"/>
      <c r="C1317" s="101"/>
      <c r="D1317" s="101"/>
      <c r="E1317" s="101"/>
      <c r="F1317" s="101"/>
      <c r="G1317" s="233"/>
      <c r="H1317" s="233"/>
      <c r="I1317" s="233"/>
      <c r="J1317" s="234"/>
      <c r="K1317" s="230"/>
    </row>
    <row r="1318">
      <c r="A1318" s="235"/>
      <c r="B1318" s="95"/>
      <c r="C1318" s="95"/>
      <c r="D1318" s="95"/>
      <c r="E1318" s="95"/>
      <c r="F1318" s="95"/>
      <c r="G1318" s="236"/>
      <c r="H1318" s="236"/>
      <c r="I1318" s="236"/>
      <c r="J1318" s="237"/>
      <c r="K1318" s="230"/>
    </row>
    <row r="1319">
      <c r="A1319" s="232"/>
      <c r="B1319" s="101"/>
      <c r="C1319" s="101"/>
      <c r="D1319" s="101"/>
      <c r="E1319" s="101"/>
      <c r="F1319" s="101"/>
      <c r="G1319" s="233"/>
      <c r="H1319" s="233"/>
      <c r="I1319" s="233"/>
      <c r="J1319" s="234"/>
      <c r="K1319" s="230"/>
    </row>
    <row r="1320">
      <c r="A1320" s="235"/>
      <c r="B1320" s="95"/>
      <c r="C1320" s="95"/>
      <c r="D1320" s="95"/>
      <c r="E1320" s="95"/>
      <c r="F1320" s="95"/>
      <c r="G1320" s="236"/>
      <c r="H1320" s="236"/>
      <c r="I1320" s="236"/>
      <c r="J1320" s="237"/>
      <c r="K1320" s="230"/>
    </row>
    <row r="1321">
      <c r="A1321" s="232"/>
      <c r="B1321" s="101"/>
      <c r="C1321" s="101"/>
      <c r="D1321" s="101"/>
      <c r="E1321" s="101"/>
      <c r="F1321" s="101"/>
      <c r="G1321" s="233"/>
      <c r="H1321" s="233"/>
      <c r="I1321" s="233"/>
      <c r="J1321" s="234"/>
      <c r="K1321" s="230"/>
    </row>
    <row r="1322">
      <c r="A1322" s="235"/>
      <c r="B1322" s="95"/>
      <c r="C1322" s="95"/>
      <c r="D1322" s="95"/>
      <c r="E1322" s="95"/>
      <c r="F1322" s="95"/>
      <c r="G1322" s="236"/>
      <c r="H1322" s="236"/>
      <c r="I1322" s="236"/>
      <c r="J1322" s="237"/>
      <c r="K1322" s="230"/>
    </row>
    <row r="1323">
      <c r="A1323" s="232"/>
      <c r="B1323" s="101"/>
      <c r="C1323" s="101"/>
      <c r="D1323" s="101"/>
      <c r="E1323" s="101"/>
      <c r="F1323" s="101"/>
      <c r="G1323" s="233"/>
      <c r="H1323" s="233"/>
      <c r="I1323" s="233"/>
      <c r="J1323" s="234"/>
      <c r="K1323" s="230"/>
    </row>
    <row r="1324">
      <c r="A1324" s="235"/>
      <c r="B1324" s="95"/>
      <c r="C1324" s="95"/>
      <c r="D1324" s="95"/>
      <c r="E1324" s="95"/>
      <c r="F1324" s="95"/>
      <c r="G1324" s="236"/>
      <c r="H1324" s="236"/>
      <c r="I1324" s="236"/>
      <c r="J1324" s="237"/>
      <c r="K1324" s="230"/>
    </row>
    <row r="1325">
      <c r="A1325" s="232"/>
      <c r="B1325" s="101"/>
      <c r="C1325" s="101"/>
      <c r="D1325" s="101"/>
      <c r="E1325" s="101"/>
      <c r="F1325" s="101"/>
      <c r="G1325" s="233"/>
      <c r="H1325" s="233"/>
      <c r="I1325" s="233"/>
      <c r="J1325" s="234"/>
      <c r="K1325" s="230"/>
    </row>
    <row r="1326">
      <c r="A1326" s="235"/>
      <c r="B1326" s="95"/>
      <c r="C1326" s="95"/>
      <c r="D1326" s="95"/>
      <c r="E1326" s="95"/>
      <c r="F1326" s="95"/>
      <c r="G1326" s="236"/>
      <c r="H1326" s="236"/>
      <c r="I1326" s="236"/>
      <c r="J1326" s="237"/>
      <c r="K1326" s="230"/>
    </row>
    <row r="1327">
      <c r="A1327" s="232"/>
      <c r="B1327" s="101"/>
      <c r="C1327" s="101"/>
      <c r="D1327" s="101"/>
      <c r="E1327" s="101"/>
      <c r="F1327" s="101"/>
      <c r="G1327" s="233"/>
      <c r="H1327" s="233"/>
      <c r="I1327" s="233"/>
      <c r="J1327" s="234"/>
      <c r="K1327" s="230"/>
    </row>
    <row r="1328">
      <c r="A1328" s="235"/>
      <c r="B1328" s="95"/>
      <c r="C1328" s="95"/>
      <c r="D1328" s="95"/>
      <c r="E1328" s="95"/>
      <c r="F1328" s="95"/>
      <c r="G1328" s="236"/>
      <c r="H1328" s="236"/>
      <c r="I1328" s="236"/>
      <c r="J1328" s="237"/>
      <c r="K1328" s="230"/>
    </row>
    <row r="1329">
      <c r="A1329" s="232"/>
      <c r="B1329" s="101"/>
      <c r="C1329" s="101"/>
      <c r="D1329" s="101"/>
      <c r="E1329" s="101"/>
      <c r="F1329" s="101"/>
      <c r="G1329" s="233"/>
      <c r="H1329" s="233"/>
      <c r="I1329" s="233"/>
      <c r="J1329" s="234"/>
      <c r="K1329" s="230"/>
    </row>
    <row r="1330">
      <c r="A1330" s="235"/>
      <c r="B1330" s="95"/>
      <c r="C1330" s="95"/>
      <c r="D1330" s="95"/>
      <c r="E1330" s="95"/>
      <c r="F1330" s="95"/>
      <c r="G1330" s="236"/>
      <c r="H1330" s="236"/>
      <c r="I1330" s="236"/>
      <c r="J1330" s="237"/>
      <c r="K1330" s="230"/>
    </row>
    <row r="1331">
      <c r="A1331" s="232"/>
      <c r="B1331" s="101"/>
      <c r="C1331" s="101"/>
      <c r="D1331" s="101"/>
      <c r="E1331" s="101"/>
      <c r="F1331" s="101"/>
      <c r="G1331" s="233"/>
      <c r="H1331" s="233"/>
      <c r="I1331" s="233"/>
      <c r="J1331" s="234"/>
      <c r="K1331" s="230"/>
    </row>
    <row r="1332">
      <c r="A1332" s="235"/>
      <c r="B1332" s="95"/>
      <c r="C1332" s="95"/>
      <c r="D1332" s="95"/>
      <c r="E1332" s="95"/>
      <c r="F1332" s="95"/>
      <c r="G1332" s="236"/>
      <c r="H1332" s="236"/>
      <c r="I1332" s="236"/>
      <c r="J1332" s="237"/>
      <c r="K1332" s="230"/>
    </row>
    <row r="1333">
      <c r="A1333" s="232"/>
      <c r="B1333" s="101"/>
      <c r="C1333" s="101"/>
      <c r="D1333" s="101"/>
      <c r="E1333" s="101"/>
      <c r="F1333" s="101"/>
      <c r="G1333" s="233"/>
      <c r="H1333" s="233"/>
      <c r="I1333" s="233"/>
      <c r="J1333" s="234"/>
      <c r="K1333" s="230"/>
    </row>
    <row r="1334">
      <c r="A1334" s="235"/>
      <c r="B1334" s="95"/>
      <c r="C1334" s="95"/>
      <c r="D1334" s="95"/>
      <c r="E1334" s="95"/>
      <c r="F1334" s="95"/>
      <c r="G1334" s="236"/>
      <c r="H1334" s="236"/>
      <c r="I1334" s="236"/>
      <c r="J1334" s="237"/>
      <c r="K1334" s="230"/>
    </row>
    <row r="1335">
      <c r="A1335" s="232"/>
      <c r="B1335" s="101"/>
      <c r="C1335" s="101"/>
      <c r="D1335" s="101"/>
      <c r="E1335" s="101"/>
      <c r="F1335" s="101"/>
      <c r="G1335" s="233"/>
      <c r="H1335" s="233"/>
      <c r="I1335" s="233"/>
      <c r="J1335" s="234"/>
      <c r="K1335" s="230"/>
    </row>
    <row r="1336">
      <c r="A1336" s="235"/>
      <c r="B1336" s="95"/>
      <c r="C1336" s="95"/>
      <c r="D1336" s="95"/>
      <c r="E1336" s="95"/>
      <c r="F1336" s="95"/>
      <c r="G1336" s="236"/>
      <c r="H1336" s="236"/>
      <c r="I1336" s="236"/>
      <c r="J1336" s="237"/>
      <c r="K1336" s="230"/>
    </row>
    <row r="1337">
      <c r="A1337" s="232"/>
      <c r="B1337" s="101"/>
      <c r="C1337" s="101"/>
      <c r="D1337" s="101"/>
      <c r="E1337" s="101"/>
      <c r="F1337" s="101"/>
      <c r="G1337" s="233"/>
      <c r="H1337" s="233"/>
      <c r="I1337" s="233"/>
      <c r="J1337" s="234"/>
      <c r="K1337" s="230"/>
    </row>
    <row r="1338">
      <c r="A1338" s="235"/>
      <c r="B1338" s="95"/>
      <c r="C1338" s="95"/>
      <c r="D1338" s="95"/>
      <c r="E1338" s="95"/>
      <c r="F1338" s="95"/>
      <c r="G1338" s="236"/>
      <c r="H1338" s="236"/>
      <c r="I1338" s="236"/>
      <c r="J1338" s="237"/>
      <c r="K1338" s="230"/>
    </row>
    <row r="1339">
      <c r="A1339" s="232"/>
      <c r="B1339" s="101"/>
      <c r="C1339" s="101"/>
      <c r="D1339" s="101"/>
      <c r="E1339" s="101"/>
      <c r="F1339" s="101"/>
      <c r="G1339" s="233"/>
      <c r="H1339" s="233"/>
      <c r="I1339" s="233"/>
      <c r="J1339" s="234"/>
      <c r="K1339" s="230"/>
    </row>
    <row r="1340">
      <c r="A1340" s="235"/>
      <c r="B1340" s="95"/>
      <c r="C1340" s="95"/>
      <c r="D1340" s="95"/>
      <c r="E1340" s="95"/>
      <c r="F1340" s="95"/>
      <c r="G1340" s="236"/>
      <c r="H1340" s="236"/>
      <c r="I1340" s="236"/>
      <c r="J1340" s="237"/>
      <c r="K1340" s="230"/>
    </row>
    <row r="1341">
      <c r="A1341" s="232"/>
      <c r="B1341" s="101"/>
      <c r="C1341" s="101"/>
      <c r="D1341" s="101"/>
      <c r="E1341" s="101"/>
      <c r="F1341" s="101"/>
      <c r="G1341" s="233"/>
      <c r="H1341" s="233"/>
      <c r="I1341" s="233"/>
      <c r="J1341" s="234"/>
      <c r="K1341" s="230"/>
    </row>
    <row r="1342">
      <c r="A1342" s="235"/>
      <c r="B1342" s="95"/>
      <c r="C1342" s="95"/>
      <c r="D1342" s="95"/>
      <c r="E1342" s="95"/>
      <c r="F1342" s="95"/>
      <c r="G1342" s="236"/>
      <c r="H1342" s="236"/>
      <c r="I1342" s="236"/>
      <c r="J1342" s="237"/>
      <c r="K1342" s="230"/>
    </row>
    <row r="1343">
      <c r="A1343" s="232"/>
      <c r="B1343" s="101"/>
      <c r="C1343" s="101"/>
      <c r="D1343" s="101"/>
      <c r="E1343" s="101"/>
      <c r="F1343" s="101"/>
      <c r="G1343" s="233"/>
      <c r="H1343" s="233"/>
      <c r="I1343" s="233"/>
      <c r="J1343" s="234"/>
      <c r="K1343" s="230"/>
    </row>
    <row r="1344">
      <c r="A1344" s="235"/>
      <c r="B1344" s="95"/>
      <c r="C1344" s="95"/>
      <c r="D1344" s="95"/>
      <c r="E1344" s="95"/>
      <c r="F1344" s="95"/>
      <c r="G1344" s="236"/>
      <c r="H1344" s="236"/>
      <c r="I1344" s="236"/>
      <c r="J1344" s="237"/>
      <c r="K1344" s="230"/>
    </row>
    <row r="1345">
      <c r="A1345" s="232"/>
      <c r="B1345" s="101"/>
      <c r="C1345" s="101"/>
      <c r="D1345" s="101"/>
      <c r="E1345" s="101"/>
      <c r="F1345" s="101"/>
      <c r="G1345" s="233"/>
      <c r="H1345" s="233"/>
      <c r="I1345" s="233"/>
      <c r="J1345" s="234"/>
      <c r="K1345" s="230"/>
    </row>
    <row r="1346">
      <c r="A1346" s="235"/>
      <c r="B1346" s="95"/>
      <c r="C1346" s="95"/>
      <c r="D1346" s="95"/>
      <c r="E1346" s="95"/>
      <c r="F1346" s="95"/>
      <c r="G1346" s="236"/>
      <c r="H1346" s="236"/>
      <c r="I1346" s="236"/>
      <c r="J1346" s="237"/>
      <c r="K1346" s="230"/>
    </row>
    <row r="1347">
      <c r="A1347" s="232"/>
      <c r="B1347" s="101"/>
      <c r="C1347" s="101"/>
      <c r="D1347" s="101"/>
      <c r="E1347" s="101"/>
      <c r="F1347" s="101"/>
      <c r="G1347" s="233"/>
      <c r="H1347" s="233"/>
      <c r="I1347" s="233"/>
      <c r="J1347" s="234"/>
      <c r="K1347" s="230"/>
    </row>
    <row r="1348">
      <c r="A1348" s="235"/>
      <c r="B1348" s="95"/>
      <c r="C1348" s="95"/>
      <c r="D1348" s="95"/>
      <c r="E1348" s="95"/>
      <c r="F1348" s="95"/>
      <c r="G1348" s="236"/>
      <c r="H1348" s="236"/>
      <c r="I1348" s="236"/>
      <c r="J1348" s="237"/>
      <c r="K1348" s="230"/>
    </row>
    <row r="1349">
      <c r="A1349" s="232"/>
      <c r="B1349" s="101"/>
      <c r="C1349" s="101"/>
      <c r="D1349" s="101"/>
      <c r="E1349" s="101"/>
      <c r="F1349" s="101"/>
      <c r="G1349" s="233"/>
      <c r="H1349" s="233"/>
      <c r="I1349" s="233"/>
      <c r="J1349" s="234"/>
      <c r="K1349" s="230"/>
    </row>
    <row r="1350">
      <c r="A1350" s="235"/>
      <c r="B1350" s="95"/>
      <c r="C1350" s="95"/>
      <c r="D1350" s="95"/>
      <c r="E1350" s="95"/>
      <c r="F1350" s="95"/>
      <c r="G1350" s="236"/>
      <c r="H1350" s="236"/>
      <c r="I1350" s="236"/>
      <c r="J1350" s="237"/>
      <c r="K1350" s="230"/>
    </row>
    <row r="1351">
      <c r="A1351" s="232"/>
      <c r="B1351" s="101"/>
      <c r="C1351" s="101"/>
      <c r="D1351" s="101"/>
      <c r="E1351" s="101"/>
      <c r="F1351" s="101"/>
      <c r="G1351" s="233"/>
      <c r="H1351" s="233"/>
      <c r="I1351" s="233"/>
      <c r="J1351" s="234"/>
      <c r="K1351" s="230"/>
    </row>
    <row r="1352">
      <c r="A1352" s="235"/>
      <c r="B1352" s="95"/>
      <c r="C1352" s="95"/>
      <c r="D1352" s="95"/>
      <c r="E1352" s="95"/>
      <c r="F1352" s="95"/>
      <c r="G1352" s="236"/>
      <c r="H1352" s="236"/>
      <c r="I1352" s="236"/>
      <c r="J1352" s="237"/>
      <c r="K1352" s="230"/>
    </row>
    <row r="1353">
      <c r="A1353" s="232"/>
      <c r="B1353" s="101"/>
      <c r="C1353" s="101"/>
      <c r="D1353" s="101"/>
      <c r="E1353" s="101"/>
      <c r="F1353" s="101"/>
      <c r="G1353" s="233"/>
      <c r="H1353" s="233"/>
      <c r="I1353" s="233"/>
      <c r="J1353" s="234"/>
      <c r="K1353" s="230"/>
    </row>
    <row r="1354">
      <c r="A1354" s="235"/>
      <c r="B1354" s="95"/>
      <c r="C1354" s="95"/>
      <c r="D1354" s="95"/>
      <c r="E1354" s="95"/>
      <c r="F1354" s="95"/>
      <c r="G1354" s="236"/>
      <c r="H1354" s="236"/>
      <c r="I1354" s="236"/>
      <c r="J1354" s="237"/>
      <c r="K1354" s="230"/>
    </row>
    <row r="1355">
      <c r="A1355" s="232"/>
      <c r="B1355" s="101"/>
      <c r="C1355" s="101"/>
      <c r="D1355" s="101"/>
      <c r="E1355" s="101"/>
      <c r="F1355" s="101"/>
      <c r="G1355" s="233"/>
      <c r="H1355" s="233"/>
      <c r="I1355" s="233"/>
      <c r="J1355" s="234"/>
      <c r="K1355" s="230"/>
    </row>
    <row r="1356">
      <c r="A1356" s="235"/>
      <c r="B1356" s="95"/>
      <c r="C1356" s="95"/>
      <c r="D1356" s="95"/>
      <c r="E1356" s="95"/>
      <c r="F1356" s="95"/>
      <c r="G1356" s="236"/>
      <c r="H1356" s="236"/>
      <c r="I1356" s="236"/>
      <c r="J1356" s="237"/>
      <c r="K1356" s="230"/>
    </row>
    <row r="1357">
      <c r="A1357" s="232"/>
      <c r="B1357" s="101"/>
      <c r="C1357" s="101"/>
      <c r="D1357" s="101"/>
      <c r="E1357" s="101"/>
      <c r="F1357" s="101"/>
      <c r="G1357" s="233"/>
      <c r="H1357" s="233"/>
      <c r="I1357" s="233"/>
      <c r="J1357" s="234"/>
      <c r="K1357" s="230"/>
    </row>
    <row r="1358">
      <c r="A1358" s="235"/>
      <c r="B1358" s="95"/>
      <c r="C1358" s="95"/>
      <c r="D1358" s="95"/>
      <c r="E1358" s="95"/>
      <c r="F1358" s="95"/>
      <c r="G1358" s="236"/>
      <c r="H1358" s="236"/>
      <c r="I1358" s="236"/>
      <c r="J1358" s="237"/>
      <c r="K1358" s="230"/>
    </row>
    <row r="1359">
      <c r="A1359" s="232"/>
      <c r="B1359" s="101"/>
      <c r="C1359" s="101"/>
      <c r="D1359" s="101"/>
      <c r="E1359" s="101"/>
      <c r="F1359" s="101"/>
      <c r="G1359" s="233"/>
      <c r="H1359" s="233"/>
      <c r="I1359" s="233"/>
      <c r="J1359" s="234"/>
      <c r="K1359" s="230"/>
    </row>
    <row r="1360">
      <c r="A1360" s="235"/>
      <c r="B1360" s="95"/>
      <c r="C1360" s="95"/>
      <c r="D1360" s="95"/>
      <c r="E1360" s="95"/>
      <c r="F1360" s="95"/>
      <c r="G1360" s="236"/>
      <c r="H1360" s="236"/>
      <c r="I1360" s="236"/>
      <c r="J1360" s="237"/>
      <c r="K1360" s="230"/>
    </row>
    <row r="1361">
      <c r="A1361" s="232"/>
      <c r="B1361" s="101"/>
      <c r="C1361" s="101"/>
      <c r="D1361" s="101"/>
      <c r="E1361" s="101"/>
      <c r="F1361" s="101"/>
      <c r="G1361" s="233"/>
      <c r="H1361" s="233"/>
      <c r="I1361" s="233"/>
      <c r="J1361" s="234"/>
      <c r="K1361" s="230"/>
    </row>
    <row r="1362">
      <c r="A1362" s="235"/>
      <c r="B1362" s="95"/>
      <c r="C1362" s="95"/>
      <c r="D1362" s="95"/>
      <c r="E1362" s="95"/>
      <c r="F1362" s="95"/>
      <c r="G1362" s="236"/>
      <c r="H1362" s="236"/>
      <c r="I1362" s="236"/>
      <c r="J1362" s="237"/>
      <c r="K1362" s="230"/>
    </row>
    <row r="1363">
      <c r="A1363" s="232"/>
      <c r="B1363" s="101"/>
      <c r="C1363" s="101"/>
      <c r="D1363" s="101"/>
      <c r="E1363" s="101"/>
      <c r="F1363" s="101"/>
      <c r="G1363" s="233"/>
      <c r="H1363" s="233"/>
      <c r="I1363" s="233"/>
      <c r="J1363" s="234"/>
      <c r="K1363" s="230"/>
    </row>
    <row r="1364">
      <c r="A1364" s="235"/>
      <c r="B1364" s="95"/>
      <c r="C1364" s="95"/>
      <c r="D1364" s="95"/>
      <c r="E1364" s="95"/>
      <c r="F1364" s="95"/>
      <c r="G1364" s="236"/>
      <c r="H1364" s="236"/>
      <c r="I1364" s="236"/>
      <c r="J1364" s="237"/>
      <c r="K1364" s="230"/>
    </row>
    <row r="1365">
      <c r="A1365" s="232"/>
      <c r="B1365" s="101"/>
      <c r="C1365" s="101"/>
      <c r="D1365" s="101"/>
      <c r="E1365" s="101"/>
      <c r="F1365" s="101"/>
      <c r="G1365" s="233"/>
      <c r="H1365" s="233"/>
      <c r="I1365" s="233"/>
      <c r="J1365" s="234"/>
      <c r="K1365" s="230"/>
    </row>
    <row r="1366">
      <c r="A1366" s="235"/>
      <c r="B1366" s="95"/>
      <c r="C1366" s="95"/>
      <c r="D1366" s="95"/>
      <c r="E1366" s="95"/>
      <c r="F1366" s="95"/>
      <c r="G1366" s="236"/>
      <c r="H1366" s="236"/>
      <c r="I1366" s="236"/>
      <c r="J1366" s="237"/>
      <c r="K1366" s="230"/>
    </row>
    <row r="1367">
      <c r="A1367" s="232"/>
      <c r="B1367" s="101"/>
      <c r="C1367" s="101"/>
      <c r="D1367" s="101"/>
      <c r="E1367" s="101"/>
      <c r="F1367" s="101"/>
      <c r="G1367" s="233"/>
      <c r="H1367" s="233"/>
      <c r="I1367" s="233"/>
      <c r="J1367" s="234"/>
      <c r="K1367" s="230"/>
    </row>
    <row r="1368">
      <c r="A1368" s="235"/>
      <c r="B1368" s="95"/>
      <c r="C1368" s="95"/>
      <c r="D1368" s="95"/>
      <c r="E1368" s="95"/>
      <c r="F1368" s="95"/>
      <c r="G1368" s="236"/>
      <c r="H1368" s="236"/>
      <c r="I1368" s="236"/>
      <c r="J1368" s="237"/>
      <c r="K1368" s="230"/>
    </row>
    <row r="1369">
      <c r="A1369" s="232"/>
      <c r="B1369" s="101"/>
      <c r="C1369" s="101"/>
      <c r="D1369" s="101"/>
      <c r="E1369" s="101"/>
      <c r="F1369" s="101"/>
      <c r="G1369" s="233"/>
      <c r="H1369" s="233"/>
      <c r="I1369" s="233"/>
      <c r="J1369" s="234"/>
      <c r="K1369" s="230"/>
    </row>
    <row r="1370">
      <c r="A1370" s="235"/>
      <c r="B1370" s="95"/>
      <c r="C1370" s="95"/>
      <c r="D1370" s="95"/>
      <c r="E1370" s="95"/>
      <c r="F1370" s="95"/>
      <c r="G1370" s="236"/>
      <c r="H1370" s="236"/>
      <c r="I1370" s="236"/>
      <c r="J1370" s="237"/>
      <c r="K1370" s="230"/>
    </row>
    <row r="1371">
      <c r="A1371" s="232"/>
      <c r="B1371" s="101"/>
      <c r="C1371" s="101"/>
      <c r="D1371" s="101"/>
      <c r="E1371" s="101"/>
      <c r="F1371" s="101"/>
      <c r="G1371" s="233"/>
      <c r="H1371" s="233"/>
      <c r="I1371" s="233"/>
      <c r="J1371" s="234"/>
      <c r="K1371" s="230"/>
    </row>
    <row r="1372">
      <c r="A1372" s="235"/>
      <c r="B1372" s="95"/>
      <c r="C1372" s="95"/>
      <c r="D1372" s="95"/>
      <c r="E1372" s="95"/>
      <c r="F1372" s="95"/>
      <c r="G1372" s="236"/>
      <c r="H1372" s="236"/>
      <c r="I1372" s="236"/>
      <c r="J1372" s="237"/>
      <c r="K1372" s="230"/>
    </row>
    <row r="1373">
      <c r="A1373" s="232"/>
      <c r="B1373" s="101"/>
      <c r="C1373" s="101"/>
      <c r="D1373" s="101"/>
      <c r="E1373" s="101"/>
      <c r="F1373" s="101"/>
      <c r="G1373" s="233"/>
      <c r="H1373" s="233"/>
      <c r="I1373" s="233"/>
      <c r="J1373" s="234"/>
      <c r="K1373" s="230"/>
    </row>
    <row r="1374">
      <c r="A1374" s="235"/>
      <c r="B1374" s="95"/>
      <c r="C1374" s="95"/>
      <c r="D1374" s="95"/>
      <c r="E1374" s="95"/>
      <c r="F1374" s="95"/>
      <c r="G1374" s="236"/>
      <c r="H1374" s="236"/>
      <c r="I1374" s="236"/>
      <c r="J1374" s="237"/>
      <c r="K1374" s="230"/>
    </row>
    <row r="1375">
      <c r="A1375" s="232"/>
      <c r="B1375" s="101"/>
      <c r="C1375" s="101"/>
      <c r="D1375" s="101"/>
      <c r="E1375" s="101"/>
      <c r="F1375" s="101"/>
      <c r="G1375" s="233"/>
      <c r="H1375" s="233"/>
      <c r="I1375" s="233"/>
      <c r="J1375" s="234"/>
      <c r="K1375" s="230"/>
    </row>
    <row r="1376">
      <c r="A1376" s="235"/>
      <c r="B1376" s="95"/>
      <c r="C1376" s="95"/>
      <c r="D1376" s="95"/>
      <c r="E1376" s="95"/>
      <c r="F1376" s="95"/>
      <c r="G1376" s="236"/>
      <c r="H1376" s="236"/>
      <c r="I1376" s="236"/>
      <c r="J1376" s="237"/>
      <c r="K1376" s="230"/>
    </row>
    <row r="1377">
      <c r="A1377" s="232"/>
      <c r="B1377" s="101"/>
      <c r="C1377" s="101"/>
      <c r="D1377" s="101"/>
      <c r="E1377" s="101"/>
      <c r="F1377" s="101"/>
      <c r="G1377" s="233"/>
      <c r="H1377" s="233"/>
      <c r="I1377" s="233"/>
      <c r="J1377" s="234"/>
      <c r="K1377" s="230"/>
    </row>
    <row r="1378">
      <c r="A1378" s="235"/>
      <c r="B1378" s="95"/>
      <c r="C1378" s="95"/>
      <c r="D1378" s="95"/>
      <c r="E1378" s="95"/>
      <c r="F1378" s="95"/>
      <c r="G1378" s="236"/>
      <c r="H1378" s="236"/>
      <c r="I1378" s="236"/>
      <c r="J1378" s="237"/>
      <c r="K1378" s="230"/>
    </row>
    <row r="1379">
      <c r="A1379" s="232"/>
      <c r="B1379" s="101"/>
      <c r="C1379" s="101"/>
      <c r="D1379" s="101"/>
      <c r="E1379" s="101"/>
      <c r="F1379" s="101"/>
      <c r="G1379" s="233"/>
      <c r="H1379" s="233"/>
      <c r="I1379" s="233"/>
      <c r="J1379" s="234"/>
      <c r="K1379" s="230"/>
    </row>
    <row r="1380">
      <c r="A1380" s="235"/>
      <c r="B1380" s="95"/>
      <c r="C1380" s="95"/>
      <c r="D1380" s="95"/>
      <c r="E1380" s="95"/>
      <c r="F1380" s="95"/>
      <c r="G1380" s="236"/>
      <c r="H1380" s="236"/>
      <c r="I1380" s="236"/>
      <c r="J1380" s="237"/>
      <c r="K1380" s="230"/>
    </row>
    <row r="1381">
      <c r="A1381" s="232"/>
      <c r="B1381" s="101"/>
      <c r="C1381" s="101"/>
      <c r="D1381" s="101"/>
      <c r="E1381" s="101"/>
      <c r="F1381" s="101"/>
      <c r="G1381" s="233"/>
      <c r="H1381" s="233"/>
      <c r="I1381" s="233"/>
      <c r="J1381" s="234"/>
      <c r="K1381" s="230"/>
    </row>
    <row r="1382">
      <c r="A1382" s="235"/>
      <c r="B1382" s="95"/>
      <c r="C1382" s="95"/>
      <c r="D1382" s="95"/>
      <c r="E1382" s="95"/>
      <c r="F1382" s="95"/>
      <c r="G1382" s="236"/>
      <c r="H1382" s="236"/>
      <c r="I1382" s="236"/>
      <c r="J1382" s="237"/>
      <c r="K1382" s="230"/>
    </row>
    <row r="1383">
      <c r="A1383" s="232"/>
      <c r="B1383" s="101"/>
      <c r="C1383" s="101"/>
      <c r="D1383" s="101"/>
      <c r="E1383" s="101"/>
      <c r="F1383" s="101"/>
      <c r="G1383" s="233"/>
      <c r="H1383" s="233"/>
      <c r="I1383" s="233"/>
      <c r="J1383" s="234"/>
      <c r="K1383" s="230"/>
    </row>
    <row r="1384">
      <c r="A1384" s="235"/>
      <c r="B1384" s="95"/>
      <c r="C1384" s="95"/>
      <c r="D1384" s="95"/>
      <c r="E1384" s="95"/>
      <c r="F1384" s="95"/>
      <c r="G1384" s="236"/>
      <c r="H1384" s="236"/>
      <c r="I1384" s="236"/>
      <c r="J1384" s="237"/>
      <c r="K1384" s="230"/>
    </row>
    <row r="1385">
      <c r="A1385" s="232"/>
      <c r="B1385" s="101"/>
      <c r="C1385" s="101"/>
      <c r="D1385" s="101"/>
      <c r="E1385" s="101"/>
      <c r="F1385" s="101"/>
      <c r="G1385" s="233"/>
      <c r="H1385" s="233"/>
      <c r="I1385" s="233"/>
      <c r="J1385" s="234"/>
      <c r="K1385" s="230"/>
    </row>
    <row r="1386">
      <c r="A1386" s="235"/>
      <c r="B1386" s="95"/>
      <c r="C1386" s="95"/>
      <c r="D1386" s="95"/>
      <c r="E1386" s="95"/>
      <c r="F1386" s="95"/>
      <c r="G1386" s="236"/>
      <c r="H1386" s="236"/>
      <c r="I1386" s="236"/>
      <c r="J1386" s="237"/>
      <c r="K1386" s="230"/>
    </row>
    <row r="1387">
      <c r="A1387" s="232"/>
      <c r="B1387" s="101"/>
      <c r="C1387" s="101"/>
      <c r="D1387" s="101"/>
      <c r="E1387" s="101"/>
      <c r="F1387" s="101"/>
      <c r="G1387" s="233"/>
      <c r="H1387" s="233"/>
      <c r="I1387" s="233"/>
      <c r="J1387" s="234"/>
      <c r="K1387" s="230"/>
    </row>
    <row r="1388">
      <c r="A1388" s="235"/>
      <c r="B1388" s="95"/>
      <c r="C1388" s="95"/>
      <c r="D1388" s="95"/>
      <c r="E1388" s="95"/>
      <c r="F1388" s="95"/>
      <c r="G1388" s="236"/>
      <c r="H1388" s="236"/>
      <c r="I1388" s="236"/>
      <c r="J1388" s="237"/>
      <c r="K1388" s="230"/>
    </row>
    <row r="1389">
      <c r="A1389" s="232"/>
      <c r="B1389" s="101"/>
      <c r="C1389" s="101"/>
      <c r="D1389" s="101"/>
      <c r="E1389" s="101"/>
      <c r="F1389" s="101"/>
      <c r="G1389" s="233"/>
      <c r="H1389" s="233"/>
      <c r="I1389" s="233"/>
      <c r="J1389" s="234"/>
      <c r="K1389" s="230"/>
    </row>
    <row r="1390">
      <c r="A1390" s="235"/>
      <c r="B1390" s="95"/>
      <c r="C1390" s="95"/>
      <c r="D1390" s="95"/>
      <c r="E1390" s="95"/>
      <c r="F1390" s="95"/>
      <c r="G1390" s="236"/>
      <c r="H1390" s="236"/>
      <c r="I1390" s="236"/>
      <c r="J1390" s="237"/>
      <c r="K1390" s="230"/>
    </row>
    <row r="1391">
      <c r="A1391" s="232"/>
      <c r="B1391" s="101"/>
      <c r="C1391" s="101"/>
      <c r="D1391" s="101"/>
      <c r="E1391" s="101"/>
      <c r="F1391" s="101"/>
      <c r="G1391" s="233"/>
      <c r="H1391" s="233"/>
      <c r="I1391" s="233"/>
      <c r="J1391" s="234"/>
      <c r="K1391" s="230"/>
    </row>
    <row r="1392">
      <c r="A1392" s="235"/>
      <c r="B1392" s="95"/>
      <c r="C1392" s="95"/>
      <c r="D1392" s="95"/>
      <c r="E1392" s="95"/>
      <c r="F1392" s="95"/>
      <c r="G1392" s="236"/>
      <c r="H1392" s="236"/>
      <c r="I1392" s="236"/>
      <c r="J1392" s="237"/>
      <c r="K1392" s="230"/>
    </row>
    <row r="1393">
      <c r="A1393" s="232"/>
      <c r="B1393" s="101"/>
      <c r="C1393" s="101"/>
      <c r="D1393" s="101"/>
      <c r="E1393" s="101"/>
      <c r="F1393" s="101"/>
      <c r="G1393" s="233"/>
      <c r="H1393" s="233"/>
      <c r="I1393" s="233"/>
      <c r="J1393" s="234"/>
      <c r="K1393" s="230"/>
    </row>
    <row r="1394">
      <c r="A1394" s="235"/>
      <c r="B1394" s="95"/>
      <c r="C1394" s="95"/>
      <c r="D1394" s="95"/>
      <c r="E1394" s="95"/>
      <c r="F1394" s="95"/>
      <c r="G1394" s="236"/>
      <c r="H1394" s="236"/>
      <c r="I1394" s="236"/>
      <c r="J1394" s="237"/>
      <c r="K1394" s="230"/>
    </row>
    <row r="1395">
      <c r="A1395" s="232"/>
      <c r="B1395" s="101"/>
      <c r="C1395" s="101"/>
      <c r="D1395" s="101"/>
      <c r="E1395" s="101"/>
      <c r="F1395" s="101"/>
      <c r="G1395" s="233"/>
      <c r="H1395" s="233"/>
      <c r="I1395" s="233"/>
      <c r="J1395" s="234"/>
      <c r="K1395" s="230"/>
    </row>
    <row r="1396">
      <c r="A1396" s="235"/>
      <c r="B1396" s="95"/>
      <c r="C1396" s="95"/>
      <c r="D1396" s="95"/>
      <c r="E1396" s="95"/>
      <c r="F1396" s="95"/>
      <c r="G1396" s="236"/>
      <c r="H1396" s="236"/>
      <c r="I1396" s="236"/>
      <c r="J1396" s="237"/>
      <c r="K1396" s="230"/>
    </row>
    <row r="1397">
      <c r="A1397" s="232"/>
      <c r="B1397" s="101"/>
      <c r="C1397" s="101"/>
      <c r="D1397" s="101"/>
      <c r="E1397" s="101"/>
      <c r="F1397" s="101"/>
      <c r="G1397" s="233"/>
      <c r="H1397" s="233"/>
      <c r="I1397" s="233"/>
      <c r="J1397" s="234"/>
      <c r="K1397" s="230"/>
    </row>
    <row r="1398">
      <c r="A1398" s="235"/>
      <c r="B1398" s="95"/>
      <c r="C1398" s="95"/>
      <c r="D1398" s="95"/>
      <c r="E1398" s="95"/>
      <c r="F1398" s="95"/>
      <c r="G1398" s="236"/>
      <c r="H1398" s="236"/>
      <c r="I1398" s="236"/>
      <c r="J1398" s="237"/>
      <c r="K1398" s="230"/>
    </row>
    <row r="1399">
      <c r="A1399" s="232"/>
      <c r="B1399" s="101"/>
      <c r="C1399" s="101"/>
      <c r="D1399" s="101"/>
      <c r="E1399" s="101"/>
      <c r="F1399" s="101"/>
      <c r="G1399" s="233"/>
      <c r="H1399" s="233"/>
      <c r="I1399" s="233"/>
      <c r="J1399" s="234"/>
      <c r="K1399" s="230"/>
    </row>
    <row r="1400">
      <c r="A1400" s="235"/>
      <c r="B1400" s="95"/>
      <c r="C1400" s="95"/>
      <c r="D1400" s="95"/>
      <c r="E1400" s="95"/>
      <c r="F1400" s="95"/>
      <c r="G1400" s="236"/>
      <c r="H1400" s="236"/>
      <c r="I1400" s="236"/>
      <c r="J1400" s="237"/>
      <c r="K1400" s="230"/>
    </row>
    <row r="1401">
      <c r="A1401" s="232"/>
      <c r="B1401" s="101"/>
      <c r="C1401" s="101"/>
      <c r="D1401" s="101"/>
      <c r="E1401" s="101"/>
      <c r="F1401" s="101"/>
      <c r="G1401" s="233"/>
      <c r="H1401" s="233"/>
      <c r="I1401" s="233"/>
      <c r="J1401" s="234"/>
      <c r="K1401" s="230"/>
    </row>
    <row r="1402">
      <c r="A1402" s="235"/>
      <c r="B1402" s="95"/>
      <c r="C1402" s="95"/>
      <c r="D1402" s="95"/>
      <c r="E1402" s="95"/>
      <c r="F1402" s="95"/>
      <c r="G1402" s="236"/>
      <c r="H1402" s="236"/>
      <c r="I1402" s="236"/>
      <c r="J1402" s="237"/>
      <c r="K1402" s="230"/>
    </row>
    <row r="1403">
      <c r="A1403" s="232"/>
      <c r="B1403" s="101"/>
      <c r="C1403" s="101"/>
      <c r="D1403" s="101"/>
      <c r="E1403" s="101"/>
      <c r="F1403" s="101"/>
      <c r="G1403" s="233"/>
      <c r="H1403" s="233"/>
      <c r="I1403" s="233"/>
      <c r="J1403" s="234"/>
      <c r="K1403" s="230"/>
    </row>
    <row r="1404">
      <c r="A1404" s="235"/>
      <c r="B1404" s="95"/>
      <c r="C1404" s="95"/>
      <c r="D1404" s="95"/>
      <c r="E1404" s="95"/>
      <c r="F1404" s="95"/>
      <c r="G1404" s="236"/>
      <c r="H1404" s="236"/>
      <c r="I1404" s="236"/>
      <c r="J1404" s="237"/>
      <c r="K1404" s="230"/>
    </row>
    <row r="1405">
      <c r="A1405" s="232"/>
      <c r="B1405" s="101"/>
      <c r="C1405" s="101"/>
      <c r="D1405" s="101"/>
      <c r="E1405" s="101"/>
      <c r="F1405" s="101"/>
      <c r="G1405" s="233"/>
      <c r="H1405" s="233"/>
      <c r="I1405" s="233"/>
      <c r="J1405" s="234"/>
      <c r="K1405" s="230"/>
    </row>
    <row r="1406">
      <c r="A1406" s="235"/>
      <c r="B1406" s="95"/>
      <c r="C1406" s="95"/>
      <c r="D1406" s="95"/>
      <c r="E1406" s="95"/>
      <c r="F1406" s="95"/>
      <c r="G1406" s="236"/>
      <c r="H1406" s="236"/>
      <c r="I1406" s="236"/>
      <c r="J1406" s="237"/>
      <c r="K1406" s="230"/>
    </row>
    <row r="1407">
      <c r="A1407" s="232"/>
      <c r="B1407" s="101"/>
      <c r="C1407" s="101"/>
      <c r="D1407" s="101"/>
      <c r="E1407" s="101"/>
      <c r="F1407" s="101"/>
      <c r="G1407" s="233"/>
      <c r="H1407" s="233"/>
      <c r="I1407" s="233"/>
      <c r="J1407" s="234"/>
      <c r="K1407" s="230"/>
    </row>
    <row r="1408">
      <c r="A1408" s="235"/>
      <c r="B1408" s="95"/>
      <c r="C1408" s="95"/>
      <c r="D1408" s="95"/>
      <c r="E1408" s="95"/>
      <c r="F1408" s="95"/>
      <c r="G1408" s="236"/>
      <c r="H1408" s="236"/>
      <c r="I1408" s="236"/>
      <c r="J1408" s="237"/>
      <c r="K1408" s="230"/>
    </row>
    <row r="1409">
      <c r="A1409" s="232"/>
      <c r="B1409" s="101"/>
      <c r="C1409" s="101"/>
      <c r="D1409" s="101"/>
      <c r="E1409" s="101"/>
      <c r="F1409" s="101"/>
      <c r="G1409" s="233"/>
      <c r="H1409" s="233"/>
      <c r="I1409" s="233"/>
      <c r="J1409" s="234"/>
      <c r="K1409" s="230"/>
    </row>
    <row r="1410">
      <c r="A1410" s="235"/>
      <c r="B1410" s="95"/>
      <c r="C1410" s="95"/>
      <c r="D1410" s="95"/>
      <c r="E1410" s="95"/>
      <c r="F1410" s="95"/>
      <c r="G1410" s="236"/>
      <c r="H1410" s="236"/>
      <c r="I1410" s="236"/>
      <c r="J1410" s="237"/>
      <c r="K1410" s="230"/>
    </row>
    <row r="1411">
      <c r="A1411" s="232"/>
      <c r="B1411" s="101"/>
      <c r="C1411" s="101"/>
      <c r="D1411" s="101"/>
      <c r="E1411" s="101"/>
      <c r="F1411" s="101"/>
      <c r="G1411" s="233"/>
      <c r="H1411" s="233"/>
      <c r="I1411" s="233"/>
      <c r="J1411" s="234"/>
      <c r="K1411" s="230"/>
    </row>
    <row r="1412">
      <c r="A1412" s="235"/>
      <c r="B1412" s="95"/>
      <c r="C1412" s="95"/>
      <c r="D1412" s="95"/>
      <c r="E1412" s="95"/>
      <c r="F1412" s="95"/>
      <c r="G1412" s="236"/>
      <c r="H1412" s="236"/>
      <c r="I1412" s="236"/>
      <c r="J1412" s="237"/>
      <c r="K1412" s="230"/>
    </row>
    <row r="1413">
      <c r="A1413" s="232"/>
      <c r="B1413" s="101"/>
      <c r="C1413" s="101"/>
      <c r="D1413" s="101"/>
      <c r="E1413" s="101"/>
      <c r="F1413" s="101"/>
      <c r="G1413" s="233"/>
      <c r="H1413" s="233"/>
      <c r="I1413" s="233"/>
      <c r="J1413" s="234"/>
      <c r="K1413" s="230"/>
    </row>
    <row r="1414">
      <c r="A1414" s="235"/>
      <c r="B1414" s="95"/>
      <c r="C1414" s="95"/>
      <c r="D1414" s="95"/>
      <c r="E1414" s="95"/>
      <c r="F1414" s="95"/>
      <c r="G1414" s="236"/>
      <c r="H1414" s="236"/>
      <c r="I1414" s="236"/>
      <c r="J1414" s="237"/>
      <c r="K1414" s="230"/>
    </row>
    <row r="1415">
      <c r="A1415" s="232"/>
      <c r="B1415" s="101"/>
      <c r="C1415" s="101"/>
      <c r="D1415" s="101"/>
      <c r="E1415" s="101"/>
      <c r="F1415" s="101"/>
      <c r="G1415" s="233"/>
      <c r="H1415" s="233"/>
      <c r="I1415" s="233"/>
      <c r="J1415" s="234"/>
      <c r="K1415" s="230"/>
    </row>
    <row r="1416">
      <c r="A1416" s="235"/>
      <c r="B1416" s="95"/>
      <c r="C1416" s="95"/>
      <c r="D1416" s="95"/>
      <c r="E1416" s="95"/>
      <c r="F1416" s="95"/>
      <c r="G1416" s="236"/>
      <c r="H1416" s="236"/>
      <c r="I1416" s="236"/>
      <c r="J1416" s="237"/>
      <c r="K1416" s="230"/>
    </row>
    <row r="1417">
      <c r="A1417" s="232"/>
      <c r="B1417" s="101"/>
      <c r="C1417" s="101"/>
      <c r="D1417" s="101"/>
      <c r="E1417" s="101"/>
      <c r="F1417" s="101"/>
      <c r="G1417" s="233"/>
      <c r="H1417" s="233"/>
      <c r="I1417" s="233"/>
      <c r="J1417" s="234"/>
      <c r="K1417" s="230"/>
    </row>
    <row r="1418">
      <c r="A1418" s="235"/>
      <c r="B1418" s="95"/>
      <c r="C1418" s="95"/>
      <c r="D1418" s="95"/>
      <c r="E1418" s="95"/>
      <c r="F1418" s="95"/>
      <c r="G1418" s="236"/>
      <c r="H1418" s="236"/>
      <c r="I1418" s="236"/>
      <c r="J1418" s="237"/>
      <c r="K1418" s="230"/>
    </row>
    <row r="1419">
      <c r="A1419" s="232"/>
      <c r="B1419" s="101"/>
      <c r="C1419" s="101"/>
      <c r="D1419" s="101"/>
      <c r="E1419" s="101"/>
      <c r="F1419" s="101"/>
      <c r="G1419" s="233"/>
      <c r="H1419" s="233"/>
      <c r="I1419" s="233"/>
      <c r="J1419" s="234"/>
      <c r="K1419" s="230"/>
    </row>
    <row r="1420">
      <c r="A1420" s="235"/>
      <c r="B1420" s="95"/>
      <c r="C1420" s="95"/>
      <c r="D1420" s="95"/>
      <c r="E1420" s="95"/>
      <c r="F1420" s="95"/>
      <c r="G1420" s="236"/>
      <c r="H1420" s="236"/>
      <c r="I1420" s="236"/>
      <c r="J1420" s="237"/>
      <c r="K1420" s="230"/>
    </row>
    <row r="1421">
      <c r="A1421" s="232"/>
      <c r="B1421" s="101"/>
      <c r="C1421" s="101"/>
      <c r="D1421" s="101"/>
      <c r="E1421" s="101"/>
      <c r="F1421" s="101"/>
      <c r="G1421" s="233"/>
      <c r="H1421" s="233"/>
      <c r="I1421" s="233"/>
      <c r="J1421" s="234"/>
      <c r="K1421" s="230"/>
    </row>
    <row r="1422">
      <c r="A1422" s="235"/>
      <c r="B1422" s="95"/>
      <c r="C1422" s="95"/>
      <c r="D1422" s="95"/>
      <c r="E1422" s="95"/>
      <c r="F1422" s="95"/>
      <c r="G1422" s="236"/>
      <c r="H1422" s="236"/>
      <c r="I1422" s="236"/>
      <c r="J1422" s="237"/>
      <c r="K1422" s="230"/>
    </row>
    <row r="1423">
      <c r="A1423" s="232"/>
      <c r="B1423" s="101"/>
      <c r="C1423" s="101"/>
      <c r="D1423" s="101"/>
      <c r="E1423" s="101"/>
      <c r="F1423" s="101"/>
      <c r="G1423" s="233"/>
      <c r="H1423" s="233"/>
      <c r="I1423" s="233"/>
      <c r="J1423" s="234"/>
      <c r="K1423" s="230"/>
    </row>
    <row r="1424">
      <c r="A1424" s="235"/>
      <c r="B1424" s="95"/>
      <c r="C1424" s="95"/>
      <c r="D1424" s="95"/>
      <c r="E1424" s="95"/>
      <c r="F1424" s="95"/>
      <c r="G1424" s="236"/>
      <c r="H1424" s="236"/>
      <c r="I1424" s="236"/>
      <c r="J1424" s="237"/>
      <c r="K1424" s="230"/>
    </row>
    <row r="1425">
      <c r="A1425" s="232"/>
      <c r="B1425" s="101"/>
      <c r="C1425" s="101"/>
      <c r="D1425" s="101"/>
      <c r="E1425" s="101"/>
      <c r="F1425" s="101"/>
      <c r="G1425" s="233"/>
      <c r="H1425" s="233"/>
      <c r="I1425" s="233"/>
      <c r="J1425" s="234"/>
      <c r="K1425" s="230"/>
    </row>
    <row r="1426">
      <c r="A1426" s="235"/>
      <c r="B1426" s="95"/>
      <c r="C1426" s="95"/>
      <c r="D1426" s="95"/>
      <c r="E1426" s="95"/>
      <c r="F1426" s="95"/>
      <c r="G1426" s="236"/>
      <c r="H1426" s="236"/>
      <c r="I1426" s="236"/>
      <c r="J1426" s="237"/>
      <c r="K1426" s="230"/>
    </row>
    <row r="1427">
      <c r="A1427" s="232"/>
      <c r="B1427" s="101"/>
      <c r="C1427" s="101"/>
      <c r="D1427" s="101"/>
      <c r="E1427" s="101"/>
      <c r="F1427" s="101"/>
      <c r="G1427" s="233"/>
      <c r="H1427" s="233"/>
      <c r="I1427" s="233"/>
      <c r="J1427" s="234"/>
      <c r="K1427" s="230"/>
    </row>
    <row r="1428">
      <c r="A1428" s="235"/>
      <c r="B1428" s="95"/>
      <c r="C1428" s="95"/>
      <c r="D1428" s="95"/>
      <c r="E1428" s="95"/>
      <c r="F1428" s="95"/>
      <c r="G1428" s="236"/>
      <c r="H1428" s="236"/>
      <c r="I1428" s="236"/>
      <c r="J1428" s="237"/>
      <c r="K1428" s="230"/>
    </row>
    <row r="1429">
      <c r="A1429" s="232"/>
      <c r="B1429" s="101"/>
      <c r="C1429" s="101"/>
      <c r="D1429" s="101"/>
      <c r="E1429" s="101"/>
      <c r="F1429" s="101"/>
      <c r="G1429" s="233"/>
      <c r="H1429" s="233"/>
      <c r="I1429" s="233"/>
      <c r="J1429" s="234"/>
      <c r="K1429" s="230"/>
    </row>
    <row r="1430">
      <c r="A1430" s="235"/>
      <c r="B1430" s="95"/>
      <c r="C1430" s="95"/>
      <c r="D1430" s="95"/>
      <c r="E1430" s="95"/>
      <c r="F1430" s="95"/>
      <c r="G1430" s="236"/>
      <c r="H1430" s="236"/>
      <c r="I1430" s="236"/>
      <c r="J1430" s="237"/>
      <c r="K1430" s="230"/>
    </row>
    <row r="1431">
      <c r="A1431" s="232"/>
      <c r="B1431" s="101"/>
      <c r="C1431" s="101"/>
      <c r="D1431" s="101"/>
      <c r="E1431" s="101"/>
      <c r="F1431" s="101"/>
      <c r="G1431" s="233"/>
      <c r="H1431" s="233"/>
      <c r="I1431" s="233"/>
      <c r="J1431" s="234"/>
      <c r="K1431" s="230"/>
    </row>
    <row r="1432">
      <c r="A1432" s="235"/>
      <c r="B1432" s="95"/>
      <c r="C1432" s="95"/>
      <c r="D1432" s="95"/>
      <c r="E1432" s="95"/>
      <c r="F1432" s="95"/>
      <c r="G1432" s="236"/>
      <c r="H1432" s="236"/>
      <c r="I1432" s="236"/>
      <c r="J1432" s="237"/>
      <c r="K1432" s="230"/>
    </row>
    <row r="1433">
      <c r="A1433" s="232"/>
      <c r="B1433" s="101"/>
      <c r="C1433" s="101"/>
      <c r="D1433" s="101"/>
      <c r="E1433" s="101"/>
      <c r="F1433" s="101"/>
      <c r="G1433" s="233"/>
      <c r="H1433" s="233"/>
      <c r="I1433" s="233"/>
      <c r="J1433" s="234"/>
      <c r="K1433" s="230"/>
    </row>
    <row r="1434">
      <c r="A1434" s="235"/>
      <c r="B1434" s="95"/>
      <c r="C1434" s="95"/>
      <c r="D1434" s="95"/>
      <c r="E1434" s="95"/>
      <c r="F1434" s="95"/>
      <c r="G1434" s="236"/>
      <c r="H1434" s="236"/>
      <c r="I1434" s="236"/>
      <c r="J1434" s="237"/>
      <c r="K1434" s="230"/>
    </row>
    <row r="1435">
      <c r="A1435" s="232"/>
      <c r="B1435" s="101"/>
      <c r="C1435" s="101"/>
      <c r="D1435" s="101"/>
      <c r="E1435" s="101"/>
      <c r="F1435" s="101"/>
      <c r="G1435" s="233"/>
      <c r="H1435" s="233"/>
      <c r="I1435" s="233"/>
      <c r="J1435" s="234"/>
      <c r="K1435" s="230"/>
    </row>
    <row r="1436">
      <c r="A1436" s="235"/>
      <c r="B1436" s="95"/>
      <c r="C1436" s="95"/>
      <c r="D1436" s="95"/>
      <c r="E1436" s="95"/>
      <c r="F1436" s="95"/>
      <c r="G1436" s="236"/>
      <c r="H1436" s="236"/>
      <c r="I1436" s="236"/>
      <c r="J1436" s="237"/>
      <c r="K1436" s="230"/>
    </row>
    <row r="1437">
      <c r="A1437" s="232"/>
      <c r="B1437" s="101"/>
      <c r="C1437" s="101"/>
      <c r="D1437" s="101"/>
      <c r="E1437" s="101"/>
      <c r="F1437" s="101"/>
      <c r="G1437" s="233"/>
      <c r="H1437" s="233"/>
      <c r="I1437" s="233"/>
      <c r="J1437" s="234"/>
      <c r="K1437" s="230"/>
    </row>
    <row r="1438">
      <c r="A1438" s="235"/>
      <c r="B1438" s="95"/>
      <c r="C1438" s="95"/>
      <c r="D1438" s="95"/>
      <c r="E1438" s="95"/>
      <c r="F1438" s="95"/>
      <c r="G1438" s="236"/>
      <c r="H1438" s="236"/>
      <c r="I1438" s="236"/>
      <c r="J1438" s="237"/>
      <c r="K1438" s="230"/>
    </row>
    <row r="1439">
      <c r="A1439" s="232"/>
      <c r="B1439" s="101"/>
      <c r="C1439" s="101"/>
      <c r="D1439" s="101"/>
      <c r="E1439" s="101"/>
      <c r="F1439" s="101"/>
      <c r="G1439" s="233"/>
      <c r="H1439" s="233"/>
      <c r="I1439" s="233"/>
      <c r="J1439" s="234"/>
      <c r="K1439" s="230"/>
    </row>
    <row r="1440">
      <c r="A1440" s="235"/>
      <c r="B1440" s="95"/>
      <c r="C1440" s="95"/>
      <c r="D1440" s="95"/>
      <c r="E1440" s="95"/>
      <c r="F1440" s="95"/>
      <c r="G1440" s="236"/>
      <c r="H1440" s="236"/>
      <c r="I1440" s="236"/>
      <c r="J1440" s="237"/>
      <c r="K1440" s="230"/>
    </row>
    <row r="1441">
      <c r="A1441" s="232"/>
      <c r="B1441" s="101"/>
      <c r="C1441" s="101"/>
      <c r="D1441" s="101"/>
      <c r="E1441" s="101"/>
      <c r="F1441" s="101"/>
      <c r="G1441" s="233"/>
      <c r="H1441" s="233"/>
      <c r="I1441" s="233"/>
      <c r="J1441" s="234"/>
      <c r="K1441" s="230"/>
    </row>
    <row r="1442">
      <c r="A1442" s="235"/>
      <c r="B1442" s="95"/>
      <c r="C1442" s="95"/>
      <c r="D1442" s="95"/>
      <c r="E1442" s="95"/>
      <c r="F1442" s="95"/>
      <c r="G1442" s="236"/>
      <c r="H1442" s="236"/>
      <c r="I1442" s="236"/>
      <c r="J1442" s="237"/>
      <c r="K1442" s="230"/>
    </row>
    <row r="1443">
      <c r="A1443" s="232"/>
      <c r="B1443" s="101"/>
      <c r="C1443" s="101"/>
      <c r="D1443" s="101"/>
      <c r="E1443" s="101"/>
      <c r="F1443" s="101"/>
      <c r="G1443" s="233"/>
      <c r="H1443" s="233"/>
      <c r="I1443" s="233"/>
      <c r="J1443" s="234"/>
      <c r="K1443" s="230"/>
    </row>
    <row r="1444">
      <c r="A1444" s="235"/>
      <c r="B1444" s="95"/>
      <c r="C1444" s="95"/>
      <c r="D1444" s="95"/>
      <c r="E1444" s="95"/>
      <c r="F1444" s="95"/>
      <c r="G1444" s="236"/>
      <c r="H1444" s="236"/>
      <c r="I1444" s="236"/>
      <c r="J1444" s="237"/>
      <c r="K1444" s="230"/>
    </row>
    <row r="1445">
      <c r="A1445" s="232"/>
      <c r="B1445" s="101"/>
      <c r="C1445" s="101"/>
      <c r="D1445" s="101"/>
      <c r="E1445" s="101"/>
      <c r="F1445" s="101"/>
      <c r="G1445" s="233"/>
      <c r="H1445" s="233"/>
      <c r="I1445" s="233"/>
      <c r="J1445" s="234"/>
      <c r="K1445" s="230"/>
    </row>
    <row r="1446">
      <c r="A1446" s="235"/>
      <c r="B1446" s="95"/>
      <c r="C1446" s="95"/>
      <c r="D1446" s="95"/>
      <c r="E1446" s="95"/>
      <c r="F1446" s="95"/>
      <c r="G1446" s="236"/>
      <c r="H1446" s="236"/>
      <c r="I1446" s="236"/>
      <c r="J1446" s="237"/>
      <c r="K1446" s="230"/>
    </row>
    <row r="1447">
      <c r="A1447" s="232"/>
      <c r="B1447" s="101"/>
      <c r="C1447" s="101"/>
      <c r="D1447" s="101"/>
      <c r="E1447" s="101"/>
      <c r="F1447" s="101"/>
      <c r="G1447" s="233"/>
      <c r="H1447" s="233"/>
      <c r="I1447" s="233"/>
      <c r="J1447" s="234"/>
      <c r="K1447" s="230"/>
    </row>
    <row r="1448">
      <c r="A1448" s="235"/>
      <c r="B1448" s="95"/>
      <c r="C1448" s="95"/>
      <c r="D1448" s="95"/>
      <c r="E1448" s="95"/>
      <c r="F1448" s="95"/>
      <c r="G1448" s="236"/>
      <c r="H1448" s="236"/>
      <c r="I1448" s="236"/>
      <c r="J1448" s="237"/>
      <c r="K1448" s="230"/>
    </row>
    <row r="1449">
      <c r="A1449" s="232"/>
      <c r="B1449" s="101"/>
      <c r="C1449" s="101"/>
      <c r="D1449" s="101"/>
      <c r="E1449" s="101"/>
      <c r="F1449" s="101"/>
      <c r="G1449" s="233"/>
      <c r="H1449" s="233"/>
      <c r="I1449" s="233"/>
      <c r="J1449" s="234"/>
      <c r="K1449" s="230"/>
    </row>
    <row r="1450">
      <c r="A1450" s="235"/>
      <c r="B1450" s="95"/>
      <c r="C1450" s="95"/>
      <c r="D1450" s="95"/>
      <c r="E1450" s="95"/>
      <c r="F1450" s="95"/>
      <c r="G1450" s="236"/>
      <c r="H1450" s="236"/>
      <c r="I1450" s="236"/>
      <c r="J1450" s="237"/>
      <c r="K1450" s="230"/>
    </row>
    <row r="1451">
      <c r="A1451" s="232"/>
      <c r="B1451" s="101"/>
      <c r="C1451" s="101"/>
      <c r="D1451" s="101"/>
      <c r="E1451" s="101"/>
      <c r="F1451" s="101"/>
      <c r="G1451" s="233"/>
      <c r="H1451" s="233"/>
      <c r="I1451" s="233"/>
      <c r="J1451" s="234"/>
      <c r="K1451" s="230"/>
    </row>
    <row r="1452">
      <c r="A1452" s="235"/>
      <c r="B1452" s="95"/>
      <c r="C1452" s="95"/>
      <c r="D1452" s="95"/>
      <c r="E1452" s="95"/>
      <c r="F1452" s="95"/>
      <c r="G1452" s="236"/>
      <c r="H1452" s="236"/>
      <c r="I1452" s="236"/>
      <c r="J1452" s="237"/>
      <c r="K1452" s="230"/>
    </row>
    <row r="1453">
      <c r="A1453" s="232"/>
      <c r="B1453" s="101"/>
      <c r="C1453" s="101"/>
      <c r="D1453" s="101"/>
      <c r="E1453" s="101"/>
      <c r="F1453" s="101"/>
      <c r="G1453" s="233"/>
      <c r="H1453" s="233"/>
      <c r="I1453" s="233"/>
      <c r="J1453" s="234"/>
      <c r="K1453" s="230"/>
    </row>
    <row r="1454">
      <c r="A1454" s="235"/>
      <c r="B1454" s="95"/>
      <c r="C1454" s="95"/>
      <c r="D1454" s="95"/>
      <c r="E1454" s="95"/>
      <c r="F1454" s="95"/>
      <c r="G1454" s="236"/>
      <c r="H1454" s="236"/>
      <c r="I1454" s="236"/>
      <c r="J1454" s="237"/>
      <c r="K1454" s="230"/>
    </row>
    <row r="1455">
      <c r="A1455" s="232"/>
      <c r="B1455" s="101"/>
      <c r="C1455" s="101"/>
      <c r="D1455" s="101"/>
      <c r="E1455" s="101"/>
      <c r="F1455" s="101"/>
      <c r="G1455" s="233"/>
      <c r="H1455" s="233"/>
      <c r="I1455" s="233"/>
      <c r="J1455" s="234"/>
      <c r="K1455" s="230"/>
    </row>
    <row r="1456">
      <c r="A1456" s="235"/>
      <c r="B1456" s="95"/>
      <c r="C1456" s="95"/>
      <c r="D1456" s="95"/>
      <c r="E1456" s="95"/>
      <c r="F1456" s="95"/>
      <c r="G1456" s="236"/>
      <c r="H1456" s="236"/>
      <c r="I1456" s="236"/>
      <c r="J1456" s="237"/>
      <c r="K1456" s="230"/>
    </row>
    <row r="1457">
      <c r="A1457" s="232"/>
      <c r="B1457" s="101"/>
      <c r="C1457" s="101"/>
      <c r="D1457" s="101"/>
      <c r="E1457" s="101"/>
      <c r="F1457" s="101"/>
      <c r="G1457" s="233"/>
      <c r="H1457" s="233"/>
      <c r="I1457" s="233"/>
      <c r="J1457" s="234"/>
      <c r="K1457" s="230"/>
    </row>
    <row r="1458">
      <c r="A1458" s="235"/>
      <c r="B1458" s="95"/>
      <c r="C1458" s="95"/>
      <c r="D1458" s="95"/>
      <c r="E1458" s="95"/>
      <c r="F1458" s="95"/>
      <c r="G1458" s="236"/>
      <c r="H1458" s="236"/>
      <c r="I1458" s="236"/>
      <c r="J1458" s="237"/>
      <c r="K1458" s="230"/>
    </row>
    <row r="1459">
      <c r="A1459" s="232"/>
      <c r="B1459" s="101"/>
      <c r="C1459" s="101"/>
      <c r="D1459" s="101"/>
      <c r="E1459" s="101"/>
      <c r="F1459" s="101"/>
      <c r="G1459" s="233"/>
      <c r="H1459" s="233"/>
      <c r="I1459" s="233"/>
      <c r="J1459" s="234"/>
      <c r="K1459" s="230"/>
    </row>
    <row r="1460">
      <c r="A1460" s="235"/>
      <c r="B1460" s="95"/>
      <c r="C1460" s="95"/>
      <c r="D1460" s="95"/>
      <c r="E1460" s="95"/>
      <c r="F1460" s="95"/>
      <c r="G1460" s="236"/>
      <c r="H1460" s="236"/>
      <c r="I1460" s="236"/>
      <c r="J1460" s="237"/>
      <c r="K1460" s="230"/>
    </row>
    <row r="1461">
      <c r="A1461" s="232"/>
      <c r="B1461" s="101"/>
      <c r="C1461" s="101"/>
      <c r="D1461" s="101"/>
      <c r="E1461" s="101"/>
      <c r="F1461" s="101"/>
      <c r="G1461" s="233"/>
      <c r="H1461" s="233"/>
      <c r="I1461" s="233"/>
      <c r="J1461" s="234"/>
      <c r="K1461" s="230"/>
    </row>
    <row r="1462">
      <c r="A1462" s="235"/>
      <c r="B1462" s="95"/>
      <c r="C1462" s="95"/>
      <c r="D1462" s="95"/>
      <c r="E1462" s="95"/>
      <c r="F1462" s="95"/>
      <c r="G1462" s="236"/>
      <c r="H1462" s="236"/>
      <c r="I1462" s="236"/>
      <c r="J1462" s="237"/>
      <c r="K1462" s="230"/>
    </row>
    <row r="1463">
      <c r="A1463" s="232"/>
      <c r="B1463" s="101"/>
      <c r="C1463" s="101"/>
      <c r="D1463" s="101"/>
      <c r="E1463" s="101"/>
      <c r="F1463" s="101"/>
      <c r="G1463" s="233"/>
      <c r="H1463" s="233"/>
      <c r="I1463" s="233"/>
      <c r="J1463" s="234"/>
      <c r="K1463" s="230"/>
    </row>
    <row r="1464">
      <c r="A1464" s="235"/>
      <c r="B1464" s="95"/>
      <c r="C1464" s="95"/>
      <c r="D1464" s="95"/>
      <c r="E1464" s="95"/>
      <c r="F1464" s="95"/>
      <c r="G1464" s="236"/>
      <c r="H1464" s="236"/>
      <c r="I1464" s="236"/>
      <c r="J1464" s="237"/>
      <c r="K1464" s="230"/>
    </row>
    <row r="1465">
      <c r="A1465" s="232"/>
      <c r="B1465" s="101"/>
      <c r="C1465" s="101"/>
      <c r="D1465" s="101"/>
      <c r="E1465" s="101"/>
      <c r="F1465" s="101"/>
      <c r="G1465" s="233"/>
      <c r="H1465" s="233"/>
      <c r="I1465" s="233"/>
      <c r="J1465" s="234"/>
      <c r="K1465" s="230"/>
    </row>
    <row r="1466">
      <c r="A1466" s="235"/>
      <c r="B1466" s="95"/>
      <c r="C1466" s="95"/>
      <c r="D1466" s="95"/>
      <c r="E1466" s="95"/>
      <c r="F1466" s="95"/>
      <c r="G1466" s="236"/>
      <c r="H1466" s="236"/>
      <c r="I1466" s="236"/>
      <c r="J1466" s="237"/>
      <c r="K1466" s="230"/>
    </row>
    <row r="1467">
      <c r="A1467" s="232"/>
      <c r="B1467" s="101"/>
      <c r="C1467" s="101"/>
      <c r="D1467" s="101"/>
      <c r="E1467" s="101"/>
      <c r="F1467" s="101"/>
      <c r="G1467" s="233"/>
      <c r="H1467" s="233"/>
      <c r="I1467" s="233"/>
      <c r="J1467" s="234"/>
      <c r="K1467" s="230"/>
    </row>
    <row r="1468">
      <c r="A1468" s="235"/>
      <c r="B1468" s="95"/>
      <c r="C1468" s="95"/>
      <c r="D1468" s="95"/>
      <c r="E1468" s="95"/>
      <c r="F1468" s="95"/>
      <c r="G1468" s="236"/>
      <c r="H1468" s="236"/>
      <c r="I1468" s="236"/>
      <c r="J1468" s="237"/>
      <c r="K1468" s="230"/>
    </row>
    <row r="1469">
      <c r="A1469" s="232"/>
      <c r="B1469" s="101"/>
      <c r="C1469" s="101"/>
      <c r="D1469" s="101"/>
      <c r="E1469" s="101"/>
      <c r="F1469" s="101"/>
      <c r="G1469" s="233"/>
      <c r="H1469" s="233"/>
      <c r="I1469" s="233"/>
      <c r="J1469" s="234"/>
      <c r="K1469" s="230"/>
    </row>
    <row r="1470">
      <c r="A1470" s="235"/>
      <c r="B1470" s="95"/>
      <c r="C1470" s="95"/>
      <c r="D1470" s="95"/>
      <c r="E1470" s="95"/>
      <c r="F1470" s="95"/>
      <c r="G1470" s="236"/>
      <c r="H1470" s="236"/>
      <c r="I1470" s="236"/>
      <c r="J1470" s="237"/>
      <c r="K1470" s="230"/>
    </row>
    <row r="1471">
      <c r="A1471" s="232"/>
      <c r="B1471" s="101"/>
      <c r="C1471" s="101"/>
      <c r="D1471" s="101"/>
      <c r="E1471" s="101"/>
      <c r="F1471" s="101"/>
      <c r="G1471" s="233"/>
      <c r="H1471" s="233"/>
      <c r="I1471" s="233"/>
      <c r="J1471" s="234"/>
      <c r="K1471" s="230"/>
    </row>
    <row r="1472">
      <c r="A1472" s="235"/>
      <c r="B1472" s="95"/>
      <c r="C1472" s="95"/>
      <c r="D1472" s="95"/>
      <c r="E1472" s="95"/>
      <c r="F1472" s="95"/>
      <c r="G1472" s="236"/>
      <c r="H1472" s="236"/>
      <c r="I1472" s="236"/>
      <c r="J1472" s="237"/>
      <c r="K1472" s="230"/>
    </row>
    <row r="1473">
      <c r="A1473" s="232"/>
      <c r="B1473" s="101"/>
      <c r="C1473" s="101"/>
      <c r="D1473" s="101"/>
      <c r="E1473" s="101"/>
      <c r="F1473" s="101"/>
      <c r="G1473" s="233"/>
      <c r="H1473" s="233"/>
      <c r="I1473" s="233"/>
      <c r="J1473" s="234"/>
      <c r="K1473" s="230"/>
    </row>
    <row r="1474">
      <c r="A1474" s="235"/>
      <c r="B1474" s="95"/>
      <c r="C1474" s="95"/>
      <c r="D1474" s="95"/>
      <c r="E1474" s="95"/>
      <c r="F1474" s="95"/>
      <c r="G1474" s="236"/>
      <c r="H1474" s="236"/>
      <c r="I1474" s="236"/>
      <c r="J1474" s="237"/>
      <c r="K1474" s="230"/>
    </row>
    <row r="1475">
      <c r="A1475" s="232"/>
      <c r="B1475" s="101"/>
      <c r="C1475" s="101"/>
      <c r="D1475" s="101"/>
      <c r="E1475" s="101"/>
      <c r="F1475" s="101"/>
      <c r="G1475" s="233"/>
      <c r="H1475" s="233"/>
      <c r="I1475" s="233"/>
      <c r="J1475" s="234"/>
      <c r="K1475" s="230"/>
    </row>
    <row r="1476">
      <c r="A1476" s="235"/>
      <c r="B1476" s="95"/>
      <c r="C1476" s="95"/>
      <c r="D1476" s="95"/>
      <c r="E1476" s="95"/>
      <c r="F1476" s="95"/>
      <c r="G1476" s="236"/>
      <c r="H1476" s="236"/>
      <c r="I1476" s="236"/>
      <c r="J1476" s="237"/>
      <c r="K1476" s="230"/>
    </row>
    <row r="1477">
      <c r="A1477" s="232"/>
      <c r="B1477" s="101"/>
      <c r="C1477" s="101"/>
      <c r="D1477" s="101"/>
      <c r="E1477" s="101"/>
      <c r="F1477" s="101"/>
      <c r="G1477" s="233"/>
      <c r="H1477" s="233"/>
      <c r="I1477" s="233"/>
      <c r="J1477" s="234"/>
      <c r="K1477" s="230"/>
    </row>
    <row r="1478">
      <c r="A1478" s="235"/>
      <c r="B1478" s="95"/>
      <c r="C1478" s="95"/>
      <c r="D1478" s="95"/>
      <c r="E1478" s="95"/>
      <c r="F1478" s="95"/>
      <c r="G1478" s="236"/>
      <c r="H1478" s="236"/>
      <c r="I1478" s="236"/>
      <c r="J1478" s="237"/>
      <c r="K1478" s="230"/>
    </row>
    <row r="1479">
      <c r="A1479" s="232"/>
      <c r="B1479" s="101"/>
      <c r="C1479" s="101"/>
      <c r="D1479" s="101"/>
      <c r="E1479" s="101"/>
      <c r="F1479" s="101"/>
      <c r="G1479" s="233"/>
      <c r="H1479" s="233"/>
      <c r="I1479" s="233"/>
      <c r="J1479" s="234"/>
      <c r="K1479" s="230"/>
    </row>
    <row r="1480">
      <c r="A1480" s="235"/>
      <c r="B1480" s="95"/>
      <c r="C1480" s="95"/>
      <c r="D1480" s="95"/>
      <c r="E1480" s="95"/>
      <c r="F1480" s="95"/>
      <c r="G1480" s="236"/>
      <c r="H1480" s="236"/>
      <c r="I1480" s="236"/>
      <c r="J1480" s="237"/>
      <c r="K1480" s="230"/>
    </row>
    <row r="1481">
      <c r="A1481" s="232"/>
      <c r="B1481" s="101"/>
      <c r="C1481" s="101"/>
      <c r="D1481" s="101"/>
      <c r="E1481" s="101"/>
      <c r="F1481" s="101"/>
      <c r="G1481" s="233"/>
      <c r="H1481" s="233"/>
      <c r="I1481" s="233"/>
      <c r="J1481" s="234"/>
      <c r="K1481" s="230"/>
    </row>
    <row r="1482">
      <c r="A1482" s="235"/>
      <c r="B1482" s="95"/>
      <c r="C1482" s="95"/>
      <c r="D1482" s="95"/>
      <c r="E1482" s="95"/>
      <c r="F1482" s="95"/>
      <c r="G1482" s="236"/>
      <c r="H1482" s="236"/>
      <c r="I1482" s="236"/>
      <c r="J1482" s="237"/>
      <c r="K1482" s="230"/>
    </row>
    <row r="1483">
      <c r="A1483" s="232"/>
      <c r="B1483" s="101"/>
      <c r="C1483" s="101"/>
      <c r="D1483" s="101"/>
      <c r="E1483" s="101"/>
      <c r="F1483" s="101"/>
      <c r="G1483" s="233"/>
      <c r="H1483" s="233"/>
      <c r="I1483" s="233"/>
      <c r="J1483" s="234"/>
      <c r="K1483" s="230"/>
    </row>
    <row r="1484">
      <c r="A1484" s="235"/>
      <c r="B1484" s="95"/>
      <c r="C1484" s="95"/>
      <c r="D1484" s="95"/>
      <c r="E1484" s="95"/>
      <c r="F1484" s="95"/>
      <c r="G1484" s="236"/>
      <c r="H1484" s="236"/>
      <c r="I1484" s="236"/>
      <c r="J1484" s="237"/>
      <c r="K1484" s="230"/>
    </row>
    <row r="1485">
      <c r="A1485" s="232"/>
      <c r="B1485" s="101"/>
      <c r="C1485" s="101"/>
      <c r="D1485" s="101"/>
      <c r="E1485" s="101"/>
      <c r="F1485" s="101"/>
      <c r="G1485" s="233"/>
      <c r="H1485" s="233"/>
      <c r="I1485" s="233"/>
      <c r="J1485" s="234"/>
      <c r="K1485" s="230"/>
    </row>
    <row r="1486">
      <c r="A1486" s="235"/>
      <c r="B1486" s="95"/>
      <c r="C1486" s="95"/>
      <c r="D1486" s="95"/>
      <c r="E1486" s="95"/>
      <c r="F1486" s="95"/>
      <c r="G1486" s="236"/>
      <c r="H1486" s="236"/>
      <c r="I1486" s="236"/>
      <c r="J1486" s="237"/>
      <c r="K1486" s="230"/>
    </row>
    <row r="1487">
      <c r="A1487" s="232"/>
      <c r="B1487" s="101"/>
      <c r="C1487" s="101"/>
      <c r="D1487" s="101"/>
      <c r="E1487" s="101"/>
      <c r="F1487" s="101"/>
      <c r="G1487" s="233"/>
      <c r="H1487" s="233"/>
      <c r="I1487" s="233"/>
      <c r="J1487" s="234"/>
      <c r="K1487" s="230"/>
    </row>
    <row r="1488">
      <c r="A1488" s="235"/>
      <c r="B1488" s="95"/>
      <c r="C1488" s="95"/>
      <c r="D1488" s="95"/>
      <c r="E1488" s="95"/>
      <c r="F1488" s="95"/>
      <c r="G1488" s="236"/>
      <c r="H1488" s="236"/>
      <c r="I1488" s="236"/>
      <c r="J1488" s="237"/>
      <c r="K1488" s="230"/>
    </row>
    <row r="1489">
      <c r="A1489" s="232"/>
      <c r="B1489" s="101"/>
      <c r="C1489" s="101"/>
      <c r="D1489" s="101"/>
      <c r="E1489" s="101"/>
      <c r="F1489" s="101"/>
      <c r="G1489" s="233"/>
      <c r="H1489" s="233"/>
      <c r="I1489" s="233"/>
      <c r="J1489" s="234"/>
      <c r="K1489" s="230"/>
    </row>
    <row r="1490">
      <c r="A1490" s="235"/>
      <c r="B1490" s="95"/>
      <c r="C1490" s="95"/>
      <c r="D1490" s="95"/>
      <c r="E1490" s="95"/>
      <c r="F1490" s="95"/>
      <c r="G1490" s="236"/>
      <c r="H1490" s="236"/>
      <c r="I1490" s="236"/>
      <c r="J1490" s="237"/>
      <c r="K1490" s="230"/>
    </row>
    <row r="1491">
      <c r="A1491" s="232"/>
      <c r="B1491" s="101"/>
      <c r="C1491" s="101"/>
      <c r="D1491" s="101"/>
      <c r="E1491" s="101"/>
      <c r="F1491" s="101"/>
      <c r="G1491" s="233"/>
      <c r="H1491" s="233"/>
      <c r="I1491" s="233"/>
      <c r="J1491" s="234"/>
      <c r="K1491" s="230"/>
    </row>
    <row r="1492">
      <c r="A1492" s="235"/>
      <c r="B1492" s="95"/>
      <c r="C1492" s="95"/>
      <c r="D1492" s="95"/>
      <c r="E1492" s="95"/>
      <c r="F1492" s="95"/>
      <c r="G1492" s="236"/>
      <c r="H1492" s="236"/>
      <c r="I1492" s="236"/>
      <c r="J1492" s="237"/>
      <c r="K1492" s="230"/>
    </row>
    <row r="1493">
      <c r="A1493" s="232"/>
      <c r="B1493" s="101"/>
      <c r="C1493" s="101"/>
      <c r="D1493" s="101"/>
      <c r="E1493" s="101"/>
      <c r="F1493" s="101"/>
      <c r="G1493" s="233"/>
      <c r="H1493" s="233"/>
      <c r="I1493" s="233"/>
      <c r="J1493" s="234"/>
      <c r="K1493" s="230"/>
    </row>
    <row r="1494">
      <c r="A1494" s="235"/>
      <c r="B1494" s="95"/>
      <c r="C1494" s="95"/>
      <c r="D1494" s="95"/>
      <c r="E1494" s="95"/>
      <c r="F1494" s="95"/>
      <c r="G1494" s="236"/>
      <c r="H1494" s="236"/>
      <c r="I1494" s="236"/>
      <c r="J1494" s="237"/>
      <c r="K1494" s="230"/>
    </row>
    <row r="1495">
      <c r="A1495" s="232"/>
      <c r="B1495" s="101"/>
      <c r="C1495" s="101"/>
      <c r="D1495" s="101"/>
      <c r="E1495" s="101"/>
      <c r="F1495" s="101"/>
      <c r="G1495" s="233"/>
      <c r="H1495" s="233"/>
      <c r="I1495" s="233"/>
      <c r="J1495" s="234"/>
      <c r="K1495" s="230"/>
    </row>
    <row r="1496">
      <c r="A1496" s="235"/>
      <c r="B1496" s="95"/>
      <c r="C1496" s="95"/>
      <c r="D1496" s="95"/>
      <c r="E1496" s="95"/>
      <c r="F1496" s="95"/>
      <c r="G1496" s="236"/>
      <c r="H1496" s="236"/>
      <c r="I1496" s="236"/>
      <c r="J1496" s="237"/>
      <c r="K1496" s="230"/>
    </row>
    <row r="1497">
      <c r="A1497" s="232"/>
      <c r="B1497" s="101"/>
      <c r="C1497" s="101"/>
      <c r="D1497" s="101"/>
      <c r="E1497" s="101"/>
      <c r="F1497" s="101"/>
      <c r="G1497" s="233"/>
      <c r="H1497" s="233"/>
      <c r="I1497" s="233"/>
      <c r="J1497" s="234"/>
      <c r="K1497" s="230"/>
    </row>
    <row r="1498">
      <c r="A1498" s="235"/>
      <c r="B1498" s="95"/>
      <c r="C1498" s="95"/>
      <c r="D1498" s="95"/>
      <c r="E1498" s="95"/>
      <c r="F1498" s="95"/>
      <c r="G1498" s="236"/>
      <c r="H1498" s="236"/>
      <c r="I1498" s="236"/>
      <c r="J1498" s="237"/>
      <c r="K1498" s="230"/>
    </row>
    <row r="1499">
      <c r="A1499" s="232"/>
      <c r="B1499" s="101"/>
      <c r="C1499" s="101"/>
      <c r="D1499" s="101"/>
      <c r="E1499" s="101"/>
      <c r="F1499" s="101"/>
      <c r="G1499" s="233"/>
      <c r="H1499" s="233"/>
      <c r="I1499" s="233"/>
      <c r="J1499" s="234"/>
      <c r="K1499" s="230"/>
    </row>
    <row r="1500">
      <c r="A1500" s="235"/>
      <c r="B1500" s="95"/>
      <c r="C1500" s="95"/>
      <c r="D1500" s="95"/>
      <c r="E1500" s="95"/>
      <c r="F1500" s="95"/>
      <c r="G1500" s="236"/>
      <c r="H1500" s="236"/>
      <c r="I1500" s="236"/>
      <c r="J1500" s="237"/>
      <c r="K1500" s="230"/>
    </row>
    <row r="1501">
      <c r="A1501" s="232"/>
      <c r="B1501" s="101"/>
      <c r="C1501" s="101"/>
      <c r="D1501" s="101"/>
      <c r="E1501" s="101"/>
      <c r="F1501" s="101"/>
      <c r="G1501" s="233"/>
      <c r="H1501" s="233"/>
      <c r="I1501" s="233"/>
      <c r="J1501" s="234"/>
      <c r="K1501" s="230"/>
    </row>
    <row r="1502">
      <c r="A1502" s="235"/>
      <c r="B1502" s="95"/>
      <c r="C1502" s="95"/>
      <c r="D1502" s="95"/>
      <c r="E1502" s="95"/>
      <c r="F1502" s="95"/>
      <c r="G1502" s="236"/>
      <c r="H1502" s="236"/>
      <c r="I1502" s="236"/>
      <c r="J1502" s="237"/>
      <c r="K1502" s="230"/>
    </row>
    <row r="1503">
      <c r="A1503" s="232"/>
      <c r="B1503" s="101"/>
      <c r="C1503" s="101"/>
      <c r="D1503" s="101"/>
      <c r="E1503" s="101"/>
      <c r="F1503" s="101"/>
      <c r="G1503" s="233"/>
      <c r="H1503" s="233"/>
      <c r="I1503" s="233"/>
      <c r="J1503" s="234"/>
      <c r="K1503" s="230"/>
    </row>
    <row r="1504">
      <c r="A1504" s="235"/>
      <c r="B1504" s="95"/>
      <c r="C1504" s="95"/>
      <c r="D1504" s="95"/>
      <c r="E1504" s="95"/>
      <c r="F1504" s="95"/>
      <c r="G1504" s="236"/>
      <c r="H1504" s="236"/>
      <c r="I1504" s="236"/>
      <c r="J1504" s="237"/>
      <c r="K1504" s="230"/>
    </row>
    <row r="1505">
      <c r="A1505" s="232"/>
      <c r="B1505" s="101"/>
      <c r="C1505" s="101"/>
      <c r="D1505" s="101"/>
      <c r="E1505" s="101"/>
      <c r="F1505" s="101"/>
      <c r="G1505" s="233"/>
      <c r="H1505" s="233"/>
      <c r="I1505" s="233"/>
      <c r="J1505" s="234"/>
      <c r="K1505" s="230"/>
    </row>
    <row r="1506">
      <c r="A1506" s="235"/>
      <c r="B1506" s="95"/>
      <c r="C1506" s="95"/>
      <c r="D1506" s="95"/>
      <c r="E1506" s="95"/>
      <c r="F1506" s="95"/>
      <c r="G1506" s="236"/>
      <c r="H1506" s="236"/>
      <c r="I1506" s="236"/>
      <c r="J1506" s="237"/>
      <c r="K1506" s="230"/>
    </row>
    <row r="1507">
      <c r="A1507" s="232"/>
      <c r="B1507" s="101"/>
      <c r="C1507" s="101"/>
      <c r="D1507" s="101"/>
      <c r="E1507" s="101"/>
      <c r="F1507" s="101"/>
      <c r="G1507" s="233"/>
      <c r="H1507" s="233"/>
      <c r="I1507" s="233"/>
      <c r="J1507" s="234"/>
      <c r="K1507" s="230"/>
    </row>
    <row r="1508">
      <c r="A1508" s="235"/>
      <c r="B1508" s="95"/>
      <c r="C1508" s="95"/>
      <c r="D1508" s="95"/>
      <c r="E1508" s="95"/>
      <c r="F1508" s="95"/>
      <c r="G1508" s="236"/>
      <c r="H1508" s="236"/>
      <c r="I1508" s="236"/>
      <c r="J1508" s="237"/>
      <c r="K1508" s="230"/>
    </row>
    <row r="1509">
      <c r="A1509" s="232"/>
      <c r="B1509" s="101"/>
      <c r="C1509" s="101"/>
      <c r="D1509" s="101"/>
      <c r="E1509" s="101"/>
      <c r="F1509" s="101"/>
      <c r="G1509" s="233"/>
      <c r="H1509" s="233"/>
      <c r="I1509" s="233"/>
      <c r="J1509" s="234"/>
      <c r="K1509" s="230"/>
    </row>
    <row r="1510">
      <c r="A1510" s="235"/>
      <c r="B1510" s="95"/>
      <c r="C1510" s="95"/>
      <c r="D1510" s="95"/>
      <c r="E1510" s="95"/>
      <c r="F1510" s="95"/>
      <c r="G1510" s="236"/>
      <c r="H1510" s="236"/>
      <c r="I1510" s="236"/>
      <c r="J1510" s="237"/>
      <c r="K1510" s="230"/>
    </row>
    <row r="1511">
      <c r="A1511" s="232"/>
      <c r="B1511" s="101"/>
      <c r="C1511" s="101"/>
      <c r="D1511" s="101"/>
      <c r="E1511" s="101"/>
      <c r="F1511" s="101"/>
      <c r="G1511" s="233"/>
      <c r="H1511" s="233"/>
      <c r="I1511" s="233"/>
      <c r="J1511" s="234"/>
      <c r="K1511" s="230"/>
    </row>
    <row r="1512">
      <c r="A1512" s="235"/>
      <c r="B1512" s="95"/>
      <c r="C1512" s="95"/>
      <c r="D1512" s="95"/>
      <c r="E1512" s="95"/>
      <c r="F1512" s="95"/>
      <c r="G1512" s="236"/>
      <c r="H1512" s="236"/>
      <c r="I1512" s="236"/>
      <c r="J1512" s="237"/>
      <c r="K1512" s="230"/>
    </row>
    <row r="1513">
      <c r="A1513" s="232"/>
      <c r="B1513" s="101"/>
      <c r="C1513" s="101"/>
      <c r="D1513" s="101"/>
      <c r="E1513" s="101"/>
      <c r="F1513" s="101"/>
      <c r="G1513" s="233"/>
      <c r="H1513" s="233"/>
      <c r="I1513" s="233"/>
      <c r="J1513" s="234"/>
      <c r="K1513" s="230"/>
    </row>
    <row r="1514">
      <c r="A1514" s="235"/>
      <c r="B1514" s="95"/>
      <c r="C1514" s="95"/>
      <c r="D1514" s="95"/>
      <c r="E1514" s="95"/>
      <c r="F1514" s="95"/>
      <c r="G1514" s="236"/>
      <c r="H1514" s="236"/>
      <c r="I1514" s="236"/>
      <c r="J1514" s="237"/>
      <c r="K1514" s="230"/>
    </row>
    <row r="1515">
      <c r="A1515" s="232"/>
      <c r="B1515" s="101"/>
      <c r="C1515" s="101"/>
      <c r="D1515" s="101"/>
      <c r="E1515" s="101"/>
      <c r="F1515" s="101"/>
      <c r="G1515" s="233"/>
      <c r="H1515" s="233"/>
      <c r="I1515" s="233"/>
      <c r="J1515" s="234"/>
      <c r="K1515" s="230"/>
    </row>
    <row r="1516">
      <c r="A1516" s="235"/>
      <c r="B1516" s="95"/>
      <c r="C1516" s="95"/>
      <c r="D1516" s="95"/>
      <c r="E1516" s="95"/>
      <c r="F1516" s="95"/>
      <c r="G1516" s="236"/>
      <c r="H1516" s="236"/>
      <c r="I1516" s="236"/>
      <c r="J1516" s="237"/>
      <c r="K1516" s="230"/>
    </row>
    <row r="1517">
      <c r="A1517" s="232"/>
      <c r="B1517" s="101"/>
      <c r="C1517" s="101"/>
      <c r="D1517" s="101"/>
      <c r="E1517" s="101"/>
      <c r="F1517" s="101"/>
      <c r="G1517" s="233"/>
      <c r="H1517" s="233"/>
      <c r="I1517" s="233"/>
      <c r="J1517" s="234"/>
      <c r="K1517" s="230"/>
    </row>
    <row r="1518">
      <c r="A1518" s="235"/>
      <c r="B1518" s="95"/>
      <c r="C1518" s="95"/>
      <c r="D1518" s="95"/>
      <c r="E1518" s="95"/>
      <c r="F1518" s="95"/>
      <c r="G1518" s="236"/>
      <c r="H1518" s="236"/>
      <c r="I1518" s="236"/>
      <c r="J1518" s="237"/>
      <c r="K1518" s="230"/>
    </row>
    <row r="1519">
      <c r="A1519" s="232"/>
      <c r="B1519" s="101"/>
      <c r="C1519" s="101"/>
      <c r="D1519" s="101"/>
      <c r="E1519" s="101"/>
      <c r="F1519" s="101"/>
      <c r="G1519" s="233"/>
      <c r="H1519" s="233"/>
      <c r="I1519" s="233"/>
      <c r="J1519" s="234"/>
      <c r="K1519" s="230"/>
    </row>
    <row r="1520">
      <c r="A1520" s="235"/>
      <c r="B1520" s="95"/>
      <c r="C1520" s="95"/>
      <c r="D1520" s="95"/>
      <c r="E1520" s="95"/>
      <c r="F1520" s="95"/>
      <c r="G1520" s="236"/>
      <c r="H1520" s="236"/>
      <c r="I1520" s="236"/>
      <c r="J1520" s="237"/>
      <c r="K1520" s="230"/>
    </row>
    <row r="1521">
      <c r="A1521" s="232"/>
      <c r="B1521" s="101"/>
      <c r="C1521" s="101"/>
      <c r="D1521" s="101"/>
      <c r="E1521" s="101"/>
      <c r="F1521" s="101"/>
      <c r="G1521" s="233"/>
      <c r="H1521" s="233"/>
      <c r="I1521" s="233"/>
      <c r="J1521" s="234"/>
      <c r="K1521" s="230"/>
    </row>
    <row r="1522">
      <c r="A1522" s="235"/>
      <c r="B1522" s="95"/>
      <c r="C1522" s="95"/>
      <c r="D1522" s="95"/>
      <c r="E1522" s="95"/>
      <c r="F1522" s="95"/>
      <c r="G1522" s="236"/>
      <c r="H1522" s="236"/>
      <c r="I1522" s="236"/>
      <c r="J1522" s="237"/>
      <c r="K1522" s="230"/>
    </row>
    <row r="1523">
      <c r="A1523" s="232"/>
      <c r="B1523" s="101"/>
      <c r="C1523" s="101"/>
      <c r="D1523" s="101"/>
      <c r="E1523" s="101"/>
      <c r="F1523" s="101"/>
      <c r="G1523" s="233"/>
      <c r="H1523" s="233"/>
      <c r="I1523" s="233"/>
      <c r="J1523" s="234"/>
      <c r="K1523" s="230"/>
    </row>
    <row r="1524">
      <c r="A1524" s="235"/>
      <c r="B1524" s="95"/>
      <c r="C1524" s="95"/>
      <c r="D1524" s="95"/>
      <c r="E1524" s="95"/>
      <c r="F1524" s="95"/>
      <c r="G1524" s="236"/>
      <c r="H1524" s="236"/>
      <c r="I1524" s="236"/>
      <c r="J1524" s="237"/>
      <c r="K1524" s="230"/>
    </row>
    <row r="1525">
      <c r="A1525" s="232"/>
      <c r="B1525" s="101"/>
      <c r="C1525" s="101"/>
      <c r="D1525" s="101"/>
      <c r="E1525" s="101"/>
      <c r="F1525" s="101"/>
      <c r="G1525" s="233"/>
      <c r="H1525" s="233"/>
      <c r="I1525" s="233"/>
      <c r="J1525" s="234"/>
      <c r="K1525" s="230"/>
    </row>
    <row r="1526">
      <c r="A1526" s="235"/>
      <c r="B1526" s="95"/>
      <c r="C1526" s="95"/>
      <c r="D1526" s="95"/>
      <c r="E1526" s="95"/>
      <c r="F1526" s="95"/>
      <c r="G1526" s="236"/>
      <c r="H1526" s="236"/>
      <c r="I1526" s="236"/>
      <c r="J1526" s="237"/>
      <c r="K1526" s="230"/>
    </row>
    <row r="1527">
      <c r="A1527" s="232"/>
      <c r="B1527" s="101"/>
      <c r="C1527" s="101"/>
      <c r="D1527" s="101"/>
      <c r="E1527" s="101"/>
      <c r="F1527" s="101"/>
      <c r="G1527" s="233"/>
      <c r="H1527" s="233"/>
      <c r="I1527" s="233"/>
      <c r="J1527" s="234"/>
      <c r="K1527" s="230"/>
    </row>
    <row r="1528">
      <c r="A1528" s="235"/>
      <c r="B1528" s="95"/>
      <c r="C1528" s="95"/>
      <c r="D1528" s="95"/>
      <c r="E1528" s="95"/>
      <c r="F1528" s="95"/>
      <c r="G1528" s="236"/>
      <c r="H1528" s="236"/>
      <c r="I1528" s="236"/>
      <c r="J1528" s="237"/>
      <c r="K1528" s="230"/>
    </row>
    <row r="1529">
      <c r="A1529" s="232"/>
      <c r="B1529" s="101"/>
      <c r="C1529" s="101"/>
      <c r="D1529" s="101"/>
      <c r="E1529" s="101"/>
      <c r="F1529" s="101"/>
      <c r="G1529" s="233"/>
      <c r="H1529" s="233"/>
      <c r="I1529" s="233"/>
      <c r="J1529" s="234"/>
      <c r="K1529" s="230"/>
    </row>
    <row r="1530">
      <c r="A1530" s="235"/>
      <c r="B1530" s="95"/>
      <c r="C1530" s="95"/>
      <c r="D1530" s="95"/>
      <c r="E1530" s="95"/>
      <c r="F1530" s="95"/>
      <c r="G1530" s="236"/>
      <c r="H1530" s="236"/>
      <c r="I1530" s="236"/>
      <c r="J1530" s="237"/>
      <c r="K1530" s="230"/>
    </row>
    <row r="1531">
      <c r="A1531" s="232"/>
      <c r="B1531" s="101"/>
      <c r="C1531" s="101"/>
      <c r="D1531" s="101"/>
      <c r="E1531" s="101"/>
      <c r="F1531" s="101"/>
      <c r="G1531" s="233"/>
      <c r="H1531" s="233"/>
      <c r="I1531" s="233"/>
      <c r="J1531" s="234"/>
      <c r="K1531" s="230"/>
    </row>
    <row r="1532">
      <c r="A1532" s="235"/>
      <c r="B1532" s="95"/>
      <c r="C1532" s="95"/>
      <c r="D1532" s="95"/>
      <c r="E1532" s="95"/>
      <c r="F1532" s="95"/>
      <c r="G1532" s="236"/>
      <c r="H1532" s="236"/>
      <c r="I1532" s="236"/>
      <c r="J1532" s="237"/>
      <c r="K1532" s="230"/>
    </row>
    <row r="1533">
      <c r="A1533" s="232"/>
      <c r="B1533" s="101"/>
      <c r="C1533" s="101"/>
      <c r="D1533" s="101"/>
      <c r="E1533" s="101"/>
      <c r="F1533" s="101"/>
      <c r="G1533" s="233"/>
      <c r="H1533" s="233"/>
      <c r="I1533" s="233"/>
      <c r="J1533" s="234"/>
      <c r="K1533" s="230"/>
    </row>
    <row r="1534">
      <c r="A1534" s="235"/>
      <c r="B1534" s="95"/>
      <c r="C1534" s="95"/>
      <c r="D1534" s="95"/>
      <c r="E1534" s="95"/>
      <c r="F1534" s="95"/>
      <c r="G1534" s="236"/>
      <c r="H1534" s="236"/>
      <c r="I1534" s="236"/>
      <c r="J1534" s="237"/>
      <c r="K1534" s="230"/>
    </row>
    <row r="1535">
      <c r="A1535" s="232"/>
      <c r="B1535" s="101"/>
      <c r="C1535" s="101"/>
      <c r="D1535" s="101"/>
      <c r="E1535" s="101"/>
      <c r="F1535" s="101"/>
      <c r="G1535" s="233"/>
      <c r="H1535" s="233"/>
      <c r="I1535" s="233"/>
      <c r="J1535" s="234"/>
      <c r="K1535" s="230"/>
    </row>
    <row r="1536">
      <c r="A1536" s="235"/>
      <c r="B1536" s="95"/>
      <c r="C1536" s="95"/>
      <c r="D1536" s="95"/>
      <c r="E1536" s="95"/>
      <c r="F1536" s="95"/>
      <c r="G1536" s="236"/>
      <c r="H1536" s="236"/>
      <c r="I1536" s="236"/>
      <c r="J1536" s="237"/>
      <c r="K1536" s="230"/>
    </row>
    <row r="1537">
      <c r="A1537" s="232"/>
      <c r="B1537" s="101"/>
      <c r="C1537" s="101"/>
      <c r="D1537" s="101"/>
      <c r="E1537" s="101"/>
      <c r="F1537" s="101"/>
      <c r="G1537" s="233"/>
      <c r="H1537" s="233"/>
      <c r="I1537" s="233"/>
      <c r="J1537" s="234"/>
      <c r="K1537" s="230"/>
    </row>
    <row r="1538">
      <c r="A1538" s="235"/>
      <c r="B1538" s="95"/>
      <c r="C1538" s="95"/>
      <c r="D1538" s="95"/>
      <c r="E1538" s="95"/>
      <c r="F1538" s="95"/>
      <c r="G1538" s="236"/>
      <c r="H1538" s="236"/>
      <c r="I1538" s="236"/>
      <c r="J1538" s="237"/>
      <c r="K1538" s="230"/>
    </row>
    <row r="1539">
      <c r="A1539" s="232"/>
      <c r="B1539" s="101"/>
      <c r="C1539" s="101"/>
      <c r="D1539" s="101"/>
      <c r="E1539" s="101"/>
      <c r="F1539" s="101"/>
      <c r="G1539" s="233"/>
      <c r="H1539" s="233"/>
      <c r="I1539" s="233"/>
      <c r="J1539" s="234"/>
      <c r="K1539" s="230"/>
    </row>
    <row r="1540">
      <c r="A1540" s="235"/>
      <c r="B1540" s="95"/>
      <c r="C1540" s="95"/>
      <c r="D1540" s="95"/>
      <c r="E1540" s="95"/>
      <c r="F1540" s="95"/>
      <c r="G1540" s="236"/>
      <c r="H1540" s="236"/>
      <c r="I1540" s="236"/>
      <c r="J1540" s="237"/>
      <c r="K1540" s="230"/>
    </row>
    <row r="1541">
      <c r="A1541" s="232"/>
      <c r="B1541" s="101"/>
      <c r="C1541" s="101"/>
      <c r="D1541" s="101"/>
      <c r="E1541" s="101"/>
      <c r="F1541" s="101"/>
      <c r="G1541" s="233"/>
      <c r="H1541" s="233"/>
      <c r="I1541" s="233"/>
      <c r="J1541" s="234"/>
      <c r="K1541" s="230"/>
    </row>
    <row r="1542">
      <c r="A1542" s="235"/>
      <c r="B1542" s="95"/>
      <c r="C1542" s="95"/>
      <c r="D1542" s="95"/>
      <c r="E1542" s="95"/>
      <c r="F1542" s="95"/>
      <c r="G1542" s="236"/>
      <c r="H1542" s="236"/>
      <c r="I1542" s="236"/>
      <c r="J1542" s="237"/>
      <c r="K1542" s="230"/>
    </row>
    <row r="1543">
      <c r="A1543" s="232"/>
      <c r="B1543" s="101"/>
      <c r="C1543" s="101"/>
      <c r="D1543" s="101"/>
      <c r="E1543" s="101"/>
      <c r="F1543" s="101"/>
      <c r="G1543" s="233"/>
      <c r="H1543" s="233"/>
      <c r="I1543" s="233"/>
      <c r="J1543" s="234"/>
      <c r="K1543" s="230"/>
    </row>
    <row r="1544">
      <c r="A1544" s="235"/>
      <c r="B1544" s="95"/>
      <c r="C1544" s="95"/>
      <c r="D1544" s="95"/>
      <c r="E1544" s="95"/>
      <c r="F1544" s="95"/>
      <c r="G1544" s="236"/>
      <c r="H1544" s="236"/>
      <c r="I1544" s="236"/>
      <c r="J1544" s="237"/>
      <c r="K1544" s="230"/>
    </row>
    <row r="1545">
      <c r="A1545" s="232"/>
      <c r="B1545" s="101"/>
      <c r="C1545" s="101"/>
      <c r="D1545" s="101"/>
      <c r="E1545" s="101"/>
      <c r="F1545" s="101"/>
      <c r="G1545" s="233"/>
      <c r="H1545" s="233"/>
      <c r="I1545" s="233"/>
      <c r="J1545" s="234"/>
      <c r="K1545" s="230"/>
    </row>
    <row r="1546">
      <c r="A1546" s="235"/>
      <c r="B1546" s="95"/>
      <c r="C1546" s="95"/>
      <c r="D1546" s="95"/>
      <c r="E1546" s="95"/>
      <c r="F1546" s="95"/>
      <c r="G1546" s="236"/>
      <c r="H1546" s="236"/>
      <c r="I1546" s="236"/>
      <c r="J1546" s="237"/>
      <c r="K1546" s="230"/>
    </row>
    <row r="1547">
      <c r="A1547" s="232"/>
      <c r="B1547" s="101"/>
      <c r="C1547" s="101"/>
      <c r="D1547" s="101"/>
      <c r="E1547" s="101"/>
      <c r="F1547" s="101"/>
      <c r="G1547" s="233"/>
      <c r="H1547" s="233"/>
      <c r="I1547" s="233"/>
      <c r="J1547" s="234"/>
      <c r="K1547" s="230"/>
    </row>
    <row r="1548">
      <c r="A1548" s="235"/>
      <c r="B1548" s="95"/>
      <c r="C1548" s="95"/>
      <c r="D1548" s="95"/>
      <c r="E1548" s="95"/>
      <c r="F1548" s="95"/>
      <c r="G1548" s="236"/>
      <c r="H1548" s="236"/>
      <c r="I1548" s="236"/>
      <c r="J1548" s="237"/>
      <c r="K1548" s="230"/>
    </row>
    <row r="1549">
      <c r="A1549" s="232"/>
      <c r="B1549" s="101"/>
      <c r="C1549" s="101"/>
      <c r="D1549" s="101"/>
      <c r="E1549" s="101"/>
      <c r="F1549" s="101"/>
      <c r="G1549" s="233"/>
      <c r="H1549" s="233"/>
      <c r="I1549" s="233"/>
      <c r="J1549" s="234"/>
      <c r="K1549" s="230"/>
    </row>
    <row r="1550">
      <c r="A1550" s="235"/>
      <c r="B1550" s="95"/>
      <c r="C1550" s="95"/>
      <c r="D1550" s="95"/>
      <c r="E1550" s="95"/>
      <c r="F1550" s="95"/>
      <c r="G1550" s="236"/>
      <c r="H1550" s="236"/>
      <c r="I1550" s="236"/>
      <c r="J1550" s="237"/>
      <c r="K1550" s="230"/>
    </row>
    <row r="1551">
      <c r="A1551" s="232"/>
      <c r="B1551" s="101"/>
      <c r="C1551" s="101"/>
      <c r="D1551" s="101"/>
      <c r="E1551" s="101"/>
      <c r="F1551" s="101"/>
      <c r="G1551" s="233"/>
      <c r="H1551" s="233"/>
      <c r="I1551" s="233"/>
      <c r="J1551" s="234"/>
      <c r="K1551" s="230"/>
    </row>
    <row r="1552">
      <c r="A1552" s="235"/>
      <c r="B1552" s="95"/>
      <c r="C1552" s="95"/>
      <c r="D1552" s="95"/>
      <c r="E1552" s="95"/>
      <c r="F1552" s="95"/>
      <c r="G1552" s="236"/>
      <c r="H1552" s="236"/>
      <c r="I1552" s="236"/>
      <c r="J1552" s="237"/>
      <c r="K1552" s="230"/>
    </row>
    <row r="1553">
      <c r="A1553" s="232"/>
      <c r="B1553" s="101"/>
      <c r="C1553" s="101"/>
      <c r="D1553" s="101"/>
      <c r="E1553" s="101"/>
      <c r="F1553" s="101"/>
      <c r="G1553" s="233"/>
      <c r="H1553" s="233"/>
      <c r="I1553" s="233"/>
      <c r="J1553" s="234"/>
      <c r="K1553" s="230"/>
    </row>
    <row r="1554">
      <c r="A1554" s="235"/>
      <c r="B1554" s="95"/>
      <c r="C1554" s="95"/>
      <c r="D1554" s="95"/>
      <c r="E1554" s="95"/>
      <c r="F1554" s="95"/>
      <c r="G1554" s="236"/>
      <c r="H1554" s="236"/>
      <c r="I1554" s="236"/>
      <c r="J1554" s="237"/>
      <c r="K1554" s="230"/>
    </row>
    <row r="1555">
      <c r="A1555" s="232"/>
      <c r="B1555" s="101"/>
      <c r="C1555" s="101"/>
      <c r="D1555" s="101"/>
      <c r="E1555" s="101"/>
      <c r="F1555" s="101"/>
      <c r="G1555" s="233"/>
      <c r="H1555" s="233"/>
      <c r="I1555" s="233"/>
      <c r="J1555" s="234"/>
      <c r="K1555" s="230"/>
    </row>
    <row r="1556">
      <c r="A1556" s="235"/>
      <c r="B1556" s="95"/>
      <c r="C1556" s="95"/>
      <c r="D1556" s="95"/>
      <c r="E1556" s="95"/>
      <c r="F1556" s="95"/>
      <c r="G1556" s="236"/>
      <c r="H1556" s="236"/>
      <c r="I1556" s="236"/>
      <c r="J1556" s="237"/>
      <c r="K1556" s="230"/>
    </row>
    <row r="1557">
      <c r="A1557" s="232"/>
      <c r="B1557" s="101"/>
      <c r="C1557" s="101"/>
      <c r="D1557" s="101"/>
      <c r="E1557" s="101"/>
      <c r="F1557" s="101"/>
      <c r="G1557" s="233"/>
      <c r="H1557" s="233"/>
      <c r="I1557" s="233"/>
      <c r="J1557" s="234"/>
      <c r="K1557" s="230"/>
    </row>
    <row r="1558">
      <c r="A1558" s="235"/>
      <c r="B1558" s="95"/>
      <c r="C1558" s="95"/>
      <c r="D1558" s="95"/>
      <c r="E1558" s="95"/>
      <c r="F1558" s="95"/>
      <c r="G1558" s="236"/>
      <c r="H1558" s="236"/>
      <c r="I1558" s="236"/>
      <c r="J1558" s="237"/>
      <c r="K1558" s="230"/>
    </row>
    <row r="1559">
      <c r="A1559" s="232"/>
      <c r="B1559" s="101"/>
      <c r="C1559" s="101"/>
      <c r="D1559" s="101"/>
      <c r="E1559" s="101"/>
      <c r="F1559" s="101"/>
      <c r="G1559" s="233"/>
      <c r="H1559" s="233"/>
      <c r="I1559" s="233"/>
      <c r="J1559" s="234"/>
      <c r="K1559" s="230"/>
    </row>
    <row r="1560">
      <c r="A1560" s="235"/>
      <c r="B1560" s="95"/>
      <c r="C1560" s="95"/>
      <c r="D1560" s="95"/>
      <c r="E1560" s="95"/>
      <c r="F1560" s="95"/>
      <c r="G1560" s="236"/>
      <c r="H1560" s="236"/>
      <c r="I1560" s="236"/>
      <c r="J1560" s="237"/>
      <c r="K1560" s="230"/>
    </row>
    <row r="1561">
      <c r="A1561" s="232"/>
      <c r="B1561" s="101"/>
      <c r="C1561" s="101"/>
      <c r="D1561" s="101"/>
      <c r="E1561" s="101"/>
      <c r="F1561" s="101"/>
      <c r="G1561" s="233"/>
      <c r="H1561" s="233"/>
      <c r="I1561" s="233"/>
      <c r="J1561" s="234"/>
      <c r="K1561" s="230"/>
    </row>
    <row r="1562">
      <c r="A1562" s="235"/>
      <c r="B1562" s="95"/>
      <c r="C1562" s="95"/>
      <c r="D1562" s="95"/>
      <c r="E1562" s="95"/>
      <c r="F1562" s="95"/>
      <c r="G1562" s="236"/>
      <c r="H1562" s="236"/>
      <c r="I1562" s="236"/>
      <c r="J1562" s="237"/>
      <c r="K1562" s="230"/>
    </row>
    <row r="1563">
      <c r="A1563" s="232"/>
      <c r="B1563" s="101"/>
      <c r="C1563" s="101"/>
      <c r="D1563" s="101"/>
      <c r="E1563" s="101"/>
      <c r="F1563" s="101"/>
      <c r="G1563" s="233"/>
      <c r="H1563" s="233"/>
      <c r="I1563" s="233"/>
      <c r="J1563" s="234"/>
      <c r="K1563" s="230"/>
    </row>
    <row r="1564">
      <c r="A1564" s="235"/>
      <c r="B1564" s="95"/>
      <c r="C1564" s="95"/>
      <c r="D1564" s="95"/>
      <c r="E1564" s="95"/>
      <c r="F1564" s="95"/>
      <c r="G1564" s="236"/>
      <c r="H1564" s="236"/>
      <c r="I1564" s="236"/>
      <c r="J1564" s="237"/>
      <c r="K1564" s="230"/>
    </row>
    <row r="1565">
      <c r="A1565" s="232"/>
      <c r="B1565" s="101"/>
      <c r="C1565" s="101"/>
      <c r="D1565" s="101"/>
      <c r="E1565" s="101"/>
      <c r="F1565" s="101"/>
      <c r="G1565" s="233"/>
      <c r="H1565" s="233"/>
      <c r="I1565" s="233"/>
      <c r="J1565" s="234"/>
      <c r="K1565" s="230"/>
    </row>
    <row r="1566">
      <c r="A1566" s="235"/>
      <c r="B1566" s="95"/>
      <c r="C1566" s="95"/>
      <c r="D1566" s="95"/>
      <c r="E1566" s="95"/>
      <c r="F1566" s="95"/>
      <c r="G1566" s="236"/>
      <c r="H1566" s="236"/>
      <c r="I1566" s="236"/>
      <c r="J1566" s="237"/>
      <c r="K1566" s="230"/>
    </row>
    <row r="1567">
      <c r="A1567" s="232"/>
      <c r="B1567" s="101"/>
      <c r="C1567" s="101"/>
      <c r="D1567" s="101"/>
      <c r="E1567" s="101"/>
      <c r="F1567" s="101"/>
      <c r="G1567" s="233"/>
      <c r="H1567" s="233"/>
      <c r="I1567" s="233"/>
      <c r="J1567" s="234"/>
      <c r="K1567" s="230"/>
    </row>
    <row r="1568">
      <c r="A1568" s="235"/>
      <c r="B1568" s="95"/>
      <c r="C1568" s="95"/>
      <c r="D1568" s="95"/>
      <c r="E1568" s="95"/>
      <c r="F1568" s="95"/>
      <c r="G1568" s="236"/>
      <c r="H1568" s="236"/>
      <c r="I1568" s="236"/>
      <c r="J1568" s="237"/>
      <c r="K1568" s="230"/>
    </row>
    <row r="1569">
      <c r="A1569" s="232"/>
      <c r="B1569" s="101"/>
      <c r="C1569" s="101"/>
      <c r="D1569" s="101"/>
      <c r="E1569" s="101"/>
      <c r="F1569" s="101"/>
      <c r="G1569" s="233"/>
      <c r="H1569" s="233"/>
      <c r="I1569" s="233"/>
      <c r="J1569" s="234"/>
      <c r="K1569" s="230"/>
    </row>
    <row r="1570">
      <c r="A1570" s="235"/>
      <c r="B1570" s="95"/>
      <c r="C1570" s="95"/>
      <c r="D1570" s="95"/>
      <c r="E1570" s="95"/>
      <c r="F1570" s="95"/>
      <c r="G1570" s="236"/>
      <c r="H1570" s="236"/>
      <c r="I1570" s="236"/>
      <c r="J1570" s="237"/>
      <c r="K1570" s="230"/>
    </row>
    <row r="1571">
      <c r="A1571" s="232"/>
      <c r="B1571" s="101"/>
      <c r="C1571" s="101"/>
      <c r="D1571" s="101"/>
      <c r="E1571" s="101"/>
      <c r="F1571" s="101"/>
      <c r="G1571" s="233"/>
      <c r="H1571" s="233"/>
      <c r="I1571" s="233"/>
      <c r="J1571" s="234"/>
      <c r="K1571" s="230"/>
    </row>
    <row r="1572">
      <c r="A1572" s="235"/>
      <c r="B1572" s="95"/>
      <c r="C1572" s="95"/>
      <c r="D1572" s="95"/>
      <c r="E1572" s="95"/>
      <c r="F1572" s="95"/>
      <c r="G1572" s="236"/>
      <c r="H1572" s="236"/>
      <c r="I1572" s="236"/>
      <c r="J1572" s="237"/>
      <c r="K1572" s="230"/>
    </row>
    <row r="1573">
      <c r="A1573" s="232"/>
      <c r="B1573" s="101"/>
      <c r="C1573" s="101"/>
      <c r="D1573" s="101"/>
      <c r="E1573" s="101"/>
      <c r="F1573" s="101"/>
      <c r="G1573" s="233"/>
      <c r="H1573" s="233"/>
      <c r="I1573" s="233"/>
      <c r="J1573" s="234"/>
      <c r="K1573" s="230"/>
    </row>
    <row r="1574">
      <c r="A1574" s="235"/>
      <c r="B1574" s="95"/>
      <c r="C1574" s="95"/>
      <c r="D1574" s="95"/>
      <c r="E1574" s="95"/>
      <c r="F1574" s="95"/>
      <c r="G1574" s="236"/>
      <c r="H1574" s="236"/>
      <c r="I1574" s="236"/>
      <c r="J1574" s="237"/>
      <c r="K1574" s="230"/>
    </row>
    <row r="1575">
      <c r="A1575" s="232"/>
      <c r="B1575" s="101"/>
      <c r="C1575" s="101"/>
      <c r="D1575" s="101"/>
      <c r="E1575" s="101"/>
      <c r="F1575" s="101"/>
      <c r="G1575" s="233"/>
      <c r="H1575" s="233"/>
      <c r="I1575" s="233"/>
      <c r="J1575" s="234"/>
      <c r="K1575" s="230"/>
    </row>
    <row r="1576">
      <c r="A1576" s="235"/>
      <c r="B1576" s="95"/>
      <c r="C1576" s="95"/>
      <c r="D1576" s="95"/>
      <c r="E1576" s="95"/>
      <c r="F1576" s="95"/>
      <c r="G1576" s="236"/>
      <c r="H1576" s="236"/>
      <c r="I1576" s="236"/>
      <c r="J1576" s="237"/>
      <c r="K1576" s="230"/>
    </row>
    <row r="1577">
      <c r="A1577" s="232"/>
      <c r="B1577" s="101"/>
      <c r="C1577" s="101"/>
      <c r="D1577" s="101"/>
      <c r="E1577" s="101"/>
      <c r="F1577" s="101"/>
      <c r="G1577" s="233"/>
      <c r="H1577" s="233"/>
      <c r="I1577" s="233"/>
      <c r="J1577" s="234"/>
      <c r="K1577" s="230"/>
    </row>
    <row r="1578">
      <c r="A1578" s="235"/>
      <c r="B1578" s="95"/>
      <c r="C1578" s="95"/>
      <c r="D1578" s="95"/>
      <c r="E1578" s="95"/>
      <c r="F1578" s="95"/>
      <c r="G1578" s="236"/>
      <c r="H1578" s="236"/>
      <c r="I1578" s="236"/>
      <c r="J1578" s="237"/>
      <c r="K1578" s="230"/>
    </row>
    <row r="1579">
      <c r="A1579" s="232"/>
      <c r="B1579" s="101"/>
      <c r="C1579" s="101"/>
      <c r="D1579" s="101"/>
      <c r="E1579" s="101"/>
      <c r="F1579" s="101"/>
      <c r="G1579" s="233"/>
      <c r="H1579" s="233"/>
      <c r="I1579" s="233"/>
      <c r="J1579" s="234"/>
      <c r="K1579" s="230"/>
    </row>
    <row r="1580">
      <c r="A1580" s="235"/>
      <c r="B1580" s="95"/>
      <c r="C1580" s="95"/>
      <c r="D1580" s="95"/>
      <c r="E1580" s="95"/>
      <c r="F1580" s="95"/>
      <c r="G1580" s="236"/>
      <c r="H1580" s="236"/>
      <c r="I1580" s="236"/>
      <c r="J1580" s="237"/>
      <c r="K1580" s="230"/>
    </row>
    <row r="1581">
      <c r="A1581" s="232"/>
      <c r="B1581" s="101"/>
      <c r="C1581" s="101"/>
      <c r="D1581" s="101"/>
      <c r="E1581" s="101"/>
      <c r="F1581" s="101"/>
      <c r="G1581" s="233"/>
      <c r="H1581" s="233"/>
      <c r="I1581" s="233"/>
      <c r="J1581" s="234"/>
      <c r="K1581" s="230"/>
    </row>
    <row r="1582">
      <c r="A1582" s="235"/>
      <c r="B1582" s="95"/>
      <c r="C1582" s="95"/>
      <c r="D1582" s="95"/>
      <c r="E1582" s="95"/>
      <c r="F1582" s="95"/>
      <c r="G1582" s="236"/>
      <c r="H1582" s="236"/>
      <c r="I1582" s="236"/>
      <c r="J1582" s="237"/>
      <c r="K1582" s="230"/>
    </row>
    <row r="1583">
      <c r="A1583" s="232"/>
      <c r="B1583" s="101"/>
      <c r="C1583" s="101"/>
      <c r="D1583" s="101"/>
      <c r="E1583" s="101"/>
      <c r="F1583" s="101"/>
      <c r="G1583" s="233"/>
      <c r="H1583" s="233"/>
      <c r="I1583" s="233"/>
      <c r="J1583" s="234"/>
      <c r="K1583" s="230"/>
    </row>
    <row r="1584">
      <c r="A1584" s="235"/>
      <c r="B1584" s="95"/>
      <c r="C1584" s="95"/>
      <c r="D1584" s="95"/>
      <c r="E1584" s="95"/>
      <c r="F1584" s="95"/>
      <c r="G1584" s="236"/>
      <c r="H1584" s="236"/>
      <c r="I1584" s="236"/>
      <c r="J1584" s="237"/>
      <c r="K1584" s="230"/>
    </row>
    <row r="1585">
      <c r="A1585" s="232"/>
      <c r="B1585" s="101"/>
      <c r="C1585" s="101"/>
      <c r="D1585" s="101"/>
      <c r="E1585" s="101"/>
      <c r="F1585" s="101"/>
      <c r="G1585" s="233"/>
      <c r="H1585" s="233"/>
      <c r="I1585" s="233"/>
      <c r="J1585" s="234"/>
      <c r="K1585" s="230"/>
    </row>
    <row r="1586">
      <c r="A1586" s="235"/>
      <c r="B1586" s="95"/>
      <c r="C1586" s="95"/>
      <c r="D1586" s="95"/>
      <c r="E1586" s="95"/>
      <c r="F1586" s="95"/>
      <c r="G1586" s="236"/>
      <c r="H1586" s="236"/>
      <c r="I1586" s="236"/>
      <c r="J1586" s="237"/>
      <c r="K1586" s="230"/>
    </row>
    <row r="1587">
      <c r="A1587" s="232"/>
      <c r="B1587" s="101"/>
      <c r="C1587" s="101"/>
      <c r="D1587" s="101"/>
      <c r="E1587" s="101"/>
      <c r="F1587" s="101"/>
      <c r="G1587" s="233"/>
      <c r="H1587" s="233"/>
      <c r="I1587" s="233"/>
      <c r="J1587" s="234"/>
      <c r="K1587" s="230"/>
    </row>
    <row r="1588">
      <c r="A1588" s="235"/>
      <c r="B1588" s="95"/>
      <c r="C1588" s="95"/>
      <c r="D1588" s="95"/>
      <c r="E1588" s="95"/>
      <c r="F1588" s="95"/>
      <c r="G1588" s="236"/>
      <c r="H1588" s="236"/>
      <c r="I1588" s="236"/>
      <c r="J1588" s="237"/>
      <c r="K1588" s="230"/>
    </row>
    <row r="1589">
      <c r="A1589" s="232"/>
      <c r="B1589" s="101"/>
      <c r="C1589" s="101"/>
      <c r="D1589" s="101"/>
      <c r="E1589" s="101"/>
      <c r="F1589" s="101"/>
      <c r="G1589" s="233"/>
      <c r="H1589" s="233"/>
      <c r="I1589" s="233"/>
      <c r="J1589" s="234"/>
      <c r="K1589" s="230"/>
    </row>
    <row r="1590">
      <c r="A1590" s="235"/>
      <c r="B1590" s="95"/>
      <c r="C1590" s="95"/>
      <c r="D1590" s="95"/>
      <c r="E1590" s="95"/>
      <c r="F1590" s="95"/>
      <c r="G1590" s="236"/>
      <c r="H1590" s="236"/>
      <c r="I1590" s="236"/>
      <c r="J1590" s="237"/>
      <c r="K1590" s="230"/>
    </row>
    <row r="1591">
      <c r="A1591" s="232"/>
      <c r="B1591" s="101"/>
      <c r="C1591" s="101"/>
      <c r="D1591" s="101"/>
      <c r="E1591" s="101"/>
      <c r="F1591" s="101"/>
      <c r="G1591" s="233"/>
      <c r="H1591" s="233"/>
      <c r="I1591" s="233"/>
      <c r="J1591" s="234"/>
      <c r="K1591" s="230"/>
    </row>
    <row r="1592">
      <c r="A1592" s="235"/>
      <c r="B1592" s="95"/>
      <c r="C1592" s="95"/>
      <c r="D1592" s="95"/>
      <c r="E1592" s="95"/>
      <c r="F1592" s="95"/>
      <c r="G1592" s="236"/>
      <c r="H1592" s="236"/>
      <c r="I1592" s="236"/>
      <c r="J1592" s="237"/>
      <c r="K1592" s="230"/>
    </row>
    <row r="1593">
      <c r="A1593" s="232"/>
      <c r="B1593" s="101"/>
      <c r="C1593" s="101"/>
      <c r="D1593" s="101"/>
      <c r="E1593" s="101"/>
      <c r="F1593" s="101"/>
      <c r="G1593" s="233"/>
      <c r="H1593" s="233"/>
      <c r="I1593" s="233"/>
      <c r="J1593" s="234"/>
      <c r="K1593" s="230"/>
    </row>
    <row r="1594">
      <c r="A1594" s="235"/>
      <c r="B1594" s="95"/>
      <c r="C1594" s="95"/>
      <c r="D1594" s="95"/>
      <c r="E1594" s="95"/>
      <c r="F1594" s="95"/>
      <c r="G1594" s="236"/>
      <c r="H1594" s="236"/>
      <c r="I1594" s="236"/>
      <c r="J1594" s="237"/>
      <c r="K1594" s="230"/>
    </row>
    <row r="1595">
      <c r="A1595" s="232"/>
      <c r="B1595" s="101"/>
      <c r="C1595" s="101"/>
      <c r="D1595" s="101"/>
      <c r="E1595" s="101"/>
      <c r="F1595" s="101"/>
      <c r="G1595" s="233"/>
      <c r="H1595" s="233"/>
      <c r="I1595" s="233"/>
      <c r="J1595" s="234"/>
      <c r="K1595" s="230"/>
    </row>
    <row r="1596">
      <c r="A1596" s="235"/>
      <c r="B1596" s="95"/>
      <c r="C1596" s="95"/>
      <c r="D1596" s="95"/>
      <c r="E1596" s="95"/>
      <c r="F1596" s="95"/>
      <c r="G1596" s="236"/>
      <c r="H1596" s="236"/>
      <c r="I1596" s="236"/>
      <c r="J1596" s="237"/>
      <c r="K1596" s="230"/>
    </row>
    <row r="1597">
      <c r="A1597" s="232"/>
      <c r="B1597" s="101"/>
      <c r="C1597" s="101"/>
      <c r="D1597" s="101"/>
      <c r="E1597" s="101"/>
      <c r="F1597" s="101"/>
      <c r="G1597" s="233"/>
      <c r="H1597" s="233"/>
      <c r="I1597" s="233"/>
      <c r="J1597" s="234"/>
      <c r="K1597" s="230"/>
    </row>
    <row r="1598">
      <c r="A1598" s="235"/>
      <c r="B1598" s="95"/>
      <c r="C1598" s="95"/>
      <c r="D1598" s="95"/>
      <c r="E1598" s="95"/>
      <c r="F1598" s="95"/>
      <c r="G1598" s="236"/>
      <c r="H1598" s="236"/>
      <c r="I1598" s="236"/>
      <c r="J1598" s="237"/>
      <c r="K1598" s="230"/>
    </row>
    <row r="1599">
      <c r="A1599" s="232"/>
      <c r="B1599" s="101"/>
      <c r="C1599" s="101"/>
      <c r="D1599" s="101"/>
      <c r="E1599" s="101"/>
      <c r="F1599" s="101"/>
      <c r="G1599" s="233"/>
      <c r="H1599" s="233"/>
      <c r="I1599" s="233"/>
      <c r="J1599" s="234"/>
      <c r="K1599" s="230"/>
    </row>
    <row r="1600">
      <c r="A1600" s="235"/>
      <c r="B1600" s="95"/>
      <c r="C1600" s="95"/>
      <c r="D1600" s="95"/>
      <c r="E1600" s="95"/>
      <c r="F1600" s="95"/>
      <c r="G1600" s="236"/>
      <c r="H1600" s="236"/>
      <c r="I1600" s="236"/>
      <c r="J1600" s="237"/>
      <c r="K1600" s="230"/>
    </row>
    <row r="1601">
      <c r="A1601" s="232"/>
      <c r="B1601" s="101"/>
      <c r="C1601" s="101"/>
      <c r="D1601" s="101"/>
      <c r="E1601" s="101"/>
      <c r="F1601" s="101"/>
      <c r="G1601" s="233"/>
      <c r="H1601" s="233"/>
      <c r="I1601" s="233"/>
      <c r="J1601" s="234"/>
      <c r="K1601" s="230"/>
    </row>
    <row r="1602">
      <c r="A1602" s="235"/>
      <c r="B1602" s="95"/>
      <c r="C1602" s="95"/>
      <c r="D1602" s="95"/>
      <c r="E1602" s="95"/>
      <c r="F1602" s="95"/>
      <c r="G1602" s="236"/>
      <c r="H1602" s="236"/>
      <c r="I1602" s="236"/>
      <c r="J1602" s="237"/>
      <c r="K1602" s="230"/>
    </row>
    <row r="1603">
      <c r="A1603" s="232"/>
      <c r="B1603" s="101"/>
      <c r="C1603" s="101"/>
      <c r="D1603" s="101"/>
      <c r="E1603" s="101"/>
      <c r="F1603" s="101"/>
      <c r="G1603" s="233"/>
      <c r="H1603" s="233"/>
      <c r="I1603" s="233"/>
      <c r="J1603" s="234"/>
      <c r="K1603" s="230"/>
    </row>
    <row r="1604">
      <c r="A1604" s="235"/>
      <c r="B1604" s="95"/>
      <c r="C1604" s="95"/>
      <c r="D1604" s="95"/>
      <c r="E1604" s="95"/>
      <c r="F1604" s="95"/>
      <c r="G1604" s="236"/>
      <c r="H1604" s="236"/>
      <c r="I1604" s="236"/>
      <c r="J1604" s="237"/>
      <c r="K1604" s="230"/>
    </row>
    <row r="1605">
      <c r="A1605" s="232"/>
      <c r="B1605" s="101"/>
      <c r="C1605" s="101"/>
      <c r="D1605" s="101"/>
      <c r="E1605" s="101"/>
      <c r="F1605" s="101"/>
      <c r="G1605" s="233"/>
      <c r="H1605" s="233"/>
      <c r="I1605" s="233"/>
      <c r="J1605" s="234"/>
      <c r="K1605" s="230"/>
    </row>
    <row r="1606">
      <c r="A1606" s="235"/>
      <c r="B1606" s="95"/>
      <c r="C1606" s="95"/>
      <c r="D1606" s="95"/>
      <c r="E1606" s="95"/>
      <c r="F1606" s="95"/>
      <c r="G1606" s="236"/>
      <c r="H1606" s="236"/>
      <c r="I1606" s="236"/>
      <c r="J1606" s="237"/>
      <c r="K1606" s="230"/>
    </row>
    <row r="1607">
      <c r="A1607" s="232"/>
      <c r="B1607" s="101"/>
      <c r="C1607" s="101"/>
      <c r="D1607" s="101"/>
      <c r="E1607" s="101"/>
      <c r="F1607" s="101"/>
      <c r="G1607" s="233"/>
      <c r="H1607" s="233"/>
      <c r="I1607" s="233"/>
      <c r="J1607" s="234"/>
      <c r="K1607" s="230"/>
    </row>
    <row r="1608">
      <c r="A1608" s="235"/>
      <c r="B1608" s="95"/>
      <c r="C1608" s="95"/>
      <c r="D1608" s="95"/>
      <c r="E1608" s="95"/>
      <c r="F1608" s="95"/>
      <c r="G1608" s="236"/>
      <c r="H1608" s="236"/>
      <c r="I1608" s="236"/>
      <c r="J1608" s="237"/>
      <c r="K1608" s="230"/>
    </row>
    <row r="1609">
      <c r="A1609" s="232"/>
      <c r="B1609" s="101"/>
      <c r="C1609" s="101"/>
      <c r="D1609" s="101"/>
      <c r="E1609" s="101"/>
      <c r="F1609" s="101"/>
      <c r="G1609" s="233"/>
      <c r="H1609" s="233"/>
      <c r="I1609" s="233"/>
      <c r="J1609" s="234"/>
      <c r="K1609" s="230"/>
    </row>
    <row r="1610">
      <c r="A1610" s="235"/>
      <c r="B1610" s="95"/>
      <c r="C1610" s="95"/>
      <c r="D1610" s="95"/>
      <c r="E1610" s="95"/>
      <c r="F1610" s="95"/>
      <c r="G1610" s="236"/>
      <c r="H1610" s="236"/>
      <c r="I1610" s="236"/>
      <c r="J1610" s="237"/>
      <c r="K1610" s="230"/>
    </row>
    <row r="1611">
      <c r="A1611" s="232"/>
      <c r="B1611" s="101"/>
      <c r="C1611" s="101"/>
      <c r="D1611" s="101"/>
      <c r="E1611" s="101"/>
      <c r="F1611" s="101"/>
      <c r="G1611" s="233"/>
      <c r="H1611" s="233"/>
      <c r="I1611" s="233"/>
      <c r="J1611" s="234"/>
      <c r="K1611" s="230"/>
    </row>
    <row r="1612">
      <c r="A1612" s="235"/>
      <c r="B1612" s="95"/>
      <c r="C1612" s="95"/>
      <c r="D1612" s="95"/>
      <c r="E1612" s="95"/>
      <c r="F1612" s="95"/>
      <c r="G1612" s="236"/>
      <c r="H1612" s="236"/>
      <c r="I1612" s="236"/>
      <c r="J1612" s="237"/>
      <c r="K1612" s="230"/>
    </row>
    <row r="1613">
      <c r="A1613" s="232"/>
      <c r="B1613" s="101"/>
      <c r="C1613" s="101"/>
      <c r="D1613" s="101"/>
      <c r="E1613" s="101"/>
      <c r="F1613" s="101"/>
      <c r="G1613" s="233"/>
      <c r="H1613" s="233"/>
      <c r="I1613" s="233"/>
      <c r="J1613" s="234"/>
      <c r="K1613" s="230"/>
    </row>
    <row r="1614">
      <c r="A1614" s="235"/>
      <c r="B1614" s="95"/>
      <c r="C1614" s="95"/>
      <c r="D1614" s="95"/>
      <c r="E1614" s="95"/>
      <c r="F1614" s="95"/>
      <c r="G1614" s="236"/>
      <c r="H1614" s="236"/>
      <c r="I1614" s="236"/>
      <c r="J1614" s="237"/>
      <c r="K1614" s="230"/>
    </row>
    <row r="1615">
      <c r="A1615" s="232"/>
      <c r="B1615" s="101"/>
      <c r="C1615" s="101"/>
      <c r="D1615" s="101"/>
      <c r="E1615" s="101"/>
      <c r="F1615" s="101"/>
      <c r="G1615" s="233"/>
      <c r="H1615" s="233"/>
      <c r="I1615" s="233"/>
      <c r="J1615" s="234"/>
      <c r="K1615" s="230"/>
    </row>
    <row r="1616">
      <c r="A1616" s="235"/>
      <c r="B1616" s="95"/>
      <c r="C1616" s="95"/>
      <c r="D1616" s="95"/>
      <c r="E1616" s="95"/>
      <c r="F1616" s="95"/>
      <c r="G1616" s="236"/>
      <c r="H1616" s="236"/>
      <c r="I1616" s="236"/>
      <c r="J1616" s="237"/>
      <c r="K1616" s="230"/>
    </row>
    <row r="1617">
      <c r="A1617" s="232"/>
      <c r="B1617" s="101"/>
      <c r="C1617" s="101"/>
      <c r="D1617" s="101"/>
      <c r="E1617" s="101"/>
      <c r="F1617" s="101"/>
      <c r="G1617" s="233"/>
      <c r="H1617" s="233"/>
      <c r="I1617" s="233"/>
      <c r="J1617" s="234"/>
      <c r="K1617" s="230"/>
    </row>
    <row r="1618">
      <c r="A1618" s="235"/>
      <c r="B1618" s="95"/>
      <c r="C1618" s="95"/>
      <c r="D1618" s="95"/>
      <c r="E1618" s="95"/>
      <c r="F1618" s="95"/>
      <c r="G1618" s="236"/>
      <c r="H1618" s="236"/>
      <c r="I1618" s="236"/>
      <c r="J1618" s="237"/>
      <c r="K1618" s="230"/>
    </row>
    <row r="1619">
      <c r="A1619" s="232"/>
      <c r="B1619" s="101"/>
      <c r="C1619" s="101"/>
      <c r="D1619" s="101"/>
      <c r="E1619" s="101"/>
      <c r="F1619" s="101"/>
      <c r="G1619" s="233"/>
      <c r="H1619" s="233"/>
      <c r="I1619" s="233"/>
      <c r="J1619" s="234"/>
      <c r="K1619" s="230"/>
    </row>
    <row r="1620">
      <c r="A1620" s="235"/>
      <c r="B1620" s="95"/>
      <c r="C1620" s="95"/>
      <c r="D1620" s="95"/>
      <c r="E1620" s="95"/>
      <c r="F1620" s="95"/>
      <c r="G1620" s="236"/>
      <c r="H1620" s="236"/>
      <c r="I1620" s="236"/>
      <c r="J1620" s="237"/>
      <c r="K1620" s="230"/>
    </row>
    <row r="1621">
      <c r="A1621" s="232"/>
      <c r="B1621" s="101"/>
      <c r="C1621" s="101"/>
      <c r="D1621" s="101"/>
      <c r="E1621" s="101"/>
      <c r="F1621" s="101"/>
      <c r="G1621" s="233"/>
      <c r="H1621" s="233"/>
      <c r="I1621" s="233"/>
      <c r="J1621" s="234"/>
      <c r="K1621" s="230"/>
    </row>
    <row r="1622">
      <c r="A1622" s="235"/>
      <c r="B1622" s="95"/>
      <c r="C1622" s="95"/>
      <c r="D1622" s="95"/>
      <c r="E1622" s="95"/>
      <c r="F1622" s="95"/>
      <c r="G1622" s="236"/>
      <c r="H1622" s="236"/>
      <c r="I1622" s="236"/>
      <c r="J1622" s="237"/>
      <c r="K1622" s="230"/>
    </row>
    <row r="1623">
      <c r="A1623" s="232"/>
      <c r="B1623" s="101"/>
      <c r="C1623" s="101"/>
      <c r="D1623" s="101"/>
      <c r="E1623" s="101"/>
      <c r="F1623" s="101"/>
      <c r="G1623" s="233"/>
      <c r="H1623" s="233"/>
      <c r="I1623" s="233"/>
      <c r="J1623" s="234"/>
      <c r="K1623" s="230"/>
    </row>
    <row r="1624">
      <c r="A1624" s="235"/>
      <c r="B1624" s="95"/>
      <c r="C1624" s="95"/>
      <c r="D1624" s="95"/>
      <c r="E1624" s="95"/>
      <c r="F1624" s="95"/>
      <c r="G1624" s="236"/>
      <c r="H1624" s="236"/>
      <c r="I1624" s="236"/>
      <c r="J1624" s="237"/>
      <c r="K1624" s="230"/>
    </row>
    <row r="1625">
      <c r="A1625" s="232"/>
      <c r="B1625" s="101"/>
      <c r="C1625" s="101"/>
      <c r="D1625" s="101"/>
      <c r="E1625" s="101"/>
      <c r="F1625" s="101"/>
      <c r="G1625" s="233"/>
      <c r="H1625" s="233"/>
      <c r="I1625" s="233"/>
      <c r="J1625" s="234"/>
      <c r="K1625" s="230"/>
    </row>
    <row r="1626">
      <c r="A1626" s="235"/>
      <c r="B1626" s="95"/>
      <c r="C1626" s="95"/>
      <c r="D1626" s="95"/>
      <c r="E1626" s="95"/>
      <c r="F1626" s="95"/>
      <c r="G1626" s="236"/>
      <c r="H1626" s="236"/>
      <c r="I1626" s="236"/>
      <c r="J1626" s="237"/>
      <c r="K1626" s="230"/>
    </row>
    <row r="1627">
      <c r="A1627" s="232"/>
      <c r="B1627" s="101"/>
      <c r="C1627" s="101"/>
      <c r="D1627" s="101"/>
      <c r="E1627" s="101"/>
      <c r="F1627" s="101"/>
      <c r="G1627" s="233"/>
      <c r="H1627" s="233"/>
      <c r="I1627" s="233"/>
      <c r="J1627" s="234"/>
      <c r="K1627" s="230"/>
    </row>
    <row r="1628">
      <c r="A1628" s="235"/>
      <c r="B1628" s="95"/>
      <c r="C1628" s="95"/>
      <c r="D1628" s="95"/>
      <c r="E1628" s="95"/>
      <c r="F1628" s="95"/>
      <c r="G1628" s="236"/>
      <c r="H1628" s="236"/>
      <c r="I1628" s="236"/>
      <c r="J1628" s="237"/>
      <c r="K1628" s="230"/>
    </row>
    <row r="1629">
      <c r="A1629" s="232"/>
      <c r="B1629" s="101"/>
      <c r="C1629" s="101"/>
      <c r="D1629" s="101"/>
      <c r="E1629" s="101"/>
      <c r="F1629" s="101"/>
      <c r="G1629" s="233"/>
      <c r="H1629" s="233"/>
      <c r="I1629" s="233"/>
      <c r="J1629" s="234"/>
      <c r="K1629" s="230"/>
    </row>
    <row r="1630">
      <c r="A1630" s="235"/>
      <c r="B1630" s="95"/>
      <c r="C1630" s="95"/>
      <c r="D1630" s="95"/>
      <c r="E1630" s="95"/>
      <c r="F1630" s="95"/>
      <c r="G1630" s="236"/>
      <c r="H1630" s="236"/>
      <c r="I1630" s="236"/>
      <c r="J1630" s="237"/>
      <c r="K1630" s="230"/>
    </row>
    <row r="1631">
      <c r="A1631" s="232"/>
      <c r="B1631" s="101"/>
      <c r="C1631" s="101"/>
      <c r="D1631" s="101"/>
      <c r="E1631" s="101"/>
      <c r="F1631" s="101"/>
      <c r="G1631" s="233"/>
      <c r="H1631" s="233"/>
      <c r="I1631" s="233"/>
      <c r="J1631" s="234"/>
      <c r="K1631" s="230"/>
    </row>
    <row r="1632">
      <c r="A1632" s="235"/>
      <c r="B1632" s="95"/>
      <c r="C1632" s="95"/>
      <c r="D1632" s="95"/>
      <c r="E1632" s="95"/>
      <c r="F1632" s="95"/>
      <c r="G1632" s="236"/>
      <c r="H1632" s="236"/>
      <c r="I1632" s="236"/>
      <c r="J1632" s="237"/>
      <c r="K1632" s="230"/>
    </row>
    <row r="1633">
      <c r="A1633" s="232"/>
      <c r="B1633" s="101"/>
      <c r="C1633" s="101"/>
      <c r="D1633" s="101"/>
      <c r="E1633" s="101"/>
      <c r="F1633" s="101"/>
      <c r="G1633" s="233"/>
      <c r="H1633" s="233"/>
      <c r="I1633" s="233"/>
      <c r="J1633" s="234"/>
      <c r="K1633" s="230"/>
    </row>
    <row r="1634">
      <c r="A1634" s="235"/>
      <c r="B1634" s="95"/>
      <c r="C1634" s="95"/>
      <c r="D1634" s="95"/>
      <c r="E1634" s="95"/>
      <c r="F1634" s="95"/>
      <c r="G1634" s="236"/>
      <c r="H1634" s="236"/>
      <c r="I1634" s="236"/>
      <c r="J1634" s="237"/>
      <c r="K1634" s="230"/>
    </row>
    <row r="1635">
      <c r="A1635" s="232"/>
      <c r="B1635" s="101"/>
      <c r="C1635" s="101"/>
      <c r="D1635" s="101"/>
      <c r="E1635" s="101"/>
      <c r="F1635" s="101"/>
      <c r="G1635" s="233"/>
      <c r="H1635" s="233"/>
      <c r="I1635" s="233"/>
      <c r="J1635" s="234"/>
      <c r="K1635" s="230"/>
    </row>
    <row r="1636">
      <c r="A1636" s="235"/>
      <c r="B1636" s="95"/>
      <c r="C1636" s="95"/>
      <c r="D1636" s="95"/>
      <c r="E1636" s="95"/>
      <c r="F1636" s="95"/>
      <c r="G1636" s="236"/>
      <c r="H1636" s="236"/>
      <c r="I1636" s="236"/>
      <c r="J1636" s="237"/>
      <c r="K1636" s="230"/>
    </row>
    <row r="1637">
      <c r="A1637" s="232"/>
      <c r="B1637" s="101"/>
      <c r="C1637" s="101"/>
      <c r="D1637" s="101"/>
      <c r="E1637" s="101"/>
      <c r="F1637" s="101"/>
      <c r="G1637" s="233"/>
      <c r="H1637" s="233"/>
      <c r="I1637" s="233"/>
      <c r="J1637" s="234"/>
      <c r="K1637" s="230"/>
    </row>
    <row r="1638">
      <c r="A1638" s="235"/>
      <c r="B1638" s="95"/>
      <c r="C1638" s="95"/>
      <c r="D1638" s="95"/>
      <c r="E1638" s="95"/>
      <c r="F1638" s="95"/>
      <c r="G1638" s="236"/>
      <c r="H1638" s="236"/>
      <c r="I1638" s="236"/>
      <c r="J1638" s="237"/>
      <c r="K1638" s="230"/>
    </row>
    <row r="1639">
      <c r="A1639" s="232"/>
      <c r="B1639" s="101"/>
      <c r="C1639" s="101"/>
      <c r="D1639" s="101"/>
      <c r="E1639" s="101"/>
      <c r="F1639" s="101"/>
      <c r="G1639" s="233"/>
      <c r="H1639" s="233"/>
      <c r="I1639" s="233"/>
      <c r="J1639" s="234"/>
      <c r="K1639" s="230"/>
    </row>
    <row r="1640">
      <c r="A1640" s="235"/>
      <c r="B1640" s="95"/>
      <c r="C1640" s="95"/>
      <c r="D1640" s="95"/>
      <c r="E1640" s="95"/>
      <c r="F1640" s="95"/>
      <c r="G1640" s="236"/>
      <c r="H1640" s="236"/>
      <c r="I1640" s="236"/>
      <c r="J1640" s="237"/>
      <c r="K1640" s="230"/>
    </row>
    <row r="1641">
      <c r="A1641" s="232"/>
      <c r="B1641" s="101"/>
      <c r="C1641" s="101"/>
      <c r="D1641" s="101"/>
      <c r="E1641" s="101"/>
      <c r="F1641" s="101"/>
      <c r="G1641" s="233"/>
      <c r="H1641" s="233"/>
      <c r="I1641" s="233"/>
      <c r="J1641" s="234"/>
      <c r="K1641" s="230"/>
    </row>
    <row r="1642">
      <c r="A1642" s="235"/>
      <c r="B1642" s="95"/>
      <c r="C1642" s="95"/>
      <c r="D1642" s="95"/>
      <c r="E1642" s="95"/>
      <c r="F1642" s="95"/>
      <c r="G1642" s="236"/>
      <c r="H1642" s="236"/>
      <c r="I1642" s="236"/>
      <c r="J1642" s="237"/>
      <c r="K1642" s="230"/>
    </row>
    <row r="1643">
      <c r="A1643" s="232"/>
      <c r="B1643" s="101"/>
      <c r="C1643" s="101"/>
      <c r="D1643" s="101"/>
      <c r="E1643" s="101"/>
      <c r="F1643" s="101"/>
      <c r="G1643" s="233"/>
      <c r="H1643" s="233"/>
      <c r="I1643" s="233"/>
      <c r="J1643" s="234"/>
      <c r="K1643" s="230"/>
    </row>
    <row r="1644">
      <c r="A1644" s="235"/>
      <c r="B1644" s="95"/>
      <c r="C1644" s="95"/>
      <c r="D1644" s="95"/>
      <c r="E1644" s="95"/>
      <c r="F1644" s="95"/>
      <c r="G1644" s="236"/>
      <c r="H1644" s="236"/>
      <c r="I1644" s="236"/>
      <c r="J1644" s="237"/>
      <c r="K1644" s="230"/>
    </row>
    <row r="1645">
      <c r="A1645" s="232"/>
      <c r="B1645" s="101"/>
      <c r="C1645" s="101"/>
      <c r="D1645" s="101"/>
      <c r="E1645" s="101"/>
      <c r="F1645" s="101"/>
      <c r="G1645" s="233"/>
      <c r="H1645" s="233"/>
      <c r="I1645" s="233"/>
      <c r="J1645" s="234"/>
      <c r="K1645" s="230"/>
    </row>
    <row r="1646">
      <c r="A1646" s="235"/>
      <c r="B1646" s="95"/>
      <c r="C1646" s="95"/>
      <c r="D1646" s="95"/>
      <c r="E1646" s="95"/>
      <c r="F1646" s="95"/>
      <c r="G1646" s="236"/>
      <c r="H1646" s="236"/>
      <c r="I1646" s="236"/>
      <c r="J1646" s="237"/>
      <c r="K1646" s="230"/>
    </row>
    <row r="1647">
      <c r="A1647" s="232"/>
      <c r="B1647" s="101"/>
      <c r="C1647" s="101"/>
      <c r="D1647" s="101"/>
      <c r="E1647" s="101"/>
      <c r="F1647" s="101"/>
      <c r="G1647" s="233"/>
      <c r="H1647" s="233"/>
      <c r="I1647" s="233"/>
      <c r="J1647" s="234"/>
      <c r="K1647" s="230"/>
    </row>
    <row r="1648">
      <c r="A1648" s="235"/>
      <c r="B1648" s="95"/>
      <c r="C1648" s="95"/>
      <c r="D1648" s="95"/>
      <c r="E1648" s="95"/>
      <c r="F1648" s="95"/>
      <c r="G1648" s="236"/>
      <c r="H1648" s="236"/>
      <c r="I1648" s="236"/>
      <c r="J1648" s="237"/>
      <c r="K1648" s="230"/>
    </row>
    <row r="1649">
      <c r="A1649" s="232"/>
      <c r="B1649" s="101"/>
      <c r="C1649" s="101"/>
      <c r="D1649" s="101"/>
      <c r="E1649" s="101"/>
      <c r="F1649" s="101"/>
      <c r="G1649" s="233"/>
      <c r="H1649" s="233"/>
      <c r="I1649" s="233"/>
      <c r="J1649" s="234"/>
      <c r="K1649" s="230"/>
    </row>
    <row r="1650">
      <c r="A1650" s="235"/>
      <c r="B1650" s="95"/>
      <c r="C1650" s="95"/>
      <c r="D1650" s="95"/>
      <c r="E1650" s="95"/>
      <c r="F1650" s="95"/>
      <c r="G1650" s="236"/>
      <c r="H1650" s="236"/>
      <c r="I1650" s="236"/>
      <c r="J1650" s="237"/>
      <c r="K1650" s="230"/>
    </row>
    <row r="1651">
      <c r="A1651" s="232"/>
      <c r="B1651" s="101"/>
      <c r="C1651" s="101"/>
      <c r="D1651" s="101"/>
      <c r="E1651" s="101"/>
      <c r="F1651" s="101"/>
      <c r="G1651" s="233"/>
      <c r="H1651" s="233"/>
      <c r="I1651" s="233"/>
      <c r="J1651" s="234"/>
      <c r="K1651" s="230"/>
    </row>
    <row r="1652">
      <c r="A1652" s="235"/>
      <c r="B1652" s="95"/>
      <c r="C1652" s="95"/>
      <c r="D1652" s="95"/>
      <c r="E1652" s="95"/>
      <c r="F1652" s="95"/>
      <c r="G1652" s="236"/>
      <c r="H1652" s="236"/>
      <c r="I1652" s="236"/>
      <c r="J1652" s="237"/>
      <c r="K1652" s="230"/>
    </row>
    <row r="1653">
      <c r="A1653" s="232"/>
      <c r="B1653" s="101"/>
      <c r="C1653" s="101"/>
      <c r="D1653" s="101"/>
      <c r="E1653" s="101"/>
      <c r="F1653" s="101"/>
      <c r="G1653" s="233"/>
      <c r="H1653" s="233"/>
      <c r="I1653" s="233"/>
      <c r="J1653" s="234"/>
      <c r="K1653" s="230"/>
    </row>
    <row r="1654">
      <c r="A1654" s="235"/>
      <c r="B1654" s="95"/>
      <c r="C1654" s="95"/>
      <c r="D1654" s="95"/>
      <c r="E1654" s="95"/>
      <c r="F1654" s="95"/>
      <c r="G1654" s="236"/>
      <c r="H1654" s="236"/>
      <c r="I1654" s="236"/>
      <c r="J1654" s="237"/>
      <c r="K1654" s="230"/>
    </row>
    <row r="1655">
      <c r="A1655" s="232"/>
      <c r="B1655" s="101"/>
      <c r="C1655" s="101"/>
      <c r="D1655" s="101"/>
      <c r="E1655" s="101"/>
      <c r="F1655" s="101"/>
      <c r="G1655" s="233"/>
      <c r="H1655" s="233"/>
      <c r="I1655" s="233"/>
      <c r="J1655" s="234"/>
      <c r="K1655" s="230"/>
    </row>
    <row r="1656">
      <c r="A1656" s="235"/>
      <c r="B1656" s="95"/>
      <c r="C1656" s="95"/>
      <c r="D1656" s="95"/>
      <c r="E1656" s="95"/>
      <c r="F1656" s="95"/>
      <c r="G1656" s="236"/>
      <c r="H1656" s="236"/>
      <c r="I1656" s="236"/>
      <c r="J1656" s="237"/>
      <c r="K1656" s="230"/>
    </row>
    <row r="1657">
      <c r="A1657" s="232"/>
      <c r="B1657" s="101"/>
      <c r="C1657" s="101"/>
      <c r="D1657" s="101"/>
      <c r="E1657" s="101"/>
      <c r="F1657" s="101"/>
      <c r="G1657" s="233"/>
      <c r="H1657" s="233"/>
      <c r="I1657" s="233"/>
      <c r="J1657" s="234"/>
      <c r="K1657" s="230"/>
    </row>
    <row r="1658">
      <c r="A1658" s="235"/>
      <c r="B1658" s="95"/>
      <c r="C1658" s="95"/>
      <c r="D1658" s="95"/>
      <c r="E1658" s="95"/>
      <c r="F1658" s="95"/>
      <c r="G1658" s="236"/>
      <c r="H1658" s="236"/>
      <c r="I1658" s="236"/>
      <c r="J1658" s="237"/>
      <c r="K1658" s="230"/>
    </row>
    <row r="1659">
      <c r="A1659" s="232"/>
      <c r="B1659" s="101"/>
      <c r="C1659" s="101"/>
      <c r="D1659" s="101"/>
      <c r="E1659" s="101"/>
      <c r="F1659" s="101"/>
      <c r="G1659" s="233"/>
      <c r="H1659" s="233"/>
      <c r="I1659" s="233"/>
      <c r="J1659" s="234"/>
      <c r="K1659" s="230"/>
    </row>
    <row r="1660">
      <c r="A1660" s="235"/>
      <c r="B1660" s="95"/>
      <c r="C1660" s="95"/>
      <c r="D1660" s="95"/>
      <c r="E1660" s="95"/>
      <c r="F1660" s="95"/>
      <c r="G1660" s="236"/>
      <c r="H1660" s="236"/>
      <c r="I1660" s="236"/>
      <c r="J1660" s="237"/>
      <c r="K1660" s="230"/>
    </row>
    <row r="1661">
      <c r="A1661" s="232"/>
      <c r="B1661" s="101"/>
      <c r="C1661" s="101"/>
      <c r="D1661" s="101"/>
      <c r="E1661" s="101"/>
      <c r="F1661" s="101"/>
      <c r="G1661" s="233"/>
      <c r="H1661" s="233"/>
      <c r="I1661" s="233"/>
      <c r="J1661" s="234"/>
      <c r="K1661" s="230"/>
    </row>
    <row r="1662">
      <c r="A1662" s="235"/>
      <c r="B1662" s="95"/>
      <c r="C1662" s="95"/>
      <c r="D1662" s="95"/>
      <c r="E1662" s="95"/>
      <c r="F1662" s="95"/>
      <c r="G1662" s="236"/>
      <c r="H1662" s="236"/>
      <c r="I1662" s="236"/>
      <c r="J1662" s="237"/>
      <c r="K1662" s="230"/>
    </row>
    <row r="1663">
      <c r="A1663" s="232"/>
      <c r="B1663" s="101"/>
      <c r="C1663" s="101"/>
      <c r="D1663" s="101"/>
      <c r="E1663" s="101"/>
      <c r="F1663" s="101"/>
      <c r="G1663" s="233"/>
      <c r="H1663" s="233"/>
      <c r="I1663" s="233"/>
      <c r="J1663" s="234"/>
      <c r="K1663" s="230"/>
    </row>
    <row r="1664">
      <c r="A1664" s="235"/>
      <c r="B1664" s="95"/>
      <c r="C1664" s="95"/>
      <c r="D1664" s="95"/>
      <c r="E1664" s="95"/>
      <c r="F1664" s="95"/>
      <c r="G1664" s="236"/>
      <c r="H1664" s="236"/>
      <c r="I1664" s="236"/>
      <c r="J1664" s="237"/>
      <c r="K1664" s="230"/>
    </row>
    <row r="1665">
      <c r="A1665" s="232"/>
      <c r="B1665" s="101"/>
      <c r="C1665" s="101"/>
      <c r="D1665" s="101"/>
      <c r="E1665" s="101"/>
      <c r="F1665" s="101"/>
      <c r="G1665" s="233"/>
      <c r="H1665" s="233"/>
      <c r="I1665" s="233"/>
      <c r="J1665" s="234"/>
      <c r="K1665" s="230"/>
    </row>
    <row r="1666">
      <c r="A1666" s="235"/>
      <c r="B1666" s="95"/>
      <c r="C1666" s="95"/>
      <c r="D1666" s="95"/>
      <c r="E1666" s="95"/>
      <c r="F1666" s="95"/>
      <c r="G1666" s="236"/>
      <c r="H1666" s="236"/>
      <c r="I1666" s="236"/>
      <c r="J1666" s="237"/>
      <c r="K1666" s="230"/>
    </row>
    <row r="1667">
      <c r="A1667" s="232"/>
      <c r="B1667" s="101"/>
      <c r="C1667" s="101"/>
      <c r="D1667" s="101"/>
      <c r="E1667" s="101"/>
      <c r="F1667" s="101"/>
      <c r="G1667" s="233"/>
      <c r="H1667" s="233"/>
      <c r="I1667" s="233"/>
      <c r="J1667" s="234"/>
      <c r="K1667" s="230"/>
    </row>
    <row r="1668">
      <c r="A1668" s="235"/>
      <c r="B1668" s="95"/>
      <c r="C1668" s="95"/>
      <c r="D1668" s="95"/>
      <c r="E1668" s="95"/>
      <c r="F1668" s="95"/>
      <c r="G1668" s="236"/>
      <c r="H1668" s="236"/>
      <c r="I1668" s="236"/>
      <c r="J1668" s="237"/>
      <c r="K1668" s="230"/>
    </row>
    <row r="1669">
      <c r="A1669" s="232"/>
      <c r="B1669" s="101"/>
      <c r="C1669" s="101"/>
      <c r="D1669" s="101"/>
      <c r="E1669" s="101"/>
      <c r="F1669" s="101"/>
      <c r="G1669" s="233"/>
      <c r="H1669" s="233"/>
      <c r="I1669" s="233"/>
      <c r="J1669" s="234"/>
      <c r="K1669" s="230"/>
    </row>
    <row r="1670">
      <c r="A1670" s="235"/>
      <c r="B1670" s="95"/>
      <c r="C1670" s="95"/>
      <c r="D1670" s="95"/>
      <c r="E1670" s="95"/>
      <c r="F1670" s="95"/>
      <c r="G1670" s="236"/>
      <c r="H1670" s="236"/>
      <c r="I1670" s="236"/>
      <c r="J1670" s="237"/>
      <c r="K1670" s="230"/>
    </row>
    <row r="1671">
      <c r="A1671" s="232"/>
      <c r="B1671" s="101"/>
      <c r="C1671" s="101"/>
      <c r="D1671" s="101"/>
      <c r="E1671" s="101"/>
      <c r="F1671" s="101"/>
      <c r="G1671" s="233"/>
      <c r="H1671" s="233"/>
      <c r="I1671" s="233"/>
      <c r="J1671" s="234"/>
      <c r="K1671" s="230"/>
    </row>
    <row r="1672">
      <c r="A1672" s="235"/>
      <c r="B1672" s="95"/>
      <c r="C1672" s="95"/>
      <c r="D1672" s="95"/>
      <c r="E1672" s="95"/>
      <c r="F1672" s="95"/>
      <c r="G1672" s="236"/>
      <c r="H1672" s="236"/>
      <c r="I1672" s="236"/>
      <c r="J1672" s="237"/>
      <c r="K1672" s="230"/>
    </row>
    <row r="1673">
      <c r="A1673" s="232"/>
      <c r="B1673" s="101"/>
      <c r="C1673" s="101"/>
      <c r="D1673" s="101"/>
      <c r="E1673" s="101"/>
      <c r="F1673" s="101"/>
      <c r="G1673" s="233"/>
      <c r="H1673" s="233"/>
      <c r="I1673" s="233"/>
      <c r="J1673" s="234"/>
      <c r="K1673" s="230"/>
    </row>
    <row r="1674">
      <c r="A1674" s="235"/>
      <c r="B1674" s="95"/>
      <c r="C1674" s="95"/>
      <c r="D1674" s="95"/>
      <c r="E1674" s="95"/>
      <c r="F1674" s="95"/>
      <c r="G1674" s="236"/>
      <c r="H1674" s="236"/>
      <c r="I1674" s="236"/>
      <c r="J1674" s="237"/>
      <c r="K1674" s="230"/>
    </row>
    <row r="1675">
      <c r="A1675" s="232"/>
      <c r="B1675" s="101"/>
      <c r="C1675" s="101"/>
      <c r="D1675" s="101"/>
      <c r="E1675" s="101"/>
      <c r="F1675" s="101"/>
      <c r="G1675" s="233"/>
      <c r="H1675" s="233"/>
      <c r="I1675" s="233"/>
      <c r="J1675" s="234"/>
      <c r="K1675" s="230"/>
    </row>
    <row r="1676">
      <c r="A1676" s="235"/>
      <c r="B1676" s="95"/>
      <c r="C1676" s="95"/>
      <c r="D1676" s="95"/>
      <c r="E1676" s="95"/>
      <c r="F1676" s="95"/>
      <c r="G1676" s="236"/>
      <c r="H1676" s="236"/>
      <c r="I1676" s="236"/>
      <c r="J1676" s="237"/>
      <c r="K1676" s="230"/>
    </row>
    <row r="1677">
      <c r="A1677" s="232"/>
      <c r="B1677" s="101"/>
      <c r="C1677" s="101"/>
      <c r="D1677" s="101"/>
      <c r="E1677" s="101"/>
      <c r="F1677" s="101"/>
      <c r="G1677" s="233"/>
      <c r="H1677" s="233"/>
      <c r="I1677" s="233"/>
      <c r="J1677" s="234"/>
      <c r="K1677" s="230"/>
    </row>
    <row r="1678">
      <c r="A1678" s="235"/>
      <c r="B1678" s="95"/>
      <c r="C1678" s="95"/>
      <c r="D1678" s="95"/>
      <c r="E1678" s="95"/>
      <c r="F1678" s="95"/>
      <c r="G1678" s="236"/>
      <c r="H1678" s="236"/>
      <c r="I1678" s="236"/>
      <c r="J1678" s="237"/>
      <c r="K1678" s="230"/>
    </row>
    <row r="1679">
      <c r="A1679" s="232"/>
      <c r="B1679" s="101"/>
      <c r="C1679" s="101"/>
      <c r="D1679" s="101"/>
      <c r="E1679" s="101"/>
      <c r="F1679" s="101"/>
      <c r="G1679" s="233"/>
      <c r="H1679" s="233"/>
      <c r="I1679" s="233"/>
      <c r="J1679" s="234"/>
      <c r="K1679" s="230"/>
    </row>
    <row r="1680">
      <c r="A1680" s="235"/>
      <c r="B1680" s="95"/>
      <c r="C1680" s="95"/>
      <c r="D1680" s="95"/>
      <c r="E1680" s="95"/>
      <c r="F1680" s="95"/>
      <c r="G1680" s="236"/>
      <c r="H1680" s="236"/>
      <c r="I1680" s="236"/>
      <c r="J1680" s="237"/>
      <c r="K1680" s="230"/>
    </row>
    <row r="1681">
      <c r="A1681" s="232"/>
      <c r="B1681" s="101"/>
      <c r="C1681" s="101"/>
      <c r="D1681" s="101"/>
      <c r="E1681" s="101"/>
      <c r="F1681" s="101"/>
      <c r="G1681" s="233"/>
      <c r="H1681" s="233"/>
      <c r="I1681" s="233"/>
      <c r="J1681" s="234"/>
      <c r="K1681" s="230"/>
    </row>
    <row r="1682">
      <c r="A1682" s="235"/>
      <c r="B1682" s="95"/>
      <c r="C1682" s="95"/>
      <c r="D1682" s="95"/>
      <c r="E1682" s="95"/>
      <c r="F1682" s="95"/>
      <c r="G1682" s="236"/>
      <c r="H1682" s="236"/>
      <c r="I1682" s="236"/>
      <c r="J1682" s="237"/>
      <c r="K1682" s="230"/>
    </row>
    <row r="1683">
      <c r="A1683" s="232"/>
      <c r="B1683" s="101"/>
      <c r="C1683" s="101"/>
      <c r="D1683" s="101"/>
      <c r="E1683" s="101"/>
      <c r="F1683" s="101"/>
      <c r="G1683" s="233"/>
      <c r="H1683" s="233"/>
      <c r="I1683" s="233"/>
      <c r="J1683" s="234"/>
      <c r="K1683" s="230"/>
    </row>
    <row r="1684">
      <c r="A1684" s="235"/>
      <c r="B1684" s="95"/>
      <c r="C1684" s="95"/>
      <c r="D1684" s="95"/>
      <c r="E1684" s="95"/>
      <c r="F1684" s="95"/>
      <c r="G1684" s="236"/>
      <c r="H1684" s="236"/>
      <c r="I1684" s="236"/>
      <c r="J1684" s="237"/>
      <c r="K1684" s="230"/>
    </row>
    <row r="1685">
      <c r="A1685" s="232"/>
      <c r="B1685" s="101"/>
      <c r="C1685" s="101"/>
      <c r="D1685" s="101"/>
      <c r="E1685" s="101"/>
      <c r="F1685" s="101"/>
      <c r="G1685" s="233"/>
      <c r="H1685" s="233"/>
      <c r="I1685" s="233"/>
      <c r="J1685" s="234"/>
      <c r="K1685" s="230"/>
    </row>
    <row r="1686">
      <c r="A1686" s="235"/>
      <c r="B1686" s="95"/>
      <c r="C1686" s="95"/>
      <c r="D1686" s="95"/>
      <c r="E1686" s="95"/>
      <c r="F1686" s="95"/>
      <c r="G1686" s="236"/>
      <c r="H1686" s="236"/>
      <c r="I1686" s="236"/>
      <c r="J1686" s="237"/>
      <c r="K1686" s="230"/>
    </row>
    <row r="1687">
      <c r="A1687" s="232"/>
      <c r="B1687" s="101"/>
      <c r="C1687" s="101"/>
      <c r="D1687" s="101"/>
      <c r="E1687" s="101"/>
      <c r="F1687" s="101"/>
      <c r="G1687" s="233"/>
      <c r="H1687" s="233"/>
      <c r="I1687" s="233"/>
      <c r="J1687" s="234"/>
      <c r="K1687" s="230"/>
    </row>
    <row r="1688">
      <c r="A1688" s="235"/>
      <c r="B1688" s="95"/>
      <c r="C1688" s="95"/>
      <c r="D1688" s="95"/>
      <c r="E1688" s="95"/>
      <c r="F1688" s="95"/>
      <c r="G1688" s="236"/>
      <c r="H1688" s="236"/>
      <c r="I1688" s="236"/>
      <c r="J1688" s="237"/>
      <c r="K1688" s="230"/>
    </row>
    <row r="1689">
      <c r="A1689" s="232"/>
      <c r="B1689" s="101"/>
      <c r="C1689" s="101"/>
      <c r="D1689" s="101"/>
      <c r="E1689" s="101"/>
      <c r="F1689" s="101"/>
      <c r="G1689" s="233"/>
      <c r="H1689" s="233"/>
      <c r="I1689" s="233"/>
      <c r="J1689" s="234"/>
      <c r="K1689" s="230"/>
    </row>
    <row r="1690">
      <c r="A1690" s="235"/>
      <c r="B1690" s="95"/>
      <c r="C1690" s="95"/>
      <c r="D1690" s="95"/>
      <c r="E1690" s="95"/>
      <c r="F1690" s="95"/>
      <c r="G1690" s="236"/>
      <c r="H1690" s="236"/>
      <c r="I1690" s="236"/>
      <c r="J1690" s="237"/>
      <c r="K1690" s="230"/>
    </row>
    <row r="1691">
      <c r="A1691" s="232"/>
      <c r="B1691" s="101"/>
      <c r="C1691" s="101"/>
      <c r="D1691" s="101"/>
      <c r="E1691" s="101"/>
      <c r="F1691" s="101"/>
      <c r="G1691" s="233"/>
      <c r="H1691" s="233"/>
      <c r="I1691" s="233"/>
      <c r="J1691" s="234"/>
      <c r="K1691" s="230"/>
    </row>
    <row r="1692">
      <c r="A1692" s="235"/>
      <c r="B1692" s="95"/>
      <c r="C1692" s="95"/>
      <c r="D1692" s="95"/>
      <c r="E1692" s="95"/>
      <c r="F1692" s="95"/>
      <c r="G1692" s="236"/>
      <c r="H1692" s="236"/>
      <c r="I1692" s="236"/>
      <c r="J1692" s="237"/>
      <c r="K1692" s="230"/>
    </row>
    <row r="1693">
      <c r="A1693" s="232"/>
      <c r="B1693" s="101"/>
      <c r="C1693" s="101"/>
      <c r="D1693" s="101"/>
      <c r="E1693" s="101"/>
      <c r="F1693" s="101"/>
      <c r="G1693" s="233"/>
      <c r="H1693" s="233"/>
      <c r="I1693" s="233"/>
      <c r="J1693" s="234"/>
      <c r="K1693" s="230"/>
    </row>
    <row r="1694">
      <c r="A1694" s="235"/>
      <c r="B1694" s="95"/>
      <c r="C1694" s="95"/>
      <c r="D1694" s="95"/>
      <c r="E1694" s="95"/>
      <c r="F1694" s="95"/>
      <c r="G1694" s="236"/>
      <c r="H1694" s="236"/>
      <c r="I1694" s="236"/>
      <c r="J1694" s="237"/>
      <c r="K1694" s="230"/>
    </row>
    <row r="1695">
      <c r="A1695" s="232"/>
      <c r="B1695" s="101"/>
      <c r="C1695" s="101"/>
      <c r="D1695" s="101"/>
      <c r="E1695" s="101"/>
      <c r="F1695" s="101"/>
      <c r="G1695" s="233"/>
      <c r="H1695" s="233"/>
      <c r="I1695" s="233"/>
      <c r="J1695" s="234"/>
      <c r="K1695" s="230"/>
    </row>
    <row r="1696">
      <c r="A1696" s="235"/>
      <c r="B1696" s="95"/>
      <c r="C1696" s="95"/>
      <c r="D1696" s="95"/>
      <c r="E1696" s="95"/>
      <c r="F1696" s="95"/>
      <c r="G1696" s="236"/>
      <c r="H1696" s="236"/>
      <c r="I1696" s="236"/>
      <c r="J1696" s="237"/>
      <c r="K1696" s="230"/>
    </row>
    <row r="1697">
      <c r="A1697" s="232"/>
      <c r="B1697" s="101"/>
      <c r="C1697" s="101"/>
      <c r="D1697" s="101"/>
      <c r="E1697" s="101"/>
      <c r="F1697" s="101"/>
      <c r="G1697" s="233"/>
      <c r="H1697" s="233"/>
      <c r="I1697" s="233"/>
      <c r="J1697" s="234"/>
      <c r="K1697" s="230"/>
    </row>
    <row r="1698">
      <c r="A1698" s="235"/>
      <c r="B1698" s="95"/>
      <c r="C1698" s="95"/>
      <c r="D1698" s="95"/>
      <c r="E1698" s="95"/>
      <c r="F1698" s="95"/>
      <c r="G1698" s="236"/>
      <c r="H1698" s="236"/>
      <c r="I1698" s="236"/>
      <c r="J1698" s="237"/>
      <c r="K1698" s="230"/>
    </row>
    <row r="1699">
      <c r="A1699" s="232"/>
      <c r="B1699" s="101"/>
      <c r="C1699" s="101"/>
      <c r="D1699" s="101"/>
      <c r="E1699" s="101"/>
      <c r="F1699" s="101"/>
      <c r="G1699" s="233"/>
      <c r="H1699" s="233"/>
      <c r="I1699" s="233"/>
      <c r="J1699" s="234"/>
      <c r="K1699" s="230"/>
    </row>
    <row r="1700">
      <c r="A1700" s="235"/>
      <c r="B1700" s="95"/>
      <c r="C1700" s="95"/>
      <c r="D1700" s="95"/>
      <c r="E1700" s="95"/>
      <c r="F1700" s="95"/>
      <c r="G1700" s="236"/>
      <c r="H1700" s="236"/>
      <c r="I1700" s="236"/>
      <c r="J1700" s="237"/>
      <c r="K1700" s="230"/>
    </row>
    <row r="1701">
      <c r="A1701" s="232"/>
      <c r="B1701" s="101"/>
      <c r="C1701" s="101"/>
      <c r="D1701" s="101"/>
      <c r="E1701" s="101"/>
      <c r="F1701" s="101"/>
      <c r="G1701" s="233"/>
      <c r="H1701" s="233"/>
      <c r="I1701" s="233"/>
      <c r="J1701" s="234"/>
      <c r="K1701" s="230"/>
    </row>
    <row r="1702">
      <c r="A1702" s="235"/>
      <c r="B1702" s="95"/>
      <c r="C1702" s="95"/>
      <c r="D1702" s="95"/>
      <c r="E1702" s="95"/>
      <c r="F1702" s="95"/>
      <c r="G1702" s="236"/>
      <c r="H1702" s="236"/>
      <c r="I1702" s="236"/>
      <c r="J1702" s="237"/>
      <c r="K1702" s="230"/>
    </row>
    <row r="1703">
      <c r="A1703" s="232"/>
      <c r="B1703" s="101"/>
      <c r="C1703" s="101"/>
      <c r="D1703" s="101"/>
      <c r="E1703" s="101"/>
      <c r="F1703" s="101"/>
      <c r="G1703" s="233"/>
      <c r="H1703" s="233"/>
      <c r="I1703" s="233"/>
      <c r="J1703" s="234"/>
      <c r="K1703" s="230"/>
    </row>
    <row r="1704">
      <c r="A1704" s="235"/>
      <c r="B1704" s="95"/>
      <c r="C1704" s="95"/>
      <c r="D1704" s="95"/>
      <c r="E1704" s="95"/>
      <c r="F1704" s="95"/>
      <c r="G1704" s="236"/>
      <c r="H1704" s="236"/>
      <c r="I1704" s="236"/>
      <c r="J1704" s="237"/>
      <c r="K1704" s="230"/>
    </row>
    <row r="1705">
      <c r="A1705" s="232"/>
      <c r="B1705" s="101"/>
      <c r="C1705" s="101"/>
      <c r="D1705" s="101"/>
      <c r="E1705" s="101"/>
      <c r="F1705" s="101"/>
      <c r="G1705" s="233"/>
      <c r="H1705" s="233"/>
      <c r="I1705" s="233"/>
      <c r="J1705" s="234"/>
      <c r="K1705" s="230"/>
    </row>
    <row r="1706">
      <c r="A1706" s="235"/>
      <c r="B1706" s="95"/>
      <c r="C1706" s="95"/>
      <c r="D1706" s="95"/>
      <c r="E1706" s="95"/>
      <c r="F1706" s="95"/>
      <c r="G1706" s="236"/>
      <c r="H1706" s="236"/>
      <c r="I1706" s="236"/>
      <c r="J1706" s="237"/>
      <c r="K1706" s="230"/>
    </row>
    <row r="1707">
      <c r="A1707" s="232"/>
      <c r="B1707" s="101"/>
      <c r="C1707" s="101"/>
      <c r="D1707" s="101"/>
      <c r="E1707" s="101"/>
      <c r="F1707" s="101"/>
      <c r="G1707" s="233"/>
      <c r="H1707" s="233"/>
      <c r="I1707" s="233"/>
      <c r="J1707" s="234"/>
      <c r="K1707" s="230"/>
    </row>
    <row r="1708">
      <c r="A1708" s="235"/>
      <c r="B1708" s="95"/>
      <c r="C1708" s="95"/>
      <c r="D1708" s="95"/>
      <c r="E1708" s="95"/>
      <c r="F1708" s="95"/>
      <c r="G1708" s="236"/>
      <c r="H1708" s="236"/>
      <c r="I1708" s="236"/>
      <c r="J1708" s="237"/>
      <c r="K1708" s="230"/>
    </row>
    <row r="1709">
      <c r="A1709" s="232"/>
      <c r="B1709" s="101"/>
      <c r="C1709" s="101"/>
      <c r="D1709" s="101"/>
      <c r="E1709" s="101"/>
      <c r="F1709" s="101"/>
      <c r="G1709" s="233"/>
      <c r="H1709" s="233"/>
      <c r="I1709" s="233"/>
      <c r="J1709" s="234"/>
      <c r="K1709" s="230"/>
    </row>
    <row r="1710">
      <c r="A1710" s="235"/>
      <c r="B1710" s="95"/>
      <c r="C1710" s="95"/>
      <c r="D1710" s="95"/>
      <c r="E1710" s="95"/>
      <c r="F1710" s="95"/>
      <c r="G1710" s="236"/>
      <c r="H1710" s="236"/>
      <c r="I1710" s="236"/>
      <c r="J1710" s="237"/>
      <c r="K1710" s="230"/>
    </row>
    <row r="1711">
      <c r="A1711" s="232"/>
      <c r="B1711" s="101"/>
      <c r="C1711" s="101"/>
      <c r="D1711" s="101"/>
      <c r="E1711" s="101"/>
      <c r="F1711" s="101"/>
      <c r="G1711" s="233"/>
      <c r="H1711" s="233"/>
      <c r="I1711" s="233"/>
      <c r="J1711" s="234"/>
      <c r="K1711" s="230"/>
    </row>
    <row r="1712">
      <c r="A1712" s="235"/>
      <c r="B1712" s="95"/>
      <c r="C1712" s="95"/>
      <c r="D1712" s="95"/>
      <c r="E1712" s="95"/>
      <c r="F1712" s="95"/>
      <c r="G1712" s="236"/>
      <c r="H1712" s="236"/>
      <c r="I1712" s="236"/>
      <c r="J1712" s="237"/>
      <c r="K1712" s="230"/>
    </row>
    <row r="1713">
      <c r="A1713" s="232"/>
      <c r="B1713" s="101"/>
      <c r="C1713" s="101"/>
      <c r="D1713" s="101"/>
      <c r="E1713" s="101"/>
      <c r="F1713" s="101"/>
      <c r="G1713" s="233"/>
      <c r="H1713" s="233"/>
      <c r="I1713" s="233"/>
      <c r="J1713" s="234"/>
      <c r="K1713" s="230"/>
    </row>
    <row r="1714">
      <c r="A1714" s="235"/>
      <c r="B1714" s="95"/>
      <c r="C1714" s="95"/>
      <c r="D1714" s="95"/>
      <c r="E1714" s="95"/>
      <c r="F1714" s="95"/>
      <c r="G1714" s="236"/>
      <c r="H1714" s="236"/>
      <c r="I1714" s="236"/>
      <c r="J1714" s="237"/>
      <c r="K1714" s="230"/>
    </row>
    <row r="1715">
      <c r="A1715" s="232"/>
      <c r="B1715" s="101"/>
      <c r="C1715" s="101"/>
      <c r="D1715" s="101"/>
      <c r="E1715" s="101"/>
      <c r="F1715" s="101"/>
      <c r="G1715" s="233"/>
      <c r="H1715" s="233"/>
      <c r="I1715" s="233"/>
      <c r="J1715" s="234"/>
      <c r="K1715" s="230"/>
    </row>
    <row r="1716">
      <c r="A1716" s="235"/>
      <c r="B1716" s="95"/>
      <c r="C1716" s="95"/>
      <c r="D1716" s="95"/>
      <c r="E1716" s="95"/>
      <c r="F1716" s="95"/>
      <c r="G1716" s="236"/>
      <c r="H1716" s="236"/>
      <c r="I1716" s="236"/>
      <c r="J1716" s="237"/>
      <c r="K1716" s="230"/>
    </row>
    <row r="1717">
      <c r="A1717" s="232"/>
      <c r="B1717" s="101"/>
      <c r="C1717" s="101"/>
      <c r="D1717" s="101"/>
      <c r="E1717" s="101"/>
      <c r="F1717" s="101"/>
      <c r="G1717" s="233"/>
      <c r="H1717" s="233"/>
      <c r="I1717" s="233"/>
      <c r="J1717" s="234"/>
      <c r="K1717" s="230"/>
    </row>
    <row r="1718">
      <c r="A1718" s="235"/>
      <c r="B1718" s="95"/>
      <c r="C1718" s="95"/>
      <c r="D1718" s="95"/>
      <c r="E1718" s="95"/>
      <c r="F1718" s="95"/>
      <c r="G1718" s="236"/>
      <c r="H1718" s="236"/>
      <c r="I1718" s="236"/>
      <c r="J1718" s="237"/>
      <c r="K1718" s="230"/>
    </row>
    <row r="1719">
      <c r="A1719" s="232"/>
      <c r="B1719" s="101"/>
      <c r="C1719" s="101"/>
      <c r="D1719" s="101"/>
      <c r="E1719" s="101"/>
      <c r="F1719" s="101"/>
      <c r="G1719" s="233"/>
      <c r="H1719" s="233"/>
      <c r="I1719" s="233"/>
      <c r="J1719" s="234"/>
      <c r="K1719" s="230"/>
    </row>
    <row r="1720">
      <c r="A1720" s="235"/>
      <c r="B1720" s="95"/>
      <c r="C1720" s="95"/>
      <c r="D1720" s="95"/>
      <c r="E1720" s="95"/>
      <c r="F1720" s="95"/>
      <c r="G1720" s="236"/>
      <c r="H1720" s="236"/>
      <c r="I1720" s="236"/>
      <c r="J1720" s="237"/>
      <c r="K1720" s="230"/>
    </row>
    <row r="1721">
      <c r="A1721" s="232"/>
      <c r="B1721" s="101"/>
      <c r="C1721" s="101"/>
      <c r="D1721" s="101"/>
      <c r="E1721" s="101"/>
      <c r="F1721" s="101"/>
      <c r="G1721" s="233"/>
      <c r="H1721" s="233"/>
      <c r="I1721" s="233"/>
      <c r="J1721" s="234"/>
      <c r="K1721" s="230"/>
    </row>
    <row r="1722">
      <c r="A1722" s="235"/>
      <c r="B1722" s="95"/>
      <c r="C1722" s="95"/>
      <c r="D1722" s="95"/>
      <c r="E1722" s="95"/>
      <c r="F1722" s="95"/>
      <c r="G1722" s="236"/>
      <c r="H1722" s="236"/>
      <c r="I1722" s="236"/>
      <c r="J1722" s="237"/>
      <c r="K1722" s="230"/>
    </row>
    <row r="1723">
      <c r="A1723" s="232"/>
      <c r="B1723" s="101"/>
      <c r="C1723" s="101"/>
      <c r="D1723" s="101"/>
      <c r="E1723" s="101"/>
      <c r="F1723" s="101"/>
      <c r="G1723" s="233"/>
      <c r="H1723" s="233"/>
      <c r="I1723" s="233"/>
      <c r="J1723" s="234"/>
      <c r="K1723" s="230"/>
    </row>
    <row r="1724">
      <c r="A1724" s="235"/>
      <c r="B1724" s="95"/>
      <c r="C1724" s="95"/>
      <c r="D1724" s="95"/>
      <c r="E1724" s="95"/>
      <c r="F1724" s="95"/>
      <c r="G1724" s="236"/>
      <c r="H1724" s="236"/>
      <c r="I1724" s="236"/>
      <c r="J1724" s="237"/>
      <c r="K1724" s="230"/>
    </row>
    <row r="1725">
      <c r="A1725" s="232"/>
      <c r="B1725" s="101"/>
      <c r="C1725" s="101"/>
      <c r="D1725" s="101"/>
      <c r="E1725" s="101"/>
      <c r="F1725" s="101"/>
      <c r="G1725" s="233"/>
      <c r="H1725" s="233"/>
      <c r="I1725" s="233"/>
      <c r="J1725" s="234"/>
      <c r="K1725" s="230"/>
    </row>
    <row r="1726">
      <c r="A1726" s="235"/>
      <c r="B1726" s="95"/>
      <c r="C1726" s="95"/>
      <c r="D1726" s="95"/>
      <c r="E1726" s="95"/>
      <c r="F1726" s="95"/>
      <c r="G1726" s="236"/>
      <c r="H1726" s="236"/>
      <c r="I1726" s="236"/>
      <c r="J1726" s="237"/>
      <c r="K1726" s="230"/>
    </row>
    <row r="1727">
      <c r="A1727" s="232"/>
      <c r="B1727" s="101"/>
      <c r="C1727" s="101"/>
      <c r="D1727" s="101"/>
      <c r="E1727" s="101"/>
      <c r="F1727" s="101"/>
      <c r="G1727" s="233"/>
      <c r="H1727" s="233"/>
      <c r="I1727" s="233"/>
      <c r="J1727" s="234"/>
      <c r="K1727" s="230"/>
    </row>
    <row r="1728">
      <c r="A1728" s="235"/>
      <c r="B1728" s="95"/>
      <c r="C1728" s="95"/>
      <c r="D1728" s="95"/>
      <c r="E1728" s="95"/>
      <c r="F1728" s="95"/>
      <c r="G1728" s="236"/>
      <c r="H1728" s="236"/>
      <c r="I1728" s="236"/>
      <c r="J1728" s="237"/>
      <c r="K1728" s="230"/>
    </row>
    <row r="1729">
      <c r="A1729" s="232"/>
      <c r="B1729" s="101"/>
      <c r="C1729" s="101"/>
      <c r="D1729" s="101"/>
      <c r="E1729" s="101"/>
      <c r="F1729" s="101"/>
      <c r="G1729" s="233"/>
      <c r="H1729" s="233"/>
      <c r="I1729" s="233"/>
      <c r="J1729" s="234"/>
      <c r="K1729" s="230"/>
    </row>
    <row r="1730">
      <c r="A1730" s="235"/>
      <c r="B1730" s="95"/>
      <c r="C1730" s="95"/>
      <c r="D1730" s="95"/>
      <c r="E1730" s="95"/>
      <c r="F1730" s="95"/>
      <c r="G1730" s="236"/>
      <c r="H1730" s="236"/>
      <c r="I1730" s="236"/>
      <c r="J1730" s="237"/>
      <c r="K1730" s="230"/>
    </row>
    <row r="1731">
      <c r="A1731" s="232"/>
      <c r="B1731" s="101"/>
      <c r="C1731" s="101"/>
      <c r="D1731" s="101"/>
      <c r="E1731" s="101"/>
      <c r="F1731" s="101"/>
      <c r="G1731" s="233"/>
      <c r="H1731" s="233"/>
      <c r="I1731" s="233"/>
      <c r="J1731" s="234"/>
      <c r="K1731" s="230"/>
    </row>
    <row r="1732">
      <c r="A1732" s="235"/>
      <c r="B1732" s="95"/>
      <c r="C1732" s="95"/>
      <c r="D1732" s="95"/>
      <c r="E1732" s="95"/>
      <c r="F1732" s="95"/>
      <c r="G1732" s="236"/>
      <c r="H1732" s="236"/>
      <c r="I1732" s="236"/>
      <c r="J1732" s="237"/>
      <c r="K1732" s="230"/>
    </row>
    <row r="1733">
      <c r="A1733" s="232"/>
      <c r="B1733" s="101"/>
      <c r="C1733" s="101"/>
      <c r="D1733" s="101"/>
      <c r="E1733" s="101"/>
      <c r="F1733" s="101"/>
      <c r="G1733" s="233"/>
      <c r="H1733" s="233"/>
      <c r="I1733" s="233"/>
      <c r="J1733" s="234"/>
      <c r="K1733" s="230"/>
    </row>
    <row r="1734">
      <c r="A1734" s="235"/>
      <c r="B1734" s="95"/>
      <c r="C1734" s="95"/>
      <c r="D1734" s="95"/>
      <c r="E1734" s="95"/>
      <c r="F1734" s="95"/>
      <c r="G1734" s="236"/>
      <c r="H1734" s="236"/>
      <c r="I1734" s="236"/>
      <c r="J1734" s="237"/>
      <c r="K1734" s="230"/>
    </row>
    <row r="1735">
      <c r="A1735" s="232"/>
      <c r="B1735" s="101"/>
      <c r="C1735" s="101"/>
      <c r="D1735" s="101"/>
      <c r="E1735" s="101"/>
      <c r="F1735" s="101"/>
      <c r="G1735" s="233"/>
      <c r="H1735" s="233"/>
      <c r="I1735" s="233"/>
      <c r="J1735" s="234"/>
      <c r="K1735" s="230"/>
    </row>
    <row r="1736">
      <c r="A1736" s="235"/>
      <c r="B1736" s="95"/>
      <c r="C1736" s="95"/>
      <c r="D1736" s="95"/>
      <c r="E1736" s="95"/>
      <c r="F1736" s="95"/>
      <c r="G1736" s="236"/>
      <c r="H1736" s="236"/>
      <c r="I1736" s="236"/>
      <c r="J1736" s="237"/>
      <c r="K1736" s="230"/>
    </row>
    <row r="1737">
      <c r="A1737" s="232"/>
      <c r="B1737" s="101"/>
      <c r="C1737" s="101"/>
      <c r="D1737" s="101"/>
      <c r="E1737" s="101"/>
      <c r="F1737" s="101"/>
      <c r="G1737" s="233"/>
      <c r="H1737" s="233"/>
      <c r="I1737" s="233"/>
      <c r="J1737" s="234"/>
      <c r="K1737" s="230"/>
    </row>
    <row r="1738">
      <c r="A1738" s="235"/>
      <c r="B1738" s="95"/>
      <c r="C1738" s="95"/>
      <c r="D1738" s="95"/>
      <c r="E1738" s="95"/>
      <c r="F1738" s="95"/>
      <c r="G1738" s="236"/>
      <c r="H1738" s="236"/>
      <c r="I1738" s="236"/>
      <c r="J1738" s="237"/>
      <c r="K1738" s="230"/>
    </row>
    <row r="1739">
      <c r="A1739" s="232"/>
      <c r="B1739" s="101"/>
      <c r="C1739" s="101"/>
      <c r="D1739" s="101"/>
      <c r="E1739" s="101"/>
      <c r="F1739" s="101"/>
      <c r="G1739" s="233"/>
      <c r="H1739" s="233"/>
      <c r="I1739" s="233"/>
      <c r="J1739" s="234"/>
      <c r="K1739" s="230"/>
    </row>
    <row r="1740">
      <c r="A1740" s="235"/>
      <c r="B1740" s="95"/>
      <c r="C1740" s="95"/>
      <c r="D1740" s="95"/>
      <c r="E1740" s="95"/>
      <c r="F1740" s="95"/>
      <c r="G1740" s="236"/>
      <c r="H1740" s="236"/>
      <c r="I1740" s="236"/>
      <c r="J1740" s="237"/>
      <c r="K1740" s="230"/>
    </row>
    <row r="1741">
      <c r="A1741" s="232"/>
      <c r="B1741" s="101"/>
      <c r="C1741" s="101"/>
      <c r="D1741" s="101"/>
      <c r="E1741" s="101"/>
      <c r="F1741" s="101"/>
      <c r="G1741" s="233"/>
      <c r="H1741" s="233"/>
      <c r="I1741" s="233"/>
      <c r="J1741" s="234"/>
      <c r="K1741" s="230"/>
    </row>
    <row r="1742">
      <c r="A1742" s="235"/>
      <c r="B1742" s="95"/>
      <c r="C1742" s="95"/>
      <c r="D1742" s="95"/>
      <c r="E1742" s="95"/>
      <c r="F1742" s="95"/>
      <c r="G1742" s="236"/>
      <c r="H1742" s="236"/>
      <c r="I1742" s="236"/>
      <c r="J1742" s="237"/>
      <c r="K1742" s="230"/>
    </row>
    <row r="1743">
      <c r="A1743" s="232"/>
      <c r="B1743" s="101"/>
      <c r="C1743" s="101"/>
      <c r="D1743" s="101"/>
      <c r="E1743" s="101"/>
      <c r="F1743" s="101"/>
      <c r="G1743" s="233"/>
      <c r="H1743" s="233"/>
      <c r="I1743" s="233"/>
      <c r="J1743" s="234"/>
      <c r="K1743" s="230"/>
    </row>
    <row r="1744">
      <c r="A1744" s="235"/>
      <c r="B1744" s="95"/>
      <c r="C1744" s="95"/>
      <c r="D1744" s="95"/>
      <c r="E1744" s="95"/>
      <c r="F1744" s="95"/>
      <c r="G1744" s="236"/>
      <c r="H1744" s="236"/>
      <c r="I1744" s="236"/>
      <c r="J1744" s="237"/>
      <c r="K1744" s="230"/>
    </row>
    <row r="1745">
      <c r="A1745" s="232"/>
      <c r="B1745" s="101"/>
      <c r="C1745" s="101"/>
      <c r="D1745" s="101"/>
      <c r="E1745" s="101"/>
      <c r="F1745" s="101"/>
      <c r="G1745" s="233"/>
      <c r="H1745" s="233"/>
      <c r="I1745" s="233"/>
      <c r="J1745" s="234"/>
      <c r="K1745" s="230"/>
    </row>
    <row r="1746">
      <c r="A1746" s="235"/>
      <c r="B1746" s="95"/>
      <c r="C1746" s="95"/>
      <c r="D1746" s="95"/>
      <c r="E1746" s="95"/>
      <c r="F1746" s="95"/>
      <c r="G1746" s="236"/>
      <c r="H1746" s="236"/>
      <c r="I1746" s="236"/>
      <c r="J1746" s="237"/>
      <c r="K1746" s="230"/>
    </row>
    <row r="1747">
      <c r="A1747" s="232"/>
      <c r="B1747" s="101"/>
      <c r="C1747" s="101"/>
      <c r="D1747" s="101"/>
      <c r="E1747" s="101"/>
      <c r="F1747" s="101"/>
      <c r="G1747" s="233"/>
      <c r="H1747" s="233"/>
      <c r="I1747" s="233"/>
      <c r="J1747" s="234"/>
      <c r="K1747" s="230"/>
    </row>
    <row r="1748">
      <c r="A1748" s="235"/>
      <c r="B1748" s="95"/>
      <c r="C1748" s="95"/>
      <c r="D1748" s="95"/>
      <c r="E1748" s="95"/>
      <c r="F1748" s="95"/>
      <c r="G1748" s="236"/>
      <c r="H1748" s="236"/>
      <c r="I1748" s="236"/>
      <c r="J1748" s="237"/>
      <c r="K1748" s="230"/>
    </row>
    <row r="1749">
      <c r="A1749" s="232"/>
      <c r="B1749" s="101"/>
      <c r="C1749" s="101"/>
      <c r="D1749" s="101"/>
      <c r="E1749" s="101"/>
      <c r="F1749" s="101"/>
      <c r="G1749" s="233"/>
      <c r="H1749" s="233"/>
      <c r="I1749" s="233"/>
      <c r="J1749" s="234"/>
      <c r="K1749" s="230"/>
    </row>
    <row r="1750">
      <c r="A1750" s="235"/>
      <c r="B1750" s="95"/>
      <c r="C1750" s="95"/>
      <c r="D1750" s="95"/>
      <c r="E1750" s="95"/>
      <c r="F1750" s="95"/>
      <c r="G1750" s="236"/>
      <c r="H1750" s="236"/>
      <c r="I1750" s="236"/>
      <c r="J1750" s="237"/>
      <c r="K1750" s="230"/>
    </row>
    <row r="1751">
      <c r="A1751" s="232"/>
      <c r="B1751" s="101"/>
      <c r="C1751" s="101"/>
      <c r="D1751" s="101"/>
      <c r="E1751" s="101"/>
      <c r="F1751" s="101"/>
      <c r="G1751" s="233"/>
      <c r="H1751" s="233"/>
      <c r="I1751" s="233"/>
      <c r="J1751" s="234"/>
      <c r="K1751" s="230"/>
    </row>
    <row r="1752">
      <c r="A1752" s="235"/>
      <c r="B1752" s="95"/>
      <c r="C1752" s="95"/>
      <c r="D1752" s="95"/>
      <c r="E1752" s="95"/>
      <c r="F1752" s="95"/>
      <c r="G1752" s="236"/>
      <c r="H1752" s="236"/>
      <c r="I1752" s="236"/>
      <c r="J1752" s="237"/>
      <c r="K1752" s="230"/>
    </row>
    <row r="1753">
      <c r="A1753" s="232"/>
      <c r="B1753" s="101"/>
      <c r="C1753" s="101"/>
      <c r="D1753" s="101"/>
      <c r="E1753" s="101"/>
      <c r="F1753" s="101"/>
      <c r="G1753" s="233"/>
      <c r="H1753" s="233"/>
      <c r="I1753" s="233"/>
      <c r="J1753" s="234"/>
      <c r="K1753" s="230"/>
    </row>
    <row r="1754">
      <c r="A1754" s="235"/>
      <c r="B1754" s="95"/>
      <c r="C1754" s="95"/>
      <c r="D1754" s="95"/>
      <c r="E1754" s="95"/>
      <c r="F1754" s="95"/>
      <c r="G1754" s="236"/>
      <c r="H1754" s="236"/>
      <c r="I1754" s="236"/>
      <c r="J1754" s="237"/>
      <c r="K1754" s="230"/>
    </row>
    <row r="1755">
      <c r="A1755" s="232"/>
      <c r="B1755" s="101"/>
      <c r="C1755" s="101"/>
      <c r="D1755" s="101"/>
      <c r="E1755" s="101"/>
      <c r="F1755" s="101"/>
      <c r="G1755" s="233"/>
      <c r="H1755" s="233"/>
      <c r="I1755" s="233"/>
      <c r="J1755" s="234"/>
      <c r="K1755" s="230"/>
    </row>
    <row r="1756">
      <c r="A1756" s="235"/>
      <c r="B1756" s="95"/>
      <c r="C1756" s="95"/>
      <c r="D1756" s="95"/>
      <c r="E1756" s="95"/>
      <c r="F1756" s="95"/>
      <c r="G1756" s="236"/>
      <c r="H1756" s="236"/>
      <c r="I1756" s="236"/>
      <c r="J1756" s="237"/>
      <c r="K1756" s="230"/>
    </row>
    <row r="1757">
      <c r="A1757" s="232"/>
      <c r="B1757" s="101"/>
      <c r="C1757" s="101"/>
      <c r="D1757" s="101"/>
      <c r="E1757" s="101"/>
      <c r="F1757" s="101"/>
      <c r="G1757" s="233"/>
      <c r="H1757" s="233"/>
      <c r="I1757" s="233"/>
      <c r="J1757" s="234"/>
      <c r="K1757" s="230"/>
    </row>
    <row r="1758">
      <c r="A1758" s="235"/>
      <c r="B1758" s="95"/>
      <c r="C1758" s="95"/>
      <c r="D1758" s="95"/>
      <c r="E1758" s="95"/>
      <c r="F1758" s="95"/>
      <c r="G1758" s="236"/>
      <c r="H1758" s="236"/>
      <c r="I1758" s="236"/>
      <c r="J1758" s="237"/>
      <c r="K1758" s="230"/>
    </row>
    <row r="1759">
      <c r="A1759" s="232"/>
      <c r="B1759" s="101"/>
      <c r="C1759" s="101"/>
      <c r="D1759" s="101"/>
      <c r="E1759" s="101"/>
      <c r="F1759" s="101"/>
      <c r="G1759" s="233"/>
      <c r="H1759" s="233"/>
      <c r="I1759" s="233"/>
      <c r="J1759" s="234"/>
      <c r="K1759" s="230"/>
    </row>
    <row r="1760">
      <c r="A1760" s="235"/>
      <c r="B1760" s="95"/>
      <c r="C1760" s="95"/>
      <c r="D1760" s="95"/>
      <c r="E1760" s="95"/>
      <c r="F1760" s="95"/>
      <c r="G1760" s="236"/>
      <c r="H1760" s="236"/>
      <c r="I1760" s="236"/>
      <c r="J1760" s="237"/>
      <c r="K1760" s="230"/>
    </row>
    <row r="1761">
      <c r="A1761" s="232"/>
      <c r="B1761" s="101"/>
      <c r="C1761" s="101"/>
      <c r="D1761" s="101"/>
      <c r="E1761" s="101"/>
      <c r="F1761" s="101"/>
      <c r="G1761" s="233"/>
      <c r="H1761" s="233"/>
      <c r="I1761" s="233"/>
      <c r="J1761" s="234"/>
      <c r="K1761" s="230"/>
    </row>
    <row r="1762">
      <c r="A1762" s="235"/>
      <c r="B1762" s="95"/>
      <c r="C1762" s="95"/>
      <c r="D1762" s="95"/>
      <c r="E1762" s="95"/>
      <c r="F1762" s="95"/>
      <c r="G1762" s="236"/>
      <c r="H1762" s="236"/>
      <c r="I1762" s="236"/>
      <c r="J1762" s="237"/>
      <c r="K1762" s="230"/>
    </row>
    <row r="1763">
      <c r="A1763" s="232"/>
      <c r="B1763" s="101"/>
      <c r="C1763" s="101"/>
      <c r="D1763" s="101"/>
      <c r="E1763" s="101"/>
      <c r="F1763" s="101"/>
      <c r="G1763" s="233"/>
      <c r="H1763" s="233"/>
      <c r="I1763" s="233"/>
      <c r="J1763" s="234"/>
      <c r="K1763" s="230"/>
    </row>
    <row r="1764">
      <c r="A1764" s="235"/>
      <c r="B1764" s="95"/>
      <c r="C1764" s="95"/>
      <c r="D1764" s="95"/>
      <c r="E1764" s="95"/>
      <c r="F1764" s="95"/>
      <c r="G1764" s="236"/>
      <c r="H1764" s="236"/>
      <c r="I1764" s="236"/>
      <c r="J1764" s="237"/>
      <c r="K1764" s="230"/>
    </row>
    <row r="1765">
      <c r="A1765" s="232"/>
      <c r="B1765" s="101"/>
      <c r="C1765" s="101"/>
      <c r="D1765" s="101"/>
      <c r="E1765" s="101"/>
      <c r="F1765" s="101"/>
      <c r="G1765" s="233"/>
      <c r="H1765" s="233"/>
      <c r="I1765" s="233"/>
      <c r="J1765" s="234"/>
      <c r="K1765" s="230"/>
    </row>
    <row r="1766">
      <c r="A1766" s="235"/>
      <c r="B1766" s="95"/>
      <c r="C1766" s="95"/>
      <c r="D1766" s="95"/>
      <c r="E1766" s="95"/>
      <c r="F1766" s="95"/>
      <c r="G1766" s="236"/>
      <c r="H1766" s="236"/>
      <c r="I1766" s="236"/>
      <c r="J1766" s="237"/>
      <c r="K1766" s="230"/>
    </row>
    <row r="1767">
      <c r="A1767" s="232"/>
      <c r="B1767" s="101"/>
      <c r="C1767" s="101"/>
      <c r="D1767" s="101"/>
      <c r="E1767" s="101"/>
      <c r="F1767" s="101"/>
      <c r="G1767" s="233"/>
      <c r="H1767" s="233"/>
      <c r="I1767" s="233"/>
      <c r="J1767" s="234"/>
      <c r="K1767" s="230"/>
    </row>
    <row r="1768">
      <c r="A1768" s="235"/>
      <c r="B1768" s="95"/>
      <c r="C1768" s="95"/>
      <c r="D1768" s="95"/>
      <c r="E1768" s="95"/>
      <c r="F1768" s="95"/>
      <c r="G1768" s="236"/>
      <c r="H1768" s="236"/>
      <c r="I1768" s="236"/>
      <c r="J1768" s="237"/>
      <c r="K1768" s="230"/>
    </row>
    <row r="1769">
      <c r="A1769" s="232"/>
      <c r="B1769" s="101"/>
      <c r="C1769" s="101"/>
      <c r="D1769" s="101"/>
      <c r="E1769" s="101"/>
      <c r="F1769" s="101"/>
      <c r="G1769" s="233"/>
      <c r="H1769" s="233"/>
      <c r="I1769" s="233"/>
      <c r="J1769" s="234"/>
      <c r="K1769" s="230"/>
    </row>
    <row r="1770">
      <c r="A1770" s="235"/>
      <c r="B1770" s="95"/>
      <c r="C1770" s="95"/>
      <c r="D1770" s="95"/>
      <c r="E1770" s="95"/>
      <c r="F1770" s="95"/>
      <c r="G1770" s="236"/>
      <c r="H1770" s="236"/>
      <c r="I1770" s="236"/>
      <c r="J1770" s="237"/>
      <c r="K1770" s="230"/>
    </row>
    <row r="1771">
      <c r="A1771" s="232"/>
      <c r="B1771" s="101"/>
      <c r="C1771" s="101"/>
      <c r="D1771" s="101"/>
      <c r="E1771" s="101"/>
      <c r="F1771" s="101"/>
      <c r="G1771" s="233"/>
      <c r="H1771" s="233"/>
      <c r="I1771" s="233"/>
      <c r="J1771" s="234"/>
      <c r="K1771" s="230"/>
    </row>
    <row r="1772">
      <c r="A1772" s="235"/>
      <c r="B1772" s="95"/>
      <c r="C1772" s="95"/>
      <c r="D1772" s="95"/>
      <c r="E1772" s="95"/>
      <c r="F1772" s="95"/>
      <c r="G1772" s="236"/>
      <c r="H1772" s="236"/>
      <c r="I1772" s="236"/>
      <c r="J1772" s="237"/>
      <c r="K1772" s="230"/>
    </row>
    <row r="1773">
      <c r="A1773" s="232"/>
      <c r="B1773" s="101"/>
      <c r="C1773" s="101"/>
      <c r="D1773" s="101"/>
      <c r="E1773" s="101"/>
      <c r="F1773" s="101"/>
      <c r="G1773" s="233"/>
      <c r="H1773" s="233"/>
      <c r="I1773" s="233"/>
      <c r="J1773" s="234"/>
      <c r="K1773" s="230"/>
    </row>
    <row r="1774">
      <c r="A1774" s="235"/>
      <c r="B1774" s="95"/>
      <c r="C1774" s="95"/>
      <c r="D1774" s="95"/>
      <c r="E1774" s="95"/>
      <c r="F1774" s="95"/>
      <c r="G1774" s="236"/>
      <c r="H1774" s="236"/>
      <c r="I1774" s="236"/>
      <c r="J1774" s="237"/>
      <c r="K1774" s="230"/>
    </row>
    <row r="1775">
      <c r="A1775" s="232"/>
      <c r="B1775" s="101"/>
      <c r="C1775" s="101"/>
      <c r="D1775" s="101"/>
      <c r="E1775" s="101"/>
      <c r="F1775" s="101"/>
      <c r="G1775" s="233"/>
      <c r="H1775" s="233"/>
      <c r="I1775" s="233"/>
      <c r="J1775" s="234"/>
      <c r="K1775" s="230"/>
    </row>
    <row r="1776">
      <c r="A1776" s="235"/>
      <c r="B1776" s="95"/>
      <c r="C1776" s="95"/>
      <c r="D1776" s="95"/>
      <c r="E1776" s="95"/>
      <c r="F1776" s="95"/>
      <c r="G1776" s="236"/>
      <c r="H1776" s="236"/>
      <c r="I1776" s="236"/>
      <c r="J1776" s="237"/>
      <c r="K1776" s="230"/>
    </row>
    <row r="1777">
      <c r="A1777" s="232"/>
      <c r="B1777" s="101"/>
      <c r="C1777" s="101"/>
      <c r="D1777" s="101"/>
      <c r="E1777" s="101"/>
      <c r="F1777" s="101"/>
      <c r="G1777" s="233"/>
      <c r="H1777" s="233"/>
      <c r="I1777" s="233"/>
      <c r="J1777" s="234"/>
      <c r="K1777" s="230"/>
    </row>
    <row r="1778">
      <c r="A1778" s="235"/>
      <c r="B1778" s="95"/>
      <c r="C1778" s="95"/>
      <c r="D1778" s="95"/>
      <c r="E1778" s="95"/>
      <c r="F1778" s="95"/>
      <c r="G1778" s="236"/>
      <c r="H1778" s="236"/>
      <c r="I1778" s="236"/>
      <c r="J1778" s="237"/>
      <c r="K1778" s="230"/>
    </row>
    <row r="1779">
      <c r="A1779" s="232"/>
      <c r="B1779" s="101"/>
      <c r="C1779" s="101"/>
      <c r="D1779" s="101"/>
      <c r="E1779" s="101"/>
      <c r="F1779" s="101"/>
      <c r="G1779" s="233"/>
      <c r="H1779" s="233"/>
      <c r="I1779" s="233"/>
      <c r="J1779" s="234"/>
      <c r="K1779" s="230"/>
    </row>
    <row r="1780">
      <c r="A1780" s="235"/>
      <c r="B1780" s="95"/>
      <c r="C1780" s="95"/>
      <c r="D1780" s="95"/>
      <c r="E1780" s="95"/>
      <c r="F1780" s="95"/>
      <c r="G1780" s="236"/>
      <c r="H1780" s="236"/>
      <c r="I1780" s="236"/>
      <c r="J1780" s="237"/>
      <c r="K1780" s="230"/>
    </row>
    <row r="1781">
      <c r="A1781" s="232"/>
      <c r="B1781" s="101"/>
      <c r="C1781" s="101"/>
      <c r="D1781" s="101"/>
      <c r="E1781" s="101"/>
      <c r="F1781" s="101"/>
      <c r="G1781" s="233"/>
      <c r="H1781" s="233"/>
      <c r="I1781" s="233"/>
      <c r="J1781" s="234"/>
      <c r="K1781" s="230"/>
    </row>
    <row r="1782">
      <c r="A1782" s="235"/>
      <c r="B1782" s="95"/>
      <c r="C1782" s="95"/>
      <c r="D1782" s="95"/>
      <c r="E1782" s="95"/>
      <c r="F1782" s="95"/>
      <c r="G1782" s="236"/>
      <c r="H1782" s="236"/>
      <c r="I1782" s="236"/>
      <c r="J1782" s="237"/>
      <c r="K1782" s="230"/>
    </row>
    <row r="1783">
      <c r="A1783" s="232"/>
      <c r="B1783" s="101"/>
      <c r="C1783" s="101"/>
      <c r="D1783" s="101"/>
      <c r="E1783" s="101"/>
      <c r="F1783" s="101"/>
      <c r="G1783" s="233"/>
      <c r="H1783" s="233"/>
      <c r="I1783" s="233"/>
      <c r="J1783" s="234"/>
      <c r="K1783" s="230"/>
    </row>
    <row r="1784">
      <c r="A1784" s="235"/>
      <c r="B1784" s="95"/>
      <c r="C1784" s="95"/>
      <c r="D1784" s="95"/>
      <c r="E1784" s="95"/>
      <c r="F1784" s="95"/>
      <c r="G1784" s="236"/>
      <c r="H1784" s="236"/>
      <c r="I1784" s="236"/>
      <c r="J1784" s="237"/>
      <c r="K1784" s="230"/>
    </row>
    <row r="1785">
      <c r="A1785" s="232"/>
      <c r="B1785" s="101"/>
      <c r="C1785" s="101"/>
      <c r="D1785" s="101"/>
      <c r="E1785" s="101"/>
      <c r="F1785" s="101"/>
      <c r="G1785" s="233"/>
      <c r="H1785" s="233"/>
      <c r="I1785" s="233"/>
      <c r="J1785" s="234"/>
      <c r="K1785" s="230"/>
    </row>
    <row r="1786">
      <c r="A1786" s="235"/>
      <c r="B1786" s="95"/>
      <c r="C1786" s="95"/>
      <c r="D1786" s="95"/>
      <c r="E1786" s="95"/>
      <c r="F1786" s="95"/>
      <c r="G1786" s="236"/>
      <c r="H1786" s="236"/>
      <c r="I1786" s="236"/>
      <c r="J1786" s="237"/>
      <c r="K1786" s="230"/>
    </row>
    <row r="1787">
      <c r="A1787" s="232"/>
      <c r="B1787" s="101"/>
      <c r="C1787" s="101"/>
      <c r="D1787" s="101"/>
      <c r="E1787" s="101"/>
      <c r="F1787" s="101"/>
      <c r="G1787" s="233"/>
      <c r="H1787" s="233"/>
      <c r="I1787" s="233"/>
      <c r="J1787" s="234"/>
      <c r="K1787" s="230"/>
    </row>
    <row r="1788">
      <c r="A1788" s="235"/>
      <c r="B1788" s="95"/>
      <c r="C1788" s="95"/>
      <c r="D1788" s="95"/>
      <c r="E1788" s="95"/>
      <c r="F1788" s="95"/>
      <c r="G1788" s="236"/>
      <c r="H1788" s="236"/>
      <c r="I1788" s="236"/>
      <c r="J1788" s="237"/>
      <c r="K1788" s="230"/>
    </row>
    <row r="1789">
      <c r="A1789" s="232"/>
      <c r="B1789" s="101"/>
      <c r="C1789" s="101"/>
      <c r="D1789" s="101"/>
      <c r="E1789" s="101"/>
      <c r="F1789" s="101"/>
      <c r="G1789" s="233"/>
      <c r="H1789" s="233"/>
      <c r="I1789" s="233"/>
      <c r="J1789" s="234"/>
      <c r="K1789" s="230"/>
    </row>
    <row r="1790">
      <c r="A1790" s="235"/>
      <c r="B1790" s="95"/>
      <c r="C1790" s="95"/>
      <c r="D1790" s="95"/>
      <c r="E1790" s="95"/>
      <c r="F1790" s="95"/>
      <c r="G1790" s="236"/>
      <c r="H1790" s="236"/>
      <c r="I1790" s="236"/>
      <c r="J1790" s="237"/>
      <c r="K1790" s="230"/>
    </row>
    <row r="1791">
      <c r="A1791" s="232"/>
      <c r="B1791" s="101"/>
      <c r="C1791" s="101"/>
      <c r="D1791" s="101"/>
      <c r="E1791" s="101"/>
      <c r="F1791" s="101"/>
      <c r="G1791" s="233"/>
      <c r="H1791" s="233"/>
      <c r="I1791" s="233"/>
      <c r="J1791" s="234"/>
      <c r="K1791" s="230"/>
    </row>
    <row r="1792">
      <c r="A1792" s="235"/>
      <c r="B1792" s="95"/>
      <c r="C1792" s="95"/>
      <c r="D1792" s="95"/>
      <c r="E1792" s="95"/>
      <c r="F1792" s="95"/>
      <c r="G1792" s="236"/>
      <c r="H1792" s="236"/>
      <c r="I1792" s="236"/>
      <c r="J1792" s="237"/>
      <c r="K1792" s="230"/>
    </row>
    <row r="1793">
      <c r="A1793" s="232"/>
      <c r="B1793" s="101"/>
      <c r="C1793" s="101"/>
      <c r="D1793" s="101"/>
      <c r="E1793" s="101"/>
      <c r="F1793" s="101"/>
      <c r="G1793" s="233"/>
      <c r="H1793" s="233"/>
      <c r="I1793" s="233"/>
      <c r="J1793" s="234"/>
      <c r="K1793" s="230"/>
    </row>
    <row r="1794">
      <c r="A1794" s="235"/>
      <c r="B1794" s="95"/>
      <c r="C1794" s="95"/>
      <c r="D1794" s="95"/>
      <c r="E1794" s="95"/>
      <c r="F1794" s="95"/>
      <c r="G1794" s="236"/>
      <c r="H1794" s="236"/>
      <c r="I1794" s="236"/>
      <c r="J1794" s="237"/>
      <c r="K1794" s="230"/>
    </row>
    <row r="1795">
      <c r="A1795" s="232"/>
      <c r="B1795" s="101"/>
      <c r="C1795" s="101"/>
      <c r="D1795" s="101"/>
      <c r="E1795" s="101"/>
      <c r="F1795" s="101"/>
      <c r="G1795" s="233"/>
      <c r="H1795" s="233"/>
      <c r="I1795" s="233"/>
      <c r="J1795" s="234"/>
      <c r="K1795" s="230"/>
    </row>
    <row r="1796">
      <c r="A1796" s="235"/>
      <c r="B1796" s="95"/>
      <c r="C1796" s="95"/>
      <c r="D1796" s="95"/>
      <c r="E1796" s="95"/>
      <c r="F1796" s="95"/>
      <c r="G1796" s="236"/>
      <c r="H1796" s="236"/>
      <c r="I1796" s="236"/>
      <c r="J1796" s="237"/>
      <c r="K1796" s="230"/>
    </row>
    <row r="1797">
      <c r="A1797" s="232"/>
      <c r="B1797" s="101"/>
      <c r="C1797" s="101"/>
      <c r="D1797" s="101"/>
      <c r="E1797" s="101"/>
      <c r="F1797" s="101"/>
      <c r="G1797" s="233"/>
      <c r="H1797" s="233"/>
      <c r="I1797" s="233"/>
      <c r="J1797" s="234"/>
      <c r="K1797" s="230"/>
    </row>
    <row r="1798">
      <c r="A1798" s="235"/>
      <c r="B1798" s="95"/>
      <c r="C1798" s="95"/>
      <c r="D1798" s="95"/>
      <c r="E1798" s="95"/>
      <c r="F1798" s="95"/>
      <c r="G1798" s="236"/>
      <c r="H1798" s="236"/>
      <c r="I1798" s="236"/>
      <c r="J1798" s="237"/>
      <c r="K1798" s="230"/>
    </row>
    <row r="1799">
      <c r="A1799" s="232"/>
      <c r="B1799" s="101"/>
      <c r="C1799" s="101"/>
      <c r="D1799" s="101"/>
      <c r="E1799" s="101"/>
      <c r="F1799" s="101"/>
      <c r="G1799" s="233"/>
      <c r="H1799" s="233"/>
      <c r="I1799" s="233"/>
      <c r="J1799" s="234"/>
      <c r="K1799" s="230"/>
    </row>
    <row r="1800">
      <c r="A1800" s="235"/>
      <c r="B1800" s="95"/>
      <c r="C1800" s="95"/>
      <c r="D1800" s="95"/>
      <c r="E1800" s="95"/>
      <c r="F1800" s="95"/>
      <c r="G1800" s="236"/>
      <c r="H1800" s="236"/>
      <c r="I1800" s="236"/>
      <c r="J1800" s="237"/>
      <c r="K1800" s="230"/>
    </row>
    <row r="1801">
      <c r="A1801" s="232"/>
      <c r="B1801" s="101"/>
      <c r="C1801" s="101"/>
      <c r="D1801" s="101"/>
      <c r="E1801" s="101"/>
      <c r="F1801" s="101"/>
      <c r="G1801" s="233"/>
      <c r="H1801" s="233"/>
      <c r="I1801" s="233"/>
      <c r="J1801" s="234"/>
      <c r="K1801" s="230"/>
    </row>
    <row r="1802">
      <c r="A1802" s="235"/>
      <c r="B1802" s="95"/>
      <c r="C1802" s="95"/>
      <c r="D1802" s="95"/>
      <c r="E1802" s="95"/>
      <c r="F1802" s="95"/>
      <c r="G1802" s="236"/>
      <c r="H1802" s="236"/>
      <c r="I1802" s="236"/>
      <c r="J1802" s="237"/>
      <c r="K1802" s="230"/>
    </row>
    <row r="1803">
      <c r="A1803" s="232"/>
      <c r="B1803" s="101"/>
      <c r="C1803" s="101"/>
      <c r="D1803" s="101"/>
      <c r="E1803" s="101"/>
      <c r="F1803" s="101"/>
      <c r="G1803" s="233"/>
      <c r="H1803" s="233"/>
      <c r="I1803" s="233"/>
      <c r="J1803" s="234"/>
      <c r="K1803" s="230"/>
    </row>
    <row r="1804">
      <c r="A1804" s="235"/>
      <c r="B1804" s="95"/>
      <c r="C1804" s="95"/>
      <c r="D1804" s="95"/>
      <c r="E1804" s="95"/>
      <c r="F1804" s="95"/>
      <c r="G1804" s="236"/>
      <c r="H1804" s="236"/>
      <c r="I1804" s="236"/>
      <c r="J1804" s="237"/>
      <c r="K1804" s="230"/>
    </row>
    <row r="1805">
      <c r="A1805" s="232"/>
      <c r="B1805" s="101"/>
      <c r="C1805" s="101"/>
      <c r="D1805" s="101"/>
      <c r="E1805" s="101"/>
      <c r="F1805" s="101"/>
      <c r="G1805" s="233"/>
      <c r="H1805" s="233"/>
      <c r="I1805" s="233"/>
      <c r="J1805" s="234"/>
      <c r="K1805" s="230"/>
    </row>
    <row r="1806">
      <c r="A1806" s="235"/>
      <c r="B1806" s="95"/>
      <c r="C1806" s="95"/>
      <c r="D1806" s="95"/>
      <c r="E1806" s="95"/>
      <c r="F1806" s="95"/>
      <c r="G1806" s="236"/>
      <c r="H1806" s="236"/>
      <c r="I1806" s="236"/>
      <c r="J1806" s="237"/>
      <c r="K1806" s="230"/>
    </row>
    <row r="1807">
      <c r="A1807" s="232"/>
      <c r="B1807" s="101"/>
      <c r="C1807" s="101"/>
      <c r="D1807" s="101"/>
      <c r="E1807" s="101"/>
      <c r="F1807" s="101"/>
      <c r="G1807" s="233"/>
      <c r="H1807" s="233"/>
      <c r="I1807" s="233"/>
      <c r="J1807" s="234"/>
      <c r="K1807" s="230"/>
    </row>
    <row r="1808">
      <c r="A1808" s="235"/>
      <c r="B1808" s="95"/>
      <c r="C1808" s="95"/>
      <c r="D1808" s="95"/>
      <c r="E1808" s="95"/>
      <c r="F1808" s="95"/>
      <c r="G1808" s="236"/>
      <c r="H1808" s="236"/>
      <c r="I1808" s="236"/>
      <c r="J1808" s="237"/>
      <c r="K1808" s="230"/>
    </row>
    <row r="1809">
      <c r="A1809" s="232"/>
      <c r="B1809" s="101"/>
      <c r="C1809" s="101"/>
      <c r="D1809" s="101"/>
      <c r="E1809" s="101"/>
      <c r="F1809" s="101"/>
      <c r="G1809" s="233"/>
      <c r="H1809" s="233"/>
      <c r="I1809" s="233"/>
      <c r="J1809" s="234"/>
      <c r="K1809" s="230"/>
    </row>
    <row r="1810">
      <c r="A1810" s="235"/>
      <c r="B1810" s="95"/>
      <c r="C1810" s="95"/>
      <c r="D1810" s="95"/>
      <c r="E1810" s="95"/>
      <c r="F1810" s="95"/>
      <c r="G1810" s="236"/>
      <c r="H1810" s="236"/>
      <c r="I1810" s="236"/>
      <c r="J1810" s="237"/>
      <c r="K1810" s="230"/>
    </row>
    <row r="1811">
      <c r="A1811" s="232"/>
      <c r="B1811" s="101"/>
      <c r="C1811" s="101"/>
      <c r="D1811" s="101"/>
      <c r="E1811" s="101"/>
      <c r="F1811" s="101"/>
      <c r="G1811" s="233"/>
      <c r="H1811" s="233"/>
      <c r="I1811" s="233"/>
      <c r="J1811" s="234"/>
      <c r="K1811" s="230"/>
    </row>
    <row r="1812">
      <c r="A1812" s="235"/>
      <c r="B1812" s="95"/>
      <c r="C1812" s="95"/>
      <c r="D1812" s="95"/>
      <c r="E1812" s="95"/>
      <c r="F1812" s="95"/>
      <c r="G1812" s="236"/>
      <c r="H1812" s="236"/>
      <c r="I1812" s="236"/>
      <c r="J1812" s="237"/>
      <c r="K1812" s="230"/>
    </row>
    <row r="1813">
      <c r="A1813" s="232"/>
      <c r="B1813" s="101"/>
      <c r="C1813" s="101"/>
      <c r="D1813" s="101"/>
      <c r="E1813" s="101"/>
      <c r="F1813" s="101"/>
      <c r="G1813" s="233"/>
      <c r="H1813" s="233"/>
      <c r="I1813" s="233"/>
      <c r="J1813" s="234"/>
      <c r="K1813" s="230"/>
    </row>
    <row r="1814">
      <c r="A1814" s="235"/>
      <c r="B1814" s="95"/>
      <c r="C1814" s="95"/>
      <c r="D1814" s="95"/>
      <c r="E1814" s="95"/>
      <c r="F1814" s="95"/>
      <c r="G1814" s="236"/>
      <c r="H1814" s="236"/>
      <c r="I1814" s="236"/>
      <c r="J1814" s="237"/>
      <c r="K1814" s="230"/>
    </row>
    <row r="1815">
      <c r="A1815" s="232"/>
      <c r="B1815" s="101"/>
      <c r="C1815" s="101"/>
      <c r="D1815" s="101"/>
      <c r="E1815" s="101"/>
      <c r="F1815" s="101"/>
      <c r="G1815" s="233"/>
      <c r="H1815" s="233"/>
      <c r="I1815" s="233"/>
      <c r="J1815" s="234"/>
      <c r="K1815" s="230"/>
    </row>
    <row r="1816">
      <c r="A1816" s="235"/>
      <c r="B1816" s="95"/>
      <c r="C1816" s="95"/>
      <c r="D1816" s="95"/>
      <c r="E1816" s="95"/>
      <c r="F1816" s="95"/>
      <c r="G1816" s="236"/>
      <c r="H1816" s="236"/>
      <c r="I1816" s="236"/>
      <c r="J1816" s="237"/>
      <c r="K1816" s="230"/>
    </row>
    <row r="1817">
      <c r="A1817" s="232"/>
      <c r="B1817" s="101"/>
      <c r="C1817" s="101"/>
      <c r="D1817" s="101"/>
      <c r="E1817" s="101"/>
      <c r="F1817" s="101"/>
      <c r="G1817" s="233"/>
      <c r="H1817" s="233"/>
      <c r="I1817" s="233"/>
      <c r="J1817" s="234"/>
      <c r="K1817" s="230"/>
    </row>
    <row r="1818">
      <c r="A1818" s="235"/>
      <c r="B1818" s="95"/>
      <c r="C1818" s="95"/>
      <c r="D1818" s="95"/>
      <c r="E1818" s="95"/>
      <c r="F1818" s="95"/>
      <c r="G1818" s="236"/>
      <c r="H1818" s="236"/>
      <c r="I1818" s="236"/>
      <c r="J1818" s="237"/>
      <c r="K1818" s="230"/>
    </row>
    <row r="1819">
      <c r="A1819" s="232"/>
      <c r="B1819" s="101"/>
      <c r="C1819" s="101"/>
      <c r="D1819" s="101"/>
      <c r="E1819" s="101"/>
      <c r="F1819" s="101"/>
      <c r="G1819" s="233"/>
      <c r="H1819" s="233"/>
      <c r="I1819" s="233"/>
      <c r="J1819" s="234"/>
      <c r="K1819" s="230"/>
    </row>
    <row r="1820">
      <c r="A1820" s="235"/>
      <c r="B1820" s="95"/>
      <c r="C1820" s="95"/>
      <c r="D1820" s="95"/>
      <c r="E1820" s="95"/>
      <c r="F1820" s="95"/>
      <c r="G1820" s="236"/>
      <c r="H1820" s="236"/>
      <c r="I1820" s="236"/>
      <c r="J1820" s="237"/>
      <c r="K1820" s="230"/>
    </row>
    <row r="1821">
      <c r="A1821" s="232"/>
      <c r="B1821" s="101"/>
      <c r="C1821" s="101"/>
      <c r="D1821" s="101"/>
      <c r="E1821" s="101"/>
      <c r="F1821" s="101"/>
      <c r="G1821" s="233"/>
      <c r="H1821" s="233"/>
      <c r="I1821" s="233"/>
      <c r="J1821" s="234"/>
      <c r="K1821" s="230"/>
    </row>
    <row r="1822">
      <c r="A1822" s="235"/>
      <c r="B1822" s="95"/>
      <c r="C1822" s="95"/>
      <c r="D1822" s="95"/>
      <c r="E1822" s="95"/>
      <c r="F1822" s="95"/>
      <c r="G1822" s="236"/>
      <c r="H1822" s="236"/>
      <c r="I1822" s="236"/>
      <c r="J1822" s="237"/>
      <c r="K1822" s="230"/>
    </row>
    <row r="1823">
      <c r="A1823" s="232"/>
      <c r="B1823" s="101"/>
      <c r="C1823" s="101"/>
      <c r="D1823" s="101"/>
      <c r="E1823" s="101"/>
      <c r="F1823" s="101"/>
      <c r="G1823" s="233"/>
      <c r="H1823" s="233"/>
      <c r="I1823" s="233"/>
      <c r="J1823" s="234"/>
      <c r="K1823" s="230"/>
    </row>
    <row r="1824">
      <c r="A1824" s="235"/>
      <c r="B1824" s="95"/>
      <c r="C1824" s="95"/>
      <c r="D1824" s="95"/>
      <c r="E1824" s="95"/>
      <c r="F1824" s="95"/>
      <c r="G1824" s="236"/>
      <c r="H1824" s="236"/>
      <c r="I1824" s="236"/>
      <c r="J1824" s="237"/>
      <c r="K1824" s="230"/>
    </row>
    <row r="1825">
      <c r="A1825" s="232"/>
      <c r="B1825" s="101"/>
      <c r="C1825" s="101"/>
      <c r="D1825" s="101"/>
      <c r="E1825" s="101"/>
      <c r="F1825" s="101"/>
      <c r="G1825" s="233"/>
      <c r="H1825" s="233"/>
      <c r="I1825" s="233"/>
      <c r="J1825" s="234"/>
      <c r="K1825" s="230"/>
    </row>
    <row r="1826">
      <c r="A1826" s="235"/>
      <c r="B1826" s="95"/>
      <c r="C1826" s="95"/>
      <c r="D1826" s="95"/>
      <c r="E1826" s="95"/>
      <c r="F1826" s="95"/>
      <c r="G1826" s="236"/>
      <c r="H1826" s="236"/>
      <c r="I1826" s="236"/>
      <c r="J1826" s="237"/>
      <c r="K1826" s="230"/>
    </row>
    <row r="1827">
      <c r="A1827" s="232"/>
      <c r="B1827" s="101"/>
      <c r="C1827" s="101"/>
      <c r="D1827" s="101"/>
      <c r="E1827" s="101"/>
      <c r="F1827" s="101"/>
      <c r="G1827" s="233"/>
      <c r="H1827" s="233"/>
      <c r="I1827" s="233"/>
      <c r="J1827" s="234"/>
      <c r="K1827" s="230"/>
    </row>
    <row r="1828">
      <c r="A1828" s="235"/>
      <c r="B1828" s="95"/>
      <c r="C1828" s="95"/>
      <c r="D1828" s="95"/>
      <c r="E1828" s="95"/>
      <c r="F1828" s="95"/>
      <c r="G1828" s="236"/>
      <c r="H1828" s="236"/>
      <c r="I1828" s="236"/>
      <c r="J1828" s="237"/>
      <c r="K1828" s="230"/>
    </row>
    <row r="1829">
      <c r="A1829" s="232"/>
      <c r="B1829" s="101"/>
      <c r="C1829" s="101"/>
      <c r="D1829" s="101"/>
      <c r="E1829" s="101"/>
      <c r="F1829" s="101"/>
      <c r="G1829" s="233"/>
      <c r="H1829" s="233"/>
      <c r="I1829" s="233"/>
      <c r="J1829" s="234"/>
      <c r="K1829" s="230"/>
    </row>
    <row r="1830">
      <c r="A1830" s="235"/>
      <c r="B1830" s="95"/>
      <c r="C1830" s="95"/>
      <c r="D1830" s="95"/>
      <c r="E1830" s="95"/>
      <c r="F1830" s="95"/>
      <c r="G1830" s="236"/>
      <c r="H1830" s="236"/>
      <c r="I1830" s="236"/>
      <c r="J1830" s="237"/>
      <c r="K1830" s="230"/>
    </row>
    <row r="1831">
      <c r="A1831" s="232"/>
      <c r="B1831" s="101"/>
      <c r="C1831" s="101"/>
      <c r="D1831" s="101"/>
      <c r="E1831" s="101"/>
      <c r="F1831" s="101"/>
      <c r="G1831" s="233"/>
      <c r="H1831" s="233"/>
      <c r="I1831" s="233"/>
      <c r="J1831" s="234"/>
      <c r="K1831" s="230"/>
    </row>
    <row r="1832">
      <c r="A1832" s="235"/>
      <c r="B1832" s="95"/>
      <c r="C1832" s="95"/>
      <c r="D1832" s="95"/>
      <c r="E1832" s="95"/>
      <c r="F1832" s="95"/>
      <c r="G1832" s="236"/>
      <c r="H1832" s="236"/>
      <c r="I1832" s="236"/>
      <c r="J1832" s="237"/>
      <c r="K1832" s="230"/>
    </row>
    <row r="1833">
      <c r="A1833" s="232"/>
      <c r="B1833" s="101"/>
      <c r="C1833" s="101"/>
      <c r="D1833" s="101"/>
      <c r="E1833" s="101"/>
      <c r="F1833" s="101"/>
      <c r="G1833" s="233"/>
      <c r="H1833" s="233"/>
      <c r="I1833" s="233"/>
      <c r="J1833" s="234"/>
      <c r="K1833" s="230"/>
    </row>
    <row r="1834">
      <c r="A1834" s="235"/>
      <c r="B1834" s="95"/>
      <c r="C1834" s="95"/>
      <c r="D1834" s="95"/>
      <c r="E1834" s="95"/>
      <c r="F1834" s="95"/>
      <c r="G1834" s="236"/>
      <c r="H1834" s="236"/>
      <c r="I1834" s="236"/>
      <c r="J1834" s="237"/>
      <c r="K1834" s="230"/>
    </row>
    <row r="1835">
      <c r="A1835" s="232"/>
      <c r="B1835" s="101"/>
      <c r="C1835" s="101"/>
      <c r="D1835" s="101"/>
      <c r="E1835" s="101"/>
      <c r="F1835" s="101"/>
      <c r="G1835" s="233"/>
      <c r="H1835" s="233"/>
      <c r="I1835" s="233"/>
      <c r="J1835" s="234"/>
      <c r="K1835" s="230"/>
    </row>
    <row r="1836">
      <c r="A1836" s="235"/>
      <c r="B1836" s="95"/>
      <c r="C1836" s="95"/>
      <c r="D1836" s="95"/>
      <c r="E1836" s="95"/>
      <c r="F1836" s="95"/>
      <c r="G1836" s="236"/>
      <c r="H1836" s="236"/>
      <c r="I1836" s="236"/>
      <c r="J1836" s="237"/>
      <c r="K1836" s="230"/>
    </row>
    <row r="1837">
      <c r="A1837" s="232"/>
      <c r="B1837" s="101"/>
      <c r="C1837" s="101"/>
      <c r="D1837" s="101"/>
      <c r="E1837" s="101"/>
      <c r="F1837" s="101"/>
      <c r="G1837" s="233"/>
      <c r="H1837" s="233"/>
      <c r="I1837" s="233"/>
      <c r="J1837" s="234"/>
      <c r="K1837" s="230"/>
    </row>
    <row r="1838">
      <c r="A1838" s="235"/>
      <c r="B1838" s="95"/>
      <c r="C1838" s="95"/>
      <c r="D1838" s="95"/>
      <c r="E1838" s="95"/>
      <c r="F1838" s="95"/>
      <c r="G1838" s="236"/>
      <c r="H1838" s="236"/>
      <c r="I1838" s="236"/>
      <c r="J1838" s="237"/>
      <c r="K1838" s="230"/>
    </row>
    <row r="1839">
      <c r="A1839" s="232"/>
      <c r="B1839" s="101"/>
      <c r="C1839" s="101"/>
      <c r="D1839" s="101"/>
      <c r="E1839" s="101"/>
      <c r="F1839" s="101"/>
      <c r="G1839" s="233"/>
      <c r="H1839" s="233"/>
      <c r="I1839" s="233"/>
      <c r="J1839" s="234"/>
      <c r="K1839" s="230"/>
    </row>
    <row r="1840">
      <c r="A1840" s="235"/>
      <c r="B1840" s="95"/>
      <c r="C1840" s="95"/>
      <c r="D1840" s="95"/>
      <c r="E1840" s="95"/>
      <c r="F1840" s="95"/>
      <c r="G1840" s="236"/>
      <c r="H1840" s="236"/>
      <c r="I1840" s="236"/>
      <c r="J1840" s="237"/>
      <c r="K1840" s="230"/>
    </row>
    <row r="1841">
      <c r="A1841" s="232"/>
      <c r="B1841" s="101"/>
      <c r="C1841" s="101"/>
      <c r="D1841" s="101"/>
      <c r="E1841" s="101"/>
      <c r="F1841" s="101"/>
      <c r="G1841" s="233"/>
      <c r="H1841" s="233"/>
      <c r="I1841" s="233"/>
      <c r="J1841" s="234"/>
      <c r="K1841" s="230"/>
    </row>
    <row r="1842">
      <c r="A1842" s="235"/>
      <c r="B1842" s="95"/>
      <c r="C1842" s="95"/>
      <c r="D1842" s="95"/>
      <c r="E1842" s="95"/>
      <c r="F1842" s="95"/>
      <c r="G1842" s="236"/>
      <c r="H1842" s="236"/>
      <c r="I1842" s="236"/>
      <c r="J1842" s="237"/>
      <c r="K1842" s="230"/>
    </row>
    <row r="1843">
      <c r="A1843" s="232"/>
      <c r="B1843" s="101"/>
      <c r="C1843" s="101"/>
      <c r="D1843" s="101"/>
      <c r="E1843" s="101"/>
      <c r="F1843" s="101"/>
      <c r="G1843" s="233"/>
      <c r="H1843" s="233"/>
      <c r="I1843" s="233"/>
      <c r="J1843" s="234"/>
      <c r="K1843" s="230"/>
    </row>
    <row r="1844">
      <c r="A1844" s="235"/>
      <c r="B1844" s="95"/>
      <c r="C1844" s="95"/>
      <c r="D1844" s="95"/>
      <c r="E1844" s="95"/>
      <c r="F1844" s="95"/>
      <c r="G1844" s="236"/>
      <c r="H1844" s="236"/>
      <c r="I1844" s="236"/>
      <c r="J1844" s="237"/>
      <c r="K1844" s="230"/>
    </row>
    <row r="1845">
      <c r="A1845" s="232"/>
      <c r="B1845" s="101"/>
      <c r="C1845" s="101"/>
      <c r="D1845" s="101"/>
      <c r="E1845" s="101"/>
      <c r="F1845" s="101"/>
      <c r="G1845" s="233"/>
      <c r="H1845" s="233"/>
      <c r="I1845" s="233"/>
      <c r="J1845" s="234"/>
      <c r="K1845" s="230"/>
    </row>
    <row r="1846">
      <c r="A1846" s="235"/>
      <c r="B1846" s="95"/>
      <c r="C1846" s="95"/>
      <c r="D1846" s="95"/>
      <c r="E1846" s="95"/>
      <c r="F1846" s="95"/>
      <c r="G1846" s="236"/>
      <c r="H1846" s="236"/>
      <c r="I1846" s="236"/>
      <c r="J1846" s="237"/>
      <c r="K1846" s="230"/>
    </row>
    <row r="1847">
      <c r="A1847" s="232"/>
      <c r="B1847" s="101"/>
      <c r="C1847" s="101"/>
      <c r="D1847" s="101"/>
      <c r="E1847" s="101"/>
      <c r="F1847" s="101"/>
      <c r="G1847" s="233"/>
      <c r="H1847" s="233"/>
      <c r="I1847" s="233"/>
      <c r="J1847" s="234"/>
      <c r="K1847" s="230"/>
    </row>
    <row r="1848">
      <c r="A1848" s="235"/>
      <c r="B1848" s="95"/>
      <c r="C1848" s="95"/>
      <c r="D1848" s="95"/>
      <c r="E1848" s="95"/>
      <c r="F1848" s="95"/>
      <c r="G1848" s="236"/>
      <c r="H1848" s="236"/>
      <c r="I1848" s="236"/>
      <c r="J1848" s="237"/>
      <c r="K1848" s="230"/>
    </row>
    <row r="1849">
      <c r="A1849" s="232"/>
      <c r="B1849" s="101"/>
      <c r="C1849" s="101"/>
      <c r="D1849" s="101"/>
      <c r="E1849" s="101"/>
      <c r="F1849" s="101"/>
      <c r="G1849" s="233"/>
      <c r="H1849" s="233"/>
      <c r="I1849" s="233"/>
      <c r="J1849" s="234"/>
      <c r="K1849" s="230"/>
    </row>
    <row r="1850">
      <c r="A1850" s="235"/>
      <c r="B1850" s="95"/>
      <c r="C1850" s="95"/>
      <c r="D1850" s="95"/>
      <c r="E1850" s="95"/>
      <c r="F1850" s="95"/>
      <c r="G1850" s="236"/>
      <c r="H1850" s="236"/>
      <c r="I1850" s="236"/>
      <c r="J1850" s="237"/>
      <c r="K1850" s="230"/>
    </row>
    <row r="1851">
      <c r="A1851" s="232"/>
      <c r="B1851" s="101"/>
      <c r="C1851" s="101"/>
      <c r="D1851" s="101"/>
      <c r="E1851" s="101"/>
      <c r="F1851" s="101"/>
      <c r="G1851" s="233"/>
      <c r="H1851" s="233"/>
      <c r="I1851" s="233"/>
      <c r="J1851" s="234"/>
      <c r="K1851" s="230"/>
    </row>
    <row r="1852">
      <c r="A1852" s="235"/>
      <c r="B1852" s="95"/>
      <c r="C1852" s="95"/>
      <c r="D1852" s="95"/>
      <c r="E1852" s="95"/>
      <c r="F1852" s="95"/>
      <c r="G1852" s="236"/>
      <c r="H1852" s="236"/>
      <c r="I1852" s="236"/>
      <c r="J1852" s="237"/>
      <c r="K1852" s="230"/>
    </row>
    <row r="1853">
      <c r="A1853" s="232"/>
      <c r="B1853" s="101"/>
      <c r="C1853" s="101"/>
      <c r="D1853" s="101"/>
      <c r="E1853" s="101"/>
      <c r="F1853" s="101"/>
      <c r="G1853" s="233"/>
      <c r="H1853" s="233"/>
      <c r="I1853" s="233"/>
      <c r="J1853" s="234"/>
      <c r="K1853" s="230"/>
    </row>
    <row r="1854">
      <c r="A1854" s="235"/>
      <c r="B1854" s="95"/>
      <c r="C1854" s="95"/>
      <c r="D1854" s="95"/>
      <c r="E1854" s="95"/>
      <c r="F1854" s="95"/>
      <c r="G1854" s="236"/>
      <c r="H1854" s="236"/>
      <c r="I1854" s="236"/>
      <c r="J1854" s="237"/>
      <c r="K1854" s="230"/>
    </row>
    <row r="1855">
      <c r="A1855" s="232"/>
      <c r="B1855" s="101"/>
      <c r="C1855" s="101"/>
      <c r="D1855" s="101"/>
      <c r="E1855" s="101"/>
      <c r="F1855" s="101"/>
      <c r="G1855" s="233"/>
      <c r="H1855" s="233"/>
      <c r="I1855" s="233"/>
      <c r="J1855" s="234"/>
      <c r="K1855" s="230"/>
    </row>
    <row r="1856">
      <c r="A1856" s="235"/>
      <c r="B1856" s="95"/>
      <c r="C1856" s="95"/>
      <c r="D1856" s="95"/>
      <c r="E1856" s="95"/>
      <c r="F1856" s="95"/>
      <c r="G1856" s="236"/>
      <c r="H1856" s="236"/>
      <c r="I1856" s="236"/>
      <c r="J1856" s="237"/>
      <c r="K1856" s="230"/>
    </row>
    <row r="1857">
      <c r="A1857" s="232"/>
      <c r="B1857" s="101"/>
      <c r="C1857" s="101"/>
      <c r="D1857" s="101"/>
      <c r="E1857" s="101"/>
      <c r="F1857" s="101"/>
      <c r="G1857" s="233"/>
      <c r="H1857" s="233"/>
      <c r="I1857" s="233"/>
      <c r="J1857" s="234"/>
      <c r="K1857" s="230"/>
    </row>
    <row r="1858">
      <c r="A1858" s="235"/>
      <c r="B1858" s="95"/>
      <c r="C1858" s="95"/>
      <c r="D1858" s="95"/>
      <c r="E1858" s="95"/>
      <c r="F1858" s="95"/>
      <c r="G1858" s="236"/>
      <c r="H1858" s="236"/>
      <c r="I1858" s="236"/>
      <c r="J1858" s="237"/>
      <c r="K1858" s="230"/>
    </row>
    <row r="1859">
      <c r="A1859" s="232"/>
      <c r="B1859" s="101"/>
      <c r="C1859" s="101"/>
      <c r="D1859" s="101"/>
      <c r="E1859" s="101"/>
      <c r="F1859" s="101"/>
      <c r="G1859" s="233"/>
      <c r="H1859" s="233"/>
      <c r="I1859" s="233"/>
      <c r="J1859" s="234"/>
      <c r="K1859" s="230"/>
    </row>
    <row r="1860">
      <c r="A1860" s="235"/>
      <c r="B1860" s="95"/>
      <c r="C1860" s="95"/>
      <c r="D1860" s="95"/>
      <c r="E1860" s="95"/>
      <c r="F1860" s="95"/>
      <c r="G1860" s="236"/>
      <c r="H1860" s="236"/>
      <c r="I1860" s="236"/>
      <c r="J1860" s="237"/>
      <c r="K1860" s="230"/>
    </row>
    <row r="1861">
      <c r="A1861" s="232"/>
      <c r="B1861" s="101"/>
      <c r="C1861" s="101"/>
      <c r="D1861" s="101"/>
      <c r="E1861" s="101"/>
      <c r="F1861" s="101"/>
      <c r="G1861" s="233"/>
      <c r="H1861" s="233"/>
      <c r="I1861" s="233"/>
      <c r="J1861" s="234"/>
      <c r="K1861" s="230"/>
    </row>
    <row r="1862">
      <c r="A1862" s="235"/>
      <c r="B1862" s="95"/>
      <c r="C1862" s="95"/>
      <c r="D1862" s="95"/>
      <c r="E1862" s="95"/>
      <c r="F1862" s="95"/>
      <c r="G1862" s="236"/>
      <c r="H1862" s="236"/>
      <c r="I1862" s="236"/>
      <c r="J1862" s="237"/>
      <c r="K1862" s="230"/>
    </row>
    <row r="1863">
      <c r="A1863" s="232"/>
      <c r="B1863" s="101"/>
      <c r="C1863" s="101"/>
      <c r="D1863" s="101"/>
      <c r="E1863" s="101"/>
      <c r="F1863" s="101"/>
      <c r="G1863" s="233"/>
      <c r="H1863" s="233"/>
      <c r="I1863" s="233"/>
      <c r="J1863" s="234"/>
      <c r="K1863" s="230"/>
    </row>
    <row r="1864">
      <c r="A1864" s="235"/>
      <c r="B1864" s="95"/>
      <c r="C1864" s="95"/>
      <c r="D1864" s="95"/>
      <c r="E1864" s="95"/>
      <c r="F1864" s="95"/>
      <c r="G1864" s="236"/>
      <c r="H1864" s="236"/>
      <c r="I1864" s="236"/>
      <c r="J1864" s="237"/>
      <c r="K1864" s="230"/>
    </row>
    <row r="1865">
      <c r="A1865" s="232"/>
      <c r="B1865" s="101"/>
      <c r="C1865" s="101"/>
      <c r="D1865" s="101"/>
      <c r="E1865" s="101"/>
      <c r="F1865" s="101"/>
      <c r="G1865" s="233"/>
      <c r="H1865" s="233"/>
      <c r="I1865" s="233"/>
      <c r="J1865" s="234"/>
      <c r="K1865" s="230"/>
    </row>
    <row r="1866">
      <c r="A1866" s="235"/>
      <c r="B1866" s="95"/>
      <c r="C1866" s="95"/>
      <c r="D1866" s="95"/>
      <c r="E1866" s="95"/>
      <c r="F1866" s="95"/>
      <c r="G1866" s="236"/>
      <c r="H1866" s="236"/>
      <c r="I1866" s="236"/>
      <c r="J1866" s="237"/>
      <c r="K1866" s="230"/>
    </row>
    <row r="1867">
      <c r="A1867" s="232"/>
      <c r="B1867" s="101"/>
      <c r="C1867" s="101"/>
      <c r="D1867" s="101"/>
      <c r="E1867" s="101"/>
      <c r="F1867" s="101"/>
      <c r="G1867" s="233"/>
      <c r="H1867" s="233"/>
      <c r="I1867" s="233"/>
      <c r="J1867" s="234"/>
      <c r="K1867" s="230"/>
    </row>
    <row r="1868">
      <c r="A1868" s="235"/>
      <c r="B1868" s="95"/>
      <c r="C1868" s="95"/>
      <c r="D1868" s="95"/>
      <c r="E1868" s="95"/>
      <c r="F1868" s="95"/>
      <c r="G1868" s="236"/>
      <c r="H1868" s="236"/>
      <c r="I1868" s="236"/>
      <c r="J1868" s="237"/>
      <c r="K1868" s="230"/>
    </row>
    <row r="1869">
      <c r="A1869" s="232"/>
      <c r="B1869" s="101"/>
      <c r="C1869" s="101"/>
      <c r="D1869" s="101"/>
      <c r="E1869" s="101"/>
      <c r="F1869" s="101"/>
      <c r="G1869" s="233"/>
      <c r="H1869" s="233"/>
      <c r="I1869" s="233"/>
      <c r="J1869" s="234"/>
      <c r="K1869" s="230"/>
    </row>
    <row r="1870">
      <c r="A1870" s="235"/>
      <c r="B1870" s="95"/>
      <c r="C1870" s="95"/>
      <c r="D1870" s="95"/>
      <c r="E1870" s="95"/>
      <c r="F1870" s="95"/>
      <c r="G1870" s="236"/>
      <c r="H1870" s="236"/>
      <c r="I1870" s="236"/>
      <c r="J1870" s="237"/>
      <c r="K1870" s="230"/>
    </row>
    <row r="1871">
      <c r="A1871" s="232"/>
      <c r="B1871" s="101"/>
      <c r="C1871" s="101"/>
      <c r="D1871" s="101"/>
      <c r="E1871" s="101"/>
      <c r="F1871" s="101"/>
      <c r="G1871" s="233"/>
      <c r="H1871" s="233"/>
      <c r="I1871" s="233"/>
      <c r="J1871" s="234"/>
      <c r="K1871" s="230"/>
    </row>
    <row r="1872">
      <c r="A1872" s="235"/>
      <c r="B1872" s="95"/>
      <c r="C1872" s="95"/>
      <c r="D1872" s="95"/>
      <c r="E1872" s="95"/>
      <c r="F1872" s="95"/>
      <c r="G1872" s="236"/>
      <c r="H1872" s="236"/>
      <c r="I1872" s="236"/>
      <c r="J1872" s="237"/>
      <c r="K1872" s="230"/>
    </row>
    <row r="1873">
      <c r="A1873" s="232"/>
      <c r="B1873" s="101"/>
      <c r="C1873" s="101"/>
      <c r="D1873" s="101"/>
      <c r="E1873" s="101"/>
      <c r="F1873" s="101"/>
      <c r="G1873" s="233"/>
      <c r="H1873" s="233"/>
      <c r="I1873" s="233"/>
      <c r="J1873" s="234"/>
      <c r="K1873" s="230"/>
    </row>
    <row r="1874">
      <c r="A1874" s="235"/>
      <c r="B1874" s="95"/>
      <c r="C1874" s="95"/>
      <c r="D1874" s="95"/>
      <c r="E1874" s="95"/>
      <c r="F1874" s="95"/>
      <c r="G1874" s="236"/>
      <c r="H1874" s="236"/>
      <c r="I1874" s="236"/>
      <c r="J1874" s="237"/>
      <c r="K1874" s="230"/>
    </row>
    <row r="1875">
      <c r="A1875" s="232"/>
      <c r="B1875" s="101"/>
      <c r="C1875" s="101"/>
      <c r="D1875" s="101"/>
      <c r="E1875" s="101"/>
      <c r="F1875" s="101"/>
      <c r="G1875" s="233"/>
      <c r="H1875" s="233"/>
      <c r="I1875" s="233"/>
      <c r="J1875" s="234"/>
      <c r="K1875" s="230"/>
    </row>
    <row r="1876">
      <c r="A1876" s="235"/>
      <c r="B1876" s="95"/>
      <c r="C1876" s="95"/>
      <c r="D1876" s="95"/>
      <c r="E1876" s="95"/>
      <c r="F1876" s="95"/>
      <c r="G1876" s="236"/>
      <c r="H1876" s="236"/>
      <c r="I1876" s="236"/>
      <c r="J1876" s="237"/>
      <c r="K1876" s="230"/>
    </row>
    <row r="1877">
      <c r="A1877" s="232"/>
      <c r="B1877" s="101"/>
      <c r="C1877" s="101"/>
      <c r="D1877" s="101"/>
      <c r="E1877" s="101"/>
      <c r="F1877" s="101"/>
      <c r="G1877" s="233"/>
      <c r="H1877" s="233"/>
      <c r="I1877" s="233"/>
      <c r="J1877" s="234"/>
      <c r="K1877" s="230"/>
    </row>
    <row r="1878">
      <c r="A1878" s="235"/>
      <c r="B1878" s="95"/>
      <c r="C1878" s="95"/>
      <c r="D1878" s="95"/>
      <c r="E1878" s="95"/>
      <c r="F1878" s="95"/>
      <c r="G1878" s="236"/>
      <c r="H1878" s="236"/>
      <c r="I1878" s="236"/>
      <c r="J1878" s="237"/>
      <c r="K1878" s="230"/>
    </row>
    <row r="1879">
      <c r="A1879" s="232"/>
      <c r="B1879" s="101"/>
      <c r="C1879" s="101"/>
      <c r="D1879" s="101"/>
      <c r="E1879" s="101"/>
      <c r="F1879" s="101"/>
      <c r="G1879" s="233"/>
      <c r="H1879" s="233"/>
      <c r="I1879" s="233"/>
      <c r="J1879" s="234"/>
      <c r="K1879" s="230"/>
    </row>
    <row r="1880">
      <c r="A1880" s="235"/>
      <c r="B1880" s="95"/>
      <c r="C1880" s="95"/>
      <c r="D1880" s="95"/>
      <c r="E1880" s="95"/>
      <c r="F1880" s="95"/>
      <c r="G1880" s="236"/>
      <c r="H1880" s="236"/>
      <c r="I1880" s="236"/>
      <c r="J1880" s="237"/>
      <c r="K1880" s="230"/>
    </row>
    <row r="1881">
      <c r="A1881" s="232"/>
      <c r="B1881" s="101"/>
      <c r="C1881" s="101"/>
      <c r="D1881" s="101"/>
      <c r="E1881" s="101"/>
      <c r="F1881" s="101"/>
      <c r="G1881" s="233"/>
      <c r="H1881" s="233"/>
      <c r="I1881" s="233"/>
      <c r="J1881" s="234"/>
      <c r="K1881" s="230"/>
    </row>
    <row r="1882">
      <c r="A1882" s="235"/>
      <c r="B1882" s="95"/>
      <c r="C1882" s="95"/>
      <c r="D1882" s="95"/>
      <c r="E1882" s="95"/>
      <c r="F1882" s="95"/>
      <c r="G1882" s="236"/>
      <c r="H1882" s="236"/>
      <c r="I1882" s="236"/>
      <c r="J1882" s="237"/>
      <c r="K1882" s="230"/>
    </row>
    <row r="1883">
      <c r="A1883" s="232"/>
      <c r="B1883" s="101"/>
      <c r="C1883" s="101"/>
      <c r="D1883" s="101"/>
      <c r="E1883" s="101"/>
      <c r="F1883" s="101"/>
      <c r="G1883" s="233"/>
      <c r="H1883" s="233"/>
      <c r="I1883" s="233"/>
      <c r="J1883" s="234"/>
      <c r="K1883" s="230"/>
    </row>
    <row r="1884">
      <c r="A1884" s="235"/>
      <c r="B1884" s="95"/>
      <c r="C1884" s="95"/>
      <c r="D1884" s="95"/>
      <c r="E1884" s="95"/>
      <c r="F1884" s="95"/>
      <c r="G1884" s="236"/>
      <c r="H1884" s="236"/>
      <c r="I1884" s="236"/>
      <c r="J1884" s="237"/>
      <c r="K1884" s="230"/>
    </row>
    <row r="1885">
      <c r="A1885" s="232"/>
      <c r="B1885" s="101"/>
      <c r="C1885" s="101"/>
      <c r="D1885" s="101"/>
      <c r="E1885" s="101"/>
      <c r="F1885" s="101"/>
      <c r="G1885" s="233"/>
      <c r="H1885" s="233"/>
      <c r="I1885" s="233"/>
      <c r="J1885" s="234"/>
      <c r="K1885" s="230"/>
    </row>
    <row r="1886">
      <c r="A1886" s="235"/>
      <c r="B1886" s="95"/>
      <c r="C1886" s="95"/>
      <c r="D1886" s="95"/>
      <c r="E1886" s="95"/>
      <c r="F1886" s="95"/>
      <c r="G1886" s="236"/>
      <c r="H1886" s="236"/>
      <c r="I1886" s="236"/>
      <c r="J1886" s="237"/>
      <c r="K1886" s="230"/>
    </row>
    <row r="1887">
      <c r="A1887" s="232"/>
      <c r="B1887" s="101"/>
      <c r="C1887" s="101"/>
      <c r="D1887" s="101"/>
      <c r="E1887" s="101"/>
      <c r="F1887" s="101"/>
      <c r="G1887" s="233"/>
      <c r="H1887" s="233"/>
      <c r="I1887" s="233"/>
      <c r="J1887" s="234"/>
      <c r="K1887" s="230"/>
    </row>
    <row r="1888">
      <c r="A1888" s="235"/>
      <c r="B1888" s="95"/>
      <c r="C1888" s="95"/>
      <c r="D1888" s="95"/>
      <c r="E1888" s="95"/>
      <c r="F1888" s="95"/>
      <c r="G1888" s="236"/>
      <c r="H1888" s="236"/>
      <c r="I1888" s="236"/>
      <c r="J1888" s="237"/>
      <c r="K1888" s="230"/>
    </row>
    <row r="1889">
      <c r="A1889" s="232"/>
      <c r="B1889" s="101"/>
      <c r="C1889" s="101"/>
      <c r="D1889" s="101"/>
      <c r="E1889" s="101"/>
      <c r="F1889" s="101"/>
      <c r="G1889" s="233"/>
      <c r="H1889" s="233"/>
      <c r="I1889" s="233"/>
      <c r="J1889" s="234"/>
      <c r="K1889" s="230"/>
    </row>
    <row r="1890">
      <c r="A1890" s="235"/>
      <c r="B1890" s="95"/>
      <c r="C1890" s="95"/>
      <c r="D1890" s="95"/>
      <c r="E1890" s="95"/>
      <c r="F1890" s="95"/>
      <c r="G1890" s="236"/>
      <c r="H1890" s="236"/>
      <c r="I1890" s="236"/>
      <c r="J1890" s="237"/>
      <c r="K1890" s="230"/>
    </row>
    <row r="1891">
      <c r="A1891" s="232"/>
      <c r="B1891" s="101"/>
      <c r="C1891" s="101"/>
      <c r="D1891" s="101"/>
      <c r="E1891" s="101"/>
      <c r="F1891" s="101"/>
      <c r="G1891" s="233"/>
      <c r="H1891" s="233"/>
      <c r="I1891" s="233"/>
      <c r="J1891" s="234"/>
      <c r="K1891" s="230"/>
    </row>
    <row r="1892">
      <c r="A1892" s="235"/>
      <c r="B1892" s="95"/>
      <c r="C1892" s="95"/>
      <c r="D1892" s="95"/>
      <c r="E1892" s="95"/>
      <c r="F1892" s="95"/>
      <c r="G1892" s="236"/>
      <c r="H1892" s="236"/>
      <c r="I1892" s="236"/>
      <c r="J1892" s="237"/>
      <c r="K1892" s="230"/>
    </row>
    <row r="1893">
      <c r="A1893" s="232"/>
      <c r="B1893" s="101"/>
      <c r="C1893" s="101"/>
      <c r="D1893" s="101"/>
      <c r="E1893" s="101"/>
      <c r="F1893" s="101"/>
      <c r="G1893" s="233"/>
      <c r="H1893" s="233"/>
      <c r="I1893" s="233"/>
      <c r="J1893" s="234"/>
      <c r="K1893" s="230"/>
    </row>
    <row r="1894">
      <c r="A1894" s="235"/>
      <c r="B1894" s="95"/>
      <c r="C1894" s="95"/>
      <c r="D1894" s="95"/>
      <c r="E1894" s="95"/>
      <c r="F1894" s="95"/>
      <c r="G1894" s="236"/>
      <c r="H1894" s="236"/>
      <c r="I1894" s="236"/>
      <c r="J1894" s="237"/>
      <c r="K1894" s="230"/>
    </row>
    <row r="1895">
      <c r="A1895" s="232"/>
      <c r="B1895" s="101"/>
      <c r="C1895" s="101"/>
      <c r="D1895" s="101"/>
      <c r="E1895" s="101"/>
      <c r="F1895" s="101"/>
      <c r="G1895" s="233"/>
      <c r="H1895" s="233"/>
      <c r="I1895" s="233"/>
      <c r="J1895" s="234"/>
      <c r="K1895" s="230"/>
    </row>
    <row r="1896">
      <c r="A1896" s="235"/>
      <c r="B1896" s="95"/>
      <c r="C1896" s="95"/>
      <c r="D1896" s="95"/>
      <c r="E1896" s="95"/>
      <c r="F1896" s="95"/>
      <c r="G1896" s="236"/>
      <c r="H1896" s="236"/>
      <c r="I1896" s="236"/>
      <c r="J1896" s="237"/>
      <c r="K1896" s="230"/>
    </row>
    <row r="1897">
      <c r="A1897" s="232"/>
      <c r="B1897" s="101"/>
      <c r="C1897" s="101"/>
      <c r="D1897" s="101"/>
      <c r="E1897" s="101"/>
      <c r="F1897" s="101"/>
      <c r="G1897" s="233"/>
      <c r="H1897" s="233"/>
      <c r="I1897" s="233"/>
      <c r="J1897" s="234"/>
      <c r="K1897" s="230"/>
    </row>
    <row r="1898">
      <c r="A1898" s="235"/>
      <c r="B1898" s="95"/>
      <c r="C1898" s="95"/>
      <c r="D1898" s="95"/>
      <c r="E1898" s="95"/>
      <c r="F1898" s="95"/>
      <c r="G1898" s="236"/>
      <c r="H1898" s="236"/>
      <c r="I1898" s="236"/>
      <c r="J1898" s="237"/>
      <c r="K1898" s="230"/>
    </row>
    <row r="1899">
      <c r="A1899" s="232"/>
      <c r="B1899" s="101"/>
      <c r="C1899" s="101"/>
      <c r="D1899" s="101"/>
      <c r="E1899" s="101"/>
      <c r="F1899" s="101"/>
      <c r="G1899" s="233"/>
      <c r="H1899" s="233"/>
      <c r="I1899" s="233"/>
      <c r="J1899" s="234"/>
      <c r="K1899" s="230"/>
    </row>
    <row r="1900">
      <c r="A1900" s="235"/>
      <c r="B1900" s="95"/>
      <c r="C1900" s="95"/>
      <c r="D1900" s="95"/>
      <c r="E1900" s="95"/>
      <c r="F1900" s="95"/>
      <c r="G1900" s="236"/>
      <c r="H1900" s="236"/>
      <c r="I1900" s="236"/>
      <c r="J1900" s="237"/>
      <c r="K1900" s="230"/>
    </row>
    <row r="1901">
      <c r="A1901" s="232"/>
      <c r="B1901" s="101"/>
      <c r="C1901" s="101"/>
      <c r="D1901" s="101"/>
      <c r="E1901" s="101"/>
      <c r="F1901" s="101"/>
      <c r="G1901" s="233"/>
      <c r="H1901" s="233"/>
      <c r="I1901" s="233"/>
      <c r="J1901" s="234"/>
      <c r="K1901" s="230"/>
    </row>
    <row r="1902">
      <c r="A1902" s="235"/>
      <c r="B1902" s="95"/>
      <c r="C1902" s="95"/>
      <c r="D1902" s="95"/>
      <c r="E1902" s="95"/>
      <c r="F1902" s="95"/>
      <c r="G1902" s="236"/>
      <c r="H1902" s="236"/>
      <c r="I1902" s="236"/>
      <c r="J1902" s="237"/>
      <c r="K1902" s="230"/>
    </row>
    <row r="1903">
      <c r="A1903" s="232"/>
      <c r="B1903" s="101"/>
      <c r="C1903" s="101"/>
      <c r="D1903" s="101"/>
      <c r="E1903" s="101"/>
      <c r="F1903" s="101"/>
      <c r="G1903" s="233"/>
      <c r="H1903" s="233"/>
      <c r="I1903" s="233"/>
      <c r="J1903" s="234"/>
      <c r="K1903" s="230"/>
    </row>
    <row r="1904">
      <c r="A1904" s="235"/>
      <c r="B1904" s="95"/>
      <c r="C1904" s="95"/>
      <c r="D1904" s="95"/>
      <c r="E1904" s="95"/>
      <c r="F1904" s="95"/>
      <c r="G1904" s="236"/>
      <c r="H1904" s="236"/>
      <c r="I1904" s="236"/>
      <c r="J1904" s="237"/>
      <c r="K1904" s="230"/>
    </row>
    <row r="1905">
      <c r="A1905" s="232"/>
      <c r="B1905" s="101"/>
      <c r="C1905" s="101"/>
      <c r="D1905" s="101"/>
      <c r="E1905" s="101"/>
      <c r="F1905" s="101"/>
      <c r="G1905" s="233"/>
      <c r="H1905" s="233"/>
      <c r="I1905" s="233"/>
      <c r="J1905" s="234"/>
      <c r="K1905" s="230"/>
    </row>
    <row r="1906">
      <c r="A1906" s="235"/>
      <c r="B1906" s="95"/>
      <c r="C1906" s="95"/>
      <c r="D1906" s="95"/>
      <c r="E1906" s="95"/>
      <c r="F1906" s="95"/>
      <c r="G1906" s="236"/>
      <c r="H1906" s="236"/>
      <c r="I1906" s="236"/>
      <c r="J1906" s="237"/>
      <c r="K1906" s="230"/>
    </row>
    <row r="1907">
      <c r="A1907" s="232"/>
      <c r="B1907" s="101"/>
      <c r="C1907" s="101"/>
      <c r="D1907" s="101"/>
      <c r="E1907" s="101"/>
      <c r="F1907" s="101"/>
      <c r="G1907" s="233"/>
      <c r="H1907" s="233"/>
      <c r="I1907" s="233"/>
      <c r="J1907" s="234"/>
      <c r="K1907" s="230"/>
    </row>
    <row r="1908">
      <c r="A1908" s="235"/>
      <c r="B1908" s="95"/>
      <c r="C1908" s="95"/>
      <c r="D1908" s="95"/>
      <c r="E1908" s="95"/>
      <c r="F1908" s="95"/>
      <c r="G1908" s="236"/>
      <c r="H1908" s="236"/>
      <c r="I1908" s="236"/>
      <c r="J1908" s="237"/>
      <c r="K1908" s="230"/>
    </row>
    <row r="1909">
      <c r="A1909" s="232"/>
      <c r="B1909" s="101"/>
      <c r="C1909" s="101"/>
      <c r="D1909" s="101"/>
      <c r="E1909" s="101"/>
      <c r="F1909" s="101"/>
      <c r="G1909" s="233"/>
      <c r="H1909" s="233"/>
      <c r="I1909" s="233"/>
      <c r="J1909" s="234"/>
      <c r="K1909" s="230"/>
    </row>
    <row r="1910">
      <c r="A1910" s="235"/>
      <c r="B1910" s="95"/>
      <c r="C1910" s="95"/>
      <c r="D1910" s="95"/>
      <c r="E1910" s="95"/>
      <c r="F1910" s="95"/>
      <c r="G1910" s="236"/>
      <c r="H1910" s="236"/>
      <c r="I1910" s="236"/>
      <c r="J1910" s="237"/>
      <c r="K1910" s="230"/>
    </row>
    <row r="1911">
      <c r="A1911" s="232"/>
      <c r="B1911" s="101"/>
      <c r="C1911" s="101"/>
      <c r="D1911" s="101"/>
      <c r="E1911" s="101"/>
      <c r="F1911" s="101"/>
      <c r="G1911" s="233"/>
      <c r="H1911" s="233"/>
      <c r="I1911" s="233"/>
      <c r="J1911" s="234"/>
      <c r="K1911" s="230"/>
    </row>
    <row r="1912">
      <c r="A1912" s="235"/>
      <c r="B1912" s="95"/>
      <c r="C1912" s="95"/>
      <c r="D1912" s="95"/>
      <c r="E1912" s="95"/>
      <c r="F1912" s="95"/>
      <c r="G1912" s="236"/>
      <c r="H1912" s="236"/>
      <c r="I1912" s="236"/>
      <c r="J1912" s="237"/>
      <c r="K1912" s="230"/>
    </row>
    <row r="1913">
      <c r="A1913" s="232"/>
      <c r="B1913" s="101"/>
      <c r="C1913" s="101"/>
      <c r="D1913" s="101"/>
      <c r="E1913" s="101"/>
      <c r="F1913" s="101"/>
      <c r="G1913" s="233"/>
      <c r="H1913" s="233"/>
      <c r="I1913" s="233"/>
      <c r="J1913" s="234"/>
      <c r="K1913" s="230"/>
    </row>
    <row r="1914">
      <c r="A1914" s="235"/>
      <c r="B1914" s="95"/>
      <c r="C1914" s="95"/>
      <c r="D1914" s="95"/>
      <c r="E1914" s="95"/>
      <c r="F1914" s="95"/>
      <c r="G1914" s="236"/>
      <c r="H1914" s="236"/>
      <c r="I1914" s="236"/>
      <c r="J1914" s="237"/>
      <c r="K1914" s="230"/>
    </row>
    <row r="1915">
      <c r="A1915" s="232"/>
      <c r="B1915" s="101"/>
      <c r="C1915" s="101"/>
      <c r="D1915" s="101"/>
      <c r="E1915" s="101"/>
      <c r="F1915" s="101"/>
      <c r="G1915" s="233"/>
      <c r="H1915" s="233"/>
      <c r="I1915" s="233"/>
      <c r="J1915" s="234"/>
      <c r="K1915" s="230"/>
    </row>
    <row r="1916">
      <c r="A1916" s="235"/>
      <c r="B1916" s="95"/>
      <c r="C1916" s="95"/>
      <c r="D1916" s="95"/>
      <c r="E1916" s="95"/>
      <c r="F1916" s="95"/>
      <c r="G1916" s="236"/>
      <c r="H1916" s="236"/>
      <c r="I1916" s="236"/>
      <c r="J1916" s="237"/>
      <c r="K1916" s="230"/>
    </row>
    <row r="1917">
      <c r="A1917" s="232"/>
      <c r="B1917" s="101"/>
      <c r="C1917" s="101"/>
      <c r="D1917" s="101"/>
      <c r="E1917" s="101"/>
      <c r="F1917" s="101"/>
      <c r="G1917" s="233"/>
      <c r="H1917" s="233"/>
      <c r="I1917" s="233"/>
      <c r="J1917" s="234"/>
      <c r="K1917" s="230"/>
    </row>
    <row r="1918">
      <c r="A1918" s="235"/>
      <c r="B1918" s="95"/>
      <c r="C1918" s="95"/>
      <c r="D1918" s="95"/>
      <c r="E1918" s="95"/>
      <c r="F1918" s="95"/>
      <c r="G1918" s="236"/>
      <c r="H1918" s="236"/>
      <c r="I1918" s="236"/>
      <c r="J1918" s="237"/>
      <c r="K1918" s="230"/>
    </row>
    <row r="1919">
      <c r="A1919" s="232"/>
      <c r="B1919" s="101"/>
      <c r="C1919" s="101"/>
      <c r="D1919" s="101"/>
      <c r="E1919" s="101"/>
      <c r="F1919" s="101"/>
      <c r="G1919" s="233"/>
      <c r="H1919" s="233"/>
      <c r="I1919" s="233"/>
      <c r="J1919" s="234"/>
      <c r="K1919" s="230"/>
    </row>
    <row r="1920">
      <c r="A1920" s="235"/>
      <c r="B1920" s="95"/>
      <c r="C1920" s="95"/>
      <c r="D1920" s="95"/>
      <c r="E1920" s="95"/>
      <c r="F1920" s="95"/>
      <c r="G1920" s="236"/>
      <c r="H1920" s="236"/>
      <c r="I1920" s="236"/>
      <c r="J1920" s="237"/>
      <c r="K1920" s="230"/>
    </row>
    <row r="1921">
      <c r="A1921" s="232"/>
      <c r="B1921" s="101"/>
      <c r="C1921" s="101"/>
      <c r="D1921" s="101"/>
      <c r="E1921" s="101"/>
      <c r="F1921" s="101"/>
      <c r="G1921" s="233"/>
      <c r="H1921" s="233"/>
      <c r="I1921" s="233"/>
      <c r="J1921" s="234"/>
      <c r="K1921" s="230"/>
    </row>
    <row r="1922">
      <c r="A1922" s="235"/>
      <c r="B1922" s="95"/>
      <c r="C1922" s="95"/>
      <c r="D1922" s="95"/>
      <c r="E1922" s="95"/>
      <c r="F1922" s="95"/>
      <c r="G1922" s="236"/>
      <c r="H1922" s="236"/>
      <c r="I1922" s="236"/>
      <c r="J1922" s="237"/>
      <c r="K1922" s="230"/>
    </row>
    <row r="1923">
      <c r="A1923" s="232"/>
      <c r="B1923" s="101"/>
      <c r="C1923" s="101"/>
      <c r="D1923" s="101"/>
      <c r="E1923" s="101"/>
      <c r="F1923" s="101"/>
      <c r="G1923" s="233"/>
      <c r="H1923" s="233"/>
      <c r="I1923" s="233"/>
      <c r="J1923" s="234"/>
      <c r="K1923" s="230"/>
    </row>
    <row r="1924">
      <c r="A1924" s="235"/>
      <c r="B1924" s="95"/>
      <c r="C1924" s="95"/>
      <c r="D1924" s="95"/>
      <c r="E1924" s="95"/>
      <c r="F1924" s="95"/>
      <c r="G1924" s="236"/>
      <c r="H1924" s="236"/>
      <c r="I1924" s="236"/>
      <c r="J1924" s="237"/>
      <c r="K1924" s="230"/>
    </row>
    <row r="1925">
      <c r="A1925" s="232"/>
      <c r="B1925" s="101"/>
      <c r="C1925" s="101"/>
      <c r="D1925" s="101"/>
      <c r="E1925" s="101"/>
      <c r="F1925" s="101"/>
      <c r="G1925" s="233"/>
      <c r="H1925" s="233"/>
      <c r="I1925" s="233"/>
      <c r="J1925" s="234"/>
      <c r="K1925" s="230"/>
    </row>
    <row r="1926">
      <c r="A1926" s="235"/>
      <c r="B1926" s="95"/>
      <c r="C1926" s="95"/>
      <c r="D1926" s="95"/>
      <c r="E1926" s="95"/>
      <c r="F1926" s="95"/>
      <c r="G1926" s="236"/>
      <c r="H1926" s="236"/>
      <c r="I1926" s="236"/>
      <c r="J1926" s="237"/>
      <c r="K1926" s="230"/>
    </row>
    <row r="1927">
      <c r="A1927" s="232"/>
      <c r="B1927" s="101"/>
      <c r="C1927" s="101"/>
      <c r="D1927" s="101"/>
      <c r="E1927" s="101"/>
      <c r="F1927" s="101"/>
      <c r="G1927" s="233"/>
      <c r="H1927" s="233"/>
      <c r="I1927" s="233"/>
      <c r="J1927" s="234"/>
      <c r="K1927" s="230"/>
    </row>
    <row r="1928">
      <c r="A1928" s="235"/>
      <c r="B1928" s="95"/>
      <c r="C1928" s="95"/>
      <c r="D1928" s="95"/>
      <c r="E1928" s="95"/>
      <c r="F1928" s="95"/>
      <c r="G1928" s="236"/>
      <c r="H1928" s="236"/>
      <c r="I1928" s="236"/>
      <c r="J1928" s="237"/>
      <c r="K1928" s="230"/>
    </row>
    <row r="1929">
      <c r="A1929" s="232"/>
      <c r="B1929" s="101"/>
      <c r="C1929" s="101"/>
      <c r="D1929" s="101"/>
      <c r="E1929" s="101"/>
      <c r="F1929" s="101"/>
      <c r="G1929" s="233"/>
      <c r="H1929" s="233"/>
      <c r="I1929" s="233"/>
      <c r="J1929" s="234"/>
      <c r="K1929" s="230"/>
    </row>
    <row r="1930">
      <c r="A1930" s="235"/>
      <c r="B1930" s="95"/>
      <c r="C1930" s="95"/>
      <c r="D1930" s="95"/>
      <c r="E1930" s="95"/>
      <c r="F1930" s="95"/>
      <c r="G1930" s="236"/>
      <c r="H1930" s="236"/>
      <c r="I1930" s="236"/>
      <c r="J1930" s="237"/>
      <c r="K1930" s="230"/>
    </row>
    <row r="1931">
      <c r="A1931" s="232"/>
      <c r="B1931" s="101"/>
      <c r="C1931" s="101"/>
      <c r="D1931" s="101"/>
      <c r="E1931" s="101"/>
      <c r="F1931" s="101"/>
      <c r="G1931" s="233"/>
      <c r="H1931" s="233"/>
      <c r="I1931" s="233"/>
      <c r="J1931" s="234"/>
      <c r="K1931" s="230"/>
    </row>
    <row r="1932">
      <c r="A1932" s="235"/>
      <c r="B1932" s="95"/>
      <c r="C1932" s="95"/>
      <c r="D1932" s="95"/>
      <c r="E1932" s="95"/>
      <c r="F1932" s="95"/>
      <c r="G1932" s="236"/>
      <c r="H1932" s="236"/>
      <c r="I1932" s="236"/>
      <c r="J1932" s="237"/>
      <c r="K1932" s="230"/>
    </row>
    <row r="1933">
      <c r="A1933" s="232"/>
      <c r="B1933" s="101"/>
      <c r="C1933" s="101"/>
      <c r="D1933" s="101"/>
      <c r="E1933" s="101"/>
      <c r="F1933" s="101"/>
      <c r="G1933" s="233"/>
      <c r="H1933" s="233"/>
      <c r="I1933" s="233"/>
      <c r="J1933" s="234"/>
      <c r="K1933" s="230"/>
    </row>
    <row r="1934">
      <c r="A1934" s="235"/>
      <c r="B1934" s="95"/>
      <c r="C1934" s="95"/>
      <c r="D1934" s="95"/>
      <c r="E1934" s="95"/>
      <c r="F1934" s="95"/>
      <c r="G1934" s="236"/>
      <c r="H1934" s="236"/>
      <c r="I1934" s="236"/>
      <c r="J1934" s="237"/>
      <c r="K1934" s="230"/>
    </row>
    <row r="1935">
      <c r="A1935" s="232"/>
      <c r="B1935" s="101"/>
      <c r="C1935" s="101"/>
      <c r="D1935" s="101"/>
      <c r="E1935" s="101"/>
      <c r="F1935" s="101"/>
      <c r="G1935" s="233"/>
      <c r="H1935" s="233"/>
      <c r="I1935" s="233"/>
      <c r="J1935" s="234"/>
      <c r="K1935" s="230"/>
    </row>
    <row r="1936">
      <c r="A1936" s="235"/>
      <c r="B1936" s="95"/>
      <c r="C1936" s="95"/>
      <c r="D1936" s="95"/>
      <c r="E1936" s="95"/>
      <c r="F1936" s="95"/>
      <c r="G1936" s="236"/>
      <c r="H1936" s="236"/>
      <c r="I1936" s="236"/>
      <c r="J1936" s="237"/>
      <c r="K1936" s="230"/>
    </row>
    <row r="1937">
      <c r="A1937" s="232"/>
      <c r="B1937" s="101"/>
      <c r="C1937" s="101"/>
      <c r="D1937" s="101"/>
      <c r="E1937" s="101"/>
      <c r="F1937" s="101"/>
      <c r="G1937" s="233"/>
      <c r="H1937" s="233"/>
      <c r="I1937" s="233"/>
      <c r="J1937" s="234"/>
      <c r="K1937" s="230"/>
    </row>
    <row r="1938">
      <c r="A1938" s="235"/>
      <c r="B1938" s="95"/>
      <c r="C1938" s="95"/>
      <c r="D1938" s="95"/>
      <c r="E1938" s="95"/>
      <c r="F1938" s="95"/>
      <c r="G1938" s="236"/>
      <c r="H1938" s="236"/>
      <c r="I1938" s="236"/>
      <c r="J1938" s="237"/>
      <c r="K1938" s="230"/>
    </row>
    <row r="1939">
      <c r="A1939" s="232"/>
      <c r="B1939" s="101"/>
      <c r="C1939" s="101"/>
      <c r="D1939" s="101"/>
      <c r="E1939" s="101"/>
      <c r="F1939" s="101"/>
      <c r="G1939" s="233"/>
      <c r="H1939" s="233"/>
      <c r="I1939" s="233"/>
      <c r="J1939" s="234"/>
      <c r="K1939" s="230"/>
    </row>
    <row r="1940">
      <c r="A1940" s="235"/>
      <c r="B1940" s="95"/>
      <c r="C1940" s="95"/>
      <c r="D1940" s="95"/>
      <c r="E1940" s="95"/>
      <c r="F1940" s="95"/>
      <c r="G1940" s="236"/>
      <c r="H1940" s="236"/>
      <c r="I1940" s="236"/>
      <c r="J1940" s="237"/>
      <c r="K1940" s="230"/>
    </row>
    <row r="1941">
      <c r="A1941" s="232"/>
      <c r="B1941" s="101"/>
      <c r="C1941" s="101"/>
      <c r="D1941" s="101"/>
      <c r="E1941" s="101"/>
      <c r="F1941" s="101"/>
      <c r="G1941" s="233"/>
      <c r="H1941" s="233"/>
      <c r="I1941" s="233"/>
      <c r="J1941" s="234"/>
      <c r="K1941" s="230"/>
    </row>
    <row r="1942">
      <c r="A1942" s="235"/>
      <c r="B1942" s="95"/>
      <c r="C1942" s="95"/>
      <c r="D1942" s="95"/>
      <c r="E1942" s="95"/>
      <c r="F1942" s="95"/>
      <c r="G1942" s="236"/>
      <c r="H1942" s="236"/>
      <c r="I1942" s="236"/>
      <c r="J1942" s="237"/>
      <c r="K1942" s="230"/>
    </row>
    <row r="1943">
      <c r="A1943" s="232"/>
      <c r="B1943" s="101"/>
      <c r="C1943" s="101"/>
      <c r="D1943" s="101"/>
      <c r="E1943" s="101"/>
      <c r="F1943" s="101"/>
      <c r="G1943" s="233"/>
      <c r="H1943" s="233"/>
      <c r="I1943" s="233"/>
      <c r="J1943" s="234"/>
      <c r="K1943" s="230"/>
    </row>
    <row r="1944">
      <c r="A1944" s="235"/>
      <c r="B1944" s="95"/>
      <c r="C1944" s="95"/>
      <c r="D1944" s="95"/>
      <c r="E1944" s="95"/>
      <c r="F1944" s="95"/>
      <c r="G1944" s="236"/>
      <c r="H1944" s="236"/>
      <c r="I1944" s="236"/>
      <c r="J1944" s="237"/>
      <c r="K1944" s="230"/>
    </row>
    <row r="1945">
      <c r="A1945" s="232"/>
      <c r="B1945" s="101"/>
      <c r="C1945" s="101"/>
      <c r="D1945" s="101"/>
      <c r="E1945" s="101"/>
      <c r="F1945" s="101"/>
      <c r="G1945" s="233"/>
      <c r="H1945" s="233"/>
      <c r="I1945" s="233"/>
      <c r="J1945" s="234"/>
      <c r="K1945" s="230"/>
    </row>
    <row r="1946">
      <c r="A1946" s="235"/>
      <c r="B1946" s="95"/>
      <c r="C1946" s="95"/>
      <c r="D1946" s="95"/>
      <c r="E1946" s="95"/>
      <c r="F1946" s="95"/>
      <c r="G1946" s="236"/>
      <c r="H1946" s="236"/>
      <c r="I1946" s="236"/>
      <c r="J1946" s="237"/>
      <c r="K1946" s="230"/>
    </row>
    <row r="1947">
      <c r="A1947" s="232"/>
      <c r="B1947" s="101"/>
      <c r="C1947" s="101"/>
      <c r="D1947" s="101"/>
      <c r="E1947" s="101"/>
      <c r="F1947" s="101"/>
      <c r="G1947" s="233"/>
      <c r="H1947" s="233"/>
      <c r="I1947" s="233"/>
      <c r="J1947" s="234"/>
      <c r="K1947" s="230"/>
    </row>
    <row r="1948">
      <c r="A1948" s="235"/>
      <c r="B1948" s="95"/>
      <c r="C1948" s="95"/>
      <c r="D1948" s="95"/>
      <c r="E1948" s="95"/>
      <c r="F1948" s="95"/>
      <c r="G1948" s="236"/>
      <c r="H1948" s="236"/>
      <c r="I1948" s="236"/>
      <c r="J1948" s="237"/>
      <c r="K1948" s="230"/>
    </row>
    <row r="1949">
      <c r="A1949" s="232"/>
      <c r="B1949" s="101"/>
      <c r="C1949" s="101"/>
      <c r="D1949" s="101"/>
      <c r="E1949" s="101"/>
      <c r="F1949" s="101"/>
      <c r="G1949" s="233"/>
      <c r="H1949" s="233"/>
      <c r="I1949" s="233"/>
      <c r="J1949" s="234"/>
      <c r="K1949" s="230"/>
    </row>
    <row r="1950">
      <c r="A1950" s="235"/>
      <c r="B1950" s="95"/>
      <c r="C1950" s="95"/>
      <c r="D1950" s="95"/>
      <c r="E1950" s="95"/>
      <c r="F1950" s="95"/>
      <c r="G1950" s="236"/>
      <c r="H1950" s="236"/>
      <c r="I1950" s="236"/>
      <c r="J1950" s="237"/>
      <c r="K1950" s="230"/>
    </row>
    <row r="1951">
      <c r="A1951" s="232"/>
      <c r="B1951" s="101"/>
      <c r="C1951" s="101"/>
      <c r="D1951" s="101"/>
      <c r="E1951" s="101"/>
      <c r="F1951" s="101"/>
      <c r="G1951" s="233"/>
      <c r="H1951" s="233"/>
      <c r="I1951" s="233"/>
      <c r="J1951" s="234"/>
      <c r="K1951" s="230"/>
    </row>
    <row r="1952">
      <c r="A1952" s="235"/>
      <c r="B1952" s="95"/>
      <c r="C1952" s="95"/>
      <c r="D1952" s="95"/>
      <c r="E1952" s="95"/>
      <c r="F1952" s="95"/>
      <c r="G1952" s="236"/>
      <c r="H1952" s="236"/>
      <c r="I1952" s="236"/>
      <c r="J1952" s="237"/>
      <c r="K1952" s="230"/>
    </row>
    <row r="1953">
      <c r="A1953" s="232"/>
      <c r="B1953" s="101"/>
      <c r="C1953" s="101"/>
      <c r="D1953" s="101"/>
      <c r="E1953" s="101"/>
      <c r="F1953" s="101"/>
      <c r="G1953" s="233"/>
      <c r="H1953" s="233"/>
      <c r="I1953" s="233"/>
      <c r="J1953" s="234"/>
      <c r="K1953" s="230"/>
    </row>
    <row r="1954">
      <c r="A1954" s="235"/>
      <c r="B1954" s="95"/>
      <c r="C1954" s="95"/>
      <c r="D1954" s="95"/>
      <c r="E1954" s="95"/>
      <c r="F1954" s="95"/>
      <c r="G1954" s="236"/>
      <c r="H1954" s="236"/>
      <c r="I1954" s="236"/>
      <c r="J1954" s="237"/>
      <c r="K1954" s="230"/>
    </row>
    <row r="1955">
      <c r="A1955" s="232"/>
      <c r="B1955" s="101"/>
      <c r="C1955" s="101"/>
      <c r="D1955" s="101"/>
      <c r="E1955" s="101"/>
      <c r="F1955" s="101"/>
      <c r="G1955" s="233"/>
      <c r="H1955" s="233"/>
      <c r="I1955" s="233"/>
      <c r="J1955" s="234"/>
      <c r="K1955" s="230"/>
    </row>
    <row r="1956">
      <c r="A1956" s="235"/>
      <c r="B1956" s="95"/>
      <c r="C1956" s="95"/>
      <c r="D1956" s="95"/>
      <c r="E1956" s="95"/>
      <c r="F1956" s="95"/>
      <c r="G1956" s="236"/>
      <c r="H1956" s="236"/>
      <c r="I1956" s="236"/>
      <c r="J1956" s="237"/>
      <c r="K1956" s="230"/>
    </row>
    <row r="1957">
      <c r="A1957" s="232"/>
      <c r="B1957" s="101"/>
      <c r="C1957" s="101"/>
      <c r="D1957" s="101"/>
      <c r="E1957" s="101"/>
      <c r="F1957" s="101"/>
      <c r="G1957" s="233"/>
      <c r="H1957" s="233"/>
      <c r="I1957" s="233"/>
      <c r="J1957" s="234"/>
      <c r="K1957" s="230"/>
    </row>
    <row r="1958">
      <c r="A1958" s="235"/>
      <c r="B1958" s="95"/>
      <c r="C1958" s="95"/>
      <c r="D1958" s="95"/>
      <c r="E1958" s="95"/>
      <c r="F1958" s="95"/>
      <c r="G1958" s="236"/>
      <c r="H1958" s="236"/>
      <c r="I1958" s="236"/>
      <c r="J1958" s="237"/>
      <c r="K1958" s="230"/>
    </row>
    <row r="1959">
      <c r="A1959" s="232"/>
      <c r="B1959" s="101"/>
      <c r="C1959" s="101"/>
      <c r="D1959" s="101"/>
      <c r="E1959" s="101"/>
      <c r="F1959" s="101"/>
      <c r="G1959" s="233"/>
      <c r="H1959" s="233"/>
      <c r="I1959" s="233"/>
      <c r="J1959" s="234"/>
      <c r="K1959" s="230"/>
    </row>
    <row r="1960">
      <c r="A1960" s="235"/>
      <c r="B1960" s="95"/>
      <c r="C1960" s="95"/>
      <c r="D1960" s="95"/>
      <c r="E1960" s="95"/>
      <c r="F1960" s="95"/>
      <c r="G1960" s="236"/>
      <c r="H1960" s="236"/>
      <c r="I1960" s="236"/>
      <c r="J1960" s="237"/>
      <c r="K1960" s="230"/>
    </row>
    <row r="1961">
      <c r="A1961" s="232"/>
      <c r="B1961" s="101"/>
      <c r="C1961" s="101"/>
      <c r="D1961" s="101"/>
      <c r="E1961" s="101"/>
      <c r="F1961" s="101"/>
      <c r="G1961" s="233"/>
      <c r="H1961" s="233"/>
      <c r="I1961" s="233"/>
      <c r="J1961" s="234"/>
      <c r="K1961" s="230"/>
    </row>
    <row r="1962">
      <c r="A1962" s="235"/>
      <c r="B1962" s="95"/>
      <c r="C1962" s="95"/>
      <c r="D1962" s="95"/>
      <c r="E1962" s="95"/>
      <c r="F1962" s="95"/>
      <c r="G1962" s="236"/>
      <c r="H1962" s="236"/>
      <c r="I1962" s="236"/>
      <c r="J1962" s="237"/>
      <c r="K1962" s="230"/>
    </row>
    <row r="1963">
      <c r="A1963" s="232"/>
      <c r="B1963" s="101"/>
      <c r="C1963" s="101"/>
      <c r="D1963" s="101"/>
      <c r="E1963" s="101"/>
      <c r="F1963" s="101"/>
      <c r="G1963" s="233"/>
      <c r="H1963" s="233"/>
      <c r="I1963" s="233"/>
      <c r="J1963" s="234"/>
      <c r="K1963" s="230"/>
    </row>
    <row r="1964">
      <c r="A1964" s="235"/>
      <c r="B1964" s="95"/>
      <c r="C1964" s="95"/>
      <c r="D1964" s="95"/>
      <c r="E1964" s="95"/>
      <c r="F1964" s="95"/>
      <c r="G1964" s="236"/>
      <c r="H1964" s="236"/>
      <c r="I1964" s="236"/>
      <c r="J1964" s="237"/>
      <c r="K1964" s="230"/>
    </row>
    <row r="1965">
      <c r="A1965" s="232"/>
      <c r="B1965" s="101"/>
      <c r="C1965" s="101"/>
      <c r="D1965" s="101"/>
      <c r="E1965" s="101"/>
      <c r="F1965" s="101"/>
      <c r="G1965" s="233"/>
      <c r="H1965" s="233"/>
      <c r="I1965" s="233"/>
      <c r="J1965" s="234"/>
      <c r="K1965" s="230"/>
    </row>
    <row r="1966">
      <c r="A1966" s="235"/>
      <c r="B1966" s="95"/>
      <c r="C1966" s="95"/>
      <c r="D1966" s="95"/>
      <c r="E1966" s="95"/>
      <c r="F1966" s="95"/>
      <c r="G1966" s="236"/>
      <c r="H1966" s="236"/>
      <c r="I1966" s="236"/>
      <c r="J1966" s="237"/>
      <c r="K1966" s="230"/>
    </row>
    <row r="1967">
      <c r="A1967" s="232"/>
      <c r="B1967" s="101"/>
      <c r="C1967" s="101"/>
      <c r="D1967" s="101"/>
      <c r="E1967" s="101"/>
      <c r="F1967" s="101"/>
      <c r="G1967" s="233"/>
      <c r="H1967" s="233"/>
      <c r="I1967" s="233"/>
      <c r="J1967" s="234"/>
      <c r="K1967" s="230"/>
    </row>
    <row r="1968">
      <c r="A1968" s="235"/>
      <c r="B1968" s="95"/>
      <c r="C1968" s="95"/>
      <c r="D1968" s="95"/>
      <c r="E1968" s="95"/>
      <c r="F1968" s="95"/>
      <c r="G1968" s="236"/>
      <c r="H1968" s="236"/>
      <c r="I1968" s="236"/>
      <c r="J1968" s="237"/>
      <c r="K1968" s="230"/>
    </row>
    <row r="1969">
      <c r="A1969" s="232"/>
      <c r="B1969" s="101"/>
      <c r="C1969" s="101"/>
      <c r="D1969" s="101"/>
      <c r="E1969" s="101"/>
      <c r="F1969" s="101"/>
      <c r="G1969" s="233"/>
      <c r="H1969" s="233"/>
      <c r="I1969" s="233"/>
      <c r="J1969" s="234"/>
      <c r="K1969" s="230"/>
    </row>
    <row r="1970">
      <c r="A1970" s="235"/>
      <c r="B1970" s="95"/>
      <c r="C1970" s="95"/>
      <c r="D1970" s="95"/>
      <c r="E1970" s="95"/>
      <c r="F1970" s="95"/>
      <c r="G1970" s="236"/>
      <c r="H1970" s="236"/>
      <c r="I1970" s="236"/>
      <c r="J1970" s="237"/>
      <c r="K1970" s="230"/>
    </row>
    <row r="1971">
      <c r="A1971" s="232"/>
      <c r="B1971" s="101"/>
      <c r="C1971" s="101"/>
      <c r="D1971" s="101"/>
      <c r="E1971" s="101"/>
      <c r="F1971" s="101"/>
      <c r="G1971" s="233"/>
      <c r="H1971" s="233"/>
      <c r="I1971" s="233"/>
      <c r="J1971" s="234"/>
      <c r="K1971" s="230"/>
    </row>
    <row r="1972">
      <c r="A1972" s="235"/>
      <c r="B1972" s="95"/>
      <c r="C1972" s="95"/>
      <c r="D1972" s="95"/>
      <c r="E1972" s="95"/>
      <c r="F1972" s="95"/>
      <c r="G1972" s="236"/>
      <c r="H1972" s="236"/>
      <c r="I1972" s="236"/>
      <c r="J1972" s="237"/>
      <c r="K1972" s="230"/>
    </row>
    <row r="1973">
      <c r="A1973" s="232"/>
      <c r="B1973" s="101"/>
      <c r="C1973" s="101"/>
      <c r="D1973" s="101"/>
      <c r="E1973" s="101"/>
      <c r="F1973" s="101"/>
      <c r="G1973" s="233"/>
      <c r="H1973" s="233"/>
      <c r="I1973" s="233"/>
      <c r="J1973" s="234"/>
      <c r="K1973" s="230"/>
    </row>
    <row r="1974">
      <c r="A1974" s="235"/>
      <c r="B1974" s="95"/>
      <c r="C1974" s="95"/>
      <c r="D1974" s="95"/>
      <c r="E1974" s="95"/>
      <c r="F1974" s="95"/>
      <c r="G1974" s="236"/>
      <c r="H1974" s="236"/>
      <c r="I1974" s="236"/>
      <c r="J1974" s="237"/>
      <c r="K1974" s="230"/>
    </row>
    <row r="1975">
      <c r="A1975" s="232"/>
      <c r="B1975" s="101"/>
      <c r="C1975" s="101"/>
      <c r="D1975" s="101"/>
      <c r="E1975" s="101"/>
      <c r="F1975" s="101"/>
      <c r="G1975" s="233"/>
      <c r="H1975" s="233"/>
      <c r="I1975" s="233"/>
      <c r="J1975" s="234"/>
      <c r="K1975" s="230"/>
    </row>
    <row r="1976">
      <c r="A1976" s="235"/>
      <c r="B1976" s="95"/>
      <c r="C1976" s="95"/>
      <c r="D1976" s="95"/>
      <c r="E1976" s="95"/>
      <c r="F1976" s="95"/>
      <c r="G1976" s="236"/>
      <c r="H1976" s="236"/>
      <c r="I1976" s="236"/>
      <c r="J1976" s="237"/>
      <c r="K1976" s="230"/>
    </row>
    <row r="1977">
      <c r="A1977" s="232"/>
      <c r="B1977" s="101"/>
      <c r="C1977" s="101"/>
      <c r="D1977" s="101"/>
      <c r="E1977" s="101"/>
      <c r="F1977" s="101"/>
      <c r="G1977" s="233"/>
      <c r="H1977" s="233"/>
      <c r="I1977" s="233"/>
      <c r="J1977" s="234"/>
      <c r="K1977" s="230"/>
    </row>
    <row r="1978">
      <c r="A1978" s="235"/>
      <c r="B1978" s="95"/>
      <c r="C1978" s="95"/>
      <c r="D1978" s="95"/>
      <c r="E1978" s="95"/>
      <c r="F1978" s="95"/>
      <c r="G1978" s="236"/>
      <c r="H1978" s="236"/>
      <c r="I1978" s="236"/>
      <c r="J1978" s="237"/>
      <c r="K1978" s="230"/>
    </row>
    <row r="1979">
      <c r="A1979" s="232"/>
      <c r="B1979" s="101"/>
      <c r="C1979" s="101"/>
      <c r="D1979" s="101"/>
      <c r="E1979" s="101"/>
      <c r="F1979" s="101"/>
      <c r="G1979" s="233"/>
      <c r="H1979" s="233"/>
      <c r="I1979" s="233"/>
      <c r="J1979" s="234"/>
      <c r="K1979" s="230"/>
    </row>
    <row r="1980">
      <c r="A1980" s="235"/>
      <c r="B1980" s="95"/>
      <c r="C1980" s="95"/>
      <c r="D1980" s="95"/>
      <c r="E1980" s="95"/>
      <c r="F1980" s="95"/>
      <c r="G1980" s="236"/>
      <c r="H1980" s="236"/>
      <c r="I1980" s="236"/>
      <c r="J1980" s="237"/>
      <c r="K1980" s="230"/>
    </row>
    <row r="1981">
      <c r="A1981" s="232"/>
      <c r="B1981" s="101"/>
      <c r="C1981" s="101"/>
      <c r="D1981" s="101"/>
      <c r="E1981" s="101"/>
      <c r="F1981" s="101"/>
      <c r="G1981" s="233"/>
      <c r="H1981" s="233"/>
      <c r="I1981" s="233"/>
      <c r="J1981" s="234"/>
      <c r="K1981" s="230"/>
    </row>
    <row r="1982">
      <c r="A1982" s="235"/>
      <c r="B1982" s="95"/>
      <c r="C1982" s="95"/>
      <c r="D1982" s="95"/>
      <c r="E1982" s="95"/>
      <c r="F1982" s="95"/>
      <c r="G1982" s="236"/>
      <c r="H1982" s="236"/>
      <c r="I1982" s="236"/>
      <c r="J1982" s="237"/>
      <c r="K1982" s="230"/>
    </row>
    <row r="1983">
      <c r="A1983" s="232"/>
      <c r="B1983" s="101"/>
      <c r="C1983" s="101"/>
      <c r="D1983" s="101"/>
      <c r="E1983" s="101"/>
      <c r="F1983" s="101"/>
      <c r="G1983" s="233"/>
      <c r="H1983" s="233"/>
      <c r="I1983" s="233"/>
      <c r="J1983" s="234"/>
      <c r="K1983" s="230"/>
    </row>
    <row r="1984">
      <c r="A1984" s="235"/>
      <c r="B1984" s="95"/>
      <c r="C1984" s="95"/>
      <c r="D1984" s="95"/>
      <c r="E1984" s="95"/>
      <c r="F1984" s="95"/>
      <c r="G1984" s="236"/>
      <c r="H1984" s="236"/>
      <c r="I1984" s="236"/>
      <c r="J1984" s="237"/>
      <c r="K1984" s="230"/>
    </row>
    <row r="1985">
      <c r="A1985" s="232"/>
      <c r="B1985" s="101"/>
      <c r="C1985" s="101"/>
      <c r="D1985" s="101"/>
      <c r="E1985" s="101"/>
      <c r="F1985" s="101"/>
      <c r="G1985" s="233"/>
      <c r="H1985" s="233"/>
      <c r="I1985" s="233"/>
      <c r="J1985" s="234"/>
      <c r="K1985" s="230"/>
    </row>
    <row r="1986">
      <c r="A1986" s="235"/>
      <c r="B1986" s="95"/>
      <c r="C1986" s="95"/>
      <c r="D1986" s="95"/>
      <c r="E1986" s="95"/>
      <c r="F1986" s="95"/>
      <c r="G1986" s="236"/>
      <c r="H1986" s="236"/>
      <c r="I1986" s="236"/>
      <c r="J1986" s="237"/>
      <c r="K1986" s="230"/>
    </row>
    <row r="1987">
      <c r="A1987" s="232"/>
      <c r="B1987" s="101"/>
      <c r="C1987" s="101"/>
      <c r="D1987" s="101"/>
      <c r="E1987" s="101"/>
      <c r="F1987" s="101"/>
      <c r="G1987" s="233"/>
      <c r="H1987" s="233"/>
      <c r="I1987" s="233"/>
      <c r="J1987" s="234"/>
      <c r="K1987" s="230"/>
    </row>
    <row r="1988">
      <c r="A1988" s="235"/>
      <c r="B1988" s="95"/>
      <c r="C1988" s="95"/>
      <c r="D1988" s="95"/>
      <c r="E1988" s="95"/>
      <c r="F1988" s="95"/>
      <c r="G1988" s="236"/>
      <c r="H1988" s="236"/>
      <c r="I1988" s="236"/>
      <c r="J1988" s="237"/>
      <c r="K1988" s="230"/>
    </row>
    <row r="1989">
      <c r="A1989" s="232"/>
      <c r="B1989" s="101"/>
      <c r="C1989" s="101"/>
      <c r="D1989" s="101"/>
      <c r="E1989" s="101"/>
      <c r="F1989" s="101"/>
      <c r="G1989" s="233"/>
      <c r="H1989" s="233"/>
      <c r="I1989" s="233"/>
      <c r="J1989" s="234"/>
      <c r="K1989" s="230"/>
    </row>
    <row r="1990">
      <c r="A1990" s="235"/>
      <c r="B1990" s="95"/>
      <c r="C1990" s="95"/>
      <c r="D1990" s="95"/>
      <c r="E1990" s="95"/>
      <c r="F1990" s="95"/>
      <c r="G1990" s="236"/>
      <c r="H1990" s="236"/>
      <c r="I1990" s="236"/>
      <c r="J1990" s="237"/>
      <c r="K1990" s="230"/>
    </row>
    <row r="1991">
      <c r="A1991" s="232"/>
      <c r="B1991" s="101"/>
      <c r="C1991" s="101"/>
      <c r="D1991" s="101"/>
      <c r="E1991" s="101"/>
      <c r="F1991" s="101"/>
      <c r="G1991" s="233"/>
      <c r="H1991" s="233"/>
      <c r="I1991" s="233"/>
      <c r="J1991" s="234"/>
      <c r="K1991" s="230"/>
    </row>
    <row r="1992">
      <c r="A1992" s="235"/>
      <c r="B1992" s="95"/>
      <c r="C1992" s="95"/>
      <c r="D1992" s="95"/>
      <c r="E1992" s="95"/>
      <c r="F1992" s="95"/>
      <c r="G1992" s="236"/>
      <c r="H1992" s="236"/>
      <c r="I1992" s="236"/>
      <c r="J1992" s="237"/>
      <c r="K1992" s="230"/>
    </row>
    <row r="1993">
      <c r="A1993" s="232"/>
      <c r="B1993" s="101"/>
      <c r="C1993" s="101"/>
      <c r="D1993" s="101"/>
      <c r="E1993" s="101"/>
      <c r="F1993" s="101"/>
      <c r="G1993" s="233"/>
      <c r="H1993" s="233"/>
      <c r="I1993" s="233"/>
      <c r="J1993" s="234"/>
      <c r="K1993" s="230"/>
    </row>
    <row r="1994">
      <c r="A1994" s="235"/>
      <c r="B1994" s="95"/>
      <c r="C1994" s="95"/>
      <c r="D1994" s="95"/>
      <c r="E1994" s="95"/>
      <c r="F1994" s="95"/>
      <c r="G1994" s="236"/>
      <c r="H1994" s="236"/>
      <c r="I1994" s="236"/>
      <c r="J1994" s="237"/>
      <c r="K1994" s="230"/>
    </row>
    <row r="1995">
      <c r="A1995" s="232"/>
      <c r="B1995" s="101"/>
      <c r="C1995" s="101"/>
      <c r="D1995" s="101"/>
      <c r="E1995" s="101"/>
      <c r="F1995" s="101"/>
      <c r="G1995" s="233"/>
      <c r="H1995" s="233"/>
      <c r="I1995" s="233"/>
      <c r="J1995" s="234"/>
      <c r="K1995" s="230"/>
    </row>
    <row r="1996">
      <c r="A1996" s="235"/>
      <c r="B1996" s="95"/>
      <c r="C1996" s="95"/>
      <c r="D1996" s="95"/>
      <c r="E1996" s="95"/>
      <c r="F1996" s="95"/>
      <c r="G1996" s="236"/>
      <c r="H1996" s="236"/>
      <c r="I1996" s="236"/>
      <c r="J1996" s="237"/>
      <c r="K1996" s="230"/>
    </row>
    <row r="1997">
      <c r="A1997" s="232"/>
      <c r="B1997" s="101"/>
      <c r="C1997" s="101"/>
      <c r="D1997" s="101"/>
      <c r="E1997" s="101"/>
      <c r="F1997" s="101"/>
      <c r="G1997" s="233"/>
      <c r="H1997" s="233"/>
      <c r="I1997" s="233"/>
      <c r="J1997" s="234"/>
      <c r="K1997" s="230"/>
    </row>
    <row r="1998">
      <c r="A1998" s="235"/>
      <c r="B1998" s="95"/>
      <c r="C1998" s="95"/>
      <c r="D1998" s="95"/>
      <c r="E1998" s="95"/>
      <c r="F1998" s="95"/>
      <c r="G1998" s="236"/>
      <c r="H1998" s="236"/>
      <c r="I1998" s="236"/>
      <c r="J1998" s="237"/>
      <c r="K1998" s="230"/>
    </row>
    <row r="1999">
      <c r="A1999" s="232"/>
      <c r="B1999" s="101"/>
      <c r="C1999" s="101"/>
      <c r="D1999" s="101"/>
      <c r="E1999" s="101"/>
      <c r="F1999" s="101"/>
      <c r="G1999" s="233"/>
      <c r="H1999" s="233"/>
      <c r="I1999" s="233"/>
      <c r="J1999" s="234"/>
      <c r="K1999" s="230"/>
    </row>
    <row r="2000">
      <c r="A2000" s="238"/>
      <c r="B2000" s="239"/>
      <c r="C2000" s="239"/>
      <c r="D2000" s="239"/>
      <c r="E2000" s="239"/>
      <c r="F2000" s="239"/>
      <c r="G2000" s="240"/>
      <c r="H2000" s="240"/>
      <c r="I2000" s="240"/>
      <c r="J2000" s="241"/>
      <c r="K2000" s="230"/>
    </row>
    <row r="2001">
      <c r="A2001" s="242"/>
      <c r="B2001" s="242"/>
      <c r="C2001" s="242"/>
      <c r="D2001" s="242"/>
      <c r="E2001" s="242"/>
      <c r="F2001" s="242"/>
      <c r="K2001" s="230"/>
    </row>
    <row r="2002">
      <c r="A2002" s="242"/>
      <c r="B2002" s="242"/>
      <c r="C2002" s="242"/>
      <c r="D2002" s="242"/>
      <c r="E2002" s="242"/>
      <c r="F2002" s="242"/>
      <c r="K2002" s="230"/>
    </row>
    <row r="2003">
      <c r="A2003" s="242"/>
      <c r="B2003" s="242"/>
      <c r="C2003" s="242"/>
      <c r="D2003" s="242"/>
      <c r="E2003" s="242"/>
      <c r="F2003" s="242"/>
      <c r="K2003" s="230"/>
    </row>
    <row r="2004">
      <c r="A2004" s="242"/>
      <c r="B2004" s="242"/>
      <c r="C2004" s="242"/>
      <c r="D2004" s="242"/>
      <c r="E2004" s="242"/>
      <c r="F2004" s="242"/>
      <c r="K2004" s="230"/>
    </row>
    <row r="2005">
      <c r="A2005" s="242"/>
      <c r="B2005" s="242"/>
      <c r="C2005" s="242"/>
      <c r="D2005" s="242"/>
      <c r="E2005" s="242"/>
      <c r="F2005" s="242"/>
      <c r="K2005" s="230"/>
    </row>
    <row r="2006">
      <c r="A2006" s="242"/>
      <c r="B2006" s="242"/>
      <c r="C2006" s="242"/>
      <c r="D2006" s="242"/>
      <c r="E2006" s="242"/>
      <c r="F2006" s="242"/>
      <c r="K2006" s="230"/>
    </row>
    <row r="2007">
      <c r="A2007" s="242"/>
      <c r="B2007" s="242"/>
      <c r="C2007" s="242"/>
      <c r="D2007" s="242"/>
      <c r="E2007" s="242"/>
      <c r="F2007" s="242"/>
      <c r="K2007" s="230"/>
    </row>
    <row r="2008">
      <c r="A2008" s="242"/>
      <c r="B2008" s="242"/>
      <c r="C2008" s="242"/>
      <c r="D2008" s="242"/>
      <c r="E2008" s="242"/>
      <c r="F2008" s="242"/>
      <c r="K2008" s="230"/>
    </row>
    <row r="2009">
      <c r="A2009" s="242"/>
      <c r="B2009" s="242"/>
      <c r="C2009" s="242"/>
      <c r="D2009" s="242"/>
      <c r="E2009" s="242"/>
      <c r="F2009" s="242"/>
      <c r="K2009" s="230"/>
    </row>
    <row r="2010">
      <c r="A2010" s="242"/>
      <c r="B2010" s="242"/>
      <c r="C2010" s="242"/>
      <c r="D2010" s="242"/>
      <c r="E2010" s="242"/>
      <c r="F2010" s="242"/>
      <c r="K2010" s="230"/>
    </row>
    <row r="2011">
      <c r="A2011" s="242"/>
      <c r="B2011" s="242"/>
      <c r="C2011" s="242"/>
      <c r="D2011" s="242"/>
      <c r="E2011" s="242"/>
      <c r="F2011" s="242"/>
      <c r="K2011" s="230"/>
    </row>
    <row r="2012">
      <c r="A2012" s="242"/>
      <c r="B2012" s="242"/>
      <c r="C2012" s="242"/>
      <c r="D2012" s="242"/>
      <c r="E2012" s="242"/>
      <c r="F2012" s="242"/>
      <c r="K2012" s="230"/>
    </row>
    <row r="2013">
      <c r="A2013" s="242"/>
      <c r="B2013" s="242"/>
      <c r="C2013" s="242"/>
      <c r="D2013" s="242"/>
      <c r="E2013" s="242"/>
      <c r="F2013" s="242"/>
      <c r="K2013" s="230"/>
    </row>
    <row r="2014">
      <c r="A2014" s="242"/>
      <c r="B2014" s="242"/>
      <c r="C2014" s="242"/>
      <c r="D2014" s="242"/>
      <c r="E2014" s="242"/>
      <c r="F2014" s="242"/>
      <c r="K2014" s="230"/>
    </row>
    <row r="2015">
      <c r="A2015" s="242"/>
      <c r="B2015" s="242"/>
      <c r="C2015" s="242"/>
      <c r="D2015" s="242"/>
      <c r="E2015" s="242"/>
      <c r="F2015" s="242"/>
      <c r="K2015" s="230"/>
    </row>
    <row r="2016">
      <c r="A2016" s="242"/>
      <c r="B2016" s="242"/>
      <c r="C2016" s="242"/>
      <c r="D2016" s="242"/>
      <c r="E2016" s="242"/>
      <c r="F2016" s="242"/>
      <c r="K2016" s="230"/>
    </row>
    <row r="2017">
      <c r="A2017" s="242"/>
      <c r="B2017" s="242"/>
      <c r="C2017" s="242"/>
      <c r="D2017" s="242"/>
      <c r="E2017" s="242"/>
      <c r="F2017" s="242"/>
      <c r="K2017" s="230"/>
    </row>
    <row r="2018">
      <c r="A2018" s="242"/>
      <c r="B2018" s="242"/>
      <c r="C2018" s="242"/>
      <c r="D2018" s="242"/>
      <c r="E2018" s="242"/>
      <c r="F2018" s="242"/>
      <c r="K2018" s="230"/>
    </row>
    <row r="2019">
      <c r="A2019" s="242"/>
      <c r="B2019" s="242"/>
      <c r="C2019" s="242"/>
      <c r="D2019" s="242"/>
      <c r="E2019" s="242"/>
      <c r="F2019" s="242"/>
      <c r="K2019" s="230"/>
    </row>
    <row r="2020">
      <c r="A2020" s="242"/>
      <c r="B2020" s="242"/>
      <c r="C2020" s="242"/>
      <c r="D2020" s="242"/>
      <c r="E2020" s="242"/>
      <c r="F2020" s="242"/>
      <c r="K2020" s="230"/>
    </row>
    <row r="2021">
      <c r="A2021" s="242"/>
      <c r="B2021" s="242"/>
      <c r="C2021" s="242"/>
      <c r="D2021" s="242"/>
      <c r="E2021" s="242"/>
      <c r="F2021" s="242"/>
      <c r="K2021" s="230"/>
    </row>
    <row r="2022">
      <c r="A2022" s="242"/>
      <c r="B2022" s="242"/>
      <c r="C2022" s="242"/>
      <c r="D2022" s="242"/>
      <c r="E2022" s="242"/>
      <c r="F2022" s="242"/>
      <c r="K2022" s="230"/>
    </row>
    <row r="2023">
      <c r="A2023" s="242"/>
      <c r="B2023" s="242"/>
      <c r="C2023" s="242"/>
      <c r="D2023" s="242"/>
      <c r="E2023" s="242"/>
      <c r="F2023" s="242"/>
      <c r="K2023" s="230"/>
    </row>
    <row r="2024">
      <c r="A2024" s="242"/>
      <c r="B2024" s="242"/>
      <c r="C2024" s="242"/>
      <c r="D2024" s="242"/>
      <c r="E2024" s="242"/>
      <c r="F2024" s="242"/>
      <c r="K2024" s="230"/>
    </row>
    <row r="2025">
      <c r="A2025" s="242"/>
      <c r="B2025" s="242"/>
      <c r="C2025" s="242"/>
      <c r="D2025" s="242"/>
      <c r="E2025" s="242"/>
      <c r="F2025" s="242"/>
      <c r="K2025" s="230"/>
    </row>
    <row r="2026">
      <c r="A2026" s="242"/>
      <c r="B2026" s="242"/>
      <c r="C2026" s="242"/>
      <c r="D2026" s="242"/>
      <c r="E2026" s="242"/>
      <c r="F2026" s="242"/>
      <c r="K2026" s="230"/>
    </row>
    <row r="2027">
      <c r="A2027" s="242"/>
      <c r="B2027" s="242"/>
      <c r="C2027" s="242"/>
      <c r="D2027" s="242"/>
      <c r="E2027" s="242"/>
      <c r="F2027" s="242"/>
      <c r="K2027" s="230"/>
    </row>
    <row r="2028">
      <c r="A2028" s="242"/>
      <c r="B2028" s="242"/>
      <c r="C2028" s="242"/>
      <c r="D2028" s="242"/>
      <c r="E2028" s="242"/>
      <c r="F2028" s="242"/>
      <c r="K2028" s="230"/>
    </row>
    <row r="2029">
      <c r="A2029" s="242"/>
      <c r="B2029" s="242"/>
      <c r="C2029" s="242"/>
      <c r="D2029" s="242"/>
      <c r="E2029" s="242"/>
      <c r="F2029" s="242"/>
      <c r="K2029" s="230"/>
    </row>
    <row r="2030">
      <c r="A2030" s="242"/>
      <c r="B2030" s="242"/>
      <c r="C2030" s="242"/>
      <c r="D2030" s="242"/>
      <c r="E2030" s="242"/>
      <c r="F2030" s="242"/>
      <c r="K2030" s="230"/>
    </row>
    <row r="2031">
      <c r="A2031" s="242"/>
      <c r="B2031" s="242"/>
      <c r="C2031" s="242"/>
      <c r="D2031" s="242"/>
      <c r="E2031" s="242"/>
      <c r="F2031" s="242"/>
      <c r="K2031" s="230"/>
    </row>
    <row r="2032">
      <c r="A2032" s="242"/>
      <c r="B2032" s="242"/>
      <c r="C2032" s="242"/>
      <c r="D2032" s="242"/>
      <c r="E2032" s="242"/>
      <c r="F2032" s="242"/>
      <c r="K2032" s="230"/>
    </row>
    <row r="2033">
      <c r="A2033" s="242"/>
      <c r="B2033" s="242"/>
      <c r="C2033" s="242"/>
      <c r="D2033" s="242"/>
      <c r="E2033" s="242"/>
      <c r="F2033" s="242"/>
      <c r="K2033" s="230"/>
    </row>
    <row r="2034">
      <c r="A2034" s="242"/>
      <c r="B2034" s="242"/>
      <c r="C2034" s="242"/>
      <c r="D2034" s="242"/>
      <c r="E2034" s="242"/>
      <c r="F2034" s="242"/>
      <c r="K2034" s="230"/>
    </row>
  </sheetData>
  <dataValidations>
    <dataValidation type="custom" allowBlank="1" showDropDown="1" sqref="A2:A2000">
      <formula1>OR(NOT(ISERROR(DATEVALUE(A2))), AND(ISNUMBER(A2), LEFT(CELL("format", A2))="D"))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43"/>
    <col customWidth="1" min="2" max="2" width="47.14"/>
    <col customWidth="1" min="3" max="3" width="16.43"/>
    <col customWidth="1" min="4" max="4" width="15.29"/>
    <col customWidth="1" min="5" max="5" width="18.29"/>
    <col customWidth="1" min="6" max="6" width="12.43"/>
    <col customWidth="1" min="7" max="7" width="17.14"/>
    <col customWidth="1" min="8" max="8" width="19.29"/>
    <col customWidth="1" min="9" max="9" width="15.71"/>
    <col customWidth="1" hidden="1" min="10" max="10" width="11.29"/>
    <col customWidth="1" min="11" max="11" width="13.29"/>
    <col customWidth="1" hidden="1" min="12" max="12" width="22.57"/>
    <col customWidth="1" min="13" max="13" width="6.71"/>
    <col customWidth="1" min="14" max="14" width="19.0"/>
    <col customWidth="1" min="15" max="15" width="21.14"/>
    <col customWidth="1" min="16" max="18" width="34.71"/>
    <col customWidth="1" min="19" max="33" width="8.71"/>
  </cols>
  <sheetData>
    <row r="1" ht="39.0" customHeight="1">
      <c r="A1" s="243" t="s">
        <v>13</v>
      </c>
      <c r="B1" s="244" t="s">
        <v>14</v>
      </c>
      <c r="C1" s="244" t="s">
        <v>514</v>
      </c>
      <c r="D1" s="244" t="s">
        <v>515</v>
      </c>
      <c r="E1" s="245" t="s">
        <v>516</v>
      </c>
      <c r="F1" s="246" t="s">
        <v>517</v>
      </c>
      <c r="G1" s="245" t="s">
        <v>518</v>
      </c>
      <c r="H1" s="247" t="s">
        <v>519</v>
      </c>
      <c r="I1" s="248" t="s">
        <v>520</v>
      </c>
      <c r="J1" s="244" t="s">
        <v>521</v>
      </c>
      <c r="K1" s="244" t="s">
        <v>522</v>
      </c>
      <c r="L1" s="248" t="s">
        <v>523</v>
      </c>
      <c r="M1" s="249" t="s">
        <v>524</v>
      </c>
      <c r="N1" s="250" t="s">
        <v>525</v>
      </c>
      <c r="O1" s="251"/>
      <c r="P1" s="251"/>
      <c r="Q1" s="251"/>
      <c r="R1" s="251"/>
    </row>
    <row r="2" ht="26.25" hidden="1" customHeight="1">
      <c r="A2" s="252"/>
      <c r="B2" s="253" t="s">
        <v>526</v>
      </c>
      <c r="C2" s="254"/>
      <c r="D2" s="254"/>
      <c r="E2" s="255"/>
      <c r="F2" s="256"/>
      <c r="G2" s="257"/>
      <c r="H2" s="258"/>
      <c r="I2" s="258"/>
      <c r="J2" s="254"/>
      <c r="K2" s="254"/>
      <c r="L2" s="259"/>
      <c r="M2" s="260"/>
      <c r="N2" s="261"/>
      <c r="O2" s="251"/>
      <c r="P2" s="251"/>
      <c r="Q2" s="251"/>
      <c r="R2" s="251"/>
    </row>
    <row r="3" hidden="1">
      <c r="A3" s="262">
        <v>98.0</v>
      </c>
      <c r="B3" s="263" t="s">
        <v>527</v>
      </c>
      <c r="C3" s="51" t="s">
        <v>528</v>
      </c>
      <c r="D3" s="51" t="s">
        <v>529</v>
      </c>
      <c r="E3" s="264">
        <v>4700.0</v>
      </c>
      <c r="G3" s="51">
        <v>6490.0</v>
      </c>
      <c r="H3" s="265"/>
      <c r="I3" s="265">
        <f t="shared" ref="I3:I135" si="1">((G3-E3)/E3)</f>
        <v>0.3808510638</v>
      </c>
      <c r="J3" s="51"/>
      <c r="K3" s="51">
        <v>1.0</v>
      </c>
      <c r="L3" s="266">
        <f t="shared" ref="L3:L186" si="2">E3*J3</f>
        <v>0</v>
      </c>
      <c r="M3" s="51">
        <v>0.0</v>
      </c>
      <c r="N3" s="267" t="str">
        <f t="shared" ref="N3:N166" si="3">IF(K3=0, "🛑 Agotado", IF(K3&lt;=M3, "🟡 Bajo", "✅ Ok"))</f>
        <v>✅ Ok</v>
      </c>
      <c r="O3" s="251"/>
      <c r="P3" s="251"/>
      <c r="Q3" s="251"/>
      <c r="R3" s="251"/>
    </row>
    <row r="4" hidden="1">
      <c r="A4" s="268">
        <v>99.0</v>
      </c>
      <c r="B4" s="269" t="s">
        <v>530</v>
      </c>
      <c r="C4" s="50" t="s">
        <v>528</v>
      </c>
      <c r="D4" s="50" t="s">
        <v>529</v>
      </c>
      <c r="E4" s="270">
        <v>1450.0</v>
      </c>
      <c r="G4" s="50">
        <v>1990.0</v>
      </c>
      <c r="H4" s="271"/>
      <c r="I4" s="271">
        <f t="shared" si="1"/>
        <v>0.3724137931</v>
      </c>
      <c r="J4" s="50"/>
      <c r="K4" s="50">
        <v>1.0</v>
      </c>
      <c r="L4" s="272">
        <f t="shared" si="2"/>
        <v>0</v>
      </c>
      <c r="M4" s="50">
        <v>0.0</v>
      </c>
      <c r="N4" s="273" t="str">
        <f t="shared" si="3"/>
        <v>✅ Ok</v>
      </c>
      <c r="O4" s="251"/>
      <c r="P4" s="251"/>
      <c r="Q4" s="251"/>
      <c r="R4" s="251"/>
    </row>
    <row r="5" hidden="1">
      <c r="A5" s="262">
        <v>100.0</v>
      </c>
      <c r="B5" s="263" t="s">
        <v>531</v>
      </c>
      <c r="C5" s="51" t="s">
        <v>532</v>
      </c>
      <c r="D5" s="51" t="s">
        <v>529</v>
      </c>
      <c r="E5" s="264">
        <v>1380.0</v>
      </c>
      <c r="G5" s="51">
        <v>2550.0</v>
      </c>
      <c r="H5" s="265"/>
      <c r="I5" s="265">
        <f t="shared" si="1"/>
        <v>0.847826087</v>
      </c>
      <c r="J5" s="51">
        <v>2.0</v>
      </c>
      <c r="K5" s="51">
        <f> J5 - SUMIF('Ventas diarias'!C:C, A5, 'Ventas diarias'!E:E)</f>
        <v>2</v>
      </c>
      <c r="L5" s="266">
        <f t="shared" si="2"/>
        <v>2760</v>
      </c>
      <c r="M5" s="51">
        <v>1.0</v>
      </c>
      <c r="N5" s="267" t="str">
        <f t="shared" si="3"/>
        <v>✅ Ok</v>
      </c>
      <c r="O5" s="251"/>
      <c r="P5" s="251"/>
      <c r="Q5" s="251"/>
      <c r="R5" s="251"/>
    </row>
    <row r="6" hidden="1">
      <c r="A6" s="268">
        <v>101.0</v>
      </c>
      <c r="B6" s="269" t="s">
        <v>533</v>
      </c>
      <c r="C6" s="50" t="s">
        <v>534</v>
      </c>
      <c r="D6" s="50" t="s">
        <v>529</v>
      </c>
      <c r="E6" s="270">
        <v>4011.2</v>
      </c>
      <c r="G6" s="50">
        <v>6000.0</v>
      </c>
      <c r="H6" s="271"/>
      <c r="I6" s="271">
        <f t="shared" si="1"/>
        <v>0.4958117272</v>
      </c>
      <c r="J6" s="50">
        <v>1.0</v>
      </c>
      <c r="K6" s="50">
        <f> J6 - SUMIF('Ventas diarias'!C:C, A6, 'Ventas diarias'!E:E)</f>
        <v>1</v>
      </c>
      <c r="L6" s="272">
        <f t="shared" si="2"/>
        <v>4011.2</v>
      </c>
      <c r="M6" s="50">
        <v>0.0</v>
      </c>
      <c r="N6" s="273" t="str">
        <f t="shared" si="3"/>
        <v>✅ Ok</v>
      </c>
      <c r="O6" s="251"/>
      <c r="P6" s="251"/>
      <c r="Q6" s="251"/>
      <c r="R6" s="251"/>
    </row>
    <row r="7" hidden="1">
      <c r="A7" s="262">
        <v>102.0</v>
      </c>
      <c r="B7" s="263" t="s">
        <v>535</v>
      </c>
      <c r="C7" s="51" t="s">
        <v>534</v>
      </c>
      <c r="D7" s="51" t="s">
        <v>529</v>
      </c>
      <c r="E7" s="264">
        <v>4250.4</v>
      </c>
      <c r="G7" s="51">
        <v>6400.0</v>
      </c>
      <c r="H7" s="265"/>
      <c r="I7" s="265">
        <f t="shared" si="1"/>
        <v>0.5057406362</v>
      </c>
      <c r="J7" s="51">
        <v>1.0</v>
      </c>
      <c r="K7" s="51">
        <f> J7 - SUMIF('Ventas diarias'!C:C, A7, 'Ventas diarias'!E:E)</f>
        <v>1</v>
      </c>
      <c r="L7" s="266">
        <f t="shared" si="2"/>
        <v>4250.4</v>
      </c>
      <c r="M7" s="51">
        <v>0.0</v>
      </c>
      <c r="N7" s="267" t="str">
        <f t="shared" si="3"/>
        <v>✅ Ok</v>
      </c>
      <c r="O7" s="251"/>
      <c r="P7" s="251"/>
      <c r="Q7" s="251"/>
      <c r="R7" s="251"/>
    </row>
    <row r="8" hidden="1">
      <c r="A8" s="268">
        <v>103.0</v>
      </c>
      <c r="B8" s="269" t="s">
        <v>536</v>
      </c>
      <c r="C8" s="50" t="s">
        <v>534</v>
      </c>
      <c r="D8" s="50" t="s">
        <v>529</v>
      </c>
      <c r="E8" s="270">
        <v>2741.6</v>
      </c>
      <c r="G8" s="50">
        <v>4200.0</v>
      </c>
      <c r="H8" s="271"/>
      <c r="I8" s="271">
        <f t="shared" si="1"/>
        <v>0.5319521447</v>
      </c>
      <c r="J8" s="50">
        <v>1.0</v>
      </c>
      <c r="K8" s="50">
        <f> J8 - SUMIF('Ventas diarias'!C:C, A8, 'Ventas diarias'!E:E)</f>
        <v>1</v>
      </c>
      <c r="L8" s="272">
        <f t="shared" si="2"/>
        <v>2741.6</v>
      </c>
      <c r="M8" s="50">
        <v>0.0</v>
      </c>
      <c r="N8" s="273" t="str">
        <f t="shared" si="3"/>
        <v>✅ Ok</v>
      </c>
      <c r="O8" s="251"/>
      <c r="P8" s="251"/>
      <c r="Q8" s="251"/>
      <c r="R8" s="251"/>
    </row>
    <row r="9" hidden="1">
      <c r="A9" s="262">
        <v>104.0</v>
      </c>
      <c r="B9" s="263" t="s">
        <v>537</v>
      </c>
      <c r="C9" s="51" t="s">
        <v>538</v>
      </c>
      <c r="D9" s="51" t="s">
        <v>529</v>
      </c>
      <c r="E9" s="264">
        <v>2800.0</v>
      </c>
      <c r="G9" s="51">
        <v>5000.0</v>
      </c>
      <c r="H9" s="265"/>
      <c r="I9" s="265">
        <f t="shared" si="1"/>
        <v>0.7857142857</v>
      </c>
      <c r="J9" s="51">
        <v>1.0</v>
      </c>
      <c r="K9" s="51">
        <f> J9 - SUMIF('Ventas diarias'!C:C, A9, 'Ventas diarias'!E:E)</f>
        <v>0</v>
      </c>
      <c r="L9" s="266">
        <f t="shared" si="2"/>
        <v>2800</v>
      </c>
      <c r="M9" s="51">
        <v>0.0</v>
      </c>
      <c r="N9" s="267" t="str">
        <f t="shared" si="3"/>
        <v>🛑 Agotado</v>
      </c>
      <c r="O9" s="251"/>
      <c r="P9" s="251"/>
      <c r="Q9" s="251"/>
      <c r="R9" s="251"/>
    </row>
    <row r="10" hidden="1">
      <c r="A10" s="268">
        <v>105.0</v>
      </c>
      <c r="B10" s="269" t="s">
        <v>539</v>
      </c>
      <c r="C10" s="50" t="s">
        <v>538</v>
      </c>
      <c r="D10" s="50" t="s">
        <v>529</v>
      </c>
      <c r="E10" s="270">
        <v>1288.0</v>
      </c>
      <c r="G10" s="50">
        <v>2600.0</v>
      </c>
      <c r="H10" s="271"/>
      <c r="I10" s="271">
        <f t="shared" si="1"/>
        <v>1.01863354</v>
      </c>
      <c r="J10" s="50">
        <v>1.0</v>
      </c>
      <c r="K10" s="50">
        <f> J10 - SUMIF('Ventas diarias'!C:C, A10, 'Ventas diarias'!E:E)</f>
        <v>1</v>
      </c>
      <c r="L10" s="272">
        <f t="shared" si="2"/>
        <v>1288</v>
      </c>
      <c r="M10" s="50">
        <v>0.0</v>
      </c>
      <c r="N10" s="273" t="str">
        <f t="shared" si="3"/>
        <v>✅ Ok</v>
      </c>
      <c r="O10" s="251"/>
      <c r="P10" s="251"/>
      <c r="Q10" s="251"/>
      <c r="R10" s="251"/>
    </row>
    <row r="11" hidden="1">
      <c r="A11" s="262">
        <v>106.0</v>
      </c>
      <c r="B11" s="263" t="s">
        <v>540</v>
      </c>
      <c r="C11" s="51" t="s">
        <v>538</v>
      </c>
      <c r="D11" s="51" t="s">
        <v>529</v>
      </c>
      <c r="E11" s="264">
        <v>1131.6</v>
      </c>
      <c r="G11" s="51">
        <v>2300.0</v>
      </c>
      <c r="H11" s="265"/>
      <c r="I11" s="265">
        <f t="shared" si="1"/>
        <v>1.032520325</v>
      </c>
      <c r="J11" s="51">
        <v>1.0</v>
      </c>
      <c r="K11" s="51">
        <f> J11 - SUMIF('Ventas diarias'!C:C, A11, 'Ventas diarias'!E:E)</f>
        <v>1</v>
      </c>
      <c r="L11" s="266">
        <f t="shared" si="2"/>
        <v>1131.6</v>
      </c>
      <c r="M11" s="51">
        <v>0.0</v>
      </c>
      <c r="N11" s="267" t="str">
        <f t="shared" si="3"/>
        <v>✅ Ok</v>
      </c>
      <c r="O11" s="251"/>
      <c r="P11" s="251"/>
      <c r="Q11" s="251"/>
      <c r="R11" s="251"/>
    </row>
    <row r="12" hidden="1">
      <c r="A12" s="268">
        <v>107.0</v>
      </c>
      <c r="B12" s="269" t="s">
        <v>541</v>
      </c>
      <c r="C12" s="50" t="s">
        <v>538</v>
      </c>
      <c r="D12" s="50" t="s">
        <v>529</v>
      </c>
      <c r="E12" s="270">
        <v>1177.6</v>
      </c>
      <c r="G12" s="50">
        <v>2400.0</v>
      </c>
      <c r="H12" s="271"/>
      <c r="I12" s="271">
        <f t="shared" si="1"/>
        <v>1.038043478</v>
      </c>
      <c r="J12" s="50">
        <v>1.0</v>
      </c>
      <c r="K12" s="50">
        <f> J12 - SUMIF('Ventas diarias'!C:C, A12, 'Ventas diarias'!E:E)</f>
        <v>1</v>
      </c>
      <c r="L12" s="272">
        <f t="shared" si="2"/>
        <v>1177.6</v>
      </c>
      <c r="M12" s="50">
        <v>0.0</v>
      </c>
      <c r="N12" s="273" t="str">
        <f t="shared" si="3"/>
        <v>✅ Ok</v>
      </c>
      <c r="O12" s="251"/>
      <c r="P12" s="251"/>
      <c r="Q12" s="251"/>
      <c r="R12" s="251"/>
    </row>
    <row r="13" hidden="1">
      <c r="A13" s="262">
        <v>108.0</v>
      </c>
      <c r="B13" s="263" t="s">
        <v>542</v>
      </c>
      <c r="C13" s="51" t="s">
        <v>538</v>
      </c>
      <c r="D13" s="51" t="s">
        <v>529</v>
      </c>
      <c r="E13" s="264">
        <v>1315.61</v>
      </c>
      <c r="G13" s="51">
        <v>2700.0</v>
      </c>
      <c r="H13" s="265"/>
      <c r="I13" s="265">
        <f t="shared" si="1"/>
        <v>1.052279931</v>
      </c>
      <c r="J13" s="51">
        <v>1.0</v>
      </c>
      <c r="K13" s="51">
        <f> J13 - SUMIF('Ventas diarias'!C:C, A13, 'Ventas diarias'!E:E)</f>
        <v>0</v>
      </c>
      <c r="L13" s="266">
        <f t="shared" si="2"/>
        <v>1315.61</v>
      </c>
      <c r="M13" s="51">
        <v>0.0</v>
      </c>
      <c r="N13" s="267" t="str">
        <f t="shared" si="3"/>
        <v>🛑 Agotado</v>
      </c>
      <c r="O13" s="251"/>
      <c r="P13" s="251"/>
      <c r="Q13" s="251"/>
      <c r="R13" s="251"/>
    </row>
    <row r="14" hidden="1">
      <c r="A14" s="268">
        <v>109.0</v>
      </c>
      <c r="B14" s="269" t="s">
        <v>543</v>
      </c>
      <c r="C14" s="50" t="s">
        <v>538</v>
      </c>
      <c r="D14" s="50" t="s">
        <v>529</v>
      </c>
      <c r="E14" s="270">
        <v>1380.0</v>
      </c>
      <c r="G14" s="50">
        <v>2800.0</v>
      </c>
      <c r="H14" s="271"/>
      <c r="I14" s="271">
        <f t="shared" si="1"/>
        <v>1.028985507</v>
      </c>
      <c r="J14" s="50">
        <v>1.0</v>
      </c>
      <c r="K14" s="50">
        <f> J14 - SUMIF('Ventas diarias'!C:C, A14, 'Ventas diarias'!E:E)</f>
        <v>1</v>
      </c>
      <c r="L14" s="272">
        <f t="shared" si="2"/>
        <v>1380</v>
      </c>
      <c r="M14" s="50">
        <v>0.0</v>
      </c>
      <c r="N14" s="273" t="str">
        <f t="shared" si="3"/>
        <v>✅ Ok</v>
      </c>
      <c r="O14" s="251"/>
      <c r="P14" s="251"/>
      <c r="Q14" s="251"/>
      <c r="R14" s="251"/>
    </row>
    <row r="15" hidden="1">
      <c r="A15" s="262">
        <v>110.0</v>
      </c>
      <c r="B15" s="263" t="s">
        <v>544</v>
      </c>
      <c r="C15" s="51" t="s">
        <v>538</v>
      </c>
      <c r="D15" s="51" t="s">
        <v>529</v>
      </c>
      <c r="E15" s="264">
        <v>1407.6</v>
      </c>
      <c r="G15" s="51">
        <v>2900.0</v>
      </c>
      <c r="H15" s="265"/>
      <c r="I15" s="265">
        <f t="shared" si="1"/>
        <v>1.060244388</v>
      </c>
      <c r="J15" s="51">
        <v>1.0</v>
      </c>
      <c r="K15" s="51">
        <f> J15 - SUMIF('Ventas diarias'!C:C, A15, 'Ventas diarias'!E:E)</f>
        <v>1</v>
      </c>
      <c r="L15" s="266">
        <f t="shared" si="2"/>
        <v>1407.6</v>
      </c>
      <c r="M15" s="51">
        <v>0.0</v>
      </c>
      <c r="N15" s="267" t="str">
        <f t="shared" si="3"/>
        <v>✅ Ok</v>
      </c>
      <c r="O15" s="251"/>
      <c r="P15" s="251"/>
      <c r="Q15" s="251"/>
      <c r="R15" s="251"/>
    </row>
    <row r="16" hidden="1">
      <c r="A16" s="268">
        <v>111.0</v>
      </c>
      <c r="B16" s="80" t="s">
        <v>545</v>
      </c>
      <c r="C16" s="50" t="s">
        <v>538</v>
      </c>
      <c r="D16" s="50" t="s">
        <v>529</v>
      </c>
      <c r="E16" s="272">
        <v>2152.8</v>
      </c>
      <c r="G16" s="50">
        <v>4300.0</v>
      </c>
      <c r="H16" s="271"/>
      <c r="I16" s="271">
        <f t="shared" si="1"/>
        <v>0.9973987365</v>
      </c>
      <c r="J16" s="50">
        <v>1.0</v>
      </c>
      <c r="K16" s="50">
        <f> J16 - SUMIF('Ventas diarias'!C:C, A16, 'Ventas diarias'!E:E)</f>
        <v>1</v>
      </c>
      <c r="L16" s="272">
        <f t="shared" si="2"/>
        <v>2152.8</v>
      </c>
      <c r="M16" s="99">
        <v>0.0</v>
      </c>
      <c r="N16" s="273" t="str">
        <f t="shared" si="3"/>
        <v>✅ Ok</v>
      </c>
      <c r="O16" s="251"/>
      <c r="P16" s="251"/>
      <c r="Q16" s="251"/>
      <c r="R16" s="251"/>
    </row>
    <row r="17" hidden="1">
      <c r="A17" s="262">
        <v>112.0</v>
      </c>
      <c r="B17" s="136" t="s">
        <v>546</v>
      </c>
      <c r="C17" s="51" t="s">
        <v>538</v>
      </c>
      <c r="D17" s="51" t="s">
        <v>529</v>
      </c>
      <c r="E17" s="266">
        <v>2594.4</v>
      </c>
      <c r="G17" s="51">
        <v>5400.0</v>
      </c>
      <c r="H17" s="265"/>
      <c r="I17" s="265">
        <f t="shared" si="1"/>
        <v>1.081406105</v>
      </c>
      <c r="J17" s="51">
        <v>1.0</v>
      </c>
      <c r="K17" s="51">
        <f> J17 - SUMIF('Ventas diarias'!C:C, A17, 'Ventas diarias'!E:E)</f>
        <v>1</v>
      </c>
      <c r="L17" s="266">
        <f t="shared" si="2"/>
        <v>2594.4</v>
      </c>
      <c r="M17" s="98">
        <v>0.0</v>
      </c>
      <c r="N17" s="267" t="str">
        <f t="shared" si="3"/>
        <v>✅ Ok</v>
      </c>
      <c r="O17" s="251"/>
      <c r="P17" s="251"/>
      <c r="Q17" s="251"/>
      <c r="R17" s="251"/>
    </row>
    <row r="18" hidden="1">
      <c r="A18" s="268">
        <v>113.0</v>
      </c>
      <c r="B18" s="80" t="s">
        <v>547</v>
      </c>
      <c r="C18" s="50" t="s">
        <v>538</v>
      </c>
      <c r="D18" s="50" t="s">
        <v>529</v>
      </c>
      <c r="E18" s="272">
        <v>2695.6</v>
      </c>
      <c r="G18" s="50">
        <v>5400.0</v>
      </c>
      <c r="H18" s="271"/>
      <c r="I18" s="271">
        <f t="shared" si="1"/>
        <v>1.003264579</v>
      </c>
      <c r="J18" s="50">
        <v>1.0</v>
      </c>
      <c r="K18" s="50">
        <f> J18 - SUMIF('Ventas diarias'!C:C, A18, 'Ventas diarias'!E:E)</f>
        <v>1</v>
      </c>
      <c r="L18" s="272">
        <f t="shared" si="2"/>
        <v>2695.6</v>
      </c>
      <c r="M18" s="99">
        <v>0.0</v>
      </c>
      <c r="N18" s="273" t="str">
        <f t="shared" si="3"/>
        <v>✅ Ok</v>
      </c>
      <c r="O18" s="251"/>
      <c r="P18" s="251"/>
      <c r="Q18" s="251"/>
      <c r="R18" s="251"/>
    </row>
    <row r="19" hidden="1">
      <c r="A19" s="262">
        <v>114.0</v>
      </c>
      <c r="B19" s="136" t="s">
        <v>548</v>
      </c>
      <c r="C19" s="51" t="s">
        <v>538</v>
      </c>
      <c r="D19" s="51" t="s">
        <v>529</v>
      </c>
      <c r="E19" s="266">
        <v>2750.8</v>
      </c>
      <c r="G19" s="51">
        <v>5500.0</v>
      </c>
      <c r="H19" s="265"/>
      <c r="I19" s="265">
        <f t="shared" si="1"/>
        <v>0.999418351</v>
      </c>
      <c r="J19" s="51">
        <v>1.0</v>
      </c>
      <c r="K19" s="51">
        <f> J19 - SUMIF('Ventas diarias'!C:C, A19, 'Ventas diarias'!E:E)</f>
        <v>1</v>
      </c>
      <c r="L19" s="266">
        <f t="shared" si="2"/>
        <v>2750.8</v>
      </c>
      <c r="M19" s="98">
        <v>0.0</v>
      </c>
      <c r="N19" s="267" t="str">
        <f t="shared" si="3"/>
        <v>✅ Ok</v>
      </c>
      <c r="O19" s="251"/>
      <c r="P19" s="251"/>
      <c r="Q19" s="251"/>
      <c r="R19" s="251"/>
    </row>
    <row r="20" hidden="1">
      <c r="A20" s="268">
        <v>115.0</v>
      </c>
      <c r="B20" s="80" t="s">
        <v>549</v>
      </c>
      <c r="C20" s="50" t="s">
        <v>538</v>
      </c>
      <c r="D20" s="50" t="s">
        <v>529</v>
      </c>
      <c r="E20" s="272">
        <v>1932.0</v>
      </c>
      <c r="G20" s="50">
        <v>4000.0</v>
      </c>
      <c r="H20" s="271"/>
      <c r="I20" s="271">
        <f t="shared" si="1"/>
        <v>1.070393375</v>
      </c>
      <c r="J20" s="50">
        <v>1.0</v>
      </c>
      <c r="K20" s="50">
        <f> J20 - SUMIF('Ventas diarias'!C:C, A20, 'Ventas diarias'!E:E)</f>
        <v>1</v>
      </c>
      <c r="L20" s="272">
        <f t="shared" si="2"/>
        <v>1932</v>
      </c>
      <c r="M20" s="99">
        <v>0.0</v>
      </c>
      <c r="N20" s="273" t="str">
        <f t="shared" si="3"/>
        <v>✅ Ok</v>
      </c>
      <c r="O20" s="251"/>
      <c r="P20" s="251"/>
      <c r="Q20" s="251"/>
      <c r="R20" s="251"/>
    </row>
    <row r="21" hidden="1">
      <c r="A21" s="262">
        <v>116.0</v>
      </c>
      <c r="B21" s="136" t="s">
        <v>550</v>
      </c>
      <c r="C21" s="51" t="s">
        <v>538</v>
      </c>
      <c r="D21" s="51" t="s">
        <v>529</v>
      </c>
      <c r="E21" s="266">
        <v>1472.0</v>
      </c>
      <c r="G21" s="51">
        <v>3000.0</v>
      </c>
      <c r="H21" s="265"/>
      <c r="I21" s="265">
        <f t="shared" si="1"/>
        <v>1.038043478</v>
      </c>
      <c r="J21" s="51">
        <v>1.0</v>
      </c>
      <c r="K21" s="51">
        <f> J21 - SUMIF('Ventas diarias'!C:C, A21, 'Ventas diarias'!E:E)</f>
        <v>1</v>
      </c>
      <c r="L21" s="266">
        <f t="shared" si="2"/>
        <v>1472</v>
      </c>
      <c r="M21" s="98">
        <v>0.0</v>
      </c>
      <c r="N21" s="267" t="str">
        <f t="shared" si="3"/>
        <v>✅ Ok</v>
      </c>
      <c r="O21" s="251"/>
      <c r="P21" s="251"/>
      <c r="Q21" s="251"/>
      <c r="R21" s="251"/>
    </row>
    <row r="22" hidden="1">
      <c r="A22" s="268">
        <v>117.0</v>
      </c>
      <c r="B22" s="80" t="s">
        <v>551</v>
      </c>
      <c r="C22" s="50" t="s">
        <v>538</v>
      </c>
      <c r="D22" s="50" t="s">
        <v>529</v>
      </c>
      <c r="E22" s="272">
        <v>1304.0</v>
      </c>
      <c r="G22" s="50">
        <v>2700.0</v>
      </c>
      <c r="H22" s="271"/>
      <c r="I22" s="271">
        <f t="shared" si="1"/>
        <v>1.070552147</v>
      </c>
      <c r="J22" s="50">
        <v>1.0</v>
      </c>
      <c r="K22" s="50">
        <f> J22 - SUMIF('Ventas diarias'!C:C, A22, 'Ventas diarias'!E:E)</f>
        <v>1</v>
      </c>
      <c r="L22" s="272">
        <f t="shared" si="2"/>
        <v>1304</v>
      </c>
      <c r="M22" s="99">
        <v>0.0</v>
      </c>
      <c r="N22" s="273" t="str">
        <f t="shared" si="3"/>
        <v>✅ Ok</v>
      </c>
      <c r="O22" s="251"/>
      <c r="P22" s="251"/>
      <c r="Q22" s="251"/>
      <c r="R22" s="251"/>
    </row>
    <row r="23" hidden="1">
      <c r="A23" s="262">
        <v>118.0</v>
      </c>
      <c r="B23" s="136" t="s">
        <v>552</v>
      </c>
      <c r="C23" s="98" t="s">
        <v>553</v>
      </c>
      <c r="D23" s="98" t="s">
        <v>529</v>
      </c>
      <c r="E23" s="266">
        <v>500.0</v>
      </c>
      <c r="G23" s="51">
        <v>1500.0</v>
      </c>
      <c r="H23" s="265"/>
      <c r="I23" s="265">
        <f t="shared" si="1"/>
        <v>2</v>
      </c>
      <c r="J23" s="98">
        <v>2.0</v>
      </c>
      <c r="K23" s="51">
        <f> J23 - SUMIF('Ventas diarias'!C:C, A23, 'Ventas diarias'!E:E)</f>
        <v>1</v>
      </c>
      <c r="L23" s="266">
        <f t="shared" si="2"/>
        <v>1000</v>
      </c>
      <c r="M23" s="98">
        <v>1.0</v>
      </c>
      <c r="N23" s="267" t="str">
        <f t="shared" si="3"/>
        <v>🟡 Bajo</v>
      </c>
      <c r="O23" s="251"/>
      <c r="P23" s="251"/>
      <c r="Q23" s="251"/>
      <c r="R23" s="251"/>
    </row>
    <row r="24" hidden="1">
      <c r="A24" s="268">
        <v>119.0</v>
      </c>
      <c r="B24" s="80" t="s">
        <v>554</v>
      </c>
      <c r="C24" s="99" t="s">
        <v>553</v>
      </c>
      <c r="D24" s="99" t="s">
        <v>529</v>
      </c>
      <c r="E24" s="272">
        <v>2208.0</v>
      </c>
      <c r="G24" s="50">
        <v>4400.0</v>
      </c>
      <c r="H24" s="271"/>
      <c r="I24" s="271">
        <f t="shared" si="1"/>
        <v>0.9927536232</v>
      </c>
      <c r="J24" s="99">
        <v>2.0</v>
      </c>
      <c r="K24" s="50">
        <f> J24 - SUMIF('Ventas diarias'!C:C, A24, 'Ventas diarias'!E:E)</f>
        <v>2</v>
      </c>
      <c r="L24" s="272">
        <f t="shared" si="2"/>
        <v>4416</v>
      </c>
      <c r="M24" s="99">
        <v>0.0</v>
      </c>
      <c r="N24" s="273" t="str">
        <f t="shared" si="3"/>
        <v>✅ Ok</v>
      </c>
      <c r="O24" s="251"/>
      <c r="P24" s="251"/>
      <c r="Q24" s="251"/>
      <c r="R24" s="251"/>
    </row>
    <row r="25" hidden="1">
      <c r="A25" s="262">
        <v>120.0</v>
      </c>
      <c r="B25" s="136" t="s">
        <v>555</v>
      </c>
      <c r="C25" s="98" t="s">
        <v>553</v>
      </c>
      <c r="D25" s="98" t="s">
        <v>529</v>
      </c>
      <c r="E25" s="266">
        <v>1858.4</v>
      </c>
      <c r="G25" s="51">
        <v>3800.0</v>
      </c>
      <c r="H25" s="265"/>
      <c r="I25" s="265">
        <f t="shared" si="1"/>
        <v>1.044769694</v>
      </c>
      <c r="J25" s="98">
        <v>1.0</v>
      </c>
      <c r="K25" s="51">
        <f> J25 - SUMIF('Ventas diarias'!C:C, A25, 'Ventas diarias'!E:E)</f>
        <v>0</v>
      </c>
      <c r="L25" s="266">
        <f t="shared" si="2"/>
        <v>1858.4</v>
      </c>
      <c r="M25" s="98">
        <v>0.0</v>
      </c>
      <c r="N25" s="267" t="str">
        <f t="shared" si="3"/>
        <v>🛑 Agotado</v>
      </c>
      <c r="O25" s="251"/>
      <c r="P25" s="251"/>
      <c r="Q25" s="251"/>
      <c r="R25" s="251"/>
    </row>
    <row r="26" hidden="1">
      <c r="A26" s="268">
        <v>121.0</v>
      </c>
      <c r="B26" s="80" t="s">
        <v>556</v>
      </c>
      <c r="C26" s="99" t="s">
        <v>553</v>
      </c>
      <c r="D26" s="99" t="s">
        <v>529</v>
      </c>
      <c r="E26" s="272">
        <v>763.6</v>
      </c>
      <c r="G26" s="50">
        <v>1600.0</v>
      </c>
      <c r="H26" s="271"/>
      <c r="I26" s="271">
        <f t="shared" si="1"/>
        <v>1.095337873</v>
      </c>
      <c r="J26" s="99">
        <v>1.0</v>
      </c>
      <c r="K26" s="50">
        <f> J26 - SUMIF('Ventas diarias'!C:C, A26, 'Ventas diarias'!E:E)</f>
        <v>1</v>
      </c>
      <c r="L26" s="272">
        <f t="shared" si="2"/>
        <v>763.6</v>
      </c>
      <c r="M26" s="99">
        <v>0.0</v>
      </c>
      <c r="N26" s="273" t="str">
        <f t="shared" si="3"/>
        <v>✅ Ok</v>
      </c>
      <c r="O26" s="251"/>
      <c r="P26" s="251"/>
      <c r="Q26" s="251"/>
      <c r="R26" s="251"/>
    </row>
    <row r="27" hidden="1">
      <c r="A27" s="262">
        <v>122.0</v>
      </c>
      <c r="B27" s="136" t="s">
        <v>557</v>
      </c>
      <c r="C27" s="98" t="s">
        <v>553</v>
      </c>
      <c r="D27" s="98" t="s">
        <v>529</v>
      </c>
      <c r="E27" s="266">
        <v>625.6</v>
      </c>
      <c r="G27" s="51">
        <v>1300.0</v>
      </c>
      <c r="H27" s="265"/>
      <c r="I27" s="265">
        <f t="shared" si="1"/>
        <v>1.078005115</v>
      </c>
      <c r="J27" s="98">
        <v>1.0</v>
      </c>
      <c r="K27" s="51">
        <f> J27 - SUMIF('Ventas diarias'!C:C, A27, 'Ventas diarias'!E:E)</f>
        <v>1</v>
      </c>
      <c r="L27" s="266">
        <f t="shared" si="2"/>
        <v>625.6</v>
      </c>
      <c r="M27" s="98">
        <v>0.0</v>
      </c>
      <c r="N27" s="267" t="str">
        <f t="shared" si="3"/>
        <v>✅ Ok</v>
      </c>
      <c r="O27" s="251"/>
      <c r="P27" s="251"/>
      <c r="Q27" s="251"/>
      <c r="R27" s="251"/>
    </row>
    <row r="28" hidden="1">
      <c r="A28" s="268">
        <v>123.0</v>
      </c>
      <c r="B28" s="80" t="s">
        <v>558</v>
      </c>
      <c r="C28" s="99" t="s">
        <v>553</v>
      </c>
      <c r="D28" s="99" t="s">
        <v>529</v>
      </c>
      <c r="E28" s="272">
        <v>725.76</v>
      </c>
      <c r="G28" s="50">
        <v>1500.0</v>
      </c>
      <c r="H28" s="271"/>
      <c r="I28" s="271">
        <f t="shared" si="1"/>
        <v>1.066798942</v>
      </c>
      <c r="J28" s="99">
        <v>2.0</v>
      </c>
      <c r="K28" s="50">
        <f> J28 - SUMIF('Ventas diarias'!C:C, A28, 'Ventas diarias'!E:E)</f>
        <v>2</v>
      </c>
      <c r="L28" s="272">
        <f t="shared" si="2"/>
        <v>1451.52</v>
      </c>
      <c r="M28" s="99">
        <v>1.0</v>
      </c>
      <c r="N28" s="273" t="str">
        <f t="shared" si="3"/>
        <v>✅ Ok</v>
      </c>
      <c r="O28" s="251"/>
      <c r="P28" s="251"/>
      <c r="Q28" s="251"/>
      <c r="R28" s="251"/>
    </row>
    <row r="29" hidden="1">
      <c r="A29" s="262">
        <v>124.0</v>
      </c>
      <c r="B29" s="136" t="s">
        <v>559</v>
      </c>
      <c r="C29" s="98" t="s">
        <v>553</v>
      </c>
      <c r="D29" s="98" t="s">
        <v>529</v>
      </c>
      <c r="E29" s="266">
        <v>662.4</v>
      </c>
      <c r="G29" s="51">
        <v>1400.0</v>
      </c>
      <c r="H29" s="265"/>
      <c r="I29" s="265">
        <f t="shared" si="1"/>
        <v>1.11352657</v>
      </c>
      <c r="J29" s="98">
        <v>2.0</v>
      </c>
      <c r="K29" s="51">
        <f> J29 - SUMIF('Ventas diarias'!C:C, A29, 'Ventas diarias'!E:E)</f>
        <v>2</v>
      </c>
      <c r="L29" s="266">
        <f t="shared" si="2"/>
        <v>1324.8</v>
      </c>
      <c r="M29" s="98">
        <v>1.0</v>
      </c>
      <c r="N29" s="267" t="str">
        <f t="shared" si="3"/>
        <v>✅ Ok</v>
      </c>
      <c r="O29" s="251"/>
      <c r="P29" s="251"/>
      <c r="Q29" s="251"/>
      <c r="R29" s="251"/>
    </row>
    <row r="30" hidden="1">
      <c r="A30" s="268">
        <v>125.0</v>
      </c>
      <c r="B30" s="80" t="s">
        <v>560</v>
      </c>
      <c r="C30" s="99" t="s">
        <v>561</v>
      </c>
      <c r="D30" s="99" t="s">
        <v>529</v>
      </c>
      <c r="E30" s="272">
        <v>4784.0</v>
      </c>
      <c r="G30" s="50">
        <v>9500.0</v>
      </c>
      <c r="H30" s="271"/>
      <c r="I30" s="271">
        <f t="shared" si="1"/>
        <v>0.9857859532</v>
      </c>
      <c r="J30" s="99">
        <v>1.0</v>
      </c>
      <c r="K30" s="50">
        <f> J30 - SUMIF('Ventas diarias'!C:C, A30, 'Ventas diarias'!E:E)</f>
        <v>0</v>
      </c>
      <c r="L30" s="272">
        <f t="shared" si="2"/>
        <v>4784</v>
      </c>
      <c r="M30" s="99">
        <v>0.0</v>
      </c>
      <c r="N30" s="273" t="str">
        <f t="shared" si="3"/>
        <v>🛑 Agotado</v>
      </c>
      <c r="O30" s="251"/>
      <c r="P30" s="251"/>
      <c r="Q30" s="251"/>
      <c r="R30" s="251"/>
    </row>
    <row r="31" hidden="1">
      <c r="A31" s="262">
        <v>126.0</v>
      </c>
      <c r="B31" s="136" t="s">
        <v>562</v>
      </c>
      <c r="C31" s="98" t="s">
        <v>561</v>
      </c>
      <c r="D31" s="98" t="s">
        <v>529</v>
      </c>
      <c r="E31" s="266">
        <v>3634.0</v>
      </c>
      <c r="G31" s="51">
        <v>7300.0</v>
      </c>
      <c r="H31" s="265"/>
      <c r="I31" s="265">
        <f t="shared" si="1"/>
        <v>1.008805724</v>
      </c>
      <c r="J31" s="98">
        <v>1.0</v>
      </c>
      <c r="K31" s="51">
        <f> J31 - SUMIF('Ventas diarias'!C:C, A31, 'Ventas diarias'!E:E)</f>
        <v>1</v>
      </c>
      <c r="L31" s="266">
        <f t="shared" si="2"/>
        <v>3634</v>
      </c>
      <c r="M31" s="98">
        <v>0.0</v>
      </c>
      <c r="N31" s="267" t="str">
        <f t="shared" si="3"/>
        <v>✅ Ok</v>
      </c>
      <c r="O31" s="251"/>
      <c r="P31" s="251"/>
      <c r="Q31" s="251"/>
      <c r="R31" s="251"/>
    </row>
    <row r="32" hidden="1">
      <c r="A32" s="268">
        <v>1271.0</v>
      </c>
      <c r="B32" s="80" t="s">
        <v>563</v>
      </c>
      <c r="C32" s="99" t="s">
        <v>561</v>
      </c>
      <c r="D32" s="99" t="s">
        <v>529</v>
      </c>
      <c r="E32" s="272">
        <v>1800.0</v>
      </c>
      <c r="G32" s="50">
        <v>4000.0</v>
      </c>
      <c r="H32" s="271"/>
      <c r="I32" s="271">
        <f t="shared" si="1"/>
        <v>1.222222222</v>
      </c>
      <c r="J32" s="99">
        <v>1.0</v>
      </c>
      <c r="K32" s="50">
        <f> J32 - SUMIF('Ventas diarias'!C:C, A32, 'Ventas diarias'!E:E)</f>
        <v>1</v>
      </c>
      <c r="L32" s="272">
        <f t="shared" si="2"/>
        <v>1800</v>
      </c>
      <c r="M32" s="99">
        <v>0.0</v>
      </c>
      <c r="N32" s="273" t="str">
        <f t="shared" si="3"/>
        <v>✅ Ok</v>
      </c>
      <c r="O32" s="251"/>
      <c r="P32" s="251"/>
      <c r="Q32" s="251"/>
      <c r="R32" s="251"/>
    </row>
    <row r="33" hidden="1">
      <c r="A33" s="262">
        <v>127.0</v>
      </c>
      <c r="B33" s="136" t="s">
        <v>564</v>
      </c>
      <c r="C33" s="98" t="s">
        <v>561</v>
      </c>
      <c r="D33" s="98" t="s">
        <v>529</v>
      </c>
      <c r="E33" s="266">
        <v>2484.0</v>
      </c>
      <c r="G33" s="51">
        <v>5000.0</v>
      </c>
      <c r="H33" s="265"/>
      <c r="I33" s="265">
        <f t="shared" si="1"/>
        <v>1.012882448</v>
      </c>
      <c r="J33" s="98">
        <v>1.0</v>
      </c>
      <c r="K33" s="51">
        <f> J33 - SUMIF('Ventas diarias'!C:C, A33, 'Ventas diarias'!E:E)</f>
        <v>1</v>
      </c>
      <c r="L33" s="266">
        <f t="shared" si="2"/>
        <v>2484</v>
      </c>
      <c r="M33" s="98">
        <v>0.0</v>
      </c>
      <c r="N33" s="267" t="str">
        <f t="shared" si="3"/>
        <v>✅ Ok</v>
      </c>
      <c r="O33" s="251"/>
      <c r="P33" s="251"/>
      <c r="Q33" s="251"/>
      <c r="R33" s="251"/>
    </row>
    <row r="34" hidden="1">
      <c r="A34" s="268">
        <v>128.0</v>
      </c>
      <c r="B34" s="80" t="s">
        <v>565</v>
      </c>
      <c r="C34" s="99" t="s">
        <v>561</v>
      </c>
      <c r="D34" s="99" t="s">
        <v>529</v>
      </c>
      <c r="E34" s="272">
        <v>1323.0</v>
      </c>
      <c r="G34" s="50">
        <v>2500.0</v>
      </c>
      <c r="H34" s="271"/>
      <c r="I34" s="271">
        <f t="shared" si="1"/>
        <v>0.8896447468</v>
      </c>
      <c r="J34" s="99">
        <v>1.0</v>
      </c>
      <c r="K34" s="50">
        <f> J34 - SUMIF('Ventas diarias'!C:C, A34, 'Ventas diarias'!E:E)</f>
        <v>0</v>
      </c>
      <c r="L34" s="272">
        <f t="shared" si="2"/>
        <v>1323</v>
      </c>
      <c r="M34" s="99">
        <v>0.0</v>
      </c>
      <c r="N34" s="273" t="str">
        <f t="shared" si="3"/>
        <v>🛑 Agotado</v>
      </c>
      <c r="O34" s="251"/>
      <c r="P34" s="251"/>
      <c r="Q34" s="251"/>
      <c r="R34" s="251"/>
    </row>
    <row r="35" ht="15.75" hidden="1" customHeight="1">
      <c r="A35" s="262">
        <v>129.0</v>
      </c>
      <c r="B35" s="136" t="s">
        <v>566</v>
      </c>
      <c r="C35" s="98" t="s">
        <v>561</v>
      </c>
      <c r="D35" s="98" t="s">
        <v>529</v>
      </c>
      <c r="E35" s="266">
        <v>1564.0</v>
      </c>
      <c r="G35" s="51">
        <v>3200.0</v>
      </c>
      <c r="H35" s="265"/>
      <c r="I35" s="265">
        <f t="shared" si="1"/>
        <v>1.046035806</v>
      </c>
      <c r="J35" s="98">
        <v>1.0</v>
      </c>
      <c r="K35" s="51">
        <f> J35 - SUMIF('Ventas diarias'!C:C, A35, 'Ventas diarias'!E:E)</f>
        <v>1</v>
      </c>
      <c r="L35" s="266">
        <f t="shared" si="2"/>
        <v>1564</v>
      </c>
      <c r="M35" s="98">
        <v>0.0</v>
      </c>
      <c r="N35" s="267" t="str">
        <f t="shared" si="3"/>
        <v>✅ Ok</v>
      </c>
      <c r="O35" s="251"/>
      <c r="P35" s="251"/>
      <c r="Q35" s="251"/>
      <c r="R35" s="251"/>
    </row>
    <row r="36" ht="15.75" hidden="1" customHeight="1">
      <c r="A36" s="268">
        <v>130.0</v>
      </c>
      <c r="B36" s="80" t="s">
        <v>567</v>
      </c>
      <c r="C36" s="99" t="s">
        <v>561</v>
      </c>
      <c r="D36" s="99" t="s">
        <v>529</v>
      </c>
      <c r="E36" s="272">
        <v>2208.0</v>
      </c>
      <c r="G36" s="50">
        <v>4500.0</v>
      </c>
      <c r="H36" s="271"/>
      <c r="I36" s="271">
        <f t="shared" si="1"/>
        <v>1.038043478</v>
      </c>
      <c r="J36" s="99">
        <v>1.0</v>
      </c>
      <c r="K36" s="50">
        <f> J36 - SUMIF('Ventas diarias'!C:C, A36, 'Ventas diarias'!E:E)</f>
        <v>1</v>
      </c>
      <c r="L36" s="272">
        <f t="shared" si="2"/>
        <v>2208</v>
      </c>
      <c r="M36" s="99">
        <v>0.0</v>
      </c>
      <c r="N36" s="273" t="str">
        <f t="shared" si="3"/>
        <v>✅ Ok</v>
      </c>
      <c r="O36" s="251"/>
      <c r="P36" s="251"/>
      <c r="Q36" s="251"/>
      <c r="R36" s="251"/>
    </row>
    <row r="37" ht="15.75" hidden="1" customHeight="1">
      <c r="A37" s="262">
        <v>131.0</v>
      </c>
      <c r="B37" s="136" t="s">
        <v>568</v>
      </c>
      <c r="C37" s="98" t="s">
        <v>561</v>
      </c>
      <c r="D37" s="98" t="s">
        <v>529</v>
      </c>
      <c r="E37" s="266">
        <v>2484.0</v>
      </c>
      <c r="G37" s="51">
        <v>5000.0</v>
      </c>
      <c r="H37" s="265"/>
      <c r="I37" s="265">
        <f t="shared" si="1"/>
        <v>1.012882448</v>
      </c>
      <c r="J37" s="98">
        <v>1.0</v>
      </c>
      <c r="K37" s="51">
        <f> J37 - SUMIF('Ventas diarias'!C:C, A37, 'Ventas diarias'!E:E)</f>
        <v>1</v>
      </c>
      <c r="L37" s="266">
        <f t="shared" si="2"/>
        <v>2484</v>
      </c>
      <c r="M37" s="98">
        <v>0.0</v>
      </c>
      <c r="N37" s="267" t="str">
        <f t="shared" si="3"/>
        <v>✅ Ok</v>
      </c>
      <c r="O37" s="251"/>
      <c r="P37" s="251"/>
      <c r="Q37" s="251"/>
      <c r="R37" s="251"/>
    </row>
    <row r="38" ht="15.75" hidden="1" customHeight="1">
      <c r="A38" s="268">
        <v>132.0</v>
      </c>
      <c r="B38" s="80" t="s">
        <v>569</v>
      </c>
      <c r="C38" s="99" t="s">
        <v>561</v>
      </c>
      <c r="D38" s="99" t="s">
        <v>529</v>
      </c>
      <c r="E38" s="272">
        <v>2944.0</v>
      </c>
      <c r="G38" s="50">
        <v>6000.0</v>
      </c>
      <c r="H38" s="271"/>
      <c r="I38" s="271">
        <f t="shared" si="1"/>
        <v>1.038043478</v>
      </c>
      <c r="J38" s="99">
        <v>1.0</v>
      </c>
      <c r="K38" s="50">
        <f> J38 - SUMIF('Ventas diarias'!C:C, A38, 'Ventas diarias'!E:E)</f>
        <v>1</v>
      </c>
      <c r="L38" s="272">
        <f t="shared" si="2"/>
        <v>2944</v>
      </c>
      <c r="M38" s="99">
        <v>0.0</v>
      </c>
      <c r="N38" s="273" t="str">
        <f t="shared" si="3"/>
        <v>✅ Ok</v>
      </c>
      <c r="O38" s="251"/>
      <c r="P38" s="251"/>
      <c r="Q38" s="251"/>
      <c r="R38" s="251"/>
    </row>
    <row r="39" ht="15.75" hidden="1" customHeight="1">
      <c r="A39" s="262">
        <v>133.0</v>
      </c>
      <c r="B39" s="136" t="s">
        <v>570</v>
      </c>
      <c r="C39" s="98" t="s">
        <v>571</v>
      </c>
      <c r="D39" s="98" t="s">
        <v>529</v>
      </c>
      <c r="E39" s="266">
        <v>1518.0</v>
      </c>
      <c r="G39" s="51">
        <v>2500.0</v>
      </c>
      <c r="H39" s="265"/>
      <c r="I39" s="265">
        <f t="shared" si="1"/>
        <v>0.6469038208</v>
      </c>
      <c r="J39" s="98">
        <v>2.0</v>
      </c>
      <c r="K39" s="51">
        <f> J39 - SUMIF('Ventas diarias'!C:C, A39, 'Ventas diarias'!E:E)</f>
        <v>2</v>
      </c>
      <c r="L39" s="266">
        <f t="shared" si="2"/>
        <v>3036</v>
      </c>
      <c r="M39" s="98">
        <v>1.0</v>
      </c>
      <c r="N39" s="267" t="str">
        <f t="shared" si="3"/>
        <v>✅ Ok</v>
      </c>
      <c r="O39" s="251"/>
      <c r="P39" s="251"/>
      <c r="Q39" s="251"/>
      <c r="R39" s="251"/>
    </row>
    <row r="40" ht="15.75" hidden="1" customHeight="1">
      <c r="A40" s="268">
        <v>134.0</v>
      </c>
      <c r="B40" s="80" t="s">
        <v>572</v>
      </c>
      <c r="C40" s="99" t="s">
        <v>573</v>
      </c>
      <c r="D40" s="99" t="s">
        <v>529</v>
      </c>
      <c r="E40" s="272">
        <v>1564.0</v>
      </c>
      <c r="G40" s="50">
        <v>2400.0</v>
      </c>
      <c r="H40" s="271"/>
      <c r="I40" s="271">
        <f t="shared" si="1"/>
        <v>0.5345268542</v>
      </c>
      <c r="J40" s="99">
        <v>2.0</v>
      </c>
      <c r="K40" s="50">
        <f> J40 - SUMIF('Ventas diarias'!C:C, A40, 'Ventas diarias'!E:E)</f>
        <v>-1</v>
      </c>
      <c r="L40" s="272">
        <f t="shared" si="2"/>
        <v>3128</v>
      </c>
      <c r="M40" s="274">
        <v>0.0</v>
      </c>
      <c r="N40" s="273" t="str">
        <f t="shared" si="3"/>
        <v>🟡 Bajo</v>
      </c>
      <c r="O40" s="251"/>
      <c r="P40" s="251"/>
      <c r="Q40" s="251"/>
      <c r="R40" s="251"/>
    </row>
    <row r="41" ht="15.75" hidden="1" customHeight="1">
      <c r="A41" s="262">
        <v>135.0</v>
      </c>
      <c r="B41" s="136" t="s">
        <v>574</v>
      </c>
      <c r="C41" s="98" t="s">
        <v>573</v>
      </c>
      <c r="D41" s="98" t="s">
        <v>529</v>
      </c>
      <c r="E41" s="266">
        <v>1196.0</v>
      </c>
      <c r="G41" s="51">
        <v>1800.0</v>
      </c>
      <c r="H41" s="265"/>
      <c r="I41" s="265">
        <f t="shared" si="1"/>
        <v>0.5050167224</v>
      </c>
      <c r="J41" s="98">
        <v>2.0</v>
      </c>
      <c r="K41" s="51">
        <f> J41 - SUMIF('Ventas diarias'!C:C, A41, 'Ventas diarias'!E:E)</f>
        <v>-1</v>
      </c>
      <c r="L41" s="266">
        <f t="shared" si="2"/>
        <v>2392</v>
      </c>
      <c r="M41" s="274">
        <v>0.0</v>
      </c>
      <c r="N41" s="267" t="str">
        <f t="shared" si="3"/>
        <v>🟡 Bajo</v>
      </c>
      <c r="O41" s="251"/>
      <c r="P41" s="251"/>
      <c r="Q41" s="251"/>
      <c r="R41" s="251"/>
    </row>
    <row r="42" ht="15.75" hidden="1" customHeight="1">
      <c r="A42" s="268">
        <v>1360.0</v>
      </c>
      <c r="B42" s="80" t="s">
        <v>575</v>
      </c>
      <c r="C42" s="99" t="s">
        <v>573</v>
      </c>
      <c r="D42" s="99" t="s">
        <v>529</v>
      </c>
      <c r="E42" s="272">
        <v>1050.0</v>
      </c>
      <c r="G42" s="50">
        <v>1800.0</v>
      </c>
      <c r="H42" s="271"/>
      <c r="I42" s="271">
        <f t="shared" si="1"/>
        <v>0.7142857143</v>
      </c>
      <c r="J42" s="99"/>
      <c r="K42" s="50">
        <f> J42 - SUMIF('Ventas diarias'!C:C, A42, 'Ventas diarias'!E:E)</f>
        <v>0</v>
      </c>
      <c r="L42" s="272">
        <f t="shared" si="2"/>
        <v>0</v>
      </c>
      <c r="M42" s="99">
        <v>0.0</v>
      </c>
      <c r="N42" s="273" t="str">
        <f t="shared" si="3"/>
        <v>🛑 Agotado</v>
      </c>
      <c r="O42" s="251"/>
      <c r="P42" s="251"/>
      <c r="Q42" s="251"/>
      <c r="R42" s="251"/>
    </row>
    <row r="43" ht="15.75" hidden="1" customHeight="1">
      <c r="A43" s="262">
        <v>136.0</v>
      </c>
      <c r="B43" s="136" t="s">
        <v>576</v>
      </c>
      <c r="C43" s="98" t="s">
        <v>573</v>
      </c>
      <c r="D43" s="98" t="s">
        <v>529</v>
      </c>
      <c r="E43" s="266">
        <v>1700.0</v>
      </c>
      <c r="G43" s="51">
        <v>3400.0</v>
      </c>
      <c r="H43" s="265"/>
      <c r="I43" s="265">
        <f t="shared" si="1"/>
        <v>1</v>
      </c>
      <c r="J43" s="98">
        <v>3.0</v>
      </c>
      <c r="K43" s="51">
        <f> J43 - SUMIF('Ventas diarias'!C:C, A43, 'Ventas diarias'!E:E)</f>
        <v>0</v>
      </c>
      <c r="L43" s="266">
        <f t="shared" si="2"/>
        <v>5100</v>
      </c>
      <c r="M43" s="274">
        <v>1.0</v>
      </c>
      <c r="N43" s="267" t="str">
        <f t="shared" si="3"/>
        <v>🛑 Agotado</v>
      </c>
      <c r="O43" s="251"/>
      <c r="P43" s="251"/>
      <c r="Q43" s="251"/>
      <c r="R43" s="251"/>
    </row>
    <row r="44" ht="15.75" hidden="1" customHeight="1">
      <c r="A44" s="268">
        <v>137.0</v>
      </c>
      <c r="B44" s="80" t="s">
        <v>577</v>
      </c>
      <c r="C44" s="99" t="s">
        <v>573</v>
      </c>
      <c r="D44" s="99" t="s">
        <v>529</v>
      </c>
      <c r="E44" s="272">
        <v>659.33</v>
      </c>
      <c r="G44" s="50">
        <v>1000.0</v>
      </c>
      <c r="H44" s="271"/>
      <c r="I44" s="271">
        <f t="shared" si="1"/>
        <v>0.5166911865</v>
      </c>
      <c r="J44" s="99">
        <v>12.0</v>
      </c>
      <c r="K44" s="50">
        <f> J44 - SUMIF('Ventas diarias'!C:C, A44, 'Ventas diarias'!E:E)</f>
        <v>6</v>
      </c>
      <c r="L44" s="272">
        <f t="shared" si="2"/>
        <v>7911.96</v>
      </c>
      <c r="M44" s="99">
        <v>3.0</v>
      </c>
      <c r="N44" s="273" t="str">
        <f t="shared" si="3"/>
        <v>✅ Ok</v>
      </c>
      <c r="O44" s="251"/>
      <c r="P44" s="251"/>
      <c r="Q44" s="251"/>
      <c r="R44" s="251"/>
    </row>
    <row r="45" ht="15.75" hidden="1" customHeight="1">
      <c r="A45" s="262">
        <v>138.0</v>
      </c>
      <c r="B45" s="136" t="s">
        <v>578</v>
      </c>
      <c r="C45" s="98" t="s">
        <v>573</v>
      </c>
      <c r="D45" s="98" t="s">
        <v>529</v>
      </c>
      <c r="E45" s="266">
        <v>956.8</v>
      </c>
      <c r="G45" s="51">
        <v>1500.0</v>
      </c>
      <c r="H45" s="265"/>
      <c r="I45" s="265">
        <f t="shared" si="1"/>
        <v>0.5677257525</v>
      </c>
      <c r="J45" s="98">
        <v>1.0</v>
      </c>
      <c r="K45" s="51">
        <f> J45 - SUMIF('Ventas diarias'!C:C, A45, 'Ventas diarias'!E:E)</f>
        <v>1</v>
      </c>
      <c r="L45" s="266">
        <f t="shared" si="2"/>
        <v>956.8</v>
      </c>
      <c r="M45" s="98">
        <v>0.0</v>
      </c>
      <c r="N45" s="267" t="str">
        <f t="shared" si="3"/>
        <v>✅ Ok</v>
      </c>
      <c r="O45" s="251"/>
      <c r="P45" s="251"/>
      <c r="Q45" s="251"/>
      <c r="R45" s="251"/>
    </row>
    <row r="46" ht="15.75" hidden="1" customHeight="1">
      <c r="A46" s="268">
        <v>139.0</v>
      </c>
      <c r="B46" s="80" t="s">
        <v>579</v>
      </c>
      <c r="C46" s="99" t="s">
        <v>580</v>
      </c>
      <c r="D46" s="99" t="s">
        <v>529</v>
      </c>
      <c r="E46" s="272">
        <v>828.0</v>
      </c>
      <c r="G46" s="50">
        <v>2000.0</v>
      </c>
      <c r="H46" s="271"/>
      <c r="I46" s="271">
        <f t="shared" si="1"/>
        <v>1.415458937</v>
      </c>
      <c r="J46" s="99">
        <v>1.0</v>
      </c>
      <c r="K46" s="50">
        <f> J46 - SUMIF('Ventas diarias'!C:C, A46, 'Ventas diarias'!E:E)</f>
        <v>1</v>
      </c>
      <c r="L46" s="272">
        <f t="shared" si="2"/>
        <v>828</v>
      </c>
      <c r="M46" s="99">
        <v>0.0</v>
      </c>
      <c r="N46" s="273" t="str">
        <f t="shared" si="3"/>
        <v>✅ Ok</v>
      </c>
      <c r="O46" s="251"/>
      <c r="P46" s="251"/>
      <c r="Q46" s="251"/>
      <c r="R46" s="251"/>
    </row>
    <row r="47" ht="15.75" hidden="1" customHeight="1">
      <c r="A47" s="262">
        <v>140.0</v>
      </c>
      <c r="B47" s="136" t="s">
        <v>581</v>
      </c>
      <c r="C47" s="98" t="s">
        <v>580</v>
      </c>
      <c r="D47" s="98" t="s">
        <v>529</v>
      </c>
      <c r="E47" s="266">
        <v>437.0</v>
      </c>
      <c r="G47" s="51">
        <v>900.0</v>
      </c>
      <c r="H47" s="265"/>
      <c r="I47" s="265">
        <f t="shared" si="1"/>
        <v>1.059496568</v>
      </c>
      <c r="J47" s="98">
        <v>1.0</v>
      </c>
      <c r="K47" s="51">
        <f> J47 - SUMIF('Ventas diarias'!C:C, A47, 'Ventas diarias'!E:E)</f>
        <v>0</v>
      </c>
      <c r="L47" s="266">
        <f t="shared" si="2"/>
        <v>437</v>
      </c>
      <c r="M47" s="98">
        <v>0.0</v>
      </c>
      <c r="N47" s="267" t="str">
        <f t="shared" si="3"/>
        <v>🛑 Agotado</v>
      </c>
      <c r="O47" s="251"/>
      <c r="P47" s="251"/>
      <c r="Q47" s="251"/>
      <c r="R47" s="251"/>
    </row>
    <row r="48" ht="15.75" hidden="1" customHeight="1">
      <c r="A48" s="268">
        <v>141.0</v>
      </c>
      <c r="B48" s="80" t="s">
        <v>582</v>
      </c>
      <c r="C48" s="99" t="s">
        <v>583</v>
      </c>
      <c r="D48" s="99" t="s">
        <v>529</v>
      </c>
      <c r="E48" s="272">
        <v>779.2</v>
      </c>
      <c r="G48" s="50">
        <v>1000.0</v>
      </c>
      <c r="H48" s="271"/>
      <c r="I48" s="271">
        <f t="shared" si="1"/>
        <v>0.2833675565</v>
      </c>
      <c r="J48" s="99">
        <v>10.0</v>
      </c>
      <c r="K48" s="50">
        <f> J48 - SUMIF('Ventas diarias'!C:C, A48, 'Ventas diarias'!E:E)</f>
        <v>10</v>
      </c>
      <c r="L48" s="272">
        <f t="shared" si="2"/>
        <v>7792</v>
      </c>
      <c r="M48" s="99">
        <v>3.0</v>
      </c>
      <c r="N48" s="273" t="str">
        <f t="shared" si="3"/>
        <v>✅ Ok</v>
      </c>
      <c r="O48" s="251"/>
      <c r="P48" s="251"/>
      <c r="Q48" s="251"/>
      <c r="R48" s="251"/>
    </row>
    <row r="49" ht="15.75" hidden="1" customHeight="1">
      <c r="A49" s="262">
        <v>142.0</v>
      </c>
      <c r="B49" s="136" t="s">
        <v>584</v>
      </c>
      <c r="C49" s="98" t="s">
        <v>583</v>
      </c>
      <c r="D49" s="98" t="s">
        <v>529</v>
      </c>
      <c r="E49" s="266">
        <v>852.84</v>
      </c>
      <c r="G49" s="51">
        <v>2000.0</v>
      </c>
      <c r="H49" s="265"/>
      <c r="I49" s="265">
        <f t="shared" si="1"/>
        <v>1.345105764</v>
      </c>
      <c r="J49" s="98">
        <v>1.0</v>
      </c>
      <c r="K49" s="51">
        <f> J49 - SUMIF('Ventas diarias'!C:C, A49, 'Ventas diarias'!E:E)</f>
        <v>0</v>
      </c>
      <c r="L49" s="266">
        <f t="shared" si="2"/>
        <v>852.84</v>
      </c>
      <c r="M49" s="98">
        <v>0.0</v>
      </c>
      <c r="N49" s="267" t="str">
        <f t="shared" si="3"/>
        <v>🛑 Agotado</v>
      </c>
      <c r="O49" s="251"/>
      <c r="P49" s="251"/>
      <c r="Q49" s="251"/>
      <c r="R49" s="251"/>
    </row>
    <row r="50" ht="15.75" hidden="1" customHeight="1">
      <c r="A50" s="268">
        <v>143.0</v>
      </c>
      <c r="B50" s="80" t="s">
        <v>585</v>
      </c>
      <c r="C50" s="99" t="s">
        <v>583</v>
      </c>
      <c r="D50" s="99" t="s">
        <v>529</v>
      </c>
      <c r="E50" s="272">
        <v>910.8</v>
      </c>
      <c r="G50" s="50">
        <v>2000.0</v>
      </c>
      <c r="H50" s="271"/>
      <c r="I50" s="271">
        <f t="shared" si="1"/>
        <v>1.195871761</v>
      </c>
      <c r="J50" s="99">
        <v>1.0</v>
      </c>
      <c r="K50" s="50">
        <f> J50 - SUMIF('Ventas diarias'!C:C, A50, 'Ventas diarias'!E:E)</f>
        <v>1</v>
      </c>
      <c r="L50" s="272">
        <f t="shared" si="2"/>
        <v>910.8</v>
      </c>
      <c r="M50" s="99">
        <v>0.0</v>
      </c>
      <c r="N50" s="273" t="str">
        <f t="shared" si="3"/>
        <v>✅ Ok</v>
      </c>
      <c r="O50" s="251"/>
      <c r="P50" s="251"/>
      <c r="Q50" s="251"/>
      <c r="R50" s="251"/>
    </row>
    <row r="51" ht="15.75" hidden="1" customHeight="1">
      <c r="A51" s="262">
        <v>1441.0</v>
      </c>
      <c r="B51" s="136" t="s">
        <v>586</v>
      </c>
      <c r="C51" s="98" t="s">
        <v>580</v>
      </c>
      <c r="D51" s="98" t="s">
        <v>529</v>
      </c>
      <c r="E51" s="266">
        <v>2665.0</v>
      </c>
      <c r="G51" s="51">
        <v>4500.0</v>
      </c>
      <c r="H51" s="265"/>
      <c r="I51" s="265">
        <f t="shared" si="1"/>
        <v>0.6885553471</v>
      </c>
      <c r="J51" s="98">
        <v>1.0</v>
      </c>
      <c r="K51" s="51">
        <v>2.0</v>
      </c>
      <c r="L51" s="266">
        <f t="shared" si="2"/>
        <v>2665</v>
      </c>
      <c r="M51" s="98">
        <v>0.0</v>
      </c>
      <c r="N51" s="267" t="str">
        <f t="shared" si="3"/>
        <v>✅ Ok</v>
      </c>
      <c r="O51" s="251"/>
      <c r="P51" s="251"/>
      <c r="Q51" s="251"/>
      <c r="R51" s="251"/>
    </row>
    <row r="52" ht="15.75" hidden="1" customHeight="1">
      <c r="A52" s="268">
        <v>1442.0</v>
      </c>
      <c r="B52" s="80" t="s">
        <v>587</v>
      </c>
      <c r="C52" s="99" t="s">
        <v>580</v>
      </c>
      <c r="D52" s="99" t="s">
        <v>529</v>
      </c>
      <c r="E52" s="272">
        <v>1167.0</v>
      </c>
      <c r="G52" s="50">
        <v>2000.0</v>
      </c>
      <c r="H52" s="271"/>
      <c r="I52" s="271">
        <f t="shared" si="1"/>
        <v>0.7137960583</v>
      </c>
      <c r="J52" s="99">
        <v>1.0</v>
      </c>
      <c r="K52" s="50">
        <f> J52 - SUMIF('Ventas diarias'!C:C, A52, 'Ventas diarias'!E:E)</f>
        <v>1</v>
      </c>
      <c r="L52" s="272">
        <f t="shared" si="2"/>
        <v>1167</v>
      </c>
      <c r="M52" s="99">
        <v>0.0</v>
      </c>
      <c r="N52" s="273" t="str">
        <f t="shared" si="3"/>
        <v>✅ Ok</v>
      </c>
      <c r="O52" s="251"/>
      <c r="P52" s="251"/>
      <c r="Q52" s="251"/>
      <c r="R52" s="251"/>
    </row>
    <row r="53" ht="15.75" hidden="1" customHeight="1">
      <c r="A53" s="262">
        <v>144.0</v>
      </c>
      <c r="B53" s="136" t="s">
        <v>588</v>
      </c>
      <c r="C53" s="98" t="s">
        <v>580</v>
      </c>
      <c r="D53" s="98" t="s">
        <v>529</v>
      </c>
      <c r="E53" s="266">
        <v>1490.0</v>
      </c>
      <c r="G53" s="51">
        <v>2000.0</v>
      </c>
      <c r="H53" s="265"/>
      <c r="I53" s="265">
        <f t="shared" si="1"/>
        <v>0.3422818792</v>
      </c>
      <c r="J53" s="98">
        <v>1.0</v>
      </c>
      <c r="K53" s="51">
        <f> J53 - SUMIF('Ventas diarias'!C:C, A53, 'Ventas diarias'!E:E)</f>
        <v>1</v>
      </c>
      <c r="L53" s="266">
        <f t="shared" si="2"/>
        <v>1490</v>
      </c>
      <c r="M53" s="98">
        <v>0.0</v>
      </c>
      <c r="N53" s="267" t="str">
        <f t="shared" si="3"/>
        <v>✅ Ok</v>
      </c>
      <c r="O53" s="251"/>
      <c r="P53" s="251"/>
      <c r="Q53" s="251"/>
      <c r="R53" s="251"/>
    </row>
    <row r="54" ht="15.75" hidden="1" customHeight="1">
      <c r="A54" s="268">
        <v>145.0</v>
      </c>
      <c r="B54" s="80" t="s">
        <v>589</v>
      </c>
      <c r="C54" s="99" t="s">
        <v>580</v>
      </c>
      <c r="D54" s="99" t="s">
        <v>529</v>
      </c>
      <c r="E54" s="272">
        <v>1490.0</v>
      </c>
      <c r="G54" s="50">
        <v>2000.0</v>
      </c>
      <c r="H54" s="271"/>
      <c r="I54" s="271">
        <f t="shared" si="1"/>
        <v>0.3422818792</v>
      </c>
      <c r="J54" s="99">
        <v>1.0</v>
      </c>
      <c r="K54" s="50">
        <f> J54 - SUMIF('Ventas diarias'!C:C, A54, 'Ventas diarias'!E:E)</f>
        <v>1</v>
      </c>
      <c r="L54" s="272">
        <f t="shared" si="2"/>
        <v>1490</v>
      </c>
      <c r="M54" s="99">
        <v>0.0</v>
      </c>
      <c r="N54" s="273" t="str">
        <f t="shared" si="3"/>
        <v>✅ Ok</v>
      </c>
      <c r="O54" s="251"/>
      <c r="P54" s="251"/>
      <c r="Q54" s="251"/>
      <c r="R54" s="251"/>
    </row>
    <row r="55" ht="15.75" hidden="1" customHeight="1">
      <c r="A55" s="262">
        <v>146.0</v>
      </c>
      <c r="B55" s="136" t="s">
        <v>590</v>
      </c>
      <c r="C55" s="98" t="s">
        <v>580</v>
      </c>
      <c r="D55" s="98" t="s">
        <v>529</v>
      </c>
      <c r="E55" s="266">
        <v>1288.0</v>
      </c>
      <c r="G55" s="51">
        <v>2600.0</v>
      </c>
      <c r="H55" s="265"/>
      <c r="I55" s="265">
        <f t="shared" si="1"/>
        <v>1.01863354</v>
      </c>
      <c r="J55" s="98">
        <v>1.0</v>
      </c>
      <c r="K55" s="51">
        <f> J55 - SUMIF('Ventas diarias'!C:C, A55, 'Ventas diarias'!E:E)</f>
        <v>1</v>
      </c>
      <c r="L55" s="266">
        <f t="shared" si="2"/>
        <v>1288</v>
      </c>
      <c r="M55" s="98">
        <v>0.0</v>
      </c>
      <c r="N55" s="267" t="str">
        <f t="shared" si="3"/>
        <v>✅ Ok</v>
      </c>
      <c r="O55" s="251"/>
      <c r="P55" s="251"/>
      <c r="Q55" s="251"/>
      <c r="R55" s="251"/>
    </row>
    <row r="56" ht="15.75" hidden="1" customHeight="1">
      <c r="A56" s="268">
        <v>147.0</v>
      </c>
      <c r="B56" s="80" t="s">
        <v>591</v>
      </c>
      <c r="C56" s="99" t="s">
        <v>580</v>
      </c>
      <c r="D56" s="99" t="s">
        <v>529</v>
      </c>
      <c r="E56" s="272">
        <v>1288.0</v>
      </c>
      <c r="G56" s="50">
        <v>2600.0</v>
      </c>
      <c r="H56" s="271"/>
      <c r="I56" s="271">
        <f t="shared" si="1"/>
        <v>1.01863354</v>
      </c>
      <c r="J56" s="99">
        <v>1.0</v>
      </c>
      <c r="K56" s="50">
        <f> J56 - SUMIF('Ventas diarias'!C:C, A56, 'Ventas diarias'!E:E)</f>
        <v>1</v>
      </c>
      <c r="L56" s="272">
        <f t="shared" si="2"/>
        <v>1288</v>
      </c>
      <c r="M56" s="99">
        <v>0.0</v>
      </c>
      <c r="N56" s="273" t="str">
        <f t="shared" si="3"/>
        <v>✅ Ok</v>
      </c>
      <c r="O56" s="251"/>
      <c r="P56" s="251"/>
      <c r="Q56" s="251"/>
      <c r="R56" s="251"/>
    </row>
    <row r="57" ht="15.75" hidden="1" customHeight="1">
      <c r="A57" s="262">
        <v>148.0</v>
      </c>
      <c r="B57" s="136" t="s">
        <v>592</v>
      </c>
      <c r="C57" s="98" t="s">
        <v>580</v>
      </c>
      <c r="D57" s="98" t="s">
        <v>529</v>
      </c>
      <c r="E57" s="266">
        <v>1288.0</v>
      </c>
      <c r="G57" s="51">
        <v>2600.0</v>
      </c>
      <c r="H57" s="265"/>
      <c r="I57" s="265">
        <f t="shared" si="1"/>
        <v>1.01863354</v>
      </c>
      <c r="J57" s="98">
        <v>1.0</v>
      </c>
      <c r="K57" s="51">
        <f> J57 - SUMIF('Ventas diarias'!C:C, A57, 'Ventas diarias'!E:E)</f>
        <v>-1</v>
      </c>
      <c r="L57" s="266">
        <f t="shared" si="2"/>
        <v>1288</v>
      </c>
      <c r="M57" s="274">
        <v>0.0</v>
      </c>
      <c r="N57" s="267" t="str">
        <f t="shared" si="3"/>
        <v>🟡 Bajo</v>
      </c>
      <c r="O57" s="251"/>
      <c r="P57" s="251"/>
      <c r="Q57" s="251"/>
      <c r="R57" s="251"/>
    </row>
    <row r="58" ht="15.75" hidden="1" customHeight="1">
      <c r="A58" s="268">
        <v>149.0</v>
      </c>
      <c r="B58" s="80" t="s">
        <v>593</v>
      </c>
      <c r="C58" s="99" t="s">
        <v>580</v>
      </c>
      <c r="D58" s="99" t="s">
        <v>529</v>
      </c>
      <c r="E58" s="272">
        <v>238.56</v>
      </c>
      <c r="G58" s="50">
        <v>600.0</v>
      </c>
      <c r="H58" s="271"/>
      <c r="I58" s="271">
        <f t="shared" si="1"/>
        <v>1.515090543</v>
      </c>
      <c r="J58" s="99">
        <v>66.66</v>
      </c>
      <c r="K58" s="50">
        <f> J58 - SUMIF('Ventas diarias'!C:C, A58, 'Ventas diarias'!E:E)</f>
        <v>29.66</v>
      </c>
      <c r="L58" s="272">
        <f t="shared" si="2"/>
        <v>15902.4096</v>
      </c>
      <c r="M58" s="99">
        <v>20.0</v>
      </c>
      <c r="N58" s="273" t="str">
        <f t="shared" si="3"/>
        <v>✅ Ok</v>
      </c>
      <c r="O58" s="251"/>
      <c r="P58" s="251"/>
      <c r="Q58" s="251"/>
      <c r="R58" s="251"/>
    </row>
    <row r="59" ht="15.75" hidden="1" customHeight="1">
      <c r="A59" s="262">
        <v>150.0</v>
      </c>
      <c r="B59" s="136" t="s">
        <v>594</v>
      </c>
      <c r="C59" s="98" t="s">
        <v>580</v>
      </c>
      <c r="D59" s="98" t="s">
        <v>529</v>
      </c>
      <c r="E59" s="266">
        <v>1012.0</v>
      </c>
      <c r="G59" s="51">
        <v>2000.0</v>
      </c>
      <c r="H59" s="265"/>
      <c r="I59" s="265">
        <f t="shared" si="1"/>
        <v>0.976284585</v>
      </c>
      <c r="J59" s="98">
        <v>1.0</v>
      </c>
      <c r="K59" s="51">
        <f> J59 - SUMIF('Ventas diarias'!C:C, A59, 'Ventas diarias'!E:E)</f>
        <v>0</v>
      </c>
      <c r="L59" s="266">
        <f t="shared" si="2"/>
        <v>1012</v>
      </c>
      <c r="M59" s="98">
        <v>0.0</v>
      </c>
      <c r="N59" s="267" t="str">
        <f t="shared" si="3"/>
        <v>🛑 Agotado</v>
      </c>
      <c r="O59" s="251"/>
      <c r="P59" s="251"/>
      <c r="Q59" s="251"/>
      <c r="R59" s="251"/>
    </row>
    <row r="60" ht="15.75" hidden="1" customHeight="1">
      <c r="A60" s="268">
        <v>151.0</v>
      </c>
      <c r="B60" s="80" t="s">
        <v>595</v>
      </c>
      <c r="C60" s="99" t="s">
        <v>580</v>
      </c>
      <c r="D60" s="99" t="s">
        <v>529</v>
      </c>
      <c r="E60" s="272">
        <v>1012.0</v>
      </c>
      <c r="G60" s="50">
        <v>2000.0</v>
      </c>
      <c r="H60" s="271"/>
      <c r="I60" s="271">
        <f t="shared" si="1"/>
        <v>0.976284585</v>
      </c>
      <c r="J60" s="99">
        <v>1.0</v>
      </c>
      <c r="K60" s="50">
        <f> J60 - SUMIF('Ventas diarias'!C:C, A60, 'Ventas diarias'!E:E)</f>
        <v>1</v>
      </c>
      <c r="L60" s="272">
        <f t="shared" si="2"/>
        <v>1012</v>
      </c>
      <c r="M60" s="99">
        <v>0.0</v>
      </c>
      <c r="N60" s="273" t="str">
        <f t="shared" si="3"/>
        <v>✅ Ok</v>
      </c>
      <c r="O60" s="251"/>
      <c r="P60" s="251"/>
      <c r="Q60" s="251"/>
      <c r="R60" s="251"/>
    </row>
    <row r="61" ht="15.75" hidden="1" customHeight="1">
      <c r="A61" s="262">
        <v>152.0</v>
      </c>
      <c r="B61" s="136" t="s">
        <v>596</v>
      </c>
      <c r="C61" s="98" t="s">
        <v>583</v>
      </c>
      <c r="D61" s="98" t="s">
        <v>529</v>
      </c>
      <c r="E61" s="266">
        <v>330.0</v>
      </c>
      <c r="G61" s="51">
        <v>800.0</v>
      </c>
      <c r="H61" s="265"/>
      <c r="I61" s="265">
        <f t="shared" si="1"/>
        <v>1.424242424</v>
      </c>
      <c r="J61" s="98">
        <v>20.0</v>
      </c>
      <c r="K61" s="51">
        <f> J61 - SUMIF('Ventas diarias'!C:C, A61, 'Ventas diarias'!E:E)</f>
        <v>-1</v>
      </c>
      <c r="L61" s="266">
        <f t="shared" si="2"/>
        <v>6600</v>
      </c>
      <c r="M61" s="274">
        <v>4.0</v>
      </c>
      <c r="N61" s="267" t="str">
        <f t="shared" si="3"/>
        <v>🟡 Bajo</v>
      </c>
      <c r="O61" s="251"/>
      <c r="P61" s="251"/>
      <c r="Q61" s="251"/>
      <c r="R61" s="251"/>
    </row>
    <row r="62" ht="15.75" hidden="1" customHeight="1">
      <c r="A62" s="268">
        <v>1521.0</v>
      </c>
      <c r="B62" s="80" t="s">
        <v>597</v>
      </c>
      <c r="C62" s="99" t="s">
        <v>598</v>
      </c>
      <c r="D62" s="99" t="s">
        <v>529</v>
      </c>
      <c r="E62" s="272">
        <v>1050.0</v>
      </c>
      <c r="G62" s="50">
        <v>2000.0</v>
      </c>
      <c r="H62" s="271"/>
      <c r="I62" s="271">
        <f t="shared" si="1"/>
        <v>0.9047619048</v>
      </c>
      <c r="J62" s="99">
        <v>20.0</v>
      </c>
      <c r="K62" s="50">
        <f> J62 - SUMIF('Ventas diarias'!C:C, A62, 'Ventas diarias'!E:E)</f>
        <v>20</v>
      </c>
      <c r="L62" s="272">
        <f t="shared" si="2"/>
        <v>21000</v>
      </c>
      <c r="M62" s="99">
        <v>0.0</v>
      </c>
      <c r="N62" s="273" t="str">
        <f t="shared" si="3"/>
        <v>✅ Ok</v>
      </c>
      <c r="O62" s="251"/>
      <c r="P62" s="251"/>
      <c r="Q62" s="251"/>
      <c r="R62" s="251"/>
    </row>
    <row r="63" ht="15.75" hidden="1" customHeight="1">
      <c r="A63" s="262">
        <v>1522.0</v>
      </c>
      <c r="B63" s="136" t="s">
        <v>599</v>
      </c>
      <c r="C63" s="98" t="s">
        <v>598</v>
      </c>
      <c r="D63" s="98" t="s">
        <v>529</v>
      </c>
      <c r="E63" s="266">
        <v>2800.0</v>
      </c>
      <c r="G63" s="51">
        <v>4500.0</v>
      </c>
      <c r="H63" s="265"/>
      <c r="I63" s="265">
        <f t="shared" si="1"/>
        <v>0.6071428571</v>
      </c>
      <c r="J63" s="98">
        <v>20.0</v>
      </c>
      <c r="K63" s="51">
        <f> J63 - SUMIF('Ventas diarias'!C:C, A63, 'Ventas diarias'!E:E)</f>
        <v>16</v>
      </c>
      <c r="L63" s="266">
        <f t="shared" si="2"/>
        <v>56000</v>
      </c>
      <c r="M63" s="98">
        <v>0.0</v>
      </c>
      <c r="N63" s="267" t="str">
        <f t="shared" si="3"/>
        <v>✅ Ok</v>
      </c>
      <c r="O63" s="251"/>
      <c r="P63" s="251"/>
      <c r="Q63" s="251"/>
      <c r="R63" s="251"/>
    </row>
    <row r="64" ht="15.75" hidden="1" customHeight="1">
      <c r="A64" s="268">
        <v>153.0</v>
      </c>
      <c r="B64" s="80" t="s">
        <v>600</v>
      </c>
      <c r="C64" s="99" t="s">
        <v>598</v>
      </c>
      <c r="D64" s="99" t="s">
        <v>529</v>
      </c>
      <c r="E64" s="272">
        <v>1564.0</v>
      </c>
      <c r="G64" s="50">
        <v>3200.0</v>
      </c>
      <c r="H64" s="271"/>
      <c r="I64" s="271">
        <f t="shared" si="1"/>
        <v>1.046035806</v>
      </c>
      <c r="J64" s="99">
        <v>2.0</v>
      </c>
      <c r="K64" s="50">
        <f> J64 - SUMIF('Ventas diarias'!C:C, A64, 'Ventas diarias'!E:E)</f>
        <v>1</v>
      </c>
      <c r="L64" s="272">
        <f t="shared" si="2"/>
        <v>3128</v>
      </c>
      <c r="M64" s="99">
        <v>1.0</v>
      </c>
      <c r="N64" s="273" t="str">
        <f t="shared" si="3"/>
        <v>🟡 Bajo</v>
      </c>
      <c r="O64" s="251"/>
      <c r="P64" s="251"/>
      <c r="Q64" s="251"/>
      <c r="R64" s="251"/>
    </row>
    <row r="65" ht="15.75" hidden="1" customHeight="1">
      <c r="A65" s="262">
        <v>154.0</v>
      </c>
      <c r="B65" s="136" t="s">
        <v>601</v>
      </c>
      <c r="C65" s="98" t="s">
        <v>598</v>
      </c>
      <c r="D65" s="98" t="s">
        <v>529</v>
      </c>
      <c r="E65" s="266">
        <v>2024.0</v>
      </c>
      <c r="G65" s="51">
        <v>4000.0</v>
      </c>
      <c r="H65" s="265"/>
      <c r="I65" s="265">
        <f t="shared" si="1"/>
        <v>0.976284585</v>
      </c>
      <c r="J65" s="98">
        <v>1.0</v>
      </c>
      <c r="K65" s="51">
        <f> J65 - SUMIF('Ventas diarias'!C:C, A65, 'Ventas diarias'!E:E)</f>
        <v>1</v>
      </c>
      <c r="L65" s="266">
        <f t="shared" si="2"/>
        <v>2024</v>
      </c>
      <c r="M65" s="98">
        <v>0.0</v>
      </c>
      <c r="N65" s="267" t="str">
        <f t="shared" si="3"/>
        <v>✅ Ok</v>
      </c>
      <c r="O65" s="251"/>
      <c r="P65" s="251"/>
      <c r="Q65" s="251"/>
      <c r="R65" s="251"/>
    </row>
    <row r="66" ht="15.75" hidden="1" customHeight="1">
      <c r="A66" s="268">
        <v>155.0</v>
      </c>
      <c r="B66" s="80" t="s">
        <v>602</v>
      </c>
      <c r="C66" s="99" t="s">
        <v>598</v>
      </c>
      <c r="D66" s="99" t="s">
        <v>529</v>
      </c>
      <c r="E66" s="272">
        <v>368.0</v>
      </c>
      <c r="G66" s="50">
        <v>1500.0</v>
      </c>
      <c r="H66" s="271"/>
      <c r="I66" s="271">
        <f t="shared" si="1"/>
        <v>3.076086957</v>
      </c>
      <c r="J66" s="99">
        <v>2.0</v>
      </c>
      <c r="K66" s="50">
        <f> J66 - SUMIF('Ventas diarias'!C:C, A66, 'Ventas diarias'!E:E)</f>
        <v>2</v>
      </c>
      <c r="L66" s="272">
        <f t="shared" si="2"/>
        <v>736</v>
      </c>
      <c r="M66" s="99">
        <v>1.0</v>
      </c>
      <c r="N66" s="273" t="str">
        <f t="shared" si="3"/>
        <v>✅ Ok</v>
      </c>
      <c r="O66" s="251"/>
      <c r="P66" s="251"/>
      <c r="Q66" s="251"/>
      <c r="R66" s="251"/>
    </row>
    <row r="67" ht="15.75" hidden="1" customHeight="1">
      <c r="A67" s="262">
        <v>156.0</v>
      </c>
      <c r="B67" s="136" t="s">
        <v>603</v>
      </c>
      <c r="C67" s="98" t="s">
        <v>604</v>
      </c>
      <c r="D67" s="98" t="s">
        <v>529</v>
      </c>
      <c r="E67" s="266">
        <v>1150.0</v>
      </c>
      <c r="G67" s="51">
        <v>2200.0</v>
      </c>
      <c r="H67" s="265"/>
      <c r="I67" s="265">
        <f t="shared" si="1"/>
        <v>0.9130434783</v>
      </c>
      <c r="J67" s="98">
        <v>1.0</v>
      </c>
      <c r="K67" s="51">
        <f> J67 - SUMIF('Ventas diarias'!C:C, A67, 'Ventas diarias'!E:E)</f>
        <v>0</v>
      </c>
      <c r="L67" s="266">
        <f t="shared" si="2"/>
        <v>1150</v>
      </c>
      <c r="M67" s="98">
        <v>0.0</v>
      </c>
      <c r="N67" s="267" t="str">
        <f t="shared" si="3"/>
        <v>🛑 Agotado</v>
      </c>
      <c r="O67" s="251"/>
      <c r="P67" s="251"/>
      <c r="Q67" s="251"/>
      <c r="R67" s="251"/>
    </row>
    <row r="68" ht="15.75" hidden="1" customHeight="1">
      <c r="A68" s="268">
        <v>157.0</v>
      </c>
      <c r="B68" s="80" t="s">
        <v>605</v>
      </c>
      <c r="C68" s="99" t="s">
        <v>604</v>
      </c>
      <c r="D68" s="99" t="s">
        <v>529</v>
      </c>
      <c r="E68" s="272">
        <v>528.59</v>
      </c>
      <c r="G68" s="50">
        <v>900.0</v>
      </c>
      <c r="H68" s="271"/>
      <c r="I68" s="271">
        <f t="shared" si="1"/>
        <v>0.7026428801</v>
      </c>
      <c r="J68" s="99">
        <v>15.0</v>
      </c>
      <c r="K68" s="50">
        <f> J68 - SUMIF('Ventas diarias'!C:C, A68, 'Ventas diarias'!E:E)</f>
        <v>9.47</v>
      </c>
      <c r="L68" s="272">
        <f t="shared" si="2"/>
        <v>7928.85</v>
      </c>
      <c r="M68" s="99">
        <v>0.0</v>
      </c>
      <c r="N68" s="273" t="str">
        <f t="shared" si="3"/>
        <v>✅ Ok</v>
      </c>
      <c r="O68" s="251"/>
      <c r="P68" s="251"/>
      <c r="Q68" s="251"/>
      <c r="R68" s="251"/>
    </row>
    <row r="69" ht="15.75" hidden="1" customHeight="1">
      <c r="A69" s="262">
        <v>158.0</v>
      </c>
      <c r="B69" s="136" t="s">
        <v>606</v>
      </c>
      <c r="C69" s="98" t="s">
        <v>598</v>
      </c>
      <c r="D69" s="98" t="s">
        <v>529</v>
      </c>
      <c r="E69" s="266">
        <v>484.53</v>
      </c>
      <c r="G69" s="51">
        <v>790.0</v>
      </c>
      <c r="H69" s="265"/>
      <c r="I69" s="265">
        <f t="shared" si="1"/>
        <v>0.6304459992</v>
      </c>
      <c r="J69" s="98">
        <v>15.0</v>
      </c>
      <c r="K69" s="51">
        <f> J69 - SUMIF('Ventas diarias'!C:C, A69, 'Ventas diarias'!E:E)</f>
        <v>12.4</v>
      </c>
      <c r="L69" s="266">
        <f t="shared" si="2"/>
        <v>7267.95</v>
      </c>
      <c r="M69" s="98">
        <v>0.0</v>
      </c>
      <c r="N69" s="267" t="str">
        <f t="shared" si="3"/>
        <v>✅ Ok</v>
      </c>
      <c r="O69" s="251"/>
      <c r="P69" s="251"/>
      <c r="Q69" s="251"/>
      <c r="R69" s="251"/>
    </row>
    <row r="70" ht="15.75" hidden="1" customHeight="1">
      <c r="A70" s="268">
        <v>159.0</v>
      </c>
      <c r="B70" s="80" t="s">
        <v>607</v>
      </c>
      <c r="C70" s="99" t="s">
        <v>598</v>
      </c>
      <c r="D70" s="99" t="s">
        <v>529</v>
      </c>
      <c r="E70" s="272">
        <v>3800.0</v>
      </c>
      <c r="G70" s="50">
        <v>5490.0</v>
      </c>
      <c r="H70" s="271"/>
      <c r="I70" s="271">
        <f t="shared" si="1"/>
        <v>0.4447368421</v>
      </c>
      <c r="J70" s="99">
        <v>1.0</v>
      </c>
      <c r="K70" s="50">
        <f> J70 - SUMIF('Ventas diarias'!C:C, A70, 'Ventas diarias'!E:E)</f>
        <v>0</v>
      </c>
      <c r="L70" s="272">
        <f t="shared" si="2"/>
        <v>3800</v>
      </c>
      <c r="M70" s="99">
        <v>0.0</v>
      </c>
      <c r="N70" s="273" t="str">
        <f t="shared" si="3"/>
        <v>🛑 Agotado</v>
      </c>
      <c r="O70" s="251"/>
      <c r="P70" s="251"/>
      <c r="Q70" s="251"/>
      <c r="R70" s="251"/>
    </row>
    <row r="71" ht="15.75" hidden="1" customHeight="1">
      <c r="A71" s="262">
        <v>160.0</v>
      </c>
      <c r="B71" s="136" t="s">
        <v>608</v>
      </c>
      <c r="C71" s="98" t="s">
        <v>598</v>
      </c>
      <c r="D71" s="98" t="s">
        <v>529</v>
      </c>
      <c r="E71" s="266">
        <v>4800.0</v>
      </c>
      <c r="G71" s="51">
        <v>6900.0</v>
      </c>
      <c r="H71" s="265"/>
      <c r="I71" s="265">
        <f t="shared" si="1"/>
        <v>0.4375</v>
      </c>
      <c r="J71" s="98">
        <v>1.0</v>
      </c>
      <c r="K71" s="51">
        <f> J71 - SUMIF('Ventas diarias'!C:C, A71, 'Ventas diarias'!E:E)</f>
        <v>0</v>
      </c>
      <c r="L71" s="266">
        <f t="shared" si="2"/>
        <v>4800</v>
      </c>
      <c r="M71" s="98">
        <v>0.0</v>
      </c>
      <c r="N71" s="267" t="str">
        <f t="shared" si="3"/>
        <v>🛑 Agotado</v>
      </c>
      <c r="O71" s="251"/>
      <c r="P71" s="251"/>
      <c r="Q71" s="251"/>
      <c r="R71" s="251"/>
    </row>
    <row r="72" ht="15.75" hidden="1" customHeight="1">
      <c r="A72" s="268">
        <v>161.0</v>
      </c>
      <c r="B72" s="80" t="s">
        <v>609</v>
      </c>
      <c r="C72" s="99" t="s">
        <v>598</v>
      </c>
      <c r="D72" s="99" t="s">
        <v>529</v>
      </c>
      <c r="E72" s="272">
        <v>4183.42</v>
      </c>
      <c r="G72" s="50">
        <v>5920.0</v>
      </c>
      <c r="H72" s="271"/>
      <c r="I72" s="271">
        <f t="shared" si="1"/>
        <v>0.4151101252</v>
      </c>
      <c r="J72" s="99">
        <v>1.0</v>
      </c>
      <c r="K72" s="50">
        <f> J72 - SUMIF('Ventas diarias'!C:C, A72, 'Ventas diarias'!E:E)</f>
        <v>1</v>
      </c>
      <c r="L72" s="272">
        <f t="shared" si="2"/>
        <v>4183.42</v>
      </c>
      <c r="M72" s="99">
        <v>0.0</v>
      </c>
      <c r="N72" s="273" t="str">
        <f t="shared" si="3"/>
        <v>✅ Ok</v>
      </c>
      <c r="O72" s="251"/>
      <c r="P72" s="251"/>
      <c r="Q72" s="251"/>
      <c r="R72" s="251"/>
    </row>
    <row r="73" ht="15.75" hidden="1" customHeight="1">
      <c r="A73" s="262">
        <v>1611.0</v>
      </c>
      <c r="B73" s="136" t="s">
        <v>610</v>
      </c>
      <c r="C73" s="98" t="s">
        <v>598</v>
      </c>
      <c r="D73" s="98" t="s">
        <v>529</v>
      </c>
      <c r="E73" s="266">
        <v>2990.0</v>
      </c>
      <c r="G73" s="51">
        <v>4590.0</v>
      </c>
      <c r="H73" s="265"/>
      <c r="I73" s="265">
        <f t="shared" si="1"/>
        <v>0.5351170569</v>
      </c>
      <c r="J73" s="98"/>
      <c r="K73" s="51">
        <v>1.0</v>
      </c>
      <c r="L73" s="266">
        <f t="shared" si="2"/>
        <v>0</v>
      </c>
      <c r="M73" s="98">
        <v>0.0</v>
      </c>
      <c r="N73" s="267" t="str">
        <f t="shared" si="3"/>
        <v>✅ Ok</v>
      </c>
      <c r="O73" s="251"/>
      <c r="P73" s="251"/>
      <c r="Q73" s="251"/>
      <c r="R73" s="251"/>
    </row>
    <row r="74" ht="15.75" customHeight="1">
      <c r="A74" s="268">
        <v>162.0</v>
      </c>
      <c r="B74" s="80" t="s">
        <v>611</v>
      </c>
      <c r="C74" s="99" t="s">
        <v>598</v>
      </c>
      <c r="D74" s="99" t="s">
        <v>529</v>
      </c>
      <c r="E74" s="272">
        <v>475.0</v>
      </c>
      <c r="G74" s="50">
        <v>800.0</v>
      </c>
      <c r="H74" s="271"/>
      <c r="I74" s="271">
        <f t="shared" si="1"/>
        <v>0.6842105263</v>
      </c>
      <c r="J74" s="99">
        <v>20.0</v>
      </c>
      <c r="K74" s="50">
        <v>40.0</v>
      </c>
      <c r="L74" s="272">
        <f t="shared" si="2"/>
        <v>9500</v>
      </c>
      <c r="M74" s="99">
        <v>15.0</v>
      </c>
      <c r="N74" s="273" t="str">
        <f t="shared" si="3"/>
        <v>✅ Ok</v>
      </c>
      <c r="O74" s="251"/>
      <c r="P74" s="251"/>
      <c r="Q74" s="251"/>
      <c r="R74" s="251"/>
    </row>
    <row r="75" ht="15.75" hidden="1" customHeight="1">
      <c r="A75" s="262">
        <v>163.0</v>
      </c>
      <c r="B75" s="136" t="s">
        <v>612</v>
      </c>
      <c r="C75" s="98" t="s">
        <v>598</v>
      </c>
      <c r="D75" s="98" t="s">
        <v>529</v>
      </c>
      <c r="E75" s="266">
        <v>5800.0</v>
      </c>
      <c r="G75" s="51">
        <v>8700.0</v>
      </c>
      <c r="H75" s="265"/>
      <c r="I75" s="265">
        <f t="shared" si="1"/>
        <v>0.5</v>
      </c>
      <c r="J75" s="98">
        <v>1.0</v>
      </c>
      <c r="K75" s="51">
        <f> J75 - SUMIF('Ventas diarias'!C:C, A75, 'Ventas diarias'!E:E)</f>
        <v>0</v>
      </c>
      <c r="L75" s="266">
        <f t="shared" si="2"/>
        <v>5800</v>
      </c>
      <c r="M75" s="98">
        <v>0.0</v>
      </c>
      <c r="N75" s="267" t="str">
        <f t="shared" si="3"/>
        <v>🛑 Agotado</v>
      </c>
      <c r="O75" s="251"/>
      <c r="P75" s="251"/>
      <c r="Q75" s="251"/>
      <c r="R75" s="251"/>
    </row>
    <row r="76" ht="15.75" hidden="1" customHeight="1">
      <c r="A76" s="268">
        <v>164.0</v>
      </c>
      <c r="B76" s="80" t="s">
        <v>613</v>
      </c>
      <c r="C76" s="99" t="s">
        <v>598</v>
      </c>
      <c r="D76" s="99" t="s">
        <v>529</v>
      </c>
      <c r="E76" s="272">
        <v>4508.0</v>
      </c>
      <c r="G76" s="50">
        <v>5900.0</v>
      </c>
      <c r="H76" s="271"/>
      <c r="I76" s="271">
        <f t="shared" si="1"/>
        <v>0.3087843833</v>
      </c>
      <c r="J76" s="99">
        <v>1.0</v>
      </c>
      <c r="K76" s="50">
        <f> J76 - SUMIF('Ventas diarias'!C:C, A76, 'Ventas diarias'!E:E)</f>
        <v>1</v>
      </c>
      <c r="L76" s="272">
        <f t="shared" si="2"/>
        <v>4508</v>
      </c>
      <c r="M76" s="99">
        <v>0.0</v>
      </c>
      <c r="N76" s="273" t="str">
        <f t="shared" si="3"/>
        <v>✅ Ok</v>
      </c>
      <c r="O76" s="251"/>
      <c r="P76" s="251"/>
      <c r="Q76" s="251"/>
      <c r="R76" s="251"/>
    </row>
    <row r="77" ht="15.75" hidden="1" customHeight="1">
      <c r="A77" s="262">
        <v>165.0</v>
      </c>
      <c r="B77" s="136" t="s">
        <v>614</v>
      </c>
      <c r="C77" s="98" t="s">
        <v>598</v>
      </c>
      <c r="D77" s="98" t="s">
        <v>529</v>
      </c>
      <c r="E77" s="266">
        <v>4416.0</v>
      </c>
      <c r="G77" s="51">
        <v>5800.0</v>
      </c>
      <c r="H77" s="265"/>
      <c r="I77" s="265">
        <f t="shared" si="1"/>
        <v>0.3134057971</v>
      </c>
      <c r="J77" s="98">
        <v>1.0</v>
      </c>
      <c r="K77" s="51">
        <f> J77 - SUMIF('Ventas diarias'!C:C, A77, 'Ventas diarias'!E:E)</f>
        <v>0</v>
      </c>
      <c r="L77" s="266">
        <f t="shared" si="2"/>
        <v>4416</v>
      </c>
      <c r="M77" s="98">
        <v>0.0</v>
      </c>
      <c r="N77" s="267" t="str">
        <f t="shared" si="3"/>
        <v>🛑 Agotado</v>
      </c>
      <c r="O77" s="251"/>
      <c r="P77" s="251"/>
      <c r="Q77" s="251"/>
      <c r="R77" s="251"/>
    </row>
    <row r="78" ht="15.75" hidden="1" customHeight="1">
      <c r="A78" s="268">
        <v>166.0</v>
      </c>
      <c r="B78" s="80" t="s">
        <v>615</v>
      </c>
      <c r="C78" s="99" t="s">
        <v>598</v>
      </c>
      <c r="D78" s="99" t="s">
        <v>529</v>
      </c>
      <c r="E78" s="272">
        <v>5700.0</v>
      </c>
      <c r="G78" s="50">
        <v>8600.0</v>
      </c>
      <c r="H78" s="271"/>
      <c r="I78" s="271">
        <f t="shared" si="1"/>
        <v>0.5087719298</v>
      </c>
      <c r="J78" s="99">
        <v>1.0</v>
      </c>
      <c r="K78" s="50">
        <f> J78 - SUMIF('Ventas diarias'!C:C, A78, 'Ventas diarias'!E:E)</f>
        <v>0</v>
      </c>
      <c r="L78" s="272">
        <f t="shared" si="2"/>
        <v>5700</v>
      </c>
      <c r="M78" s="99">
        <v>0.0</v>
      </c>
      <c r="N78" s="273" t="str">
        <f t="shared" si="3"/>
        <v>🛑 Agotado</v>
      </c>
      <c r="O78" s="251"/>
      <c r="P78" s="251"/>
      <c r="Q78" s="251"/>
      <c r="R78" s="251"/>
    </row>
    <row r="79" ht="15.75" hidden="1" customHeight="1">
      <c r="A79" s="262">
        <v>167.0</v>
      </c>
      <c r="B79" s="136" t="s">
        <v>616</v>
      </c>
      <c r="C79" s="98" t="s">
        <v>598</v>
      </c>
      <c r="D79" s="98" t="s">
        <v>529</v>
      </c>
      <c r="E79" s="266">
        <v>5336.0</v>
      </c>
      <c r="G79" s="51">
        <v>8000.0</v>
      </c>
      <c r="H79" s="265"/>
      <c r="I79" s="265">
        <f t="shared" si="1"/>
        <v>0.4992503748</v>
      </c>
      <c r="J79" s="98">
        <v>1.0</v>
      </c>
      <c r="K79" s="51">
        <f> J79 - SUMIF('Ventas diarias'!C:C, A79, 'Ventas diarias'!E:E)</f>
        <v>0</v>
      </c>
      <c r="L79" s="266">
        <f t="shared" si="2"/>
        <v>5336</v>
      </c>
      <c r="M79" s="98">
        <v>0.0</v>
      </c>
      <c r="N79" s="267" t="str">
        <f t="shared" si="3"/>
        <v>🛑 Agotado</v>
      </c>
      <c r="O79" s="251"/>
      <c r="P79" s="251"/>
      <c r="Q79" s="251"/>
      <c r="R79" s="251"/>
    </row>
    <row r="80" ht="15.75" hidden="1" customHeight="1">
      <c r="A80" s="268">
        <v>168.0</v>
      </c>
      <c r="B80" s="80" t="s">
        <v>617</v>
      </c>
      <c r="C80" s="99" t="s">
        <v>598</v>
      </c>
      <c r="D80" s="99" t="s">
        <v>529</v>
      </c>
      <c r="E80" s="272">
        <v>5612.0</v>
      </c>
      <c r="G80" s="50">
        <v>8400.0</v>
      </c>
      <c r="H80" s="271"/>
      <c r="I80" s="271">
        <f t="shared" si="1"/>
        <v>0.4967925873</v>
      </c>
      <c r="J80" s="99">
        <v>1.0</v>
      </c>
      <c r="K80" s="50">
        <f> J80 - SUMIF('Ventas diarias'!C:C, A80, 'Ventas diarias'!E:E)</f>
        <v>1</v>
      </c>
      <c r="L80" s="272">
        <f t="shared" si="2"/>
        <v>5612</v>
      </c>
      <c r="M80" s="99">
        <v>0.0</v>
      </c>
      <c r="N80" s="273" t="str">
        <f t="shared" si="3"/>
        <v>✅ Ok</v>
      </c>
      <c r="O80" s="251"/>
      <c r="P80" s="251"/>
      <c r="Q80" s="251"/>
      <c r="R80" s="251"/>
    </row>
    <row r="81" ht="15.75" hidden="1" customHeight="1">
      <c r="A81" s="262">
        <v>169.0</v>
      </c>
      <c r="B81" s="136" t="s">
        <v>618</v>
      </c>
      <c r="C81" s="98" t="s">
        <v>598</v>
      </c>
      <c r="D81" s="98" t="s">
        <v>529</v>
      </c>
      <c r="E81" s="266">
        <v>6100.0</v>
      </c>
      <c r="G81" s="51">
        <v>9500.0</v>
      </c>
      <c r="H81" s="265"/>
      <c r="I81" s="265">
        <f t="shared" si="1"/>
        <v>0.5573770492</v>
      </c>
      <c r="J81" s="98">
        <v>1.0</v>
      </c>
      <c r="K81" s="51">
        <f> J81 - SUMIF('Ventas diarias'!C:C, A81, 'Ventas diarias'!E:E)</f>
        <v>1</v>
      </c>
      <c r="L81" s="266">
        <f t="shared" si="2"/>
        <v>6100</v>
      </c>
      <c r="M81" s="98">
        <v>0.0</v>
      </c>
      <c r="N81" s="267" t="str">
        <f t="shared" si="3"/>
        <v>✅ Ok</v>
      </c>
      <c r="O81" s="251"/>
      <c r="P81" s="251"/>
      <c r="Q81" s="251"/>
      <c r="R81" s="251"/>
    </row>
    <row r="82" ht="15.75" hidden="1" customHeight="1">
      <c r="A82" s="268">
        <v>169.0</v>
      </c>
      <c r="B82" s="80" t="s">
        <v>619</v>
      </c>
      <c r="C82" s="99" t="s">
        <v>598</v>
      </c>
      <c r="D82" s="99" t="s">
        <v>529</v>
      </c>
      <c r="E82" s="272">
        <v>2530.0</v>
      </c>
      <c r="G82" s="50">
        <v>4000.0</v>
      </c>
      <c r="H82" s="271"/>
      <c r="I82" s="271">
        <f t="shared" si="1"/>
        <v>0.581027668</v>
      </c>
      <c r="J82" s="99">
        <v>1.0</v>
      </c>
      <c r="K82" s="50">
        <f> J82 - SUMIF('Ventas diarias'!C:C, A82, 'Ventas diarias'!E:E)</f>
        <v>1</v>
      </c>
      <c r="L82" s="272">
        <f t="shared" si="2"/>
        <v>2530</v>
      </c>
      <c r="M82" s="99">
        <v>0.0</v>
      </c>
      <c r="N82" s="273" t="str">
        <f t="shared" si="3"/>
        <v>✅ Ok</v>
      </c>
      <c r="O82" s="251"/>
      <c r="P82" s="251"/>
      <c r="Q82" s="251"/>
      <c r="R82" s="251"/>
    </row>
    <row r="83" ht="15.75" hidden="1" customHeight="1">
      <c r="A83" s="262">
        <v>170.0</v>
      </c>
      <c r="B83" s="136" t="s">
        <v>620</v>
      </c>
      <c r="C83" s="98" t="s">
        <v>598</v>
      </c>
      <c r="D83" s="98" t="s">
        <v>529</v>
      </c>
      <c r="E83" s="266">
        <v>2100.0</v>
      </c>
      <c r="G83" s="51">
        <v>3500.0</v>
      </c>
      <c r="H83" s="265"/>
      <c r="I83" s="265">
        <f t="shared" si="1"/>
        <v>0.6666666667</v>
      </c>
      <c r="J83" s="98">
        <v>1.0</v>
      </c>
      <c r="K83" s="51">
        <v>1.0</v>
      </c>
      <c r="L83" s="266">
        <f t="shared" si="2"/>
        <v>2100</v>
      </c>
      <c r="M83" s="98">
        <v>0.0</v>
      </c>
      <c r="N83" s="267" t="str">
        <f t="shared" si="3"/>
        <v>✅ Ok</v>
      </c>
      <c r="O83" s="251"/>
      <c r="P83" s="251"/>
      <c r="Q83" s="251"/>
      <c r="R83" s="251"/>
    </row>
    <row r="84" ht="15.75" hidden="1" customHeight="1">
      <c r="A84" s="268">
        <v>171.0</v>
      </c>
      <c r="B84" s="80" t="s">
        <v>621</v>
      </c>
      <c r="C84" s="99" t="s">
        <v>571</v>
      </c>
      <c r="D84" s="99" t="s">
        <v>529</v>
      </c>
      <c r="E84" s="272">
        <v>1738.8</v>
      </c>
      <c r="G84" s="50">
        <v>2500.0</v>
      </c>
      <c r="H84" s="271"/>
      <c r="I84" s="271">
        <f t="shared" si="1"/>
        <v>0.4377731769</v>
      </c>
      <c r="J84" s="99">
        <v>3.0</v>
      </c>
      <c r="K84" s="50">
        <f> J84 - SUMIF('Ventas diarias'!C:C, A84, 'Ventas diarias'!E:E)</f>
        <v>3</v>
      </c>
      <c r="L84" s="272">
        <f t="shared" si="2"/>
        <v>5216.4</v>
      </c>
      <c r="M84" s="99">
        <v>0.0</v>
      </c>
      <c r="N84" s="273" t="str">
        <f t="shared" si="3"/>
        <v>✅ Ok</v>
      </c>
      <c r="O84" s="251"/>
      <c r="P84" s="251"/>
      <c r="Q84" s="251"/>
      <c r="R84" s="251"/>
    </row>
    <row r="85" ht="15.75" hidden="1" customHeight="1">
      <c r="A85" s="262">
        <v>172.0</v>
      </c>
      <c r="B85" s="136" t="s">
        <v>622</v>
      </c>
      <c r="C85" s="98" t="s">
        <v>623</v>
      </c>
      <c r="D85" s="98" t="s">
        <v>529</v>
      </c>
      <c r="E85" s="266">
        <v>2502.4</v>
      </c>
      <c r="G85" s="51">
        <v>3300.0</v>
      </c>
      <c r="H85" s="265"/>
      <c r="I85" s="265">
        <f t="shared" si="1"/>
        <v>0.3187340153</v>
      </c>
      <c r="J85" s="98">
        <v>1.0</v>
      </c>
      <c r="K85" s="51">
        <f> J85 - SUMIF('Ventas diarias'!C:C, A85, 'Ventas diarias'!E:E)</f>
        <v>1</v>
      </c>
      <c r="L85" s="266">
        <f t="shared" si="2"/>
        <v>2502.4</v>
      </c>
      <c r="M85" s="98">
        <v>0.0</v>
      </c>
      <c r="N85" s="267" t="str">
        <f t="shared" si="3"/>
        <v>✅ Ok</v>
      </c>
      <c r="O85" s="251"/>
      <c r="P85" s="251"/>
      <c r="Q85" s="251"/>
      <c r="R85" s="251"/>
    </row>
    <row r="86" ht="15.75" hidden="1" customHeight="1">
      <c r="A86" s="268">
        <v>173.0</v>
      </c>
      <c r="B86" s="80" t="s">
        <v>624</v>
      </c>
      <c r="C86" s="99" t="s">
        <v>625</v>
      </c>
      <c r="D86" s="99" t="s">
        <v>529</v>
      </c>
      <c r="E86" s="272">
        <v>1775.6</v>
      </c>
      <c r="G86" s="50">
        <v>2400.0</v>
      </c>
      <c r="H86" s="271"/>
      <c r="I86" s="271">
        <f t="shared" si="1"/>
        <v>0.3516557783</v>
      </c>
      <c r="J86" s="99">
        <v>1.0</v>
      </c>
      <c r="K86" s="50">
        <f> J86 - SUMIF('Ventas diarias'!C:C, A86, 'Ventas diarias'!E:E)</f>
        <v>1</v>
      </c>
      <c r="L86" s="272">
        <f t="shared" si="2"/>
        <v>1775.6</v>
      </c>
      <c r="M86" s="99">
        <v>0.0</v>
      </c>
      <c r="N86" s="273" t="str">
        <f t="shared" si="3"/>
        <v>✅ Ok</v>
      </c>
      <c r="O86" s="251"/>
      <c r="P86" s="251"/>
      <c r="Q86" s="251"/>
      <c r="R86" s="251"/>
    </row>
    <row r="87" ht="15.75" hidden="1" customHeight="1">
      <c r="A87" s="262">
        <v>174.0</v>
      </c>
      <c r="B87" s="136" t="s">
        <v>626</v>
      </c>
      <c r="C87" s="98" t="s">
        <v>623</v>
      </c>
      <c r="D87" s="98" t="s">
        <v>529</v>
      </c>
      <c r="E87" s="266">
        <v>2281.6</v>
      </c>
      <c r="G87" s="51">
        <v>3000.0</v>
      </c>
      <c r="H87" s="265"/>
      <c r="I87" s="265">
        <f t="shared" si="1"/>
        <v>0.3148667602</v>
      </c>
      <c r="J87" s="98">
        <v>1.0</v>
      </c>
      <c r="K87" s="51">
        <f> J87 - SUMIF('Ventas diarias'!C:C, A87, 'Ventas diarias'!E:E)</f>
        <v>1</v>
      </c>
      <c r="L87" s="266">
        <f t="shared" si="2"/>
        <v>2281.6</v>
      </c>
      <c r="M87" s="98">
        <v>0.0</v>
      </c>
      <c r="N87" s="267" t="str">
        <f t="shared" si="3"/>
        <v>✅ Ok</v>
      </c>
      <c r="O87" s="251"/>
      <c r="P87" s="251"/>
      <c r="Q87" s="251"/>
      <c r="R87" s="251"/>
    </row>
    <row r="88" ht="15.75" hidden="1" customHeight="1">
      <c r="A88" s="268">
        <v>175.0</v>
      </c>
      <c r="B88" s="80" t="s">
        <v>627</v>
      </c>
      <c r="C88" s="99" t="s">
        <v>623</v>
      </c>
      <c r="D88" s="99" t="s">
        <v>529</v>
      </c>
      <c r="E88" s="272">
        <v>2346.0</v>
      </c>
      <c r="G88" s="50">
        <v>3100.0</v>
      </c>
      <c r="H88" s="271"/>
      <c r="I88" s="271">
        <f t="shared" si="1"/>
        <v>0.3213981245</v>
      </c>
      <c r="J88" s="99">
        <v>1.0</v>
      </c>
      <c r="K88" s="50">
        <f> J88 - SUMIF('Ventas diarias'!C:C, A88, 'Ventas diarias'!E:E)</f>
        <v>0</v>
      </c>
      <c r="L88" s="272">
        <f t="shared" si="2"/>
        <v>2346</v>
      </c>
      <c r="M88" s="99">
        <v>0.0</v>
      </c>
      <c r="N88" s="273" t="str">
        <f t="shared" si="3"/>
        <v>🛑 Agotado</v>
      </c>
      <c r="O88" s="251"/>
      <c r="P88" s="251"/>
      <c r="Q88" s="251"/>
      <c r="R88" s="251"/>
    </row>
    <row r="89" ht="15.75" hidden="1" customHeight="1">
      <c r="A89" s="262">
        <v>176.0</v>
      </c>
      <c r="B89" s="136" t="s">
        <v>628</v>
      </c>
      <c r="C89" s="98" t="s">
        <v>623</v>
      </c>
      <c r="D89" s="98" t="s">
        <v>529</v>
      </c>
      <c r="E89" s="266">
        <v>2283.02</v>
      </c>
      <c r="G89" s="51">
        <v>3000.0</v>
      </c>
      <c r="H89" s="265"/>
      <c r="I89" s="265">
        <f t="shared" si="1"/>
        <v>0.3140489352</v>
      </c>
      <c r="J89" s="98">
        <v>1.0</v>
      </c>
      <c r="K89" s="51">
        <f> J89 - SUMIF('Ventas diarias'!C:C, A89, 'Ventas diarias'!E:E)</f>
        <v>1</v>
      </c>
      <c r="L89" s="266">
        <f t="shared" si="2"/>
        <v>2283.02</v>
      </c>
      <c r="M89" s="98">
        <v>0.0</v>
      </c>
      <c r="N89" s="267" t="str">
        <f t="shared" si="3"/>
        <v>✅ Ok</v>
      </c>
      <c r="O89" s="251"/>
      <c r="P89" s="251"/>
      <c r="Q89" s="251"/>
      <c r="R89" s="251"/>
    </row>
    <row r="90" ht="15.75" hidden="1" customHeight="1">
      <c r="A90" s="268">
        <v>177.0</v>
      </c>
      <c r="B90" s="80" t="s">
        <v>629</v>
      </c>
      <c r="C90" s="99" t="s">
        <v>623</v>
      </c>
      <c r="D90" s="99" t="s">
        <v>529</v>
      </c>
      <c r="E90" s="272">
        <v>782.0</v>
      </c>
      <c r="G90" s="50">
        <v>1200.0</v>
      </c>
      <c r="H90" s="271"/>
      <c r="I90" s="271">
        <f t="shared" si="1"/>
        <v>0.5345268542</v>
      </c>
      <c r="J90" s="99">
        <v>2.0</v>
      </c>
      <c r="K90" s="50">
        <f> J90 - SUMIF('Ventas diarias'!C:C, A90, 'Ventas diarias'!E:E)</f>
        <v>2</v>
      </c>
      <c r="L90" s="272">
        <f t="shared" si="2"/>
        <v>1564</v>
      </c>
      <c r="M90" s="99">
        <v>0.0</v>
      </c>
      <c r="N90" s="273" t="str">
        <f t="shared" si="3"/>
        <v>✅ Ok</v>
      </c>
      <c r="O90" s="251"/>
      <c r="P90" s="251"/>
      <c r="Q90" s="251"/>
      <c r="R90" s="251"/>
    </row>
    <row r="91" ht="15.75" hidden="1" customHeight="1">
      <c r="A91" s="262">
        <v>178.0</v>
      </c>
      <c r="B91" s="136" t="s">
        <v>630</v>
      </c>
      <c r="C91" s="98" t="s">
        <v>623</v>
      </c>
      <c r="D91" s="98" t="s">
        <v>529</v>
      </c>
      <c r="E91" s="266">
        <v>4057.2</v>
      </c>
      <c r="G91" s="51">
        <v>5300.0</v>
      </c>
      <c r="H91" s="265"/>
      <c r="I91" s="265">
        <f t="shared" si="1"/>
        <v>0.3063196293</v>
      </c>
      <c r="J91" s="98">
        <v>1.0</v>
      </c>
      <c r="K91" s="51">
        <f> J91 - SUMIF('Ventas diarias'!C:C, A91, 'Ventas diarias'!E:E)</f>
        <v>1</v>
      </c>
      <c r="L91" s="266">
        <f t="shared" si="2"/>
        <v>4057.2</v>
      </c>
      <c r="M91" s="98">
        <v>0.0</v>
      </c>
      <c r="N91" s="267" t="str">
        <f t="shared" si="3"/>
        <v>✅ Ok</v>
      </c>
      <c r="O91" s="251"/>
      <c r="P91" s="251"/>
      <c r="Q91" s="251"/>
      <c r="R91" s="251"/>
    </row>
    <row r="92" ht="15.75" hidden="1" customHeight="1">
      <c r="A92" s="268">
        <v>179.0</v>
      </c>
      <c r="B92" s="80" t="s">
        <v>631</v>
      </c>
      <c r="C92" s="99" t="s">
        <v>623</v>
      </c>
      <c r="D92" s="99" t="s">
        <v>529</v>
      </c>
      <c r="E92" s="272">
        <v>1100.0</v>
      </c>
      <c r="G92" s="50">
        <v>2200.0</v>
      </c>
      <c r="H92" s="271"/>
      <c r="I92" s="271">
        <f t="shared" si="1"/>
        <v>1</v>
      </c>
      <c r="J92" s="99">
        <v>1.0</v>
      </c>
      <c r="K92" s="50">
        <f> J92 - SUMIF('Ventas diarias'!C:C, A92, 'Ventas diarias'!E:E)</f>
        <v>1</v>
      </c>
      <c r="L92" s="272">
        <f t="shared" si="2"/>
        <v>1100</v>
      </c>
      <c r="M92" s="99">
        <v>0.0</v>
      </c>
      <c r="N92" s="273" t="str">
        <f t="shared" si="3"/>
        <v>✅ Ok</v>
      </c>
      <c r="O92" s="251"/>
      <c r="P92" s="251"/>
      <c r="Q92" s="251"/>
      <c r="R92" s="251"/>
    </row>
    <row r="93" ht="15.75" hidden="1" customHeight="1">
      <c r="A93" s="262">
        <v>180.0</v>
      </c>
      <c r="B93" s="136" t="s">
        <v>632</v>
      </c>
      <c r="C93" s="98" t="s">
        <v>571</v>
      </c>
      <c r="D93" s="98" t="s">
        <v>529</v>
      </c>
      <c r="E93" s="266">
        <v>5060.0</v>
      </c>
      <c r="G93" s="51">
        <v>6600.0</v>
      </c>
      <c r="H93" s="265"/>
      <c r="I93" s="265">
        <f t="shared" si="1"/>
        <v>0.3043478261</v>
      </c>
      <c r="J93" s="98">
        <v>1.0</v>
      </c>
      <c r="K93" s="51">
        <f> J93 - SUMIF('Ventas diarias'!C:C, A93, 'Ventas diarias'!E:E)</f>
        <v>1</v>
      </c>
      <c r="L93" s="266">
        <f t="shared" si="2"/>
        <v>5060</v>
      </c>
      <c r="M93" s="98">
        <v>0.0</v>
      </c>
      <c r="N93" s="267" t="str">
        <f t="shared" si="3"/>
        <v>✅ Ok</v>
      </c>
      <c r="O93" s="251"/>
      <c r="P93" s="251"/>
      <c r="Q93" s="251"/>
      <c r="R93" s="251"/>
    </row>
    <row r="94" ht="15.75" hidden="1" customHeight="1">
      <c r="A94" s="268">
        <v>181.0</v>
      </c>
      <c r="B94" s="80" t="s">
        <v>633</v>
      </c>
      <c r="C94" s="99" t="s">
        <v>571</v>
      </c>
      <c r="D94" s="99" t="s">
        <v>529</v>
      </c>
      <c r="E94" s="272">
        <v>7084.0</v>
      </c>
      <c r="G94" s="50">
        <v>11000.0</v>
      </c>
      <c r="H94" s="271"/>
      <c r="I94" s="271">
        <f t="shared" si="1"/>
        <v>0.5527950311</v>
      </c>
      <c r="J94" s="99">
        <v>1.0</v>
      </c>
      <c r="K94" s="50">
        <f> J94 - SUMIF('Ventas diarias'!C:C, A94, 'Ventas diarias'!E:E)</f>
        <v>1</v>
      </c>
      <c r="L94" s="272">
        <f t="shared" si="2"/>
        <v>7084</v>
      </c>
      <c r="M94" s="99">
        <v>0.0</v>
      </c>
      <c r="N94" s="273" t="str">
        <f t="shared" si="3"/>
        <v>✅ Ok</v>
      </c>
      <c r="O94" s="251"/>
      <c r="P94" s="251"/>
      <c r="Q94" s="251"/>
      <c r="R94" s="251"/>
    </row>
    <row r="95" ht="15.75" hidden="1" customHeight="1">
      <c r="A95" s="262">
        <v>182.0</v>
      </c>
      <c r="B95" s="136" t="s">
        <v>634</v>
      </c>
      <c r="C95" s="98" t="s">
        <v>571</v>
      </c>
      <c r="D95" s="98" t="s">
        <v>529</v>
      </c>
      <c r="E95" s="266">
        <v>4048.0</v>
      </c>
      <c r="G95" s="51">
        <v>6000.0</v>
      </c>
      <c r="H95" s="265"/>
      <c r="I95" s="265">
        <f t="shared" si="1"/>
        <v>0.4822134387</v>
      </c>
      <c r="J95" s="98">
        <v>1.0</v>
      </c>
      <c r="K95" s="51">
        <f> J95 - SUMIF('Ventas diarias'!C:C, A95, 'Ventas diarias'!E:E)</f>
        <v>1</v>
      </c>
      <c r="L95" s="266">
        <f t="shared" si="2"/>
        <v>4048</v>
      </c>
      <c r="M95" s="98">
        <v>0.0</v>
      </c>
      <c r="N95" s="267" t="str">
        <f t="shared" si="3"/>
        <v>✅ Ok</v>
      </c>
      <c r="O95" s="251"/>
      <c r="P95" s="251"/>
      <c r="Q95" s="251"/>
      <c r="R95" s="251"/>
    </row>
    <row r="96" ht="15.75" hidden="1" customHeight="1">
      <c r="A96" s="268">
        <v>183.0</v>
      </c>
      <c r="B96" s="80" t="s">
        <v>635</v>
      </c>
      <c r="C96" s="99" t="s">
        <v>636</v>
      </c>
      <c r="D96" s="99" t="s">
        <v>529</v>
      </c>
      <c r="E96" s="272">
        <v>876.02</v>
      </c>
      <c r="G96" s="50">
        <v>1500.0</v>
      </c>
      <c r="H96" s="271"/>
      <c r="I96" s="271">
        <f t="shared" si="1"/>
        <v>0.7122896738</v>
      </c>
      <c r="J96" s="99">
        <v>15.0</v>
      </c>
      <c r="K96" s="50">
        <f> J96 - SUMIF('Ventas diarias'!C:C, A96, 'Ventas diarias'!E:E)</f>
        <v>15</v>
      </c>
      <c r="L96" s="272">
        <f t="shared" si="2"/>
        <v>13140.3</v>
      </c>
      <c r="M96" s="99">
        <v>0.0</v>
      </c>
      <c r="N96" s="273" t="str">
        <f t="shared" si="3"/>
        <v>✅ Ok</v>
      </c>
      <c r="O96" s="251"/>
      <c r="P96" s="251"/>
      <c r="Q96" s="251"/>
      <c r="R96" s="251"/>
    </row>
    <row r="97" ht="15.75" hidden="1" customHeight="1">
      <c r="A97" s="262">
        <v>184.0</v>
      </c>
      <c r="B97" s="136" t="s">
        <v>637</v>
      </c>
      <c r="C97" s="98" t="s">
        <v>571</v>
      </c>
      <c r="D97" s="98" t="s">
        <v>529</v>
      </c>
      <c r="E97" s="266">
        <v>502.32</v>
      </c>
      <c r="G97" s="51">
        <v>1000.0</v>
      </c>
      <c r="H97" s="265"/>
      <c r="I97" s="265">
        <f t="shared" si="1"/>
        <v>0.9907628603</v>
      </c>
      <c r="J97" s="98">
        <v>3.0</v>
      </c>
      <c r="K97" s="51">
        <f> J97 - SUMIF('Ventas diarias'!C:C, A97, 'Ventas diarias'!E:E)</f>
        <v>3</v>
      </c>
      <c r="L97" s="266">
        <f t="shared" si="2"/>
        <v>1506.96</v>
      </c>
      <c r="M97" s="98">
        <v>0.0</v>
      </c>
      <c r="N97" s="267" t="str">
        <f t="shared" si="3"/>
        <v>✅ Ok</v>
      </c>
      <c r="O97" s="251"/>
      <c r="P97" s="251"/>
      <c r="Q97" s="251"/>
      <c r="R97" s="251"/>
    </row>
    <row r="98" ht="15.75" hidden="1" customHeight="1">
      <c r="A98" s="268">
        <v>185.0</v>
      </c>
      <c r="B98" s="80" t="s">
        <v>638</v>
      </c>
      <c r="C98" s="99" t="s">
        <v>571</v>
      </c>
      <c r="D98" s="99" t="s">
        <v>529</v>
      </c>
      <c r="E98" s="272">
        <v>772.8</v>
      </c>
      <c r="G98" s="50">
        <v>1200.0</v>
      </c>
      <c r="H98" s="271"/>
      <c r="I98" s="271">
        <f t="shared" si="1"/>
        <v>0.5527950311</v>
      </c>
      <c r="J98" s="99">
        <v>3.0</v>
      </c>
      <c r="K98" s="50">
        <f> J98 - SUMIF('Ventas diarias'!C:C, A98, 'Ventas diarias'!E:E)</f>
        <v>3</v>
      </c>
      <c r="L98" s="272">
        <f t="shared" si="2"/>
        <v>2318.4</v>
      </c>
      <c r="M98" s="99">
        <v>0.0</v>
      </c>
      <c r="N98" s="273" t="str">
        <f t="shared" si="3"/>
        <v>✅ Ok</v>
      </c>
      <c r="O98" s="251"/>
      <c r="P98" s="251"/>
      <c r="Q98" s="251"/>
      <c r="R98" s="251"/>
    </row>
    <row r="99" ht="15.75" hidden="1" customHeight="1">
      <c r="A99" s="262">
        <v>186.0</v>
      </c>
      <c r="B99" s="136" t="s">
        <v>639</v>
      </c>
      <c r="C99" s="98" t="s">
        <v>571</v>
      </c>
      <c r="D99" s="98" t="s">
        <v>529</v>
      </c>
      <c r="E99" s="266">
        <v>2852.0</v>
      </c>
      <c r="G99" s="51">
        <v>3800.0</v>
      </c>
      <c r="H99" s="265"/>
      <c r="I99" s="265">
        <f t="shared" si="1"/>
        <v>0.332398317</v>
      </c>
      <c r="J99" s="98">
        <v>2.0</v>
      </c>
      <c r="K99" s="51">
        <f> J99 - SUMIF('Ventas diarias'!C:C, A99, 'Ventas diarias'!E:E)</f>
        <v>2</v>
      </c>
      <c r="L99" s="266">
        <f t="shared" si="2"/>
        <v>5704</v>
      </c>
      <c r="M99" s="98">
        <v>1.0</v>
      </c>
      <c r="N99" s="267" t="str">
        <f t="shared" si="3"/>
        <v>✅ Ok</v>
      </c>
      <c r="O99" s="251"/>
      <c r="P99" s="251"/>
      <c r="Q99" s="251"/>
      <c r="R99" s="251"/>
    </row>
    <row r="100" ht="15.75" hidden="1" customHeight="1">
      <c r="A100" s="268">
        <v>187.0</v>
      </c>
      <c r="B100" s="80" t="s">
        <v>640</v>
      </c>
      <c r="C100" s="99" t="s">
        <v>571</v>
      </c>
      <c r="D100" s="99" t="s">
        <v>529</v>
      </c>
      <c r="E100" s="272">
        <v>2024.0</v>
      </c>
      <c r="G100" s="50">
        <v>2700.0</v>
      </c>
      <c r="H100" s="271"/>
      <c r="I100" s="271">
        <f t="shared" si="1"/>
        <v>0.3339920949</v>
      </c>
      <c r="J100" s="99">
        <v>1.0</v>
      </c>
      <c r="K100" s="50">
        <f> J100 - SUMIF('Ventas diarias'!C:C, A100, 'Ventas diarias'!E:E)</f>
        <v>1</v>
      </c>
      <c r="L100" s="272">
        <f t="shared" si="2"/>
        <v>2024</v>
      </c>
      <c r="M100" s="99">
        <v>0.0</v>
      </c>
      <c r="N100" s="273" t="str">
        <f t="shared" si="3"/>
        <v>✅ Ok</v>
      </c>
      <c r="O100" s="251"/>
      <c r="P100" s="251"/>
      <c r="Q100" s="251"/>
      <c r="R100" s="251"/>
    </row>
    <row r="101" ht="15.75" hidden="1" customHeight="1">
      <c r="A101" s="262">
        <v>188.0</v>
      </c>
      <c r="B101" s="136" t="s">
        <v>641</v>
      </c>
      <c r="C101" s="98" t="s">
        <v>642</v>
      </c>
      <c r="D101" s="98" t="s">
        <v>529</v>
      </c>
      <c r="E101" s="266">
        <v>2668.0</v>
      </c>
      <c r="G101" s="51">
        <v>5000.0</v>
      </c>
      <c r="H101" s="265"/>
      <c r="I101" s="265">
        <f t="shared" si="1"/>
        <v>0.8740629685</v>
      </c>
      <c r="J101" s="98">
        <v>1.0</v>
      </c>
      <c r="K101" s="51">
        <f> J101 - SUMIF('Ventas diarias'!C:C, A101, 'Ventas diarias'!E:E)</f>
        <v>1</v>
      </c>
      <c r="L101" s="266">
        <f t="shared" si="2"/>
        <v>2668</v>
      </c>
      <c r="M101" s="98">
        <v>0.0</v>
      </c>
      <c r="N101" s="267" t="str">
        <f t="shared" si="3"/>
        <v>✅ Ok</v>
      </c>
      <c r="O101" s="251"/>
      <c r="P101" s="251"/>
      <c r="Q101" s="251"/>
      <c r="R101" s="251"/>
    </row>
    <row r="102" ht="15.75" hidden="1" customHeight="1">
      <c r="A102" s="268">
        <v>189.0</v>
      </c>
      <c r="B102" s="80" t="s">
        <v>643</v>
      </c>
      <c r="C102" s="99" t="s">
        <v>538</v>
      </c>
      <c r="D102" s="99" t="s">
        <v>529</v>
      </c>
      <c r="E102" s="272">
        <v>8556.0</v>
      </c>
      <c r="G102" s="50">
        <v>13000.0</v>
      </c>
      <c r="H102" s="271"/>
      <c r="I102" s="271">
        <f t="shared" si="1"/>
        <v>0.5194015895</v>
      </c>
      <c r="J102" s="99">
        <v>1.0</v>
      </c>
      <c r="K102" s="50">
        <f> J102 - SUMIF('Ventas diarias'!C:C, A102, 'Ventas diarias'!E:E)</f>
        <v>1</v>
      </c>
      <c r="L102" s="272">
        <f t="shared" si="2"/>
        <v>8556</v>
      </c>
      <c r="M102" s="99">
        <v>0.0</v>
      </c>
      <c r="N102" s="273" t="str">
        <f t="shared" si="3"/>
        <v>✅ Ok</v>
      </c>
      <c r="O102" s="251"/>
      <c r="P102" s="251"/>
      <c r="Q102" s="251"/>
      <c r="R102" s="251"/>
    </row>
    <row r="103" ht="15.75" hidden="1" customHeight="1">
      <c r="A103" s="262">
        <v>190.0</v>
      </c>
      <c r="B103" s="136" t="s">
        <v>644</v>
      </c>
      <c r="C103" s="98" t="s">
        <v>538</v>
      </c>
      <c r="D103" s="98" t="s">
        <v>529</v>
      </c>
      <c r="E103" s="266">
        <v>10212.0</v>
      </c>
      <c r="G103" s="51">
        <v>15000.0</v>
      </c>
      <c r="H103" s="265"/>
      <c r="I103" s="265">
        <f t="shared" si="1"/>
        <v>0.4688601645</v>
      </c>
      <c r="J103" s="98">
        <v>1.0</v>
      </c>
      <c r="K103" s="51">
        <f> J103 - SUMIF('Ventas diarias'!C:C, A103, 'Ventas diarias'!E:E)</f>
        <v>1</v>
      </c>
      <c r="L103" s="266">
        <f t="shared" si="2"/>
        <v>10212</v>
      </c>
      <c r="M103" s="98">
        <v>0.0</v>
      </c>
      <c r="N103" s="267" t="str">
        <f t="shared" si="3"/>
        <v>✅ Ok</v>
      </c>
      <c r="O103" s="251"/>
      <c r="P103" s="251"/>
      <c r="Q103" s="251"/>
      <c r="R103" s="251"/>
    </row>
    <row r="104" ht="15.75" hidden="1" customHeight="1">
      <c r="A104" s="268">
        <v>191.0</v>
      </c>
      <c r="B104" s="80" t="s">
        <v>645</v>
      </c>
      <c r="C104" s="99" t="s">
        <v>642</v>
      </c>
      <c r="D104" s="99" t="s">
        <v>529</v>
      </c>
      <c r="E104" s="272">
        <v>8280.0</v>
      </c>
      <c r="G104" s="50">
        <v>12000.0</v>
      </c>
      <c r="H104" s="271"/>
      <c r="I104" s="271">
        <f t="shared" si="1"/>
        <v>0.4492753623</v>
      </c>
      <c r="J104" s="99">
        <v>1.0</v>
      </c>
      <c r="K104" s="50">
        <f> J104 - SUMIF('Ventas diarias'!C:C, A104, 'Ventas diarias'!E:E)</f>
        <v>1</v>
      </c>
      <c r="L104" s="272">
        <f t="shared" si="2"/>
        <v>8280</v>
      </c>
      <c r="M104" s="99">
        <v>0.0</v>
      </c>
      <c r="N104" s="273" t="str">
        <f t="shared" si="3"/>
        <v>✅ Ok</v>
      </c>
      <c r="O104" s="251"/>
      <c r="P104" s="251"/>
      <c r="Q104" s="251"/>
      <c r="R104" s="251"/>
    </row>
    <row r="105" ht="15.75" hidden="1" customHeight="1">
      <c r="A105" s="262">
        <v>192.0</v>
      </c>
      <c r="B105" s="136" t="s">
        <v>646</v>
      </c>
      <c r="C105" s="98" t="s">
        <v>642</v>
      </c>
      <c r="D105" s="98" t="s">
        <v>529</v>
      </c>
      <c r="E105" s="266">
        <v>2024.0</v>
      </c>
      <c r="G105" s="51">
        <v>3000.0</v>
      </c>
      <c r="H105" s="265"/>
      <c r="I105" s="265">
        <f t="shared" si="1"/>
        <v>0.4822134387</v>
      </c>
      <c r="J105" s="98">
        <v>1.0</v>
      </c>
      <c r="K105" s="51">
        <f> J105 - SUMIF('Ventas diarias'!C:C, A105, 'Ventas diarias'!E:E)</f>
        <v>1</v>
      </c>
      <c r="L105" s="266">
        <f t="shared" si="2"/>
        <v>2024</v>
      </c>
      <c r="M105" s="98">
        <v>0.0</v>
      </c>
      <c r="N105" s="267" t="str">
        <f t="shared" si="3"/>
        <v>✅ Ok</v>
      </c>
      <c r="O105" s="251"/>
      <c r="P105" s="251"/>
      <c r="Q105" s="251"/>
      <c r="R105" s="251"/>
    </row>
    <row r="106" ht="15.75" hidden="1" customHeight="1">
      <c r="A106" s="268">
        <v>193.0</v>
      </c>
      <c r="B106" s="80" t="s">
        <v>647</v>
      </c>
      <c r="C106" s="99" t="s">
        <v>642</v>
      </c>
      <c r="D106" s="99" t="s">
        <v>529</v>
      </c>
      <c r="E106" s="272">
        <v>2250.0</v>
      </c>
      <c r="G106" s="50">
        <v>3500.0</v>
      </c>
      <c r="H106" s="271"/>
      <c r="I106" s="271">
        <f t="shared" si="1"/>
        <v>0.5555555556</v>
      </c>
      <c r="J106" s="99">
        <v>1.0</v>
      </c>
      <c r="K106" s="50">
        <f> J106 - SUMIF('Ventas diarias'!C:C, A106, 'Ventas diarias'!E:E)</f>
        <v>0</v>
      </c>
      <c r="L106" s="272">
        <f t="shared" si="2"/>
        <v>2250</v>
      </c>
      <c r="M106" s="99">
        <v>0.0</v>
      </c>
      <c r="N106" s="273" t="str">
        <f t="shared" si="3"/>
        <v>🛑 Agotado</v>
      </c>
      <c r="O106" s="251"/>
      <c r="P106" s="251"/>
      <c r="Q106" s="251"/>
      <c r="R106" s="251"/>
    </row>
    <row r="107" ht="15.75" hidden="1" customHeight="1">
      <c r="A107" s="262">
        <v>194.0</v>
      </c>
      <c r="B107" s="136" t="s">
        <v>648</v>
      </c>
      <c r="C107" s="98" t="s">
        <v>642</v>
      </c>
      <c r="D107" s="98" t="s">
        <v>529</v>
      </c>
      <c r="E107" s="266">
        <v>9200.0</v>
      </c>
      <c r="G107" s="51">
        <v>12000.0</v>
      </c>
      <c r="H107" s="265"/>
      <c r="I107" s="265">
        <f t="shared" si="1"/>
        <v>0.3043478261</v>
      </c>
      <c r="J107" s="98">
        <v>1.0</v>
      </c>
      <c r="K107" s="51">
        <f> J107 - SUMIF('Ventas diarias'!C:C, A107, 'Ventas diarias'!E:E)</f>
        <v>1</v>
      </c>
      <c r="L107" s="266">
        <f t="shared" si="2"/>
        <v>9200</v>
      </c>
      <c r="M107" s="98">
        <v>0.0</v>
      </c>
      <c r="N107" s="267" t="str">
        <f t="shared" si="3"/>
        <v>✅ Ok</v>
      </c>
      <c r="O107" s="251"/>
      <c r="P107" s="251"/>
      <c r="Q107" s="251"/>
      <c r="R107" s="251"/>
    </row>
    <row r="108" ht="15.75" hidden="1" customHeight="1">
      <c r="A108" s="268">
        <v>195.0</v>
      </c>
      <c r="B108" s="80" t="s">
        <v>649</v>
      </c>
      <c r="C108" s="99" t="s">
        <v>642</v>
      </c>
      <c r="D108" s="99" t="s">
        <v>529</v>
      </c>
      <c r="E108" s="272">
        <v>6500.0</v>
      </c>
      <c r="G108" s="50">
        <v>8000.0</v>
      </c>
      <c r="H108" s="271"/>
      <c r="I108" s="271">
        <f t="shared" si="1"/>
        <v>0.2307692308</v>
      </c>
      <c r="J108" s="99">
        <v>1.0</v>
      </c>
      <c r="K108" s="50">
        <f> J108 - SUMIF('Ventas diarias'!C:C, A108, 'Ventas diarias'!E:E)</f>
        <v>0</v>
      </c>
      <c r="L108" s="272">
        <f t="shared" si="2"/>
        <v>6500</v>
      </c>
      <c r="M108" s="99">
        <v>0.0</v>
      </c>
      <c r="N108" s="273" t="str">
        <f t="shared" si="3"/>
        <v>🛑 Agotado</v>
      </c>
      <c r="O108" s="251"/>
      <c r="P108" s="251"/>
      <c r="Q108" s="251"/>
      <c r="R108" s="251"/>
    </row>
    <row r="109" ht="15.75" hidden="1" customHeight="1">
      <c r="A109" s="262">
        <v>196.0</v>
      </c>
      <c r="B109" s="136" t="s">
        <v>650</v>
      </c>
      <c r="C109" s="98" t="s">
        <v>642</v>
      </c>
      <c r="D109" s="98" t="s">
        <v>529</v>
      </c>
      <c r="E109" s="266">
        <v>7250.0</v>
      </c>
      <c r="G109" s="51">
        <v>9000.0</v>
      </c>
      <c r="H109" s="265"/>
      <c r="I109" s="265">
        <f t="shared" si="1"/>
        <v>0.2413793103</v>
      </c>
      <c r="J109" s="98">
        <v>1.0</v>
      </c>
      <c r="K109" s="51">
        <f> J109 - SUMIF('Ventas diarias'!C:C, A109, 'Ventas diarias'!E:E)</f>
        <v>0</v>
      </c>
      <c r="L109" s="266">
        <f t="shared" si="2"/>
        <v>7250</v>
      </c>
      <c r="M109" s="98">
        <v>0.0</v>
      </c>
      <c r="N109" s="267" t="str">
        <f t="shared" si="3"/>
        <v>🛑 Agotado</v>
      </c>
      <c r="O109" s="251"/>
      <c r="P109" s="251"/>
      <c r="Q109" s="251"/>
      <c r="R109" s="251"/>
    </row>
    <row r="110" ht="15.75" hidden="1" customHeight="1">
      <c r="A110" s="268">
        <v>197.0</v>
      </c>
      <c r="B110" s="80" t="s">
        <v>651</v>
      </c>
      <c r="C110" s="99" t="s">
        <v>642</v>
      </c>
      <c r="D110" s="99" t="s">
        <v>529</v>
      </c>
      <c r="E110" s="272">
        <v>7360.0</v>
      </c>
      <c r="G110" s="50">
        <v>10000.0</v>
      </c>
      <c r="H110" s="271"/>
      <c r="I110" s="271">
        <f t="shared" si="1"/>
        <v>0.3586956522</v>
      </c>
      <c r="J110" s="99">
        <v>1.0</v>
      </c>
      <c r="K110" s="50">
        <f> J110 - SUMIF('Ventas diarias'!C:C, A110, 'Ventas diarias'!E:E)</f>
        <v>1</v>
      </c>
      <c r="L110" s="272">
        <f t="shared" si="2"/>
        <v>7360</v>
      </c>
      <c r="M110" s="99">
        <v>0.0</v>
      </c>
      <c r="N110" s="273" t="str">
        <f t="shared" si="3"/>
        <v>✅ Ok</v>
      </c>
      <c r="O110" s="251"/>
      <c r="P110" s="251"/>
      <c r="Q110" s="251"/>
      <c r="R110" s="251"/>
    </row>
    <row r="111" ht="15.75" hidden="1" customHeight="1">
      <c r="A111" s="262">
        <v>198.0</v>
      </c>
      <c r="B111" s="136" t="s">
        <v>652</v>
      </c>
      <c r="C111" s="98" t="s">
        <v>642</v>
      </c>
      <c r="D111" s="98" t="s">
        <v>529</v>
      </c>
      <c r="E111" s="266">
        <v>10727.0</v>
      </c>
      <c r="G111" s="51">
        <v>14000.0</v>
      </c>
      <c r="H111" s="265"/>
      <c r="I111" s="265">
        <f t="shared" si="1"/>
        <v>0.3051179267</v>
      </c>
      <c r="J111" s="98">
        <v>1.0</v>
      </c>
      <c r="K111" s="51">
        <f> J111 - SUMIF('Ventas diarias'!C:C, A111, 'Ventas diarias'!E:E)</f>
        <v>1</v>
      </c>
      <c r="L111" s="266">
        <f t="shared" si="2"/>
        <v>10727</v>
      </c>
      <c r="M111" s="98">
        <v>0.0</v>
      </c>
      <c r="N111" s="267" t="str">
        <f t="shared" si="3"/>
        <v>✅ Ok</v>
      </c>
      <c r="O111" s="251"/>
      <c r="P111" s="251"/>
      <c r="Q111" s="251"/>
      <c r="R111" s="251"/>
    </row>
    <row r="112" ht="15.75" hidden="1" customHeight="1">
      <c r="A112" s="268">
        <v>199.0</v>
      </c>
      <c r="B112" s="80" t="s">
        <v>653</v>
      </c>
      <c r="C112" s="99" t="s">
        <v>642</v>
      </c>
      <c r="D112" s="99" t="s">
        <v>529</v>
      </c>
      <c r="E112" s="272">
        <v>2180.0</v>
      </c>
      <c r="G112" s="50">
        <v>3500.0</v>
      </c>
      <c r="H112" s="271"/>
      <c r="I112" s="271">
        <f t="shared" si="1"/>
        <v>0.6055045872</v>
      </c>
      <c r="J112" s="99">
        <v>1.0</v>
      </c>
      <c r="K112" s="50">
        <f> J112 - SUMIF('Ventas diarias'!C:C, A112, 'Ventas diarias'!E:E)</f>
        <v>0</v>
      </c>
      <c r="L112" s="272">
        <f t="shared" si="2"/>
        <v>2180</v>
      </c>
      <c r="M112" s="99">
        <v>0.0</v>
      </c>
      <c r="N112" s="273" t="str">
        <f t="shared" si="3"/>
        <v>🛑 Agotado</v>
      </c>
      <c r="O112" s="251"/>
      <c r="P112" s="251"/>
      <c r="Q112" s="251"/>
      <c r="R112" s="251"/>
    </row>
    <row r="113" ht="15.75" customHeight="1">
      <c r="A113" s="262">
        <v>200.0</v>
      </c>
      <c r="B113" s="136" t="s">
        <v>654</v>
      </c>
      <c r="C113" s="98" t="s">
        <v>642</v>
      </c>
      <c r="D113" s="98" t="s">
        <v>529</v>
      </c>
      <c r="E113" s="266">
        <v>2030.0</v>
      </c>
      <c r="G113" s="51">
        <v>3500.0</v>
      </c>
      <c r="H113" s="265"/>
      <c r="I113" s="265">
        <f t="shared" si="1"/>
        <v>0.724137931</v>
      </c>
      <c r="J113" s="98">
        <v>1.0</v>
      </c>
      <c r="K113" s="51">
        <v>1.0</v>
      </c>
      <c r="L113" s="266">
        <f t="shared" si="2"/>
        <v>2030</v>
      </c>
      <c r="M113" s="98">
        <v>0.0</v>
      </c>
      <c r="N113" s="267" t="str">
        <f t="shared" si="3"/>
        <v>✅ Ok</v>
      </c>
      <c r="O113" s="251"/>
      <c r="P113" s="251"/>
      <c r="Q113" s="251"/>
      <c r="R113" s="251"/>
    </row>
    <row r="114" ht="15.75" hidden="1" customHeight="1">
      <c r="A114" s="268">
        <v>201.0</v>
      </c>
      <c r="B114" s="80" t="s">
        <v>655</v>
      </c>
      <c r="C114" s="99" t="s">
        <v>642</v>
      </c>
      <c r="D114" s="99" t="s">
        <v>529</v>
      </c>
      <c r="E114" s="272">
        <v>2760.0</v>
      </c>
      <c r="G114" s="50">
        <v>4200.0</v>
      </c>
      <c r="H114" s="271"/>
      <c r="I114" s="271">
        <f t="shared" si="1"/>
        <v>0.5217391304</v>
      </c>
      <c r="J114" s="99">
        <v>1.0</v>
      </c>
      <c r="K114" s="50">
        <f> J114 - SUMIF('Ventas diarias'!C:C, A114, 'Ventas diarias'!E:E)</f>
        <v>1</v>
      </c>
      <c r="L114" s="272">
        <f t="shared" si="2"/>
        <v>2760</v>
      </c>
      <c r="M114" s="99">
        <v>0.0</v>
      </c>
      <c r="N114" s="273" t="str">
        <f t="shared" si="3"/>
        <v>✅ Ok</v>
      </c>
      <c r="O114" s="251"/>
      <c r="P114" s="251"/>
      <c r="Q114" s="251"/>
      <c r="R114" s="251"/>
    </row>
    <row r="115" ht="15.75" hidden="1" customHeight="1">
      <c r="A115" s="262">
        <v>202.0</v>
      </c>
      <c r="B115" s="136" t="s">
        <v>656</v>
      </c>
      <c r="C115" s="98" t="s">
        <v>642</v>
      </c>
      <c r="D115" s="98" t="s">
        <v>529</v>
      </c>
      <c r="E115" s="266">
        <v>2208.0</v>
      </c>
      <c r="G115" s="51">
        <v>3400.0</v>
      </c>
      <c r="H115" s="265"/>
      <c r="I115" s="265">
        <f t="shared" si="1"/>
        <v>0.5398550725</v>
      </c>
      <c r="J115" s="98">
        <v>2.0</v>
      </c>
      <c r="K115" s="51">
        <f> J115 - SUMIF('Ventas diarias'!C:C, A115, 'Ventas diarias'!E:E)</f>
        <v>1</v>
      </c>
      <c r="L115" s="266">
        <f t="shared" si="2"/>
        <v>4416</v>
      </c>
      <c r="M115" s="98">
        <v>0.0</v>
      </c>
      <c r="N115" s="267" t="str">
        <f t="shared" si="3"/>
        <v>✅ Ok</v>
      </c>
      <c r="O115" s="251"/>
      <c r="P115" s="251"/>
      <c r="Q115" s="251"/>
      <c r="R115" s="251"/>
    </row>
    <row r="116" ht="15.75" hidden="1" customHeight="1">
      <c r="A116" s="268">
        <v>203.0</v>
      </c>
      <c r="B116" s="80" t="s">
        <v>657</v>
      </c>
      <c r="C116" s="99" t="s">
        <v>642</v>
      </c>
      <c r="D116" s="99" t="s">
        <v>529</v>
      </c>
      <c r="E116" s="272">
        <v>3772.0</v>
      </c>
      <c r="G116" s="50">
        <v>5700.0</v>
      </c>
      <c r="H116" s="271"/>
      <c r="I116" s="271">
        <f t="shared" si="1"/>
        <v>0.5111346766</v>
      </c>
      <c r="J116" s="99">
        <v>1.0</v>
      </c>
      <c r="K116" s="50">
        <f> J116 - SUMIF('Ventas diarias'!C:C, A116, 'Ventas diarias'!E:E)</f>
        <v>1</v>
      </c>
      <c r="L116" s="272">
        <f t="shared" si="2"/>
        <v>3772</v>
      </c>
      <c r="M116" s="99">
        <v>0.0</v>
      </c>
      <c r="N116" s="273" t="str">
        <f t="shared" si="3"/>
        <v>✅ Ok</v>
      </c>
      <c r="O116" s="251"/>
      <c r="P116" s="251"/>
      <c r="Q116" s="251"/>
      <c r="R116" s="251"/>
    </row>
    <row r="117" ht="15.75" hidden="1" customHeight="1">
      <c r="A117" s="262">
        <v>204.0</v>
      </c>
      <c r="B117" s="136" t="s">
        <v>658</v>
      </c>
      <c r="C117" s="98" t="s">
        <v>642</v>
      </c>
      <c r="D117" s="98" t="s">
        <v>529</v>
      </c>
      <c r="E117" s="266">
        <v>5152.0</v>
      </c>
      <c r="G117" s="51">
        <v>7800.0</v>
      </c>
      <c r="H117" s="265"/>
      <c r="I117" s="265">
        <f t="shared" si="1"/>
        <v>0.5139751553</v>
      </c>
      <c r="J117" s="98">
        <v>1.0</v>
      </c>
      <c r="K117" s="51">
        <f> J117 - SUMIF('Ventas diarias'!C:C, A117, 'Ventas diarias'!E:E)</f>
        <v>1</v>
      </c>
      <c r="L117" s="266">
        <f t="shared" si="2"/>
        <v>5152</v>
      </c>
      <c r="M117" s="98">
        <v>0.0</v>
      </c>
      <c r="N117" s="267" t="str">
        <f t="shared" si="3"/>
        <v>✅ Ok</v>
      </c>
      <c r="O117" s="251"/>
      <c r="P117" s="251"/>
      <c r="Q117" s="251"/>
      <c r="R117" s="251"/>
    </row>
    <row r="118" ht="15.75" hidden="1" customHeight="1">
      <c r="A118" s="268">
        <v>205.0</v>
      </c>
      <c r="B118" s="80" t="s">
        <v>659</v>
      </c>
      <c r="C118" s="99" t="s">
        <v>642</v>
      </c>
      <c r="D118" s="99" t="s">
        <v>529</v>
      </c>
      <c r="E118" s="272">
        <v>6348.0</v>
      </c>
      <c r="G118" s="50">
        <v>9500.0</v>
      </c>
      <c r="H118" s="271"/>
      <c r="I118" s="271">
        <f t="shared" si="1"/>
        <v>0.4965343415</v>
      </c>
      <c r="J118" s="99">
        <v>1.0</v>
      </c>
      <c r="K118" s="50">
        <f> J118 - SUMIF('Ventas diarias'!C:C, A118, 'Ventas diarias'!E:E)</f>
        <v>1</v>
      </c>
      <c r="L118" s="272">
        <f t="shared" si="2"/>
        <v>6348</v>
      </c>
      <c r="M118" s="99">
        <v>0.0</v>
      </c>
      <c r="N118" s="273" t="str">
        <f t="shared" si="3"/>
        <v>✅ Ok</v>
      </c>
      <c r="O118" s="251"/>
      <c r="P118" s="251"/>
      <c r="Q118" s="251"/>
      <c r="R118" s="251"/>
    </row>
    <row r="119" ht="15.75" customHeight="1">
      <c r="A119" s="262">
        <v>206.0</v>
      </c>
      <c r="B119" s="136" t="s">
        <v>660</v>
      </c>
      <c r="C119" s="98" t="s">
        <v>642</v>
      </c>
      <c r="D119" s="98" t="s">
        <v>529</v>
      </c>
      <c r="E119" s="266">
        <v>3700.0</v>
      </c>
      <c r="G119" s="51">
        <v>5500.0</v>
      </c>
      <c r="H119" s="265"/>
      <c r="I119" s="265">
        <f t="shared" si="1"/>
        <v>0.4864864865</v>
      </c>
      <c r="J119" s="98">
        <v>1.0</v>
      </c>
      <c r="K119" s="51">
        <v>1.0</v>
      </c>
      <c r="L119" s="266">
        <f t="shared" si="2"/>
        <v>3700</v>
      </c>
      <c r="M119" s="98">
        <v>0.0</v>
      </c>
      <c r="N119" s="267" t="str">
        <f t="shared" si="3"/>
        <v>✅ Ok</v>
      </c>
      <c r="O119" s="251"/>
      <c r="P119" s="251"/>
      <c r="Q119" s="251"/>
      <c r="R119" s="251"/>
    </row>
    <row r="120" ht="15.75" hidden="1" customHeight="1">
      <c r="A120" s="268">
        <v>207.0</v>
      </c>
      <c r="B120" s="80" t="s">
        <v>661</v>
      </c>
      <c r="C120" s="99" t="s">
        <v>642</v>
      </c>
      <c r="D120" s="99" t="s">
        <v>529</v>
      </c>
      <c r="E120" s="272">
        <v>3082.0</v>
      </c>
      <c r="G120" s="50">
        <v>4600.0</v>
      </c>
      <c r="H120" s="271"/>
      <c r="I120" s="271">
        <f t="shared" si="1"/>
        <v>0.4925373134</v>
      </c>
      <c r="J120" s="99">
        <v>1.0</v>
      </c>
      <c r="K120" s="50">
        <f> J120 - SUMIF('Ventas diarias'!C:C, A120, 'Ventas diarias'!E:E)</f>
        <v>1</v>
      </c>
      <c r="L120" s="272">
        <f t="shared" si="2"/>
        <v>3082</v>
      </c>
      <c r="M120" s="99">
        <v>0.0</v>
      </c>
      <c r="N120" s="273" t="str">
        <f t="shared" si="3"/>
        <v>✅ Ok</v>
      </c>
      <c r="O120" s="251"/>
      <c r="P120" s="251"/>
      <c r="Q120" s="251"/>
      <c r="R120" s="251"/>
    </row>
    <row r="121" ht="15.75" hidden="1" customHeight="1">
      <c r="A121" s="262">
        <v>208.0</v>
      </c>
      <c r="B121" s="136" t="s">
        <v>662</v>
      </c>
      <c r="C121" s="98" t="s">
        <v>598</v>
      </c>
      <c r="D121" s="98" t="s">
        <v>529</v>
      </c>
      <c r="E121" s="266">
        <v>1380.0</v>
      </c>
      <c r="G121" s="51">
        <v>3000.0</v>
      </c>
      <c r="H121" s="265"/>
      <c r="I121" s="265">
        <f t="shared" si="1"/>
        <v>1.173913043</v>
      </c>
      <c r="J121" s="98">
        <v>1.0</v>
      </c>
      <c r="K121" s="51">
        <f> J121 - SUMIF('Ventas diarias'!C:C, A121, 'Ventas diarias'!E:E)</f>
        <v>1</v>
      </c>
      <c r="L121" s="266">
        <f t="shared" si="2"/>
        <v>1380</v>
      </c>
      <c r="M121" s="98">
        <v>0.0</v>
      </c>
      <c r="N121" s="267" t="str">
        <f t="shared" si="3"/>
        <v>✅ Ok</v>
      </c>
      <c r="O121" s="251"/>
      <c r="P121" s="251"/>
      <c r="Q121" s="251"/>
      <c r="R121" s="251"/>
    </row>
    <row r="122" ht="15.75" hidden="1" customHeight="1">
      <c r="A122" s="268">
        <v>209.0</v>
      </c>
      <c r="B122" s="80" t="s">
        <v>663</v>
      </c>
      <c r="C122" s="99" t="s">
        <v>598</v>
      </c>
      <c r="D122" s="99" t="s">
        <v>529</v>
      </c>
      <c r="E122" s="272">
        <v>2350.0</v>
      </c>
      <c r="G122" s="50">
        <v>4500.0</v>
      </c>
      <c r="H122" s="271"/>
      <c r="I122" s="271">
        <f t="shared" si="1"/>
        <v>0.914893617</v>
      </c>
      <c r="J122" s="99">
        <v>1.0</v>
      </c>
      <c r="K122" s="50">
        <f> J122 - SUMIF('Ventas diarias'!C:C, A122, 'Ventas diarias'!E:E)</f>
        <v>0</v>
      </c>
      <c r="L122" s="272">
        <f t="shared" si="2"/>
        <v>2350</v>
      </c>
      <c r="M122" s="99">
        <v>0.0</v>
      </c>
      <c r="N122" s="273" t="str">
        <f t="shared" si="3"/>
        <v>🛑 Agotado</v>
      </c>
      <c r="O122" s="251"/>
      <c r="P122" s="251"/>
      <c r="Q122" s="251"/>
      <c r="R122" s="251"/>
    </row>
    <row r="123" ht="15.75" hidden="1" customHeight="1">
      <c r="A123" s="262">
        <v>210.0</v>
      </c>
      <c r="B123" s="136" t="s">
        <v>664</v>
      </c>
      <c r="C123" s="98" t="s">
        <v>598</v>
      </c>
      <c r="D123" s="98" t="s">
        <v>529</v>
      </c>
      <c r="E123" s="266">
        <v>1279.26</v>
      </c>
      <c r="G123" s="51">
        <v>2600.0</v>
      </c>
      <c r="H123" s="265"/>
      <c r="I123" s="265">
        <f t="shared" si="1"/>
        <v>1.032424996</v>
      </c>
      <c r="J123" s="98">
        <v>1.0</v>
      </c>
      <c r="K123" s="51">
        <f> J123 - SUMIF('Ventas diarias'!C:C, A123, 'Ventas diarias'!E:E)</f>
        <v>1</v>
      </c>
      <c r="L123" s="266">
        <f t="shared" si="2"/>
        <v>1279.26</v>
      </c>
      <c r="M123" s="98">
        <v>0.0</v>
      </c>
      <c r="N123" s="267" t="str">
        <f t="shared" si="3"/>
        <v>✅ Ok</v>
      </c>
      <c r="O123" s="251"/>
      <c r="P123" s="251"/>
      <c r="Q123" s="251"/>
      <c r="R123" s="251"/>
    </row>
    <row r="124" ht="15.75" hidden="1" customHeight="1">
      <c r="A124" s="268"/>
      <c r="B124" s="80"/>
      <c r="C124" s="99"/>
      <c r="D124" s="99" t="s">
        <v>529</v>
      </c>
      <c r="E124" s="272">
        <v>1279.26</v>
      </c>
      <c r="G124" s="50">
        <v>2600.0</v>
      </c>
      <c r="H124" s="271"/>
      <c r="I124" s="271">
        <f t="shared" si="1"/>
        <v>1.032424996</v>
      </c>
      <c r="J124" s="99"/>
      <c r="K124" s="50">
        <f> J124 - SUMIF('Ventas diarias'!C:C, A124, 'Ventas diarias'!E:E)</f>
        <v>0</v>
      </c>
      <c r="L124" s="272">
        <f t="shared" si="2"/>
        <v>0</v>
      </c>
      <c r="M124" s="99"/>
      <c r="N124" s="273" t="str">
        <f t="shared" si="3"/>
        <v>🛑 Agotado</v>
      </c>
      <c r="O124" s="251"/>
      <c r="P124" s="251"/>
      <c r="Q124" s="251"/>
      <c r="R124" s="251"/>
    </row>
    <row r="125" ht="15.75" hidden="1" customHeight="1">
      <c r="A125" s="262">
        <v>2101.0</v>
      </c>
      <c r="B125" s="136" t="s">
        <v>665</v>
      </c>
      <c r="C125" s="98" t="s">
        <v>666</v>
      </c>
      <c r="D125" s="98" t="s">
        <v>529</v>
      </c>
      <c r="E125" s="266">
        <v>4400.0</v>
      </c>
      <c r="G125" s="51">
        <v>7900.0</v>
      </c>
      <c r="H125" s="265"/>
      <c r="I125" s="265">
        <f t="shared" si="1"/>
        <v>0.7954545455</v>
      </c>
      <c r="J125" s="98"/>
      <c r="K125" s="51">
        <v>1.0</v>
      </c>
      <c r="L125" s="266">
        <f t="shared" si="2"/>
        <v>0</v>
      </c>
      <c r="M125" s="98">
        <v>0.0</v>
      </c>
      <c r="N125" s="267" t="str">
        <f t="shared" si="3"/>
        <v>✅ Ok</v>
      </c>
      <c r="O125" s="251"/>
      <c r="P125" s="251"/>
      <c r="Q125" s="251"/>
      <c r="R125" s="251"/>
    </row>
    <row r="126" ht="15.75" hidden="1" customHeight="1">
      <c r="A126" s="268">
        <v>2102.0</v>
      </c>
      <c r="B126" s="80" t="s">
        <v>667</v>
      </c>
      <c r="C126" s="99" t="s">
        <v>668</v>
      </c>
      <c r="D126" s="99" t="s">
        <v>529</v>
      </c>
      <c r="E126" s="272">
        <v>11200.0</v>
      </c>
      <c r="G126" s="50">
        <v>16900.0</v>
      </c>
      <c r="H126" s="271"/>
      <c r="I126" s="271">
        <f t="shared" si="1"/>
        <v>0.5089285714</v>
      </c>
      <c r="J126" s="99"/>
      <c r="K126" s="50">
        <v>1.0</v>
      </c>
      <c r="L126" s="272">
        <f t="shared" si="2"/>
        <v>0</v>
      </c>
      <c r="M126" s="99">
        <v>0.0</v>
      </c>
      <c r="N126" s="273" t="str">
        <f t="shared" si="3"/>
        <v>✅ Ok</v>
      </c>
      <c r="O126" s="251"/>
      <c r="P126" s="251"/>
      <c r="Q126" s="251"/>
      <c r="R126" s="251"/>
    </row>
    <row r="127" ht="15.75" hidden="1" customHeight="1">
      <c r="A127" s="262">
        <v>2103.0</v>
      </c>
      <c r="B127" s="136" t="s">
        <v>669</v>
      </c>
      <c r="C127" s="98" t="s">
        <v>668</v>
      </c>
      <c r="D127" s="98" t="s">
        <v>529</v>
      </c>
      <c r="E127" s="266">
        <v>3950.0</v>
      </c>
      <c r="G127" s="51">
        <v>6500.0</v>
      </c>
      <c r="H127" s="265"/>
      <c r="I127" s="265">
        <f t="shared" si="1"/>
        <v>0.6455696203</v>
      </c>
      <c r="J127" s="98"/>
      <c r="K127" s="51">
        <v>1.0</v>
      </c>
      <c r="L127" s="266">
        <f t="shared" si="2"/>
        <v>0</v>
      </c>
      <c r="M127" s="98">
        <v>0.0</v>
      </c>
      <c r="N127" s="267" t="str">
        <f t="shared" si="3"/>
        <v>✅ Ok</v>
      </c>
      <c r="O127" s="251"/>
      <c r="P127" s="251"/>
      <c r="Q127" s="251"/>
      <c r="R127" s="251"/>
    </row>
    <row r="128" ht="15.75" hidden="1" customHeight="1">
      <c r="A128" s="268">
        <v>2104.0</v>
      </c>
      <c r="B128" s="80" t="s">
        <v>670</v>
      </c>
      <c r="C128" s="99" t="s">
        <v>668</v>
      </c>
      <c r="D128" s="99" t="s">
        <v>529</v>
      </c>
      <c r="E128" s="272">
        <v>6100.0</v>
      </c>
      <c r="G128" s="50">
        <v>9300.0</v>
      </c>
      <c r="H128" s="271"/>
      <c r="I128" s="271">
        <f t="shared" si="1"/>
        <v>0.5245901639</v>
      </c>
      <c r="J128" s="99"/>
      <c r="K128" s="50">
        <v>1.0</v>
      </c>
      <c r="L128" s="272">
        <f t="shared" si="2"/>
        <v>0</v>
      </c>
      <c r="M128" s="99">
        <v>0.0</v>
      </c>
      <c r="N128" s="273" t="str">
        <f t="shared" si="3"/>
        <v>✅ Ok</v>
      </c>
      <c r="O128" s="251"/>
      <c r="P128" s="251"/>
      <c r="Q128" s="251"/>
      <c r="R128" s="251"/>
    </row>
    <row r="129" ht="15.75" hidden="1" customHeight="1">
      <c r="A129" s="262">
        <v>2105.0</v>
      </c>
      <c r="B129" s="136" t="s">
        <v>671</v>
      </c>
      <c r="C129" s="98" t="s">
        <v>672</v>
      </c>
      <c r="D129" s="98" t="s">
        <v>529</v>
      </c>
      <c r="E129" s="266">
        <v>6000.0</v>
      </c>
      <c r="G129" s="51">
        <v>8900.0</v>
      </c>
      <c r="H129" s="265"/>
      <c r="I129" s="265">
        <f t="shared" si="1"/>
        <v>0.4833333333</v>
      </c>
      <c r="J129" s="98"/>
      <c r="K129" s="51">
        <v>2.0</v>
      </c>
      <c r="L129" s="266">
        <f t="shared" si="2"/>
        <v>0</v>
      </c>
      <c r="M129" s="98">
        <v>0.0</v>
      </c>
      <c r="N129" s="267" t="str">
        <f t="shared" si="3"/>
        <v>✅ Ok</v>
      </c>
      <c r="O129" s="251"/>
      <c r="P129" s="251"/>
      <c r="Q129" s="251"/>
      <c r="R129" s="251"/>
    </row>
    <row r="130" ht="15.75" hidden="1" customHeight="1">
      <c r="A130" s="268">
        <v>2106.0</v>
      </c>
      <c r="B130" s="80" t="s">
        <v>673</v>
      </c>
      <c r="C130" s="99" t="s">
        <v>674</v>
      </c>
      <c r="D130" s="99" t="s">
        <v>529</v>
      </c>
      <c r="E130" s="272">
        <v>1050.0</v>
      </c>
      <c r="G130" s="50">
        <v>2000.0</v>
      </c>
      <c r="H130" s="271"/>
      <c r="I130" s="271">
        <f t="shared" si="1"/>
        <v>0.9047619048</v>
      </c>
      <c r="J130" s="99"/>
      <c r="K130" s="50">
        <v>1.0</v>
      </c>
      <c r="L130" s="272">
        <f t="shared" si="2"/>
        <v>0</v>
      </c>
      <c r="M130" s="99">
        <v>0.0</v>
      </c>
      <c r="N130" s="273" t="str">
        <f t="shared" si="3"/>
        <v>✅ Ok</v>
      </c>
      <c r="O130" s="251"/>
      <c r="P130" s="251"/>
      <c r="Q130" s="251"/>
      <c r="R130" s="251"/>
    </row>
    <row r="131" ht="15.75" hidden="1" customHeight="1">
      <c r="A131" s="262">
        <v>2107.0</v>
      </c>
      <c r="B131" s="136" t="s">
        <v>675</v>
      </c>
      <c r="C131" s="98" t="s">
        <v>676</v>
      </c>
      <c r="D131" s="98" t="s">
        <v>529</v>
      </c>
      <c r="E131" s="266">
        <v>4947.0</v>
      </c>
      <c r="G131" s="51">
        <v>9900.0</v>
      </c>
      <c r="H131" s="265"/>
      <c r="I131" s="265">
        <f t="shared" si="1"/>
        <v>1.001212856</v>
      </c>
      <c r="J131" s="98"/>
      <c r="K131" s="51">
        <v>1.0</v>
      </c>
      <c r="L131" s="266">
        <f t="shared" si="2"/>
        <v>0</v>
      </c>
      <c r="M131" s="98">
        <v>0.0</v>
      </c>
      <c r="N131" s="267" t="str">
        <f t="shared" si="3"/>
        <v>✅ Ok</v>
      </c>
      <c r="O131" s="251"/>
      <c r="P131" s="251"/>
      <c r="Q131" s="251"/>
      <c r="R131" s="251"/>
    </row>
    <row r="132" ht="15.75" hidden="1" customHeight="1">
      <c r="A132" s="275"/>
      <c r="B132" s="276" t="s">
        <v>677</v>
      </c>
      <c r="C132" s="277"/>
      <c r="D132" s="277"/>
      <c r="E132" s="278"/>
      <c r="F132" s="277"/>
      <c r="G132" s="277"/>
      <c r="H132" s="279"/>
      <c r="I132" s="279" t="str">
        <f t="shared" si="1"/>
        <v>#DIV/0!</v>
      </c>
      <c r="J132" s="280"/>
      <c r="K132" s="50">
        <f> J132 - SUMIF('Ventas diarias'!C:C, A132, 'Ventas diarias'!E:E)</f>
        <v>0</v>
      </c>
      <c r="L132" s="278">
        <f t="shared" si="2"/>
        <v>0</v>
      </c>
      <c r="M132" s="236"/>
      <c r="N132" s="273" t="str">
        <f t="shared" si="3"/>
        <v>🛑 Agotado</v>
      </c>
      <c r="O132" s="251"/>
      <c r="P132" s="251"/>
      <c r="Q132" s="251"/>
      <c r="R132" s="251"/>
    </row>
    <row r="133" ht="15.75" hidden="1" customHeight="1">
      <c r="A133" s="262">
        <v>212.0</v>
      </c>
      <c r="B133" s="136" t="s">
        <v>678</v>
      </c>
      <c r="C133" s="98" t="s">
        <v>636</v>
      </c>
      <c r="D133" s="98" t="s">
        <v>529</v>
      </c>
      <c r="E133" s="266">
        <v>2778.13</v>
      </c>
      <c r="G133" s="51">
        <v>4000.0</v>
      </c>
      <c r="H133" s="265"/>
      <c r="I133" s="265">
        <f t="shared" si="1"/>
        <v>0.4398174311</v>
      </c>
      <c r="J133" s="98">
        <v>15.0</v>
      </c>
      <c r="K133" s="51">
        <f> J133 - SUMIF('Ventas diarias'!C:C, A133, 'Ventas diarias'!E:E)</f>
        <v>-30.87</v>
      </c>
      <c r="L133" s="266">
        <f t="shared" si="2"/>
        <v>41671.95</v>
      </c>
      <c r="M133" s="274">
        <v>0.0</v>
      </c>
      <c r="N133" s="267" t="str">
        <f t="shared" si="3"/>
        <v>🟡 Bajo</v>
      </c>
      <c r="O133" s="251"/>
      <c r="P133" s="251"/>
      <c r="Q133" s="251"/>
      <c r="R133" s="251"/>
    </row>
    <row r="134" ht="15.75" hidden="1" customHeight="1">
      <c r="A134" s="268">
        <v>213.0</v>
      </c>
      <c r="B134" s="80" t="s">
        <v>679</v>
      </c>
      <c r="C134" s="99" t="s">
        <v>636</v>
      </c>
      <c r="D134" s="99" t="s">
        <v>529</v>
      </c>
      <c r="E134" s="272">
        <v>2953.8</v>
      </c>
      <c r="G134" s="50">
        <v>4200.0</v>
      </c>
      <c r="H134" s="271"/>
      <c r="I134" s="271">
        <f t="shared" si="1"/>
        <v>0.4218972171</v>
      </c>
      <c r="J134" s="99">
        <v>15.0</v>
      </c>
      <c r="K134" s="50">
        <f> J134 - SUMIF('Ventas diarias'!C:C, A134, 'Ventas diarias'!E:E)</f>
        <v>4.302</v>
      </c>
      <c r="L134" s="272">
        <f t="shared" si="2"/>
        <v>44307</v>
      </c>
      <c r="M134" s="274">
        <v>7.5</v>
      </c>
      <c r="N134" s="273" t="str">
        <f t="shared" si="3"/>
        <v>🟡 Bajo</v>
      </c>
      <c r="O134" s="251"/>
      <c r="P134" s="251"/>
      <c r="Q134" s="251"/>
      <c r="R134" s="251"/>
    </row>
    <row r="135" ht="15.75" hidden="1" customHeight="1">
      <c r="A135" s="262">
        <v>214.0</v>
      </c>
      <c r="B135" s="136" t="s">
        <v>680</v>
      </c>
      <c r="C135" s="98" t="s">
        <v>636</v>
      </c>
      <c r="D135" s="98" t="s">
        <v>529</v>
      </c>
      <c r="E135" s="266">
        <v>2324.4</v>
      </c>
      <c r="G135" s="51">
        <v>4000.0</v>
      </c>
      <c r="H135" s="265"/>
      <c r="I135" s="265">
        <f t="shared" si="1"/>
        <v>0.7208742041</v>
      </c>
      <c r="J135" s="98">
        <v>20.0</v>
      </c>
      <c r="K135" s="51">
        <f> J135 - SUMIF('Ventas diarias'!C:C, A135, 'Ventas diarias'!E:E)</f>
        <v>-14.36</v>
      </c>
      <c r="L135" s="266">
        <f t="shared" si="2"/>
        <v>46488</v>
      </c>
      <c r="M135" s="274">
        <v>0.0</v>
      </c>
      <c r="N135" s="267" t="str">
        <f t="shared" si="3"/>
        <v>🟡 Bajo</v>
      </c>
      <c r="O135" s="251"/>
      <c r="P135" s="251"/>
      <c r="Q135" s="251"/>
      <c r="R135" s="251"/>
    </row>
    <row r="136" ht="15.75" hidden="1" customHeight="1">
      <c r="A136" s="268">
        <v>215.0</v>
      </c>
      <c r="B136" s="99" t="s">
        <v>681</v>
      </c>
      <c r="C136" s="99" t="s">
        <v>636</v>
      </c>
      <c r="D136" s="99" t="s">
        <v>529</v>
      </c>
      <c r="E136" s="272">
        <v>2118.6</v>
      </c>
      <c r="G136" s="50">
        <v>3600.0</v>
      </c>
      <c r="H136" s="271"/>
      <c r="I136" s="281">
        <f>(G136-E136)/G136</f>
        <v>0.4115</v>
      </c>
      <c r="J136" s="99"/>
      <c r="K136" s="50">
        <f> J136 - SUMIF('Ventas diarias'!C:C, A136, 'Ventas diarias'!E:E)</f>
        <v>-2.944</v>
      </c>
      <c r="L136" s="272">
        <f t="shared" si="2"/>
        <v>0</v>
      </c>
      <c r="M136" s="274">
        <v>5.0</v>
      </c>
      <c r="N136" s="273" t="str">
        <f t="shared" si="3"/>
        <v>🟡 Bajo</v>
      </c>
      <c r="O136" s="251"/>
      <c r="P136" s="251"/>
      <c r="Q136" s="251"/>
      <c r="R136" s="251"/>
    </row>
    <row r="137" ht="15.75" hidden="1" customHeight="1">
      <c r="A137" s="262">
        <v>216.0</v>
      </c>
      <c r="B137" s="136" t="s">
        <v>682</v>
      </c>
      <c r="C137" s="98" t="s">
        <v>636</v>
      </c>
      <c r="D137" s="98" t="s">
        <v>529</v>
      </c>
      <c r="E137" s="266">
        <v>2361.8</v>
      </c>
      <c r="G137" s="51">
        <v>4600.0</v>
      </c>
      <c r="H137" s="265"/>
      <c r="I137" s="265">
        <f t="shared" ref="I137:I141" si="4">((G137-E137)/E137)</f>
        <v>0.9476670336</v>
      </c>
      <c r="J137" s="98">
        <v>20.0</v>
      </c>
      <c r="K137" s="51">
        <f> J137 - SUMIF('Ventas diarias'!C:C, A137, 'Ventas diarias'!E:E)</f>
        <v>12.5</v>
      </c>
      <c r="L137" s="266">
        <f t="shared" si="2"/>
        <v>47236</v>
      </c>
      <c r="M137" s="98">
        <v>10.0</v>
      </c>
      <c r="N137" s="267" t="str">
        <f t="shared" si="3"/>
        <v>✅ Ok</v>
      </c>
      <c r="O137" s="251"/>
      <c r="P137" s="251"/>
      <c r="Q137" s="251"/>
      <c r="R137" s="251"/>
    </row>
    <row r="138" ht="15.75" hidden="1" customHeight="1">
      <c r="A138" s="268">
        <v>217.0</v>
      </c>
      <c r="B138" s="80" t="s">
        <v>683</v>
      </c>
      <c r="C138" s="99" t="s">
        <v>636</v>
      </c>
      <c r="D138" s="99" t="s">
        <v>529</v>
      </c>
      <c r="E138" s="272">
        <v>1482.0</v>
      </c>
      <c r="G138" s="50">
        <v>2100.0</v>
      </c>
      <c r="H138" s="271"/>
      <c r="I138" s="271">
        <f t="shared" si="4"/>
        <v>0.4170040486</v>
      </c>
      <c r="J138" s="99">
        <v>20.0</v>
      </c>
      <c r="K138" s="50">
        <f> J138 - SUMIF('Ventas diarias'!C:C, A138, 'Ventas diarias'!E:E)</f>
        <v>-3.195</v>
      </c>
      <c r="L138" s="272">
        <f t="shared" si="2"/>
        <v>29640</v>
      </c>
      <c r="M138" s="274">
        <v>7.5</v>
      </c>
      <c r="N138" s="273" t="str">
        <f t="shared" si="3"/>
        <v>🟡 Bajo</v>
      </c>
      <c r="O138" s="251"/>
      <c r="P138" s="251"/>
      <c r="Q138" s="251"/>
      <c r="R138" s="251"/>
    </row>
    <row r="139" ht="15.75" hidden="1" customHeight="1">
      <c r="A139" s="262">
        <v>218.0</v>
      </c>
      <c r="B139" s="136" t="s">
        <v>684</v>
      </c>
      <c r="C139" s="98" t="s">
        <v>636</v>
      </c>
      <c r="D139" s="98" t="s">
        <v>529</v>
      </c>
      <c r="E139" s="266">
        <v>7325.5</v>
      </c>
      <c r="G139" s="51">
        <v>9900.0</v>
      </c>
      <c r="H139" s="265"/>
      <c r="I139" s="265">
        <f t="shared" si="4"/>
        <v>0.3514435875</v>
      </c>
      <c r="J139" s="98">
        <v>15.0</v>
      </c>
      <c r="K139" s="51">
        <f> J139 - SUMIF('Ventas diarias'!C:C, A139, 'Ventas diarias'!E:E)</f>
        <v>13</v>
      </c>
      <c r="L139" s="266">
        <f t="shared" si="2"/>
        <v>109882.5</v>
      </c>
      <c r="M139" s="98">
        <v>7.5</v>
      </c>
      <c r="N139" s="267" t="str">
        <f t="shared" si="3"/>
        <v>✅ Ok</v>
      </c>
      <c r="O139" s="251"/>
      <c r="P139" s="251"/>
      <c r="Q139" s="251"/>
      <c r="R139" s="251"/>
    </row>
    <row r="140" ht="15.75" hidden="1" customHeight="1">
      <c r="A140" s="268">
        <v>219.0</v>
      </c>
      <c r="B140" s="80" t="s">
        <v>685</v>
      </c>
      <c r="C140" s="99" t="s">
        <v>636</v>
      </c>
      <c r="D140" s="99" t="s">
        <v>529</v>
      </c>
      <c r="E140" s="272">
        <v>3968.92</v>
      </c>
      <c r="G140" s="50">
        <v>5700.0</v>
      </c>
      <c r="H140" s="271"/>
      <c r="I140" s="271">
        <f t="shared" si="4"/>
        <v>0.4361589551</v>
      </c>
      <c r="J140" s="99">
        <v>7.5</v>
      </c>
      <c r="K140" s="50">
        <f> J140 - SUMIF('Ventas diarias'!C:C, A140, 'Ventas diarias'!E:E)</f>
        <v>6.878</v>
      </c>
      <c r="L140" s="272">
        <f t="shared" si="2"/>
        <v>29766.9</v>
      </c>
      <c r="M140" s="99">
        <v>3.5</v>
      </c>
      <c r="N140" s="273" t="str">
        <f t="shared" si="3"/>
        <v>✅ Ok</v>
      </c>
      <c r="O140" s="251"/>
      <c r="P140" s="251"/>
      <c r="Q140" s="251"/>
      <c r="R140" s="251"/>
    </row>
    <row r="141" ht="15.75" hidden="1" customHeight="1">
      <c r="A141" s="262">
        <v>220.0</v>
      </c>
      <c r="B141" s="136" t="s">
        <v>686</v>
      </c>
      <c r="C141" s="98" t="s">
        <v>636</v>
      </c>
      <c r="D141" s="98" t="s">
        <v>529</v>
      </c>
      <c r="E141" s="266">
        <v>3683.17</v>
      </c>
      <c r="G141" s="51">
        <v>5200.0</v>
      </c>
      <c r="H141" s="265"/>
      <c r="I141" s="265">
        <f t="shared" si="4"/>
        <v>0.4118273118</v>
      </c>
      <c r="J141" s="98">
        <v>20.0</v>
      </c>
      <c r="K141" s="51">
        <f> J141 - SUMIF('Ventas diarias'!C:C, A141, 'Ventas diarias'!E:E)</f>
        <v>19.2</v>
      </c>
      <c r="L141" s="266">
        <f t="shared" si="2"/>
        <v>73663.4</v>
      </c>
      <c r="M141" s="98">
        <v>5.0</v>
      </c>
      <c r="N141" s="267" t="str">
        <f t="shared" si="3"/>
        <v>✅ Ok</v>
      </c>
      <c r="O141" s="251"/>
      <c r="P141" s="251"/>
      <c r="Q141" s="251"/>
      <c r="R141" s="251"/>
    </row>
    <row r="142" ht="15.75" hidden="1" customHeight="1">
      <c r="A142" s="268">
        <v>221.0</v>
      </c>
      <c r="B142" s="99" t="s">
        <v>687</v>
      </c>
      <c r="C142" s="99" t="s">
        <v>636</v>
      </c>
      <c r="D142" s="99" t="s">
        <v>529</v>
      </c>
      <c r="E142" s="272"/>
      <c r="H142" s="271"/>
      <c r="I142" s="281" t="str">
        <f t="shared" ref="I142:I143" si="5">(G142-E142)/G142</f>
        <v>#DIV/0!</v>
      </c>
      <c r="J142" s="99"/>
      <c r="K142" s="50">
        <f> J142 - SUMIF('Ventas diarias'!C:C, A142, 'Ventas diarias'!E:E)</f>
        <v>0</v>
      </c>
      <c r="L142" s="272">
        <f t="shared" si="2"/>
        <v>0</v>
      </c>
      <c r="M142" s="274">
        <v>10.0</v>
      </c>
      <c r="N142" s="273" t="str">
        <f t="shared" si="3"/>
        <v>🛑 Agotado</v>
      </c>
      <c r="O142" s="251"/>
      <c r="P142" s="251"/>
      <c r="Q142" s="251"/>
      <c r="R142" s="251"/>
    </row>
    <row r="143" ht="15.75" hidden="1" customHeight="1">
      <c r="A143" s="262">
        <v>222.0</v>
      </c>
      <c r="B143" s="98" t="s">
        <v>688</v>
      </c>
      <c r="C143" s="98" t="s">
        <v>636</v>
      </c>
      <c r="D143" s="98" t="s">
        <v>529</v>
      </c>
      <c r="E143" s="266"/>
      <c r="H143" s="265"/>
      <c r="I143" s="282" t="str">
        <f t="shared" si="5"/>
        <v>#DIV/0!</v>
      </c>
      <c r="J143" s="98"/>
      <c r="K143" s="51">
        <f> J143 - SUMIF('Ventas diarias'!C:C, A143, 'Ventas diarias'!E:E)</f>
        <v>0</v>
      </c>
      <c r="L143" s="266">
        <f t="shared" si="2"/>
        <v>0</v>
      </c>
      <c r="M143" s="274">
        <v>7.5</v>
      </c>
      <c r="N143" s="267" t="str">
        <f t="shared" si="3"/>
        <v>🛑 Agotado</v>
      </c>
      <c r="O143" s="251"/>
      <c r="P143" s="251"/>
      <c r="Q143" s="251"/>
      <c r="R143" s="251"/>
    </row>
    <row r="144" ht="15.75" customHeight="1">
      <c r="A144" s="268">
        <v>223.0</v>
      </c>
      <c r="B144" s="80" t="s">
        <v>689</v>
      </c>
      <c r="C144" s="99" t="s">
        <v>636</v>
      </c>
      <c r="D144" s="99" t="s">
        <v>529</v>
      </c>
      <c r="E144" s="272">
        <v>808.0</v>
      </c>
      <c r="G144" s="50">
        <v>1500.0</v>
      </c>
      <c r="H144" s="271"/>
      <c r="I144" s="271">
        <f t="shared" ref="I144:I152" si="6">((G144-E144)/E144)</f>
        <v>0.8564356436</v>
      </c>
      <c r="J144" s="99">
        <v>20.0</v>
      </c>
      <c r="K144" s="50">
        <v>50.0</v>
      </c>
      <c r="L144" s="272">
        <f t="shared" si="2"/>
        <v>16160</v>
      </c>
      <c r="M144" s="99">
        <v>10.0</v>
      </c>
      <c r="N144" s="273" t="str">
        <f t="shared" si="3"/>
        <v>✅ Ok</v>
      </c>
      <c r="O144" s="251"/>
      <c r="P144" s="251"/>
      <c r="Q144" s="251"/>
      <c r="R144" s="251"/>
    </row>
    <row r="145" ht="15.75" hidden="1" customHeight="1">
      <c r="A145" s="262">
        <v>224.0</v>
      </c>
      <c r="B145" s="98" t="s">
        <v>690</v>
      </c>
      <c r="C145" s="98" t="s">
        <v>636</v>
      </c>
      <c r="D145" s="98" t="s">
        <v>529</v>
      </c>
      <c r="E145" s="266"/>
      <c r="H145" s="265"/>
      <c r="I145" s="265" t="str">
        <f t="shared" si="6"/>
        <v>#DIV/0!</v>
      </c>
      <c r="J145" s="98"/>
      <c r="K145" s="51">
        <f> J145 - SUMIF('Ventas diarias'!C:C, A145, 'Ventas diarias'!E:E)</f>
        <v>0</v>
      </c>
      <c r="L145" s="266">
        <f t="shared" si="2"/>
        <v>0</v>
      </c>
      <c r="M145" s="274">
        <v>10.0</v>
      </c>
      <c r="N145" s="267" t="str">
        <f t="shared" si="3"/>
        <v>🛑 Agotado</v>
      </c>
      <c r="O145" s="251"/>
      <c r="P145" s="251"/>
      <c r="Q145" s="251"/>
      <c r="R145" s="251"/>
    </row>
    <row r="146" ht="15.75" hidden="1" customHeight="1">
      <c r="A146" s="268">
        <v>225.0</v>
      </c>
      <c r="B146" s="80" t="s">
        <v>691</v>
      </c>
      <c r="C146" s="99" t="s">
        <v>636</v>
      </c>
      <c r="D146" s="99" t="s">
        <v>529</v>
      </c>
      <c r="E146" s="272">
        <v>2206.0</v>
      </c>
      <c r="G146" s="50">
        <v>2900.0</v>
      </c>
      <c r="H146" s="271"/>
      <c r="I146" s="271">
        <f t="shared" si="6"/>
        <v>0.3145965549</v>
      </c>
      <c r="J146" s="99"/>
      <c r="K146" s="50">
        <f> J146 - SUMIF('Ventas diarias'!C:C, A146, 'Ventas diarias'!E:E)</f>
        <v>-5.9</v>
      </c>
      <c r="L146" s="272">
        <f t="shared" si="2"/>
        <v>0</v>
      </c>
      <c r="M146" s="274">
        <v>7.5</v>
      </c>
      <c r="N146" s="273" t="str">
        <f t="shared" si="3"/>
        <v>🟡 Bajo</v>
      </c>
      <c r="O146" s="251"/>
      <c r="P146" s="251"/>
      <c r="Q146" s="251"/>
      <c r="R146" s="251"/>
    </row>
    <row r="147" ht="15.75" hidden="1" customHeight="1">
      <c r="A147" s="262">
        <v>226.0</v>
      </c>
      <c r="B147" s="136" t="s">
        <v>692</v>
      </c>
      <c r="C147" s="98" t="s">
        <v>636</v>
      </c>
      <c r="D147" s="98" t="s">
        <v>529</v>
      </c>
      <c r="E147" s="266">
        <v>2073.33</v>
      </c>
      <c r="G147" s="51">
        <v>2700.0</v>
      </c>
      <c r="H147" s="265"/>
      <c r="I147" s="265">
        <f t="shared" si="6"/>
        <v>0.3022528975</v>
      </c>
      <c r="J147" s="98">
        <v>15.0</v>
      </c>
      <c r="K147" s="51">
        <f> J147 - SUMIF('Ventas diarias'!C:C, A147, 'Ventas diarias'!E:E)</f>
        <v>0.922</v>
      </c>
      <c r="L147" s="266">
        <f t="shared" si="2"/>
        <v>31099.95</v>
      </c>
      <c r="M147" s="274">
        <v>7.5</v>
      </c>
      <c r="N147" s="267" t="str">
        <f t="shared" si="3"/>
        <v>🟡 Bajo</v>
      </c>
      <c r="O147" s="251"/>
      <c r="P147" s="251"/>
      <c r="Q147" s="251"/>
      <c r="R147" s="251"/>
    </row>
    <row r="148" ht="15.75" hidden="1" customHeight="1">
      <c r="A148" s="268">
        <v>227.0</v>
      </c>
      <c r="B148" s="80" t="s">
        <v>693</v>
      </c>
      <c r="C148" s="99" t="s">
        <v>636</v>
      </c>
      <c r="D148" s="99" t="s">
        <v>529</v>
      </c>
      <c r="E148" s="272">
        <v>3657.41</v>
      </c>
      <c r="G148" s="50">
        <v>5700.0</v>
      </c>
      <c r="H148" s="271"/>
      <c r="I148" s="271">
        <f t="shared" si="6"/>
        <v>0.5584799079</v>
      </c>
      <c r="J148" s="99">
        <v>15.0</v>
      </c>
      <c r="K148" s="50">
        <f> J148 - SUMIF('Ventas diarias'!C:C, A148, 'Ventas diarias'!E:E)</f>
        <v>-0.59</v>
      </c>
      <c r="L148" s="272">
        <f t="shared" si="2"/>
        <v>54861.15</v>
      </c>
      <c r="M148" s="274">
        <v>7.5</v>
      </c>
      <c r="N148" s="273" t="str">
        <f t="shared" si="3"/>
        <v>🟡 Bajo</v>
      </c>
      <c r="O148" s="251"/>
      <c r="P148" s="251"/>
      <c r="Q148" s="251"/>
      <c r="R148" s="251"/>
    </row>
    <row r="149" ht="15.75" hidden="1" customHeight="1">
      <c r="A149" s="262">
        <v>228.0</v>
      </c>
      <c r="B149" s="136" t="s">
        <v>694</v>
      </c>
      <c r="C149" s="98" t="s">
        <v>636</v>
      </c>
      <c r="D149" s="98" t="s">
        <v>529</v>
      </c>
      <c r="E149" s="266">
        <v>4091.23</v>
      </c>
      <c r="G149" s="51">
        <v>6300.0</v>
      </c>
      <c r="H149" s="265"/>
      <c r="I149" s="265">
        <f t="shared" si="6"/>
        <v>0.539879205</v>
      </c>
      <c r="J149" s="98">
        <v>7.5</v>
      </c>
      <c r="K149" s="51">
        <f> J149 - SUMIF('Ventas diarias'!C:C, A149, 'Ventas diarias'!E:E)</f>
        <v>0.9</v>
      </c>
      <c r="L149" s="266">
        <f t="shared" si="2"/>
        <v>30684.225</v>
      </c>
      <c r="M149" s="274">
        <v>3.5</v>
      </c>
      <c r="N149" s="267" t="str">
        <f t="shared" si="3"/>
        <v>🟡 Bajo</v>
      </c>
      <c r="O149" s="251"/>
      <c r="P149" s="251"/>
      <c r="Q149" s="251"/>
      <c r="R149" s="251"/>
    </row>
    <row r="150" ht="15.75" customHeight="1">
      <c r="A150" s="268">
        <v>229.0</v>
      </c>
      <c r="B150" s="80" t="s">
        <v>695</v>
      </c>
      <c r="C150" s="99" t="s">
        <v>636</v>
      </c>
      <c r="D150" s="99" t="s">
        <v>529</v>
      </c>
      <c r="E150" s="272">
        <v>6132.0</v>
      </c>
      <c r="G150" s="50">
        <v>8500.0</v>
      </c>
      <c r="H150" s="271"/>
      <c r="I150" s="271">
        <f t="shared" si="6"/>
        <v>0.3861709067</v>
      </c>
      <c r="J150" s="99">
        <v>15.0</v>
      </c>
      <c r="K150" s="50">
        <v>15.0</v>
      </c>
      <c r="L150" s="272">
        <f t="shared" si="2"/>
        <v>91980</v>
      </c>
      <c r="M150" s="99">
        <v>7.5</v>
      </c>
      <c r="N150" s="273" t="str">
        <f t="shared" si="3"/>
        <v>✅ Ok</v>
      </c>
      <c r="O150" s="251"/>
      <c r="P150" s="251"/>
      <c r="Q150" s="251"/>
      <c r="R150" s="251"/>
    </row>
    <row r="151" ht="15.75" hidden="1" customHeight="1">
      <c r="A151" s="262">
        <v>230.0</v>
      </c>
      <c r="B151" s="136" t="s">
        <v>696</v>
      </c>
      <c r="C151" s="98" t="s">
        <v>636</v>
      </c>
      <c r="D151" s="98" t="s">
        <v>529</v>
      </c>
      <c r="E151" s="266">
        <v>2690.89</v>
      </c>
      <c r="G151" s="51">
        <v>4400.0</v>
      </c>
      <c r="H151" s="265"/>
      <c r="I151" s="265">
        <f t="shared" si="6"/>
        <v>0.6351467358</v>
      </c>
      <c r="J151" s="98">
        <v>20.0</v>
      </c>
      <c r="K151" s="51">
        <f> J151 - SUMIF('Ventas diarias'!C:C, A151, 'Ventas diarias'!E:E)</f>
        <v>-2.36</v>
      </c>
      <c r="L151" s="266">
        <f t="shared" si="2"/>
        <v>53817.8</v>
      </c>
      <c r="M151" s="274">
        <v>9.0</v>
      </c>
      <c r="N151" s="267" t="str">
        <f t="shared" si="3"/>
        <v>🟡 Bajo</v>
      </c>
      <c r="O151" s="251"/>
      <c r="P151" s="251"/>
      <c r="Q151" s="251"/>
      <c r="R151" s="251"/>
    </row>
    <row r="152" ht="15.75" hidden="1" customHeight="1">
      <c r="A152" s="268">
        <v>231.0</v>
      </c>
      <c r="B152" s="80"/>
      <c r="C152" s="99" t="s">
        <v>636</v>
      </c>
      <c r="D152" s="99" t="s">
        <v>529</v>
      </c>
      <c r="E152" s="272">
        <v>6015.1</v>
      </c>
      <c r="G152" s="50">
        <v>8600.0</v>
      </c>
      <c r="H152" s="271"/>
      <c r="I152" s="271">
        <f t="shared" si="6"/>
        <v>0.4297351665</v>
      </c>
      <c r="J152" s="99">
        <v>7.5</v>
      </c>
      <c r="K152" s="50">
        <f> J152 - SUMIF('Ventas diarias'!C:C, A152, 'Ventas diarias'!E:E)</f>
        <v>7.5</v>
      </c>
      <c r="L152" s="272">
        <f t="shared" si="2"/>
        <v>45113.25</v>
      </c>
      <c r="M152" s="99">
        <v>3.5</v>
      </c>
      <c r="N152" s="273" t="str">
        <f t="shared" si="3"/>
        <v>✅ Ok</v>
      </c>
      <c r="O152" s="251"/>
      <c r="P152" s="251"/>
      <c r="Q152" s="251"/>
      <c r="R152" s="251"/>
    </row>
    <row r="153" ht="15.75" hidden="1" customHeight="1">
      <c r="A153" s="262">
        <v>232.0</v>
      </c>
      <c r="B153" s="98" t="s">
        <v>697</v>
      </c>
      <c r="C153" s="98" t="s">
        <v>636</v>
      </c>
      <c r="D153" s="98" t="s">
        <v>698</v>
      </c>
      <c r="E153" s="266">
        <v>2837.5</v>
      </c>
      <c r="G153" s="51">
        <v>4000.0</v>
      </c>
      <c r="H153" s="265"/>
      <c r="I153" s="282">
        <f>(G153-E153)/G153</f>
        <v>0.290625</v>
      </c>
      <c r="J153" s="98">
        <v>8.0</v>
      </c>
      <c r="K153" s="51">
        <f> J153 - SUMIF('Ventas diarias'!C:C, A153, 'Ventas diarias'!E:E)</f>
        <v>3.5</v>
      </c>
      <c r="L153" s="266">
        <f t="shared" si="2"/>
        <v>22700</v>
      </c>
      <c r="M153" s="274">
        <v>4.0</v>
      </c>
      <c r="N153" s="267" t="str">
        <f t="shared" si="3"/>
        <v>🟡 Bajo</v>
      </c>
      <c r="O153" s="251"/>
      <c r="P153" s="251"/>
      <c r="Q153" s="251"/>
      <c r="R153" s="251"/>
    </row>
    <row r="154" ht="15.75" hidden="1" customHeight="1">
      <c r="A154" s="268">
        <v>233.0</v>
      </c>
      <c r="B154" s="80"/>
      <c r="C154" s="99" t="s">
        <v>636</v>
      </c>
      <c r="D154" s="99" t="s">
        <v>529</v>
      </c>
      <c r="E154" s="272">
        <v>4278.34</v>
      </c>
      <c r="G154" s="50">
        <v>6200.0</v>
      </c>
      <c r="H154" s="271"/>
      <c r="I154" s="271">
        <f t="shared" ref="I154:I166" si="7">((G154-E154)/E154)</f>
        <v>0.4491601883</v>
      </c>
      <c r="J154" s="99">
        <v>8.0</v>
      </c>
      <c r="K154" s="50">
        <f> J154 - SUMIF('Ventas diarias'!C:C, A154, 'Ventas diarias'!E:E)</f>
        <v>8</v>
      </c>
      <c r="L154" s="272">
        <f t="shared" si="2"/>
        <v>34226.72</v>
      </c>
      <c r="M154" s="99">
        <v>7.5</v>
      </c>
      <c r="N154" s="273" t="str">
        <f t="shared" si="3"/>
        <v>✅ Ok</v>
      </c>
      <c r="O154" s="251"/>
      <c r="P154" s="251"/>
      <c r="Q154" s="251"/>
      <c r="R154" s="251"/>
    </row>
    <row r="155" ht="15.75" customHeight="1">
      <c r="A155" s="262">
        <v>234.0</v>
      </c>
      <c r="B155" s="136" t="s">
        <v>699</v>
      </c>
      <c r="C155" s="98" t="s">
        <v>636</v>
      </c>
      <c r="D155" s="98" t="s">
        <v>529</v>
      </c>
      <c r="E155" s="266">
        <v>3586.66</v>
      </c>
      <c r="G155" s="51">
        <v>4700.0</v>
      </c>
      <c r="H155" s="265"/>
      <c r="I155" s="265">
        <f t="shared" si="7"/>
        <v>0.3104113576</v>
      </c>
      <c r="J155" s="98">
        <v>15.0</v>
      </c>
      <c r="K155" s="51">
        <f> J155 - SUMIF('Ventas diarias'!C:C, A155, 'Ventas diarias'!E:E)</f>
        <v>1.41</v>
      </c>
      <c r="L155" s="266">
        <f t="shared" si="2"/>
        <v>53799.9</v>
      </c>
      <c r="M155" s="274">
        <v>7.5</v>
      </c>
      <c r="N155" s="267" t="str">
        <f t="shared" si="3"/>
        <v>🟡 Bajo</v>
      </c>
      <c r="O155" s="251"/>
      <c r="P155" s="251"/>
      <c r="Q155" s="251"/>
      <c r="R155" s="251"/>
    </row>
    <row r="156" ht="15.75" hidden="1" customHeight="1">
      <c r="A156" s="268">
        <v>235.0</v>
      </c>
      <c r="B156" s="80" t="s">
        <v>700</v>
      </c>
      <c r="C156" s="99" t="s">
        <v>636</v>
      </c>
      <c r="D156" s="99" t="s">
        <v>529</v>
      </c>
      <c r="E156" s="272">
        <v>876.04</v>
      </c>
      <c r="G156" s="50">
        <v>1500.0</v>
      </c>
      <c r="H156" s="271"/>
      <c r="I156" s="271">
        <f t="shared" si="7"/>
        <v>0.7122505822</v>
      </c>
      <c r="J156" s="99">
        <v>15.0</v>
      </c>
      <c r="K156" s="50">
        <f> J156 - SUMIF('Ventas diarias'!C:C, A156, 'Ventas diarias'!E:E)</f>
        <v>2</v>
      </c>
      <c r="L156" s="272">
        <f t="shared" si="2"/>
        <v>13140.6</v>
      </c>
      <c r="M156" s="274">
        <v>7.5</v>
      </c>
      <c r="N156" s="273" t="str">
        <f t="shared" si="3"/>
        <v>🟡 Bajo</v>
      </c>
      <c r="O156" s="251"/>
      <c r="P156" s="251"/>
      <c r="Q156" s="251"/>
      <c r="R156" s="251"/>
    </row>
    <row r="157" ht="15.75" hidden="1" customHeight="1">
      <c r="A157" s="262">
        <v>236.0</v>
      </c>
      <c r="B157" s="136" t="s">
        <v>701</v>
      </c>
      <c r="C157" s="98" t="s">
        <v>636</v>
      </c>
      <c r="D157" s="98" t="s">
        <v>529</v>
      </c>
      <c r="E157" s="266">
        <v>876.04</v>
      </c>
      <c r="G157" s="51">
        <v>1500.0</v>
      </c>
      <c r="H157" s="265"/>
      <c r="I157" s="265">
        <f t="shared" si="7"/>
        <v>0.7122505822</v>
      </c>
      <c r="J157" s="98">
        <v>15.0</v>
      </c>
      <c r="K157" s="51">
        <f> J157 - SUMIF('Ventas diarias'!C:C, A157, 'Ventas diarias'!E:E)</f>
        <v>14</v>
      </c>
      <c r="L157" s="266">
        <f t="shared" si="2"/>
        <v>13140.6</v>
      </c>
      <c r="M157" s="98">
        <v>7.5</v>
      </c>
      <c r="N157" s="267" t="str">
        <f t="shared" si="3"/>
        <v>✅ Ok</v>
      </c>
      <c r="O157" s="251"/>
      <c r="P157" s="251"/>
      <c r="Q157" s="251"/>
      <c r="R157" s="251"/>
    </row>
    <row r="158" ht="15.75" hidden="1" customHeight="1">
      <c r="A158" s="268">
        <v>237.0</v>
      </c>
      <c r="B158" s="80" t="s">
        <v>702</v>
      </c>
      <c r="C158" s="99" t="s">
        <v>636</v>
      </c>
      <c r="D158" s="99" t="s">
        <v>529</v>
      </c>
      <c r="E158" s="272">
        <v>579.6</v>
      </c>
      <c r="G158" s="50">
        <v>800.0</v>
      </c>
      <c r="H158" s="271"/>
      <c r="I158" s="271">
        <f t="shared" si="7"/>
        <v>0.3802622498</v>
      </c>
      <c r="J158" s="99">
        <v>1.0</v>
      </c>
      <c r="K158" s="50">
        <f> J158 - SUMIF('Ventas diarias'!C:C, A158, 'Ventas diarias'!E:E)</f>
        <v>0</v>
      </c>
      <c r="L158" s="272">
        <f t="shared" si="2"/>
        <v>579.6</v>
      </c>
      <c r="M158" s="99">
        <v>0.0</v>
      </c>
      <c r="N158" s="273" t="str">
        <f t="shared" si="3"/>
        <v>🛑 Agotado</v>
      </c>
      <c r="O158" s="251"/>
      <c r="P158" s="251"/>
      <c r="Q158" s="251"/>
      <c r="R158" s="251"/>
    </row>
    <row r="159" ht="15.75" hidden="1" customHeight="1">
      <c r="A159" s="262">
        <v>238.0</v>
      </c>
      <c r="B159" s="136" t="s">
        <v>703</v>
      </c>
      <c r="C159" s="98" t="s">
        <v>636</v>
      </c>
      <c r="D159" s="98" t="s">
        <v>529</v>
      </c>
      <c r="E159" s="266">
        <v>1610.0</v>
      </c>
      <c r="G159" s="51">
        <v>2500.0</v>
      </c>
      <c r="H159" s="265"/>
      <c r="I159" s="265">
        <f t="shared" si="7"/>
        <v>0.5527950311</v>
      </c>
      <c r="J159" s="98">
        <v>1.0</v>
      </c>
      <c r="K159" s="51">
        <f> J159 - SUMIF('Ventas diarias'!C:C, A159, 'Ventas diarias'!E:E)</f>
        <v>0</v>
      </c>
      <c r="L159" s="266">
        <f t="shared" si="2"/>
        <v>1610</v>
      </c>
      <c r="M159" s="98">
        <v>0.0</v>
      </c>
      <c r="N159" s="267" t="str">
        <f t="shared" si="3"/>
        <v>🛑 Agotado</v>
      </c>
      <c r="O159" s="251"/>
      <c r="P159" s="251"/>
      <c r="Q159" s="251"/>
      <c r="R159" s="251"/>
    </row>
    <row r="160" ht="15.75" hidden="1" customHeight="1">
      <c r="A160" s="268">
        <v>239.0</v>
      </c>
      <c r="B160" s="80" t="s">
        <v>704</v>
      </c>
      <c r="C160" s="99" t="s">
        <v>636</v>
      </c>
      <c r="D160" s="99" t="s">
        <v>529</v>
      </c>
      <c r="E160" s="272">
        <v>3155.6</v>
      </c>
      <c r="G160" s="50">
        <v>4800.0</v>
      </c>
      <c r="H160" s="271"/>
      <c r="I160" s="271">
        <f t="shared" si="7"/>
        <v>0.5211053365</v>
      </c>
      <c r="J160" s="99">
        <v>1.0</v>
      </c>
      <c r="K160" s="50">
        <f> J160 - SUMIF('Ventas diarias'!C:C, A160, 'Ventas diarias'!E:E)</f>
        <v>1</v>
      </c>
      <c r="L160" s="272">
        <f t="shared" si="2"/>
        <v>3155.6</v>
      </c>
      <c r="M160" s="99">
        <v>0.0</v>
      </c>
      <c r="N160" s="273" t="str">
        <f t="shared" si="3"/>
        <v>✅ Ok</v>
      </c>
      <c r="O160" s="251"/>
      <c r="P160" s="251"/>
      <c r="Q160" s="251"/>
      <c r="R160" s="251"/>
    </row>
    <row r="161" ht="15.75" hidden="1" customHeight="1">
      <c r="A161" s="262">
        <v>240.0</v>
      </c>
      <c r="B161" s="136" t="s">
        <v>705</v>
      </c>
      <c r="C161" s="98" t="s">
        <v>636</v>
      </c>
      <c r="D161" s="98" t="s">
        <v>529</v>
      </c>
      <c r="E161" s="266">
        <v>787.5</v>
      </c>
      <c r="G161" s="51">
        <v>1100.0</v>
      </c>
      <c r="H161" s="265"/>
      <c r="I161" s="265">
        <f t="shared" si="7"/>
        <v>0.3968253968</v>
      </c>
      <c r="J161" s="98">
        <v>12.0</v>
      </c>
      <c r="K161" s="51">
        <f> J161 - SUMIF('Ventas diarias'!C:C, A161, 'Ventas diarias'!E:E)</f>
        <v>6</v>
      </c>
      <c r="L161" s="266">
        <f t="shared" si="2"/>
        <v>9450</v>
      </c>
      <c r="M161" s="98">
        <v>0.0</v>
      </c>
      <c r="N161" s="267" t="str">
        <f t="shared" si="3"/>
        <v>✅ Ok</v>
      </c>
      <c r="O161" s="251"/>
      <c r="P161" s="251"/>
      <c r="Q161" s="251"/>
      <c r="R161" s="251"/>
    </row>
    <row r="162" ht="15.75" hidden="1" customHeight="1">
      <c r="A162" s="268">
        <v>241.0</v>
      </c>
      <c r="B162" s="80" t="s">
        <v>706</v>
      </c>
      <c r="C162" s="99" t="s">
        <v>636</v>
      </c>
      <c r="D162" s="99" t="s">
        <v>529</v>
      </c>
      <c r="E162" s="272">
        <v>787.5</v>
      </c>
      <c r="G162" s="50">
        <v>1100.0</v>
      </c>
      <c r="H162" s="271"/>
      <c r="I162" s="271">
        <f t="shared" si="7"/>
        <v>0.3968253968</v>
      </c>
      <c r="J162" s="99">
        <v>12.0</v>
      </c>
      <c r="K162" s="50">
        <f> J162 - SUMIF('Ventas diarias'!C:C, A162, 'Ventas diarias'!E:E)</f>
        <v>6</v>
      </c>
      <c r="L162" s="272">
        <f t="shared" si="2"/>
        <v>9450</v>
      </c>
      <c r="M162" s="99">
        <v>6.0</v>
      </c>
      <c r="N162" s="273" t="str">
        <f t="shared" si="3"/>
        <v>🟡 Bajo</v>
      </c>
      <c r="O162" s="251"/>
      <c r="P162" s="251"/>
      <c r="Q162" s="251"/>
      <c r="R162" s="251"/>
    </row>
    <row r="163" ht="15.75" hidden="1" customHeight="1">
      <c r="A163" s="262">
        <v>242.0</v>
      </c>
      <c r="B163" s="136" t="s">
        <v>707</v>
      </c>
      <c r="C163" s="98" t="s">
        <v>636</v>
      </c>
      <c r="D163" s="98" t="s">
        <v>529</v>
      </c>
      <c r="E163" s="266">
        <v>787.5</v>
      </c>
      <c r="G163" s="51">
        <v>1100.0</v>
      </c>
      <c r="H163" s="265"/>
      <c r="I163" s="265">
        <f t="shared" si="7"/>
        <v>0.3968253968</v>
      </c>
      <c r="J163" s="98">
        <v>12.0</v>
      </c>
      <c r="K163" s="51">
        <f> J163 - SUMIF('Ventas diarias'!C:C, A163, 'Ventas diarias'!E:E)</f>
        <v>8</v>
      </c>
      <c r="L163" s="266">
        <f t="shared" si="2"/>
        <v>9450</v>
      </c>
      <c r="M163" s="98">
        <v>0.0</v>
      </c>
      <c r="N163" s="267" t="str">
        <f t="shared" si="3"/>
        <v>✅ Ok</v>
      </c>
      <c r="O163" s="251"/>
      <c r="P163" s="251"/>
      <c r="Q163" s="251"/>
      <c r="R163" s="251"/>
    </row>
    <row r="164" ht="15.75" hidden="1" customHeight="1">
      <c r="A164" s="268">
        <v>243.0</v>
      </c>
      <c r="B164" s="80" t="s">
        <v>708</v>
      </c>
      <c r="C164" s="99" t="s">
        <v>636</v>
      </c>
      <c r="D164" s="99" t="s">
        <v>529</v>
      </c>
      <c r="E164" s="272">
        <v>787.5</v>
      </c>
      <c r="G164" s="50">
        <v>1100.0</v>
      </c>
      <c r="H164" s="271"/>
      <c r="I164" s="271">
        <f t="shared" si="7"/>
        <v>0.3968253968</v>
      </c>
      <c r="J164" s="99">
        <v>12.0</v>
      </c>
      <c r="K164" s="50">
        <f> J164 - SUMIF('Ventas diarias'!C:C, A164, 'Ventas diarias'!E:E)</f>
        <v>8</v>
      </c>
      <c r="L164" s="272">
        <f t="shared" si="2"/>
        <v>9450</v>
      </c>
      <c r="M164" s="99">
        <v>6.0</v>
      </c>
      <c r="N164" s="273" t="str">
        <f t="shared" si="3"/>
        <v>✅ Ok</v>
      </c>
      <c r="O164" s="251"/>
      <c r="P164" s="251"/>
      <c r="Q164" s="251"/>
      <c r="R164" s="251"/>
    </row>
    <row r="165" ht="15.75" hidden="1" customHeight="1">
      <c r="A165" s="262">
        <v>244.0</v>
      </c>
      <c r="B165" s="136" t="s">
        <v>709</v>
      </c>
      <c r="C165" s="98" t="s">
        <v>636</v>
      </c>
      <c r="D165" s="98" t="s">
        <v>529</v>
      </c>
      <c r="E165" s="266">
        <v>787.5</v>
      </c>
      <c r="G165" s="51">
        <v>1100.0</v>
      </c>
      <c r="H165" s="265"/>
      <c r="I165" s="265">
        <f t="shared" si="7"/>
        <v>0.3968253968</v>
      </c>
      <c r="J165" s="98">
        <v>12.0</v>
      </c>
      <c r="K165" s="51">
        <f> J165 - SUMIF('Ventas diarias'!C:C, A165, 'Ventas diarias'!E:E)</f>
        <v>12</v>
      </c>
      <c r="L165" s="266">
        <f t="shared" si="2"/>
        <v>9450</v>
      </c>
      <c r="M165" s="98">
        <v>6.0</v>
      </c>
      <c r="N165" s="267" t="str">
        <f t="shared" si="3"/>
        <v>✅ Ok</v>
      </c>
      <c r="O165" s="251"/>
      <c r="P165" s="251"/>
      <c r="Q165" s="251"/>
      <c r="R165" s="251"/>
    </row>
    <row r="166" ht="15.75" hidden="1" customHeight="1">
      <c r="A166" s="283">
        <v>2440.0</v>
      </c>
      <c r="B166" s="284" t="s">
        <v>710</v>
      </c>
      <c r="C166" s="99" t="s">
        <v>636</v>
      </c>
      <c r="D166" s="108" t="s">
        <v>698</v>
      </c>
      <c r="E166" s="285">
        <v>1525.0</v>
      </c>
      <c r="F166" s="286"/>
      <c r="G166" s="108">
        <v>2200.0</v>
      </c>
      <c r="H166" s="287"/>
      <c r="I166" s="271">
        <f t="shared" si="7"/>
        <v>0.4426229508</v>
      </c>
      <c r="J166" s="108"/>
      <c r="K166" s="50">
        <f> J166 - SUMIF('Ventas diarias'!C:C, A166, 'Ventas diarias'!E:E)</f>
        <v>-1</v>
      </c>
      <c r="L166" s="285">
        <f t="shared" si="2"/>
        <v>0</v>
      </c>
      <c r="M166" s="99">
        <v>6.0</v>
      </c>
      <c r="N166" s="273" t="str">
        <f t="shared" si="3"/>
        <v>🟡 Bajo</v>
      </c>
      <c r="O166" s="251"/>
      <c r="P166" s="251"/>
      <c r="Q166" s="251"/>
      <c r="R166" s="251"/>
    </row>
    <row r="167" ht="15.75" hidden="1" customHeight="1">
      <c r="A167" s="288"/>
      <c r="B167" s="289" t="s">
        <v>711</v>
      </c>
      <c r="C167" s="280"/>
      <c r="D167" s="280"/>
      <c r="E167" s="278"/>
      <c r="F167" s="277"/>
      <c r="G167" s="280"/>
      <c r="H167" s="279"/>
      <c r="I167" s="279"/>
      <c r="J167" s="280"/>
      <c r="K167" s="51">
        <f> J167 - SUMIF('Ventas diarias'!C:C, A167, 'Ventas diarias'!E:E)</f>
        <v>0</v>
      </c>
      <c r="L167" s="278">
        <f t="shared" si="2"/>
        <v>0</v>
      </c>
      <c r="M167" s="98"/>
      <c r="N167" s="267"/>
      <c r="O167" s="251"/>
      <c r="P167" s="251"/>
      <c r="Q167" s="251"/>
      <c r="R167" s="251"/>
    </row>
    <row r="168" ht="15.75" hidden="1" customHeight="1">
      <c r="A168" s="268">
        <v>245.0</v>
      </c>
      <c r="B168" s="80" t="s">
        <v>712</v>
      </c>
      <c r="C168" s="99" t="s">
        <v>713</v>
      </c>
      <c r="D168" s="99" t="s">
        <v>714</v>
      </c>
      <c r="E168" s="272">
        <v>229.0</v>
      </c>
      <c r="F168" s="50">
        <v>890.0</v>
      </c>
      <c r="G168" s="50">
        <v>600.0</v>
      </c>
      <c r="H168" s="281">
        <f>(F168-(E168+295.59))/F168</f>
        <v>0.4105730337</v>
      </c>
      <c r="I168" s="271">
        <f t="shared" ref="I168:I205" si="8">((G168-E168)/E168)</f>
        <v>1.620087336</v>
      </c>
      <c r="J168" s="99">
        <v>40.0</v>
      </c>
      <c r="K168" s="50">
        <f> J168 - SUMIF('Ventas diarias'!C:C, A168, 'Ventas diarias'!E:E)</f>
        <v>2</v>
      </c>
      <c r="L168" s="272">
        <f t="shared" si="2"/>
        <v>9160</v>
      </c>
      <c r="M168" s="99">
        <v>12.0</v>
      </c>
      <c r="N168" s="273" t="str">
        <f t="shared" ref="N168:N222" si="9">IF(K168=0, "🛑 Agotado", IF(K168&lt;=M168, "🟡 Bajo", "✅ Ok"))</f>
        <v>🟡 Bajo</v>
      </c>
      <c r="O168" s="251"/>
      <c r="P168" s="251"/>
      <c r="Q168" s="251"/>
      <c r="R168" s="251"/>
    </row>
    <row r="169" ht="15.75" hidden="1" customHeight="1">
      <c r="A169" s="262">
        <v>246.0</v>
      </c>
      <c r="B169" s="136" t="s">
        <v>715</v>
      </c>
      <c r="C169" s="98" t="s">
        <v>713</v>
      </c>
      <c r="D169" s="98" t="s">
        <v>714</v>
      </c>
      <c r="E169" s="266">
        <v>1143.0</v>
      </c>
      <c r="F169" s="51">
        <v>2500.0</v>
      </c>
      <c r="G169" s="51">
        <v>1990.0</v>
      </c>
      <c r="H169" s="282">
        <f>(F169-(E169+441))/F169</f>
        <v>0.3664</v>
      </c>
      <c r="I169" s="265">
        <f t="shared" si="8"/>
        <v>0.741032371</v>
      </c>
      <c r="J169" s="98">
        <v>8.0</v>
      </c>
      <c r="K169" s="51">
        <f> J169 - SUMIF('Ventas diarias'!C:C, A169, 'Ventas diarias'!E:E)</f>
        <v>-18</v>
      </c>
      <c r="L169" s="266">
        <f t="shared" si="2"/>
        <v>9144</v>
      </c>
      <c r="M169" s="98">
        <v>10.0</v>
      </c>
      <c r="N169" s="267" t="str">
        <f t="shared" si="9"/>
        <v>🟡 Bajo</v>
      </c>
      <c r="O169" s="251"/>
      <c r="P169" s="251"/>
      <c r="Q169" s="251"/>
      <c r="R169" s="251"/>
    </row>
    <row r="170" ht="15.75" hidden="1" customHeight="1">
      <c r="A170" s="268">
        <v>247.0</v>
      </c>
      <c r="B170" s="80" t="s">
        <v>716</v>
      </c>
      <c r="C170" s="99" t="s">
        <v>713</v>
      </c>
      <c r="D170" s="99" t="s">
        <v>714</v>
      </c>
      <c r="E170" s="272">
        <v>320.0</v>
      </c>
      <c r="F170" s="50">
        <v>1200.0</v>
      </c>
      <c r="G170" s="50">
        <v>890.0</v>
      </c>
      <c r="H170" s="281">
        <f>(F170-(E170+295.59))/F170</f>
        <v>0.4870083333</v>
      </c>
      <c r="I170" s="271">
        <f t="shared" si="8"/>
        <v>1.78125</v>
      </c>
      <c r="J170" s="99">
        <v>40.0</v>
      </c>
      <c r="K170" s="50">
        <f> J170 - SUMIF('Ventas diarias'!C:C, A170, 'Ventas diarias'!E:E)</f>
        <v>34</v>
      </c>
      <c r="L170" s="272">
        <f t="shared" si="2"/>
        <v>12800</v>
      </c>
      <c r="M170" s="99">
        <v>6.0</v>
      </c>
      <c r="N170" s="273" t="str">
        <f t="shared" si="9"/>
        <v>✅ Ok</v>
      </c>
      <c r="O170" s="251"/>
      <c r="P170" s="251"/>
      <c r="Q170" s="251"/>
      <c r="R170" s="251"/>
    </row>
    <row r="171" ht="15.75" hidden="1" customHeight="1">
      <c r="A171" s="262">
        <v>248.0</v>
      </c>
      <c r="B171" s="136" t="s">
        <v>717</v>
      </c>
      <c r="C171" s="98" t="s">
        <v>713</v>
      </c>
      <c r="D171" s="98" t="s">
        <v>714</v>
      </c>
      <c r="E171" s="266">
        <v>1615.5</v>
      </c>
      <c r="F171" s="51">
        <v>3500.0</v>
      </c>
      <c r="G171" s="51">
        <v>3000.0</v>
      </c>
      <c r="H171" s="282">
        <f>(F171-(E171+441))/F171</f>
        <v>0.4124285714</v>
      </c>
      <c r="I171" s="265">
        <f t="shared" si="8"/>
        <v>0.8570102136</v>
      </c>
      <c r="J171" s="98">
        <v>8.0</v>
      </c>
      <c r="K171" s="51">
        <f> J171 - SUMIF('Ventas diarias'!C:C, A171, 'Ventas diarias'!E:E)</f>
        <v>-7</v>
      </c>
      <c r="L171" s="266">
        <f t="shared" si="2"/>
        <v>12924</v>
      </c>
      <c r="M171" s="98">
        <v>5.0</v>
      </c>
      <c r="N171" s="267" t="str">
        <f t="shared" si="9"/>
        <v>🟡 Bajo</v>
      </c>
      <c r="O171" s="251"/>
      <c r="P171" s="251"/>
      <c r="Q171" s="251"/>
      <c r="R171" s="251"/>
    </row>
    <row r="172" ht="15.75" hidden="1" customHeight="1">
      <c r="A172" s="268">
        <v>249.0</v>
      </c>
      <c r="B172" s="80" t="s">
        <v>718</v>
      </c>
      <c r="C172" s="99" t="s">
        <v>713</v>
      </c>
      <c r="D172" s="99" t="s">
        <v>714</v>
      </c>
      <c r="E172" s="272">
        <v>486.0</v>
      </c>
      <c r="F172" s="50">
        <v>1500.0</v>
      </c>
      <c r="G172" s="50">
        <v>1200.0</v>
      </c>
      <c r="H172" s="281">
        <f>(F172-(E172+295.59))/F172</f>
        <v>0.47894</v>
      </c>
      <c r="I172" s="271">
        <f t="shared" si="8"/>
        <v>1.469135802</v>
      </c>
      <c r="J172" s="99">
        <v>40.0</v>
      </c>
      <c r="K172" s="50">
        <f> J172 - SUMIF('Ventas diarias'!C:C, A172, 'Ventas diarias'!E:E)</f>
        <v>23.5</v>
      </c>
      <c r="L172" s="272">
        <f t="shared" si="2"/>
        <v>19440</v>
      </c>
      <c r="M172" s="99">
        <v>12.0</v>
      </c>
      <c r="N172" s="273" t="str">
        <f t="shared" si="9"/>
        <v>✅ Ok</v>
      </c>
      <c r="O172" s="251"/>
      <c r="P172" s="251"/>
      <c r="Q172" s="251"/>
      <c r="R172" s="251"/>
    </row>
    <row r="173" ht="15.75" hidden="1" customHeight="1">
      <c r="A173" s="262">
        <v>250.0</v>
      </c>
      <c r="B173" s="136" t="s">
        <v>719</v>
      </c>
      <c r="C173" s="98" t="s">
        <v>713</v>
      </c>
      <c r="D173" s="98" t="s">
        <v>714</v>
      </c>
      <c r="E173" s="266">
        <v>2430.0</v>
      </c>
      <c r="F173" s="51">
        <v>4500.0</v>
      </c>
      <c r="G173" s="51">
        <v>4000.0</v>
      </c>
      <c r="H173" s="282">
        <f>(F173-(E173+441))/F173</f>
        <v>0.362</v>
      </c>
      <c r="I173" s="265">
        <f t="shared" si="8"/>
        <v>0.646090535</v>
      </c>
      <c r="J173" s="98">
        <v>8.0</v>
      </c>
      <c r="K173" s="51">
        <f> J173 - SUMIF('Ventas diarias'!C:C, A173, 'Ventas diarias'!E:E)</f>
        <v>-15</v>
      </c>
      <c r="L173" s="266">
        <f t="shared" si="2"/>
        <v>19440</v>
      </c>
      <c r="M173" s="98">
        <v>8.0</v>
      </c>
      <c r="N173" s="267" t="str">
        <f t="shared" si="9"/>
        <v>🟡 Bajo</v>
      </c>
      <c r="O173" s="251"/>
      <c r="P173" s="251"/>
      <c r="Q173" s="251"/>
      <c r="R173" s="251"/>
    </row>
    <row r="174" ht="15.75" hidden="1" customHeight="1">
      <c r="A174" s="268">
        <v>251.0</v>
      </c>
      <c r="B174" s="80" t="s">
        <v>720</v>
      </c>
      <c r="C174" s="99" t="s">
        <v>713</v>
      </c>
      <c r="D174" s="99" t="s">
        <v>714</v>
      </c>
      <c r="E174" s="272">
        <v>296.0</v>
      </c>
      <c r="F174" s="50">
        <v>990.0</v>
      </c>
      <c r="G174" s="50">
        <v>690.0</v>
      </c>
      <c r="H174" s="281">
        <f>(F174-(E174+295.59))/F174</f>
        <v>0.4024343434</v>
      </c>
      <c r="I174" s="271">
        <f t="shared" si="8"/>
        <v>1.331081081</v>
      </c>
      <c r="J174" s="99">
        <v>40.0</v>
      </c>
      <c r="K174" s="50">
        <f> J174 - SUMIF('Ventas diarias'!C:C, A174, 'Ventas diarias'!E:E)</f>
        <v>14</v>
      </c>
      <c r="L174" s="272">
        <f t="shared" si="2"/>
        <v>11840</v>
      </c>
      <c r="M174" s="99">
        <v>12.0</v>
      </c>
      <c r="N174" s="273" t="str">
        <f t="shared" si="9"/>
        <v>✅ Ok</v>
      </c>
      <c r="O174" s="251"/>
      <c r="P174" s="251"/>
      <c r="Q174" s="251"/>
      <c r="R174" s="251"/>
    </row>
    <row r="175" ht="15.75" hidden="1" customHeight="1">
      <c r="A175" s="262">
        <v>252.0</v>
      </c>
      <c r="B175" s="136" t="s">
        <v>721</v>
      </c>
      <c r="C175" s="98" t="s">
        <v>713</v>
      </c>
      <c r="D175" s="98" t="s">
        <v>714</v>
      </c>
      <c r="E175" s="266">
        <v>1480.0</v>
      </c>
      <c r="F175" s="51">
        <v>2900.0</v>
      </c>
      <c r="G175" s="51">
        <v>2400.0</v>
      </c>
      <c r="H175" s="282">
        <f>(F175-(E175+441))/F175</f>
        <v>0.3375862069</v>
      </c>
      <c r="I175" s="265">
        <f t="shared" si="8"/>
        <v>0.6216216216</v>
      </c>
      <c r="J175" s="98">
        <v>8.0</v>
      </c>
      <c r="K175" s="51">
        <f> J175 - SUMIF('Ventas diarias'!C:C, A175, 'Ventas diarias'!E:E)</f>
        <v>-12</v>
      </c>
      <c r="L175" s="266">
        <f t="shared" si="2"/>
        <v>11840</v>
      </c>
      <c r="M175" s="98">
        <v>7.0</v>
      </c>
      <c r="N175" s="267" t="str">
        <f t="shared" si="9"/>
        <v>🟡 Bajo</v>
      </c>
      <c r="O175" s="251"/>
      <c r="P175" s="251"/>
      <c r="Q175" s="251"/>
      <c r="R175" s="251"/>
    </row>
    <row r="176" ht="15.75" hidden="1" customHeight="1">
      <c r="A176" s="268">
        <v>253.0</v>
      </c>
      <c r="B176" s="80" t="s">
        <v>722</v>
      </c>
      <c r="C176" s="99" t="s">
        <v>713</v>
      </c>
      <c r="D176" s="99" t="s">
        <v>714</v>
      </c>
      <c r="E176" s="272">
        <v>324.0</v>
      </c>
      <c r="F176" s="50">
        <v>1050.0</v>
      </c>
      <c r="G176" s="50">
        <v>790.0</v>
      </c>
      <c r="H176" s="281">
        <f>(F176-(E176+295.59))/F176</f>
        <v>0.4099142857</v>
      </c>
      <c r="I176" s="271">
        <f t="shared" si="8"/>
        <v>1.438271605</v>
      </c>
      <c r="J176" s="99">
        <v>40.0</v>
      </c>
      <c r="K176" s="50">
        <f> J176 - SUMIF('Ventas diarias'!C:C, A176, 'Ventas diarias'!E:E)</f>
        <v>22</v>
      </c>
      <c r="L176" s="272">
        <f t="shared" si="2"/>
        <v>12960</v>
      </c>
      <c r="M176" s="99">
        <v>10.0</v>
      </c>
      <c r="N176" s="273" t="str">
        <f t="shared" si="9"/>
        <v>✅ Ok</v>
      </c>
      <c r="O176" s="251"/>
      <c r="P176" s="251"/>
      <c r="Q176" s="251"/>
      <c r="R176" s="251"/>
    </row>
    <row r="177" ht="15.75" hidden="1" customHeight="1">
      <c r="A177" s="262">
        <v>254.0</v>
      </c>
      <c r="B177" s="136" t="s">
        <v>723</v>
      </c>
      <c r="C177" s="98" t="s">
        <v>713</v>
      </c>
      <c r="D177" s="98" t="s">
        <v>714</v>
      </c>
      <c r="E177" s="266">
        <v>1620.0</v>
      </c>
      <c r="F177" s="51">
        <v>3199.0</v>
      </c>
      <c r="G177" s="51">
        <v>2700.0</v>
      </c>
      <c r="H177" s="282">
        <f>(F177-(E177+441))/F177</f>
        <v>0.3557361676</v>
      </c>
      <c r="I177" s="265">
        <f t="shared" si="8"/>
        <v>0.6666666667</v>
      </c>
      <c r="J177" s="98">
        <v>8.0</v>
      </c>
      <c r="K177" s="51">
        <f> J177 - SUMIF('Ventas diarias'!C:C, A177, 'Ventas diarias'!E:E)</f>
        <v>6</v>
      </c>
      <c r="L177" s="266">
        <f t="shared" si="2"/>
        <v>12960</v>
      </c>
      <c r="M177" s="98">
        <v>5.0</v>
      </c>
      <c r="N177" s="267" t="str">
        <f t="shared" si="9"/>
        <v>✅ Ok</v>
      </c>
      <c r="O177" s="251"/>
      <c r="P177" s="251"/>
      <c r="Q177" s="251"/>
      <c r="R177" s="251"/>
    </row>
    <row r="178" ht="15.75" hidden="1" customHeight="1">
      <c r="A178" s="268">
        <v>255.0</v>
      </c>
      <c r="B178" s="80" t="s">
        <v>724</v>
      </c>
      <c r="C178" s="99" t="s">
        <v>713</v>
      </c>
      <c r="D178" s="99" t="s">
        <v>714</v>
      </c>
      <c r="E178" s="272">
        <v>380.0</v>
      </c>
      <c r="F178" s="50">
        <v>1299.0</v>
      </c>
      <c r="G178" s="50">
        <v>999.0</v>
      </c>
      <c r="H178" s="281">
        <f>(F178-(E178+295.59))/F178</f>
        <v>0.4799153195</v>
      </c>
      <c r="I178" s="271">
        <f t="shared" si="8"/>
        <v>1.628947368</v>
      </c>
      <c r="J178" s="99">
        <v>40.0</v>
      </c>
      <c r="K178" s="50">
        <f> J178 - SUMIF('Ventas diarias'!C:C, A178, 'Ventas diarias'!E:E)</f>
        <v>36</v>
      </c>
      <c r="L178" s="272">
        <f t="shared" si="2"/>
        <v>15200</v>
      </c>
      <c r="M178" s="99">
        <v>10.0</v>
      </c>
      <c r="N178" s="273" t="str">
        <f t="shared" si="9"/>
        <v>✅ Ok</v>
      </c>
      <c r="O178" s="251"/>
      <c r="P178" s="251"/>
      <c r="Q178" s="251"/>
      <c r="R178" s="251"/>
    </row>
    <row r="179" ht="15.75" hidden="1" customHeight="1">
      <c r="A179" s="262">
        <v>256.0</v>
      </c>
      <c r="B179" s="136" t="s">
        <v>725</v>
      </c>
      <c r="C179" s="98" t="s">
        <v>713</v>
      </c>
      <c r="D179" s="98" t="s">
        <v>714</v>
      </c>
      <c r="E179" s="266">
        <v>1770.0</v>
      </c>
      <c r="F179" s="51">
        <v>3499.0</v>
      </c>
      <c r="G179" s="51">
        <v>2990.0</v>
      </c>
      <c r="H179" s="282">
        <f>(F179-(E179+441))/F179</f>
        <v>0.3681051729</v>
      </c>
      <c r="I179" s="265">
        <f t="shared" si="8"/>
        <v>0.6892655367</v>
      </c>
      <c r="J179" s="98">
        <v>8.0</v>
      </c>
      <c r="K179" s="51">
        <f> J179 - SUMIF('Ventas diarias'!C:C, A179, 'Ventas diarias'!E:E)</f>
        <v>5</v>
      </c>
      <c r="L179" s="266">
        <f t="shared" si="2"/>
        <v>14160</v>
      </c>
      <c r="M179" s="98">
        <v>5.0</v>
      </c>
      <c r="N179" s="267" t="str">
        <f t="shared" si="9"/>
        <v>🟡 Bajo</v>
      </c>
      <c r="O179" s="251"/>
      <c r="P179" s="251"/>
      <c r="Q179" s="251"/>
      <c r="R179" s="251"/>
    </row>
    <row r="180" ht="15.75" hidden="1" customHeight="1">
      <c r="A180" s="268">
        <v>257.0</v>
      </c>
      <c r="B180" s="80" t="s">
        <v>726</v>
      </c>
      <c r="C180" s="99" t="s">
        <v>727</v>
      </c>
      <c r="D180" s="99" t="s">
        <v>714</v>
      </c>
      <c r="E180" s="272">
        <v>280.0</v>
      </c>
      <c r="F180" s="50">
        <v>999.0</v>
      </c>
      <c r="G180" s="50">
        <v>690.0</v>
      </c>
      <c r="H180" s="281">
        <f>(F180-(E180+295.59))/F180</f>
        <v>0.4238338338</v>
      </c>
      <c r="I180" s="271">
        <f t="shared" si="8"/>
        <v>1.464285714</v>
      </c>
      <c r="J180" s="99">
        <v>40.0</v>
      </c>
      <c r="K180" s="50">
        <f> J180 - SUMIF('Ventas diarias'!C:C, A180, 'Ventas diarias'!E:E)</f>
        <v>2</v>
      </c>
      <c r="L180" s="272">
        <f t="shared" si="2"/>
        <v>11200</v>
      </c>
      <c r="M180" s="99">
        <v>12.0</v>
      </c>
      <c r="N180" s="273" t="str">
        <f t="shared" si="9"/>
        <v>🟡 Bajo</v>
      </c>
      <c r="O180" s="251"/>
      <c r="P180" s="251"/>
      <c r="Q180" s="251"/>
      <c r="R180" s="251"/>
    </row>
    <row r="181" ht="15.75" hidden="1" customHeight="1">
      <c r="A181" s="262">
        <v>258.0</v>
      </c>
      <c r="B181" s="136" t="s">
        <v>728</v>
      </c>
      <c r="C181" s="98" t="s">
        <v>727</v>
      </c>
      <c r="D181" s="98" t="s">
        <v>714</v>
      </c>
      <c r="E181" s="266">
        <v>1400.0</v>
      </c>
      <c r="F181" s="51">
        <v>2799.0</v>
      </c>
      <c r="G181" s="51">
        <v>2490.0</v>
      </c>
      <c r="H181" s="282">
        <f>(F181-(E181+441))/F181</f>
        <v>0.3422650947</v>
      </c>
      <c r="I181" s="265">
        <f t="shared" si="8"/>
        <v>0.7785714286</v>
      </c>
      <c r="J181" s="98">
        <v>8.0</v>
      </c>
      <c r="K181" s="51">
        <f> J181 - SUMIF('Ventas diarias'!C:C, A181, 'Ventas diarias'!E:E)</f>
        <v>-6</v>
      </c>
      <c r="L181" s="266">
        <f t="shared" si="2"/>
        <v>11200</v>
      </c>
      <c r="M181" s="98">
        <v>8.0</v>
      </c>
      <c r="N181" s="267" t="str">
        <f t="shared" si="9"/>
        <v>🟡 Bajo</v>
      </c>
      <c r="O181" s="251"/>
      <c r="P181" s="251"/>
      <c r="Q181" s="251"/>
      <c r="R181" s="251"/>
    </row>
    <row r="182" ht="15.75" hidden="1" customHeight="1">
      <c r="A182" s="268">
        <v>259.0</v>
      </c>
      <c r="B182" s="80" t="s">
        <v>729</v>
      </c>
      <c r="C182" s="99" t="s">
        <v>727</v>
      </c>
      <c r="D182" s="99" t="s">
        <v>714</v>
      </c>
      <c r="E182" s="272">
        <v>432.0</v>
      </c>
      <c r="F182" s="50">
        <v>1299.0</v>
      </c>
      <c r="G182" s="50">
        <v>999.0</v>
      </c>
      <c r="H182" s="281">
        <f>(F182-(E182+295.59))/F182</f>
        <v>0.4398845266</v>
      </c>
      <c r="I182" s="271">
        <f t="shared" si="8"/>
        <v>1.3125</v>
      </c>
      <c r="J182" s="99">
        <v>40.0</v>
      </c>
      <c r="K182" s="50">
        <f> J182 - SUMIF('Ventas diarias'!C:C, A182, 'Ventas diarias'!E:E)</f>
        <v>21</v>
      </c>
      <c r="L182" s="272">
        <f t="shared" si="2"/>
        <v>17280</v>
      </c>
      <c r="M182" s="99">
        <v>12.0</v>
      </c>
      <c r="N182" s="273" t="str">
        <f t="shared" si="9"/>
        <v>✅ Ok</v>
      </c>
      <c r="O182" s="251"/>
      <c r="P182" s="251"/>
      <c r="Q182" s="251"/>
      <c r="R182" s="251"/>
    </row>
    <row r="183" ht="15.75" hidden="1" customHeight="1">
      <c r="A183" s="262">
        <v>260.0</v>
      </c>
      <c r="B183" s="136" t="s">
        <v>730</v>
      </c>
      <c r="C183" s="98" t="s">
        <v>727</v>
      </c>
      <c r="D183" s="98" t="s">
        <v>714</v>
      </c>
      <c r="E183" s="266">
        <v>2060.0</v>
      </c>
      <c r="F183" s="51">
        <v>3999.0</v>
      </c>
      <c r="G183" s="51">
        <v>3499.0</v>
      </c>
      <c r="H183" s="282">
        <f>(F183-(E183+441))/F183</f>
        <v>0.3745936484</v>
      </c>
      <c r="I183" s="265">
        <f t="shared" si="8"/>
        <v>0.6985436893</v>
      </c>
      <c r="J183" s="98">
        <v>8.0</v>
      </c>
      <c r="K183" s="51">
        <f> J183 - SUMIF('Ventas diarias'!C:C, A183, 'Ventas diarias'!E:E)</f>
        <v>4</v>
      </c>
      <c r="L183" s="266">
        <f t="shared" si="2"/>
        <v>16480</v>
      </c>
      <c r="M183" s="98">
        <v>5.0</v>
      </c>
      <c r="N183" s="267" t="str">
        <f t="shared" si="9"/>
        <v>🟡 Bajo</v>
      </c>
      <c r="O183" s="251"/>
      <c r="P183" s="251"/>
      <c r="Q183" s="251"/>
      <c r="R183" s="251"/>
    </row>
    <row r="184" ht="15.75" hidden="1" customHeight="1">
      <c r="A184" s="268">
        <v>261.0</v>
      </c>
      <c r="B184" s="80" t="s">
        <v>731</v>
      </c>
      <c r="C184" s="99" t="s">
        <v>732</v>
      </c>
      <c r="D184" s="99" t="s">
        <v>714</v>
      </c>
      <c r="E184" s="272">
        <v>649.0</v>
      </c>
      <c r="F184" s="50">
        <v>1499.0</v>
      </c>
      <c r="G184" s="50">
        <v>1200.0</v>
      </c>
      <c r="H184" s="281">
        <f t="shared" ref="H184:H185" si="10">(F184-(E184+295.59))/F184</f>
        <v>0.3698532355</v>
      </c>
      <c r="I184" s="271">
        <f t="shared" si="8"/>
        <v>0.8489984592</v>
      </c>
      <c r="J184" s="99">
        <v>20.0</v>
      </c>
      <c r="K184" s="50">
        <f> J184 - SUMIF('Ventas diarias'!C:C, A184, 'Ventas diarias'!E:E)</f>
        <v>16</v>
      </c>
      <c r="L184" s="272">
        <f t="shared" si="2"/>
        <v>12980</v>
      </c>
      <c r="M184" s="99">
        <v>3.0</v>
      </c>
      <c r="N184" s="273" t="str">
        <f t="shared" si="9"/>
        <v>✅ Ok</v>
      </c>
      <c r="O184" s="251"/>
      <c r="P184" s="251"/>
      <c r="Q184" s="251"/>
      <c r="R184" s="251"/>
    </row>
    <row r="185" ht="15.75" hidden="1" customHeight="1">
      <c r="A185" s="262">
        <v>262.0</v>
      </c>
      <c r="B185" s="136" t="s">
        <v>733</v>
      </c>
      <c r="C185" s="98" t="s">
        <v>713</v>
      </c>
      <c r="D185" s="98" t="s">
        <v>714</v>
      </c>
      <c r="E185" s="266">
        <v>499.0</v>
      </c>
      <c r="F185" s="51">
        <v>1499.0</v>
      </c>
      <c r="G185" s="51">
        <v>999.0</v>
      </c>
      <c r="H185" s="282">
        <f t="shared" si="10"/>
        <v>0.4699199466</v>
      </c>
      <c r="I185" s="265">
        <f t="shared" si="8"/>
        <v>1.002004008</v>
      </c>
      <c r="J185" s="98">
        <v>20.0</v>
      </c>
      <c r="K185" s="51">
        <f> J185 - SUMIF('Ventas diarias'!C:C, A185, 'Ventas diarias'!E:E)</f>
        <v>20</v>
      </c>
      <c r="L185" s="266">
        <f t="shared" si="2"/>
        <v>9980</v>
      </c>
      <c r="M185" s="98">
        <v>5.0</v>
      </c>
      <c r="N185" s="267" t="str">
        <f t="shared" si="9"/>
        <v>✅ Ok</v>
      </c>
      <c r="O185" s="251"/>
      <c r="P185" s="251"/>
      <c r="Q185" s="251"/>
      <c r="R185" s="251"/>
    </row>
    <row r="186" ht="15.75" hidden="1" customHeight="1">
      <c r="A186" s="268">
        <v>263.0</v>
      </c>
      <c r="B186" s="80" t="s">
        <v>734</v>
      </c>
      <c r="C186" s="99" t="s">
        <v>732</v>
      </c>
      <c r="D186" s="99" t="s">
        <v>714</v>
      </c>
      <c r="E186" s="272">
        <v>849.0</v>
      </c>
      <c r="F186" s="50">
        <v>1999.0</v>
      </c>
      <c r="G186" s="50">
        <v>1499.0</v>
      </c>
      <c r="H186" s="281">
        <f>(F186-(E186+295.59))/$F$186</f>
        <v>0.4274187094</v>
      </c>
      <c r="I186" s="271">
        <f t="shared" si="8"/>
        <v>0.765606596</v>
      </c>
      <c r="J186" s="99">
        <v>20.0</v>
      </c>
      <c r="K186" s="50">
        <f> J186 - SUMIF('Ventas diarias'!C:C, A186, 'Ventas diarias'!E:E)</f>
        <v>20</v>
      </c>
      <c r="L186" s="272">
        <f t="shared" si="2"/>
        <v>16980</v>
      </c>
      <c r="M186" s="99">
        <v>2.0</v>
      </c>
      <c r="N186" s="273" t="str">
        <f t="shared" si="9"/>
        <v>✅ Ok</v>
      </c>
      <c r="O186" s="251"/>
      <c r="P186" s="251"/>
      <c r="Q186" s="251"/>
      <c r="R186" s="251"/>
    </row>
    <row r="187" ht="15.75" hidden="1" customHeight="1">
      <c r="A187" s="262">
        <v>264.0</v>
      </c>
      <c r="B187" s="136" t="s">
        <v>735</v>
      </c>
      <c r="C187" s="98" t="s">
        <v>732</v>
      </c>
      <c r="D187" s="98" t="s">
        <v>714</v>
      </c>
      <c r="E187" s="266">
        <v>241.6</v>
      </c>
      <c r="G187" s="51">
        <v>500.0</v>
      </c>
      <c r="H187" s="282"/>
      <c r="I187" s="265">
        <f t="shared" si="8"/>
        <v>1.069536424</v>
      </c>
      <c r="J187" s="98"/>
      <c r="K187" s="51">
        <v>20.0</v>
      </c>
      <c r="L187" s="266"/>
      <c r="M187" s="98">
        <v>10.0</v>
      </c>
      <c r="N187" s="267" t="str">
        <f t="shared" si="9"/>
        <v>✅ Ok</v>
      </c>
      <c r="O187" s="251"/>
      <c r="P187" s="251"/>
      <c r="Q187" s="251"/>
      <c r="R187" s="251"/>
    </row>
    <row r="188" ht="15.75" hidden="1" customHeight="1">
      <c r="A188" s="268">
        <v>265.0</v>
      </c>
      <c r="B188" s="80" t="s">
        <v>736</v>
      </c>
      <c r="C188" s="99" t="s">
        <v>732</v>
      </c>
      <c r="D188" s="99" t="s">
        <v>714</v>
      </c>
      <c r="E188" s="272">
        <v>909.0</v>
      </c>
      <c r="F188" s="50">
        <v>1999.0</v>
      </c>
      <c r="G188" s="50">
        <v>1499.0</v>
      </c>
      <c r="H188" s="281">
        <f t="shared" ref="H188:H189" si="11">(F188-(E188+295.59))/F188</f>
        <v>0.3974037019</v>
      </c>
      <c r="I188" s="271">
        <f t="shared" si="8"/>
        <v>0.6490649065</v>
      </c>
      <c r="J188" s="99">
        <v>20.0</v>
      </c>
      <c r="K188" s="50">
        <f> J188 - SUMIF('Ventas diarias'!C:C, A188, 'Ventas diarias'!E:E)</f>
        <v>20</v>
      </c>
      <c r="L188" s="272">
        <f t="shared" ref="L188:L222" si="12">E188*J188</f>
        <v>18180</v>
      </c>
      <c r="M188" s="99">
        <v>5.0</v>
      </c>
      <c r="N188" s="273" t="str">
        <f t="shared" si="9"/>
        <v>✅ Ok</v>
      </c>
      <c r="O188" s="251"/>
      <c r="P188" s="251"/>
      <c r="Q188" s="251"/>
      <c r="R188" s="251"/>
    </row>
    <row r="189" ht="15.75" hidden="1" customHeight="1">
      <c r="A189" s="262">
        <v>266.0</v>
      </c>
      <c r="B189" s="136" t="s">
        <v>737</v>
      </c>
      <c r="C189" s="98" t="s">
        <v>732</v>
      </c>
      <c r="D189" s="98" t="s">
        <v>714</v>
      </c>
      <c r="E189" s="266">
        <v>200.0</v>
      </c>
      <c r="F189" s="51">
        <v>799.0</v>
      </c>
      <c r="G189" s="51">
        <v>499.0</v>
      </c>
      <c r="H189" s="282">
        <f t="shared" si="11"/>
        <v>0.3797371715</v>
      </c>
      <c r="I189" s="265">
        <f t="shared" si="8"/>
        <v>1.495</v>
      </c>
      <c r="J189" s="98">
        <v>40.0</v>
      </c>
      <c r="K189" s="51">
        <f> J189 - SUMIF('Ventas diarias'!C:C, A189, 'Ventas diarias'!E:E)</f>
        <v>6</v>
      </c>
      <c r="L189" s="266">
        <f t="shared" si="12"/>
        <v>8000</v>
      </c>
      <c r="M189" s="98">
        <v>7.0</v>
      </c>
      <c r="N189" s="267" t="str">
        <f t="shared" si="9"/>
        <v>🟡 Bajo</v>
      </c>
      <c r="O189" s="251"/>
      <c r="P189" s="251"/>
      <c r="Q189" s="251"/>
      <c r="R189" s="251"/>
    </row>
    <row r="190" ht="15.75" hidden="1" customHeight="1">
      <c r="A190" s="268">
        <v>267.0</v>
      </c>
      <c r="B190" s="80" t="s">
        <v>738</v>
      </c>
      <c r="C190" s="99" t="s">
        <v>732</v>
      </c>
      <c r="D190" s="99" t="s">
        <v>714</v>
      </c>
      <c r="E190" s="272">
        <v>1000.0</v>
      </c>
      <c r="F190" s="50">
        <v>2199.0</v>
      </c>
      <c r="G190" s="50">
        <v>1699.0</v>
      </c>
      <c r="H190" s="281">
        <f>(F190-(E190+441))/F190</f>
        <v>0.3447021373</v>
      </c>
      <c r="I190" s="271">
        <f t="shared" si="8"/>
        <v>0.699</v>
      </c>
      <c r="J190" s="99">
        <v>8.0</v>
      </c>
      <c r="K190" s="50">
        <f> J190 - SUMIF('Ventas diarias'!C:C, A190, 'Ventas diarias'!E:E)</f>
        <v>-1</v>
      </c>
      <c r="L190" s="272">
        <f t="shared" si="12"/>
        <v>8000</v>
      </c>
      <c r="M190" s="99">
        <v>3.0</v>
      </c>
      <c r="N190" s="273" t="str">
        <f t="shared" si="9"/>
        <v>🟡 Bajo</v>
      </c>
      <c r="O190" s="251"/>
      <c r="P190" s="251"/>
      <c r="Q190" s="251"/>
      <c r="R190" s="251"/>
    </row>
    <row r="191" ht="15.75" hidden="1" customHeight="1">
      <c r="A191" s="262">
        <v>268.0</v>
      </c>
      <c r="B191" s="136" t="s">
        <v>739</v>
      </c>
      <c r="C191" s="98" t="s">
        <v>732</v>
      </c>
      <c r="D191" s="98" t="s">
        <v>714</v>
      </c>
      <c r="E191" s="266">
        <v>252.0</v>
      </c>
      <c r="F191" s="51">
        <v>899.0</v>
      </c>
      <c r="G191" s="51">
        <v>599.0</v>
      </c>
      <c r="H191" s="282">
        <f>(F191-(E191+295.59))/F191</f>
        <v>0.3908898776</v>
      </c>
      <c r="I191" s="265">
        <f t="shared" si="8"/>
        <v>1.376984127</v>
      </c>
      <c r="J191" s="98">
        <v>40.0</v>
      </c>
      <c r="K191" s="51">
        <f> J191 - SUMIF('Ventas diarias'!C:C, A191, 'Ventas diarias'!E:E)</f>
        <v>25</v>
      </c>
      <c r="L191" s="266">
        <f t="shared" si="12"/>
        <v>10080</v>
      </c>
      <c r="M191" s="98">
        <v>7.0</v>
      </c>
      <c r="N191" s="267" t="str">
        <f t="shared" si="9"/>
        <v>✅ Ok</v>
      </c>
      <c r="O191" s="251"/>
      <c r="P191" s="251"/>
      <c r="Q191" s="251"/>
      <c r="R191" s="251"/>
    </row>
    <row r="192" ht="15.75" hidden="1" customHeight="1">
      <c r="A192" s="268">
        <v>269.0</v>
      </c>
      <c r="B192" s="80" t="s">
        <v>740</v>
      </c>
      <c r="C192" s="99" t="s">
        <v>732</v>
      </c>
      <c r="D192" s="99" t="s">
        <v>714</v>
      </c>
      <c r="E192" s="272">
        <v>1260.0</v>
      </c>
      <c r="F192" s="50">
        <v>2699.0</v>
      </c>
      <c r="G192" s="50">
        <v>1899.0</v>
      </c>
      <c r="H192" s="281">
        <f>(F192-(E192+441))/F192</f>
        <v>0.3697665802</v>
      </c>
      <c r="I192" s="271">
        <f t="shared" si="8"/>
        <v>0.5071428571</v>
      </c>
      <c r="J192" s="99"/>
      <c r="K192" s="50">
        <f> J192 - SUMIF('Ventas diarias'!C:C, A192, 'Ventas diarias'!E:E)</f>
        <v>0</v>
      </c>
      <c r="L192" s="272">
        <f t="shared" si="12"/>
        <v>0</v>
      </c>
      <c r="M192" s="99">
        <v>0.0</v>
      </c>
      <c r="N192" s="273" t="str">
        <f t="shared" si="9"/>
        <v>🛑 Agotado</v>
      </c>
      <c r="O192" s="251"/>
      <c r="P192" s="251"/>
      <c r="Q192" s="251"/>
      <c r="R192" s="251"/>
    </row>
    <row r="193" ht="15.75" hidden="1" customHeight="1">
      <c r="A193" s="262">
        <v>270.0</v>
      </c>
      <c r="B193" s="136" t="s">
        <v>741</v>
      </c>
      <c r="C193" s="98" t="s">
        <v>732</v>
      </c>
      <c r="D193" s="98" t="s">
        <v>714</v>
      </c>
      <c r="E193" s="266">
        <v>410.4</v>
      </c>
      <c r="F193" s="51">
        <v>1299.0</v>
      </c>
      <c r="G193" s="51">
        <v>899.0</v>
      </c>
      <c r="H193" s="282">
        <f>(F193-(E193+295.59))/F193</f>
        <v>0.4565127021</v>
      </c>
      <c r="I193" s="265">
        <f t="shared" si="8"/>
        <v>1.190545809</v>
      </c>
      <c r="J193" s="98">
        <v>40.0</v>
      </c>
      <c r="K193" s="51">
        <f> J193 - SUMIF('Ventas diarias'!C:C, A193, 'Ventas diarias'!E:E)</f>
        <v>38</v>
      </c>
      <c r="L193" s="266">
        <f t="shared" si="12"/>
        <v>16416</v>
      </c>
      <c r="M193" s="98">
        <v>4.0</v>
      </c>
      <c r="N193" s="267" t="str">
        <f t="shared" si="9"/>
        <v>✅ Ok</v>
      </c>
      <c r="O193" s="251"/>
      <c r="P193" s="251"/>
      <c r="Q193" s="251"/>
      <c r="R193" s="251"/>
    </row>
    <row r="194" ht="15.75" hidden="1" customHeight="1">
      <c r="A194" s="268">
        <v>271.0</v>
      </c>
      <c r="B194" s="80" t="s">
        <v>742</v>
      </c>
      <c r="C194" s="99" t="s">
        <v>732</v>
      </c>
      <c r="D194" s="99" t="s">
        <v>714</v>
      </c>
      <c r="E194" s="272">
        <v>2052.0</v>
      </c>
      <c r="F194" s="50">
        <v>3799.0</v>
      </c>
      <c r="G194" s="50">
        <v>3299.0</v>
      </c>
      <c r="H194" s="281">
        <f>(F194-(E194+441))/F194</f>
        <v>0.3437746775</v>
      </c>
      <c r="I194" s="271">
        <f t="shared" si="8"/>
        <v>0.6076998051</v>
      </c>
      <c r="J194" s="99"/>
      <c r="K194" s="50">
        <f> J194 - SUMIF('Ventas diarias'!C:C, A194, 'Ventas diarias'!E:E)</f>
        <v>0</v>
      </c>
      <c r="L194" s="272">
        <f t="shared" si="12"/>
        <v>0</v>
      </c>
      <c r="M194" s="99">
        <v>0.0</v>
      </c>
      <c r="N194" s="273" t="str">
        <f t="shared" si="9"/>
        <v>🛑 Agotado</v>
      </c>
      <c r="O194" s="251"/>
      <c r="P194" s="251"/>
      <c r="Q194" s="251"/>
      <c r="R194" s="251"/>
    </row>
    <row r="195" ht="15.75" hidden="1" customHeight="1">
      <c r="A195" s="262">
        <v>272.0</v>
      </c>
      <c r="B195" s="136" t="s">
        <v>743</v>
      </c>
      <c r="C195" s="98" t="s">
        <v>732</v>
      </c>
      <c r="D195" s="98" t="s">
        <v>714</v>
      </c>
      <c r="E195" s="266">
        <v>757.6</v>
      </c>
      <c r="F195" s="51">
        <v>2000.0</v>
      </c>
      <c r="G195" s="51">
        <v>1500.0</v>
      </c>
      <c r="H195" s="282">
        <f t="shared" ref="H195:H196" si="13">(F195-(E195+295.59))/F195</f>
        <v>0.473405</v>
      </c>
      <c r="I195" s="265">
        <f t="shared" si="8"/>
        <v>0.979936642</v>
      </c>
      <c r="J195" s="98"/>
      <c r="K195" s="51">
        <v>5.0</v>
      </c>
      <c r="L195" s="266">
        <f t="shared" si="12"/>
        <v>0</v>
      </c>
      <c r="M195" s="98">
        <v>0.0</v>
      </c>
      <c r="N195" s="267" t="str">
        <f t="shared" si="9"/>
        <v>✅ Ok</v>
      </c>
      <c r="O195" s="251"/>
      <c r="P195" s="251"/>
      <c r="Q195" s="251"/>
      <c r="R195" s="251"/>
    </row>
    <row r="196" ht="15.75" hidden="1" customHeight="1">
      <c r="A196" s="268">
        <v>273.0</v>
      </c>
      <c r="B196" s="80" t="s">
        <v>744</v>
      </c>
      <c r="C196" s="99" t="s">
        <v>745</v>
      </c>
      <c r="D196" s="99" t="s">
        <v>714</v>
      </c>
      <c r="E196" s="272">
        <v>57.45</v>
      </c>
      <c r="F196" s="50">
        <v>599.0</v>
      </c>
      <c r="G196" s="50">
        <v>290.0</v>
      </c>
      <c r="H196" s="281">
        <f t="shared" si="13"/>
        <v>0.4106176962</v>
      </c>
      <c r="I196" s="271">
        <f t="shared" si="8"/>
        <v>4.047867711</v>
      </c>
      <c r="J196" s="99">
        <v>400.0</v>
      </c>
      <c r="K196" s="50">
        <f> J196 - SUMIF('Ventas diarias'!C:C, A196, 'Ventas diarias'!E:E)</f>
        <v>372</v>
      </c>
      <c r="L196" s="272">
        <f t="shared" si="12"/>
        <v>22980</v>
      </c>
      <c r="M196" s="99">
        <v>10.0</v>
      </c>
      <c r="N196" s="273" t="str">
        <f t="shared" si="9"/>
        <v>✅ Ok</v>
      </c>
      <c r="O196" s="251"/>
      <c r="P196" s="251"/>
      <c r="Q196" s="251"/>
      <c r="R196" s="251"/>
    </row>
    <row r="197" ht="15.75" hidden="1" customHeight="1">
      <c r="A197" s="262">
        <v>274.0</v>
      </c>
      <c r="B197" s="136" t="s">
        <v>746</v>
      </c>
      <c r="C197" s="98" t="s">
        <v>745</v>
      </c>
      <c r="D197" s="98" t="s">
        <v>714</v>
      </c>
      <c r="E197" s="266">
        <v>287.25</v>
      </c>
      <c r="F197" s="51">
        <v>1499.0</v>
      </c>
      <c r="G197" s="51">
        <v>990.0</v>
      </c>
      <c r="H197" s="282">
        <f>(F197-(E197+441))/F197</f>
        <v>0.5141761174</v>
      </c>
      <c r="I197" s="265">
        <f t="shared" si="8"/>
        <v>2.446475196</v>
      </c>
      <c r="J197" s="98"/>
      <c r="K197" s="51">
        <f> J197 - SUMIF('Ventas diarias'!C:C, A197, 'Ventas diarias'!E:E)</f>
        <v>-11</v>
      </c>
      <c r="L197" s="266">
        <f t="shared" si="12"/>
        <v>0</v>
      </c>
      <c r="M197" s="98">
        <v>7.0</v>
      </c>
      <c r="N197" s="267" t="str">
        <f t="shared" si="9"/>
        <v>🟡 Bajo</v>
      </c>
      <c r="O197" s="251"/>
      <c r="P197" s="251"/>
      <c r="Q197" s="251"/>
      <c r="R197" s="251"/>
    </row>
    <row r="198" ht="15.75" hidden="1" customHeight="1">
      <c r="A198" s="268">
        <v>275.0</v>
      </c>
      <c r="B198" s="80" t="s">
        <v>747</v>
      </c>
      <c r="C198" s="99" t="s">
        <v>745</v>
      </c>
      <c r="D198" s="99" t="s">
        <v>714</v>
      </c>
      <c r="E198" s="272">
        <v>57.45</v>
      </c>
      <c r="F198" s="50">
        <v>599.0</v>
      </c>
      <c r="G198" s="50">
        <v>290.0</v>
      </c>
      <c r="H198" s="281">
        <f>(F198-(E198+295.59))/F198</f>
        <v>0.4106176962</v>
      </c>
      <c r="I198" s="271">
        <f t="shared" si="8"/>
        <v>4.047867711</v>
      </c>
      <c r="J198" s="99">
        <v>400.0</v>
      </c>
      <c r="K198" s="50">
        <f> J198 - SUMIF('Ventas diarias'!C:C, A198, 'Ventas diarias'!E:E)</f>
        <v>376</v>
      </c>
      <c r="L198" s="272">
        <f t="shared" si="12"/>
        <v>22980</v>
      </c>
      <c r="M198" s="99">
        <v>10.0</v>
      </c>
      <c r="N198" s="273" t="str">
        <f t="shared" si="9"/>
        <v>✅ Ok</v>
      </c>
      <c r="O198" s="251"/>
      <c r="P198" s="251"/>
      <c r="Q198" s="251"/>
      <c r="R198" s="251"/>
    </row>
    <row r="199" ht="15.75" hidden="1" customHeight="1">
      <c r="A199" s="262">
        <v>276.0</v>
      </c>
      <c r="B199" s="136" t="s">
        <v>748</v>
      </c>
      <c r="C199" s="98" t="s">
        <v>745</v>
      </c>
      <c r="D199" s="98" t="s">
        <v>714</v>
      </c>
      <c r="E199" s="266">
        <v>287.25</v>
      </c>
      <c r="F199" s="51">
        <v>1499.0</v>
      </c>
      <c r="G199" s="51">
        <v>990.0</v>
      </c>
      <c r="H199" s="282">
        <f>(F199-(E199+441))/F199</f>
        <v>0.5141761174</v>
      </c>
      <c r="I199" s="265">
        <f t="shared" si="8"/>
        <v>2.446475196</v>
      </c>
      <c r="J199" s="98"/>
      <c r="K199" s="51">
        <f> J199 - SUMIF('Ventas diarias'!C:C, A199, 'Ventas diarias'!E:E)</f>
        <v>-8</v>
      </c>
      <c r="L199" s="266">
        <f t="shared" si="12"/>
        <v>0</v>
      </c>
      <c r="M199" s="98">
        <v>7.0</v>
      </c>
      <c r="N199" s="267" t="str">
        <f t="shared" si="9"/>
        <v>🟡 Bajo</v>
      </c>
      <c r="O199" s="251"/>
      <c r="P199" s="251"/>
      <c r="Q199" s="251"/>
      <c r="R199" s="251"/>
    </row>
    <row r="200" ht="15.75" hidden="1" customHeight="1">
      <c r="A200" s="268">
        <v>277.0</v>
      </c>
      <c r="B200" s="80" t="s">
        <v>749</v>
      </c>
      <c r="C200" s="99" t="s">
        <v>745</v>
      </c>
      <c r="D200" s="99" t="s">
        <v>714</v>
      </c>
      <c r="E200" s="272">
        <v>57.45</v>
      </c>
      <c r="F200" s="50">
        <v>599.0</v>
      </c>
      <c r="G200" s="50">
        <v>290.0</v>
      </c>
      <c r="H200" s="281">
        <f>(F200-(E200+295.59))/F200</f>
        <v>0.4106176962</v>
      </c>
      <c r="I200" s="271">
        <f t="shared" si="8"/>
        <v>4.047867711</v>
      </c>
      <c r="J200" s="99">
        <v>400.0</v>
      </c>
      <c r="K200" s="50">
        <f> J200 - SUMIF('Ventas diarias'!C:C, A200, 'Ventas diarias'!E:E)</f>
        <v>378</v>
      </c>
      <c r="L200" s="272">
        <f t="shared" si="12"/>
        <v>22980</v>
      </c>
      <c r="M200" s="99">
        <v>10.0</v>
      </c>
      <c r="N200" s="273" t="str">
        <f t="shared" si="9"/>
        <v>✅ Ok</v>
      </c>
      <c r="O200" s="251"/>
      <c r="P200" s="251"/>
      <c r="Q200" s="251"/>
      <c r="R200" s="251"/>
    </row>
    <row r="201" ht="15.75" hidden="1" customHeight="1">
      <c r="A201" s="262">
        <v>278.0</v>
      </c>
      <c r="B201" s="136" t="s">
        <v>750</v>
      </c>
      <c r="C201" s="98" t="s">
        <v>745</v>
      </c>
      <c r="D201" s="98" t="s">
        <v>714</v>
      </c>
      <c r="E201" s="266">
        <v>287.25</v>
      </c>
      <c r="F201" s="51">
        <v>1499.0</v>
      </c>
      <c r="G201" s="51">
        <v>990.0</v>
      </c>
      <c r="H201" s="282">
        <f>(F201-(E201+441))/F201</f>
        <v>0.5141761174</v>
      </c>
      <c r="I201" s="265">
        <f t="shared" si="8"/>
        <v>2.446475196</v>
      </c>
      <c r="J201" s="98"/>
      <c r="K201" s="51">
        <f> J201 - SUMIF('Ventas diarias'!C:C, A201, 'Ventas diarias'!E:E)</f>
        <v>-11</v>
      </c>
      <c r="L201" s="266">
        <f t="shared" si="12"/>
        <v>0</v>
      </c>
      <c r="M201" s="98">
        <v>7.0</v>
      </c>
      <c r="N201" s="267" t="str">
        <f t="shared" si="9"/>
        <v>🟡 Bajo</v>
      </c>
      <c r="O201" s="251"/>
      <c r="P201" s="251"/>
      <c r="Q201" s="251"/>
      <c r="R201" s="251"/>
    </row>
    <row r="202" ht="15.75" hidden="1" customHeight="1">
      <c r="A202" s="268">
        <v>279.0</v>
      </c>
      <c r="B202" s="80" t="s">
        <v>751</v>
      </c>
      <c r="C202" s="99" t="s">
        <v>745</v>
      </c>
      <c r="D202" s="99" t="s">
        <v>714</v>
      </c>
      <c r="E202" s="272">
        <v>57.45</v>
      </c>
      <c r="F202" s="50">
        <v>599.0</v>
      </c>
      <c r="G202" s="50">
        <v>290.0</v>
      </c>
      <c r="H202" s="281">
        <f>(F202-(E202+295.59))/F202</f>
        <v>0.4106176962</v>
      </c>
      <c r="I202" s="271">
        <f t="shared" si="8"/>
        <v>4.047867711</v>
      </c>
      <c r="J202" s="99">
        <v>400.0</v>
      </c>
      <c r="K202" s="50">
        <f> J202 - SUMIF('Ventas diarias'!C:C, A202, 'Ventas diarias'!E:E)</f>
        <v>372</v>
      </c>
      <c r="L202" s="272">
        <f t="shared" si="12"/>
        <v>22980</v>
      </c>
      <c r="M202" s="99">
        <v>10.0</v>
      </c>
      <c r="N202" s="273" t="str">
        <f t="shared" si="9"/>
        <v>✅ Ok</v>
      </c>
      <c r="O202" s="251"/>
      <c r="P202" s="251"/>
      <c r="Q202" s="251"/>
      <c r="R202" s="251"/>
    </row>
    <row r="203" ht="15.75" hidden="1" customHeight="1">
      <c r="A203" s="262">
        <v>280.0</v>
      </c>
      <c r="B203" s="136" t="s">
        <v>752</v>
      </c>
      <c r="C203" s="98" t="s">
        <v>745</v>
      </c>
      <c r="D203" s="98" t="s">
        <v>714</v>
      </c>
      <c r="E203" s="266">
        <v>574.5</v>
      </c>
      <c r="F203" s="51">
        <v>1500.0</v>
      </c>
      <c r="G203" s="51">
        <v>990.0</v>
      </c>
      <c r="H203" s="282">
        <f>(F203-(E203+245.43))/F203</f>
        <v>0.45338</v>
      </c>
      <c r="I203" s="265">
        <f t="shared" si="8"/>
        <v>0.7232375979</v>
      </c>
      <c r="J203" s="98"/>
      <c r="K203" s="51">
        <f> J203 - SUMIF('Ventas diarias'!C:C, A203, 'Ventas diarias'!E:E)</f>
        <v>-11</v>
      </c>
      <c r="L203" s="266">
        <f t="shared" si="12"/>
        <v>0</v>
      </c>
      <c r="M203" s="98">
        <v>7.0</v>
      </c>
      <c r="N203" s="267" t="str">
        <f t="shared" si="9"/>
        <v>🟡 Bajo</v>
      </c>
      <c r="O203" s="251"/>
      <c r="P203" s="251"/>
      <c r="Q203" s="251"/>
      <c r="R203" s="251"/>
    </row>
    <row r="204" ht="15.75" hidden="1" customHeight="1">
      <c r="A204" s="268">
        <v>281.0</v>
      </c>
      <c r="B204" s="80" t="s">
        <v>753</v>
      </c>
      <c r="C204" s="99" t="s">
        <v>745</v>
      </c>
      <c r="D204" s="99" t="s">
        <v>714</v>
      </c>
      <c r="E204" s="272">
        <v>57.45</v>
      </c>
      <c r="F204" s="50">
        <v>599.0</v>
      </c>
      <c r="G204" s="50">
        <v>290.0</v>
      </c>
      <c r="H204" s="281">
        <f>(F204-(E204+295.59))/F204</f>
        <v>0.4106176962</v>
      </c>
      <c r="I204" s="271">
        <f t="shared" si="8"/>
        <v>4.047867711</v>
      </c>
      <c r="J204" s="99">
        <v>400.0</v>
      </c>
      <c r="K204" s="50">
        <f> J204 - SUMIF('Ventas diarias'!C:C, A204, 'Ventas diarias'!E:E)</f>
        <v>382</v>
      </c>
      <c r="L204" s="272">
        <f t="shared" si="12"/>
        <v>22980</v>
      </c>
      <c r="M204" s="99">
        <v>10.0</v>
      </c>
      <c r="N204" s="273" t="str">
        <f t="shared" si="9"/>
        <v>✅ Ok</v>
      </c>
      <c r="O204" s="251"/>
      <c r="P204" s="251"/>
      <c r="Q204" s="251"/>
      <c r="R204" s="251"/>
    </row>
    <row r="205" ht="15.75" hidden="1" customHeight="1">
      <c r="A205" s="262">
        <v>282.0</v>
      </c>
      <c r="B205" s="136" t="s">
        <v>754</v>
      </c>
      <c r="C205" s="98" t="s">
        <v>745</v>
      </c>
      <c r="D205" s="98" t="s">
        <v>714</v>
      </c>
      <c r="E205" s="266">
        <v>287.25</v>
      </c>
      <c r="F205" s="51">
        <v>1499.0</v>
      </c>
      <c r="G205" s="51">
        <v>990.0</v>
      </c>
      <c r="H205" s="282">
        <f>(F205-(E205+441))/F205</f>
        <v>0.5141761174</v>
      </c>
      <c r="I205" s="265">
        <f t="shared" si="8"/>
        <v>2.446475196</v>
      </c>
      <c r="J205" s="98"/>
      <c r="K205" s="51">
        <f> J205 - SUMIF('Ventas diarias'!C:C, A205, 'Ventas diarias'!E:E)</f>
        <v>-5</v>
      </c>
      <c r="L205" s="266">
        <f t="shared" si="12"/>
        <v>0</v>
      </c>
      <c r="M205" s="98">
        <v>7.0</v>
      </c>
      <c r="N205" s="267" t="str">
        <f t="shared" si="9"/>
        <v>🟡 Bajo</v>
      </c>
      <c r="O205" s="251"/>
      <c r="P205" s="251"/>
      <c r="Q205" s="251"/>
      <c r="R205" s="251"/>
    </row>
    <row r="206" ht="15.75" hidden="1" customHeight="1">
      <c r="A206" s="268">
        <v>283.0</v>
      </c>
      <c r="B206" s="80" t="s">
        <v>755</v>
      </c>
      <c r="C206" s="99" t="s">
        <v>756</v>
      </c>
      <c r="D206" s="99" t="s">
        <v>714</v>
      </c>
      <c r="E206" s="272">
        <v>420.0</v>
      </c>
      <c r="F206" s="50">
        <v>2000.0</v>
      </c>
      <c r="H206" s="281">
        <f>(F206-(E206+295))/F206</f>
        <v>0.6425</v>
      </c>
      <c r="I206" s="281"/>
      <c r="J206" s="99">
        <v>80.0</v>
      </c>
      <c r="K206" s="50">
        <f> J206 - SUMIF('Ventas diarias'!C:C, A206, 'Ventas diarias'!E:E)</f>
        <v>65.5</v>
      </c>
      <c r="L206" s="272">
        <f t="shared" si="12"/>
        <v>33600</v>
      </c>
      <c r="M206" s="99">
        <v>8.0</v>
      </c>
      <c r="N206" s="273" t="str">
        <f t="shared" si="9"/>
        <v>✅ Ok</v>
      </c>
      <c r="O206" s="251"/>
      <c r="P206" s="251"/>
      <c r="Q206" s="251"/>
      <c r="R206" s="251"/>
    </row>
    <row r="207" ht="15.75" hidden="1" customHeight="1">
      <c r="A207" s="262">
        <v>284.0</v>
      </c>
      <c r="B207" s="136" t="s">
        <v>757</v>
      </c>
      <c r="C207" s="98" t="s">
        <v>756</v>
      </c>
      <c r="D207" s="98" t="s">
        <v>714</v>
      </c>
      <c r="E207" s="266">
        <v>420.0</v>
      </c>
      <c r="F207" s="51">
        <v>2000.0</v>
      </c>
      <c r="H207" s="282">
        <f t="shared" ref="H207:H208" si="14">(F207-(E207+245.43))/F207</f>
        <v>0.667285</v>
      </c>
      <c r="I207" s="282"/>
      <c r="J207" s="98">
        <v>80.0</v>
      </c>
      <c r="K207" s="51">
        <f> J207 - SUMIF('Ventas diarias'!C:C, A207, 'Ventas diarias'!E:E)</f>
        <v>61</v>
      </c>
      <c r="L207" s="266">
        <f t="shared" si="12"/>
        <v>33600</v>
      </c>
      <c r="M207" s="98">
        <v>8.0</v>
      </c>
      <c r="N207" s="267" t="str">
        <f t="shared" si="9"/>
        <v>✅ Ok</v>
      </c>
      <c r="O207" s="251"/>
      <c r="P207" s="251"/>
      <c r="Q207" s="251"/>
      <c r="R207" s="251"/>
    </row>
    <row r="208" ht="15.75" hidden="1" customHeight="1">
      <c r="A208" s="268">
        <v>285.0</v>
      </c>
      <c r="B208" s="80" t="s">
        <v>758</v>
      </c>
      <c r="C208" s="99" t="s">
        <v>759</v>
      </c>
      <c r="D208" s="99" t="s">
        <v>714</v>
      </c>
      <c r="E208" s="272">
        <v>210.0</v>
      </c>
      <c r="F208" s="50">
        <v>999.0</v>
      </c>
      <c r="H208" s="281">
        <f t="shared" si="14"/>
        <v>0.5441141141</v>
      </c>
      <c r="I208" s="281"/>
      <c r="J208" s="99">
        <v>80.0</v>
      </c>
      <c r="K208" s="50">
        <f> J208 - SUMIF('Ventas diarias'!C:C, A208, 'Ventas diarias'!E:E)</f>
        <v>72</v>
      </c>
      <c r="L208" s="272">
        <f t="shared" si="12"/>
        <v>16800</v>
      </c>
      <c r="M208" s="99">
        <v>5.0</v>
      </c>
      <c r="N208" s="273" t="str">
        <f t="shared" si="9"/>
        <v>✅ Ok</v>
      </c>
      <c r="O208" s="251"/>
      <c r="P208" s="251"/>
      <c r="Q208" s="251"/>
      <c r="R208" s="251"/>
    </row>
    <row r="209" ht="15.75" hidden="1" customHeight="1">
      <c r="A209" s="262">
        <v>286.0</v>
      </c>
      <c r="B209" s="136" t="s">
        <v>760</v>
      </c>
      <c r="C209" s="98" t="s">
        <v>759</v>
      </c>
      <c r="D209" s="98" t="s">
        <v>714</v>
      </c>
      <c r="E209" s="266">
        <v>210.0</v>
      </c>
      <c r="F209" s="51">
        <v>999.0</v>
      </c>
      <c r="H209" s="282">
        <f>(F209-(E209))/F209</f>
        <v>0.7897897898</v>
      </c>
      <c r="I209" s="282"/>
      <c r="J209" s="98">
        <v>80.0</v>
      </c>
      <c r="K209" s="51">
        <f> J209 - SUMIF('Ventas diarias'!C:C, A209, 'Ventas diarias'!E:E)</f>
        <v>75</v>
      </c>
      <c r="L209" s="266">
        <f t="shared" si="12"/>
        <v>16800</v>
      </c>
      <c r="M209" s="98">
        <v>5.0</v>
      </c>
      <c r="N209" s="267" t="str">
        <f t="shared" si="9"/>
        <v>✅ Ok</v>
      </c>
      <c r="O209" s="251"/>
      <c r="P209" s="251"/>
      <c r="Q209" s="251"/>
      <c r="R209" s="251"/>
    </row>
    <row r="210" ht="15.75" hidden="1" customHeight="1">
      <c r="A210" s="268">
        <v>287.0</v>
      </c>
      <c r="B210" s="80" t="s">
        <v>761</v>
      </c>
      <c r="C210" s="99" t="s">
        <v>759</v>
      </c>
      <c r="D210" s="99" t="s">
        <v>714</v>
      </c>
      <c r="E210" s="272">
        <v>225.0</v>
      </c>
      <c r="F210" s="50">
        <v>1499.0</v>
      </c>
      <c r="H210" s="281">
        <f t="shared" ref="H210:H211" si="15">(F210-(E210+245.43))/F210</f>
        <v>0.6861707805</v>
      </c>
      <c r="I210" s="281"/>
      <c r="J210" s="99">
        <v>80.0</v>
      </c>
      <c r="K210" s="50">
        <f> J210 - SUMIF('Ventas diarias'!C:C, A210, 'Ventas diarias'!E:E)</f>
        <v>76</v>
      </c>
      <c r="L210" s="272">
        <f t="shared" si="12"/>
        <v>18000</v>
      </c>
      <c r="M210" s="99">
        <v>5.0</v>
      </c>
      <c r="N210" s="273" t="str">
        <f t="shared" si="9"/>
        <v>✅ Ok</v>
      </c>
      <c r="O210" s="251"/>
      <c r="P210" s="251"/>
      <c r="Q210" s="251"/>
      <c r="R210" s="251"/>
    </row>
    <row r="211" ht="15.75" hidden="1" customHeight="1">
      <c r="A211" s="262">
        <v>288.0</v>
      </c>
      <c r="B211" s="136" t="s">
        <v>762</v>
      </c>
      <c r="C211" s="98" t="s">
        <v>759</v>
      </c>
      <c r="D211" s="98" t="s">
        <v>714</v>
      </c>
      <c r="E211" s="266">
        <v>225.0</v>
      </c>
      <c r="F211" s="51">
        <v>1499.0</v>
      </c>
      <c r="H211" s="282">
        <f t="shared" si="15"/>
        <v>0.6861707805</v>
      </c>
      <c r="I211" s="282"/>
      <c r="J211" s="98">
        <v>80.0</v>
      </c>
      <c r="K211" s="51">
        <f> J211 - SUMIF('Ventas diarias'!C:C, A211, 'Ventas diarias'!E:E)</f>
        <v>76</v>
      </c>
      <c r="L211" s="266">
        <f t="shared" si="12"/>
        <v>18000</v>
      </c>
      <c r="M211" s="98">
        <v>5.0</v>
      </c>
      <c r="N211" s="267" t="str">
        <f t="shared" si="9"/>
        <v>✅ Ok</v>
      </c>
      <c r="O211" s="251"/>
      <c r="P211" s="251"/>
      <c r="Q211" s="251"/>
      <c r="R211" s="251"/>
    </row>
    <row r="212" ht="15.75" hidden="1" customHeight="1">
      <c r="A212" s="268">
        <v>289.0</v>
      </c>
      <c r="B212" s="80" t="s">
        <v>763</v>
      </c>
      <c r="C212" s="99" t="s">
        <v>732</v>
      </c>
      <c r="D212" s="99" t="s">
        <v>714</v>
      </c>
      <c r="E212" s="272">
        <v>229.0</v>
      </c>
      <c r="F212" s="50">
        <v>799.0</v>
      </c>
      <c r="G212" s="50">
        <v>499.0</v>
      </c>
      <c r="H212" s="281">
        <f>(F212-(E212+295.59))/F212</f>
        <v>0.3434418023</v>
      </c>
      <c r="I212" s="271">
        <f t="shared" ref="I212:I218" si="16">((G212-E212)/E212)</f>
        <v>1.179039301</v>
      </c>
      <c r="J212" s="99"/>
      <c r="K212" s="50">
        <f> J212 - SUMIF('Ventas diarias'!C:C, A212, 'Ventas diarias'!E:E)</f>
        <v>-6</v>
      </c>
      <c r="L212" s="272">
        <f t="shared" si="12"/>
        <v>0</v>
      </c>
      <c r="M212" s="99"/>
      <c r="N212" s="273" t="str">
        <f t="shared" si="9"/>
        <v>🟡 Bajo</v>
      </c>
      <c r="O212" s="251"/>
      <c r="P212" s="251"/>
      <c r="Q212" s="251"/>
      <c r="R212" s="251"/>
    </row>
    <row r="213" ht="15.75" hidden="1" customHeight="1">
      <c r="A213" s="262">
        <v>290.0</v>
      </c>
      <c r="B213" s="136" t="s">
        <v>764</v>
      </c>
      <c r="C213" s="98" t="s">
        <v>732</v>
      </c>
      <c r="D213" s="98" t="s">
        <v>714</v>
      </c>
      <c r="E213" s="266">
        <f>E212*5</f>
        <v>1145</v>
      </c>
      <c r="F213" s="51">
        <v>2499.0</v>
      </c>
      <c r="G213" s="51">
        <v>1990.0</v>
      </c>
      <c r="H213" s="282">
        <f t="shared" ref="H213:H214" si="17">(F213-(E213+441))/F213</f>
        <v>0.3653461385</v>
      </c>
      <c r="I213" s="265">
        <f t="shared" si="16"/>
        <v>0.7379912664</v>
      </c>
      <c r="J213" s="98">
        <v>40.0</v>
      </c>
      <c r="K213" s="51">
        <f> J213 - SUMIF('Ventas diarias'!C:C, A213, 'Ventas diarias'!E:E)</f>
        <v>20</v>
      </c>
      <c r="L213" s="266">
        <f t="shared" si="12"/>
        <v>45800</v>
      </c>
      <c r="M213" s="98">
        <v>5.0</v>
      </c>
      <c r="N213" s="267" t="str">
        <f t="shared" si="9"/>
        <v>✅ Ok</v>
      </c>
      <c r="O213" s="251"/>
      <c r="P213" s="251"/>
      <c r="Q213" s="251"/>
      <c r="R213" s="251"/>
    </row>
    <row r="214" ht="15.75" hidden="1" customHeight="1">
      <c r="A214" s="268">
        <v>2912.0</v>
      </c>
      <c r="B214" s="80" t="s">
        <v>473</v>
      </c>
      <c r="C214" s="99" t="s">
        <v>732</v>
      </c>
      <c r="D214" s="99" t="s">
        <v>714</v>
      </c>
      <c r="E214" s="272">
        <v>2650.0</v>
      </c>
      <c r="F214" s="50">
        <v>4500.0</v>
      </c>
      <c r="G214" s="50">
        <v>4200.0</v>
      </c>
      <c r="H214" s="281">
        <f t="shared" si="17"/>
        <v>0.3131111111</v>
      </c>
      <c r="I214" s="271">
        <f t="shared" si="16"/>
        <v>0.5849056604</v>
      </c>
      <c r="J214" s="99"/>
      <c r="K214" s="50">
        <f> J214 - SUMIF('Ventas diarias'!C:C, A214, 'Ventas diarias'!E:E)</f>
        <v>-11</v>
      </c>
      <c r="L214" s="272">
        <f t="shared" si="12"/>
        <v>0</v>
      </c>
      <c r="M214" s="99">
        <v>6.0</v>
      </c>
      <c r="N214" s="273" t="str">
        <f t="shared" si="9"/>
        <v>🟡 Bajo</v>
      </c>
      <c r="O214" s="251"/>
      <c r="P214" s="251"/>
      <c r="Q214" s="251"/>
      <c r="R214" s="251"/>
    </row>
    <row r="215" ht="15.75" hidden="1" customHeight="1">
      <c r="A215" s="262">
        <v>291.0</v>
      </c>
      <c r="B215" s="136" t="s">
        <v>282</v>
      </c>
      <c r="C215" s="98" t="s">
        <v>765</v>
      </c>
      <c r="D215" s="98" t="s">
        <v>714</v>
      </c>
      <c r="E215" s="266">
        <v>549.0</v>
      </c>
      <c r="F215" s="51">
        <v>1499.0</v>
      </c>
      <c r="G215" s="51">
        <v>999.0</v>
      </c>
      <c r="H215" s="282">
        <f t="shared" ref="H215:H217" si="18">(F215-(E215+295.59))/F215</f>
        <v>0.4365643763</v>
      </c>
      <c r="I215" s="265">
        <f t="shared" si="16"/>
        <v>0.8196721311</v>
      </c>
      <c r="J215" s="98">
        <v>5.0</v>
      </c>
      <c r="K215" s="51">
        <f> J215 - SUMIF('Ventas diarias'!C:C, A215, 'Ventas diarias'!E:E)</f>
        <v>-18</v>
      </c>
      <c r="L215" s="266">
        <f t="shared" si="12"/>
        <v>2745</v>
      </c>
      <c r="M215" s="98">
        <v>2.0</v>
      </c>
      <c r="N215" s="267" t="str">
        <f t="shared" si="9"/>
        <v>🟡 Bajo</v>
      </c>
      <c r="O215" s="251"/>
      <c r="P215" s="251"/>
      <c r="Q215" s="251"/>
      <c r="R215" s="251"/>
    </row>
    <row r="216" ht="15.75" hidden="1" customHeight="1">
      <c r="A216" s="268">
        <v>292.0</v>
      </c>
      <c r="B216" s="80" t="s">
        <v>766</v>
      </c>
      <c r="C216" s="99" t="s">
        <v>765</v>
      </c>
      <c r="D216" s="99" t="s">
        <v>714</v>
      </c>
      <c r="E216" s="272">
        <v>749.0</v>
      </c>
      <c r="F216" s="50">
        <v>1899.0</v>
      </c>
      <c r="G216" s="50">
        <v>1299.0</v>
      </c>
      <c r="H216" s="281">
        <f t="shared" si="18"/>
        <v>0.449926277</v>
      </c>
      <c r="I216" s="271">
        <f t="shared" si="16"/>
        <v>0.7343124166</v>
      </c>
      <c r="J216" s="99">
        <v>5.0</v>
      </c>
      <c r="K216" s="50">
        <f> J216 - SUMIF('Ventas diarias'!C:C, A216, 'Ventas diarias'!E:E)</f>
        <v>0</v>
      </c>
      <c r="L216" s="272">
        <f t="shared" si="12"/>
        <v>3745</v>
      </c>
      <c r="M216" s="99">
        <v>2.0</v>
      </c>
      <c r="N216" s="273" t="str">
        <f t="shared" si="9"/>
        <v>🛑 Agotado</v>
      </c>
      <c r="O216" s="251"/>
      <c r="P216" s="251"/>
      <c r="Q216" s="251"/>
      <c r="R216" s="251"/>
    </row>
    <row r="217" ht="15.75" hidden="1" customHeight="1">
      <c r="A217" s="262">
        <v>293.0</v>
      </c>
      <c r="B217" s="136" t="s">
        <v>767</v>
      </c>
      <c r="C217" s="98" t="s">
        <v>765</v>
      </c>
      <c r="D217" s="98" t="s">
        <v>714</v>
      </c>
      <c r="E217" s="266">
        <v>1199.0</v>
      </c>
      <c r="F217" s="51">
        <v>2299.0</v>
      </c>
      <c r="G217" s="51">
        <v>1899.0</v>
      </c>
      <c r="H217" s="282">
        <f t="shared" si="18"/>
        <v>0.3498956068</v>
      </c>
      <c r="I217" s="265">
        <f t="shared" si="16"/>
        <v>0.5838198499</v>
      </c>
      <c r="J217" s="98">
        <v>5.0</v>
      </c>
      <c r="K217" s="51">
        <f> J217 - SUMIF('Ventas diarias'!C:C, A217, 'Ventas diarias'!E:E)</f>
        <v>5</v>
      </c>
      <c r="L217" s="266">
        <f t="shared" si="12"/>
        <v>5995</v>
      </c>
      <c r="M217" s="98">
        <v>0.0</v>
      </c>
      <c r="N217" s="267" t="str">
        <f t="shared" si="9"/>
        <v>✅ Ok</v>
      </c>
      <c r="O217" s="251"/>
      <c r="P217" s="251"/>
      <c r="Q217" s="251"/>
      <c r="R217" s="251"/>
    </row>
    <row r="218" ht="15.75" hidden="1" customHeight="1">
      <c r="A218" s="268">
        <v>294.0</v>
      </c>
      <c r="B218" s="80" t="s">
        <v>768</v>
      </c>
      <c r="C218" s="99" t="s">
        <v>765</v>
      </c>
      <c r="D218" s="99" t="s">
        <v>714</v>
      </c>
      <c r="E218" s="272">
        <v>3199.0</v>
      </c>
      <c r="F218" s="50">
        <v>5499.0</v>
      </c>
      <c r="G218" s="50">
        <v>4999.0</v>
      </c>
      <c r="H218" s="281">
        <f>(F218-(E218+441))/F218</f>
        <v>0.3380614657</v>
      </c>
      <c r="I218" s="271">
        <f t="shared" si="16"/>
        <v>0.5626758362</v>
      </c>
      <c r="J218" s="99">
        <v>5.0</v>
      </c>
      <c r="K218" s="50">
        <f> J218 - SUMIF('Ventas diarias'!C:C, A218, 'Ventas diarias'!E:E)</f>
        <v>4</v>
      </c>
      <c r="L218" s="272">
        <f t="shared" si="12"/>
        <v>15995</v>
      </c>
      <c r="M218" s="99">
        <v>2.0</v>
      </c>
      <c r="N218" s="273" t="str">
        <f t="shared" si="9"/>
        <v>✅ Ok</v>
      </c>
      <c r="O218" s="251"/>
      <c r="P218" s="251"/>
      <c r="Q218" s="251"/>
      <c r="R218" s="251"/>
    </row>
    <row r="219" ht="15.75" hidden="1" customHeight="1">
      <c r="A219" s="262">
        <v>295.0</v>
      </c>
      <c r="B219" s="136" t="s">
        <v>769</v>
      </c>
      <c r="C219" s="98" t="s">
        <v>770</v>
      </c>
      <c r="D219" s="98" t="s">
        <v>714</v>
      </c>
      <c r="E219" s="266">
        <v>1470.0</v>
      </c>
      <c r="H219" s="265"/>
      <c r="I219" s="265"/>
      <c r="J219" s="98">
        <v>71.0</v>
      </c>
      <c r="K219" s="51">
        <f> J219 - SUMIF('Ventas diarias'!C:C, A219, 'Ventas diarias'!E:E)</f>
        <v>71</v>
      </c>
      <c r="L219" s="266">
        <f t="shared" si="12"/>
        <v>104370</v>
      </c>
      <c r="M219" s="233"/>
      <c r="N219" s="267" t="str">
        <f t="shared" si="9"/>
        <v>✅ Ok</v>
      </c>
      <c r="O219" s="251"/>
      <c r="P219" s="251"/>
      <c r="Q219" s="251"/>
      <c r="R219" s="251"/>
    </row>
    <row r="220" ht="15.75" hidden="1" customHeight="1">
      <c r="A220" s="268">
        <v>296.0</v>
      </c>
      <c r="B220" s="80" t="s">
        <v>771</v>
      </c>
      <c r="C220" s="99" t="s">
        <v>770</v>
      </c>
      <c r="D220" s="99" t="s">
        <v>714</v>
      </c>
      <c r="E220" s="272">
        <v>441.0</v>
      </c>
      <c r="H220" s="271"/>
      <c r="I220" s="271"/>
      <c r="J220" s="99">
        <v>300.0</v>
      </c>
      <c r="K220" s="50">
        <f> J220 - SUMIF('Ventas diarias'!C:C, A220, 'Ventas diarias'!E:E)</f>
        <v>300</v>
      </c>
      <c r="L220" s="272">
        <f t="shared" si="12"/>
        <v>132300</v>
      </c>
      <c r="M220" s="236"/>
      <c r="N220" s="273" t="str">
        <f t="shared" si="9"/>
        <v>✅ Ok</v>
      </c>
      <c r="O220" s="251"/>
      <c r="P220" s="251"/>
      <c r="Q220" s="251"/>
      <c r="R220" s="251"/>
    </row>
    <row r="221" ht="15.75" hidden="1" customHeight="1">
      <c r="A221" s="262">
        <v>297.0</v>
      </c>
      <c r="B221" s="136" t="s">
        <v>772</v>
      </c>
      <c r="C221" s="98" t="s">
        <v>770</v>
      </c>
      <c r="D221" s="98" t="s">
        <v>714</v>
      </c>
      <c r="E221" s="266">
        <v>245.43</v>
      </c>
      <c r="H221" s="265"/>
      <c r="I221" s="265"/>
      <c r="J221" s="98">
        <v>90.0</v>
      </c>
      <c r="K221" s="51">
        <f> J221 - SUMIF('Ventas diarias'!C:C, A221, 'Ventas diarias'!E:E)</f>
        <v>90</v>
      </c>
      <c r="L221" s="266">
        <f t="shared" si="12"/>
        <v>22088.7</v>
      </c>
      <c r="M221" s="233"/>
      <c r="N221" s="267" t="str">
        <f t="shared" si="9"/>
        <v>✅ Ok</v>
      </c>
      <c r="O221" s="251"/>
      <c r="P221" s="251"/>
      <c r="Q221" s="251"/>
      <c r="R221" s="251"/>
    </row>
    <row r="222" ht="15.75" hidden="1" customHeight="1">
      <c r="A222" s="268">
        <v>298.0</v>
      </c>
      <c r="B222" s="80" t="s">
        <v>773</v>
      </c>
      <c r="C222" s="99" t="s">
        <v>770</v>
      </c>
      <c r="D222" s="99" t="s">
        <v>714</v>
      </c>
      <c r="E222" s="272">
        <v>295.59</v>
      </c>
      <c r="H222" s="271"/>
      <c r="I222" s="271"/>
      <c r="J222" s="99">
        <v>40.0</v>
      </c>
      <c r="K222" s="50">
        <f> J222 - SUMIF('Ventas diarias'!C:C, A222, 'Ventas diarias'!E:E)</f>
        <v>40</v>
      </c>
      <c r="L222" s="272">
        <f t="shared" si="12"/>
        <v>11823.6</v>
      </c>
      <c r="M222" s="236"/>
      <c r="N222" s="273" t="str">
        <f t="shared" si="9"/>
        <v>✅ Ok</v>
      </c>
      <c r="O222" s="251"/>
      <c r="P222" s="251"/>
      <c r="Q222" s="251"/>
      <c r="R222" s="251"/>
    </row>
    <row r="223" ht="15.75" hidden="1" customHeight="1">
      <c r="A223" s="288"/>
      <c r="B223" s="290" t="s">
        <v>774</v>
      </c>
      <c r="C223" s="280"/>
      <c r="D223" s="280"/>
      <c r="E223" s="278"/>
      <c r="F223" s="277"/>
      <c r="G223" s="277"/>
      <c r="H223" s="279"/>
      <c r="I223" s="279"/>
      <c r="J223" s="279"/>
      <c r="K223" s="279"/>
      <c r="L223" s="291"/>
      <c r="M223" s="279"/>
      <c r="N223" s="292"/>
      <c r="O223" s="251"/>
      <c r="P223" s="251"/>
      <c r="Q223" s="251"/>
      <c r="R223" s="251"/>
    </row>
    <row r="224" ht="15.75" hidden="1" customHeight="1">
      <c r="A224" s="268">
        <v>299.0</v>
      </c>
      <c r="B224" s="99" t="s">
        <v>775</v>
      </c>
      <c r="C224" s="99" t="s">
        <v>774</v>
      </c>
      <c r="D224" s="99" t="s">
        <v>714</v>
      </c>
      <c r="E224" s="272">
        <v>1374.0</v>
      </c>
      <c r="G224" s="50">
        <v>1990.0</v>
      </c>
      <c r="H224" s="271"/>
      <c r="I224" s="271">
        <f t="shared" ref="I224:I299" si="19">((G224-E224)/E224)</f>
        <v>0.4483260553</v>
      </c>
      <c r="J224" s="99">
        <v>3.0</v>
      </c>
      <c r="K224" s="50">
        <f> J224 - SUMIF('Ventas diarias'!C:C, A224, 'Ventas diarias'!E:E)</f>
        <v>2</v>
      </c>
      <c r="L224" s="272">
        <f t="shared" ref="L224:L274" si="20">E224*J224</f>
        <v>4122</v>
      </c>
      <c r="M224" s="99">
        <v>0.0</v>
      </c>
      <c r="N224" s="273" t="str">
        <f t="shared" ref="N224:N299" si="21">IF(K224=0, "🛑 Agotado", IF(K224&lt;=M224, "🟡 Bajo", "✅ Ok"))</f>
        <v>✅ Ok</v>
      </c>
      <c r="O224" s="251"/>
      <c r="P224" s="251"/>
      <c r="Q224" s="251"/>
      <c r="R224" s="251"/>
    </row>
    <row r="225" ht="15.75" hidden="1" customHeight="1">
      <c r="A225" s="262">
        <v>2991.0</v>
      </c>
      <c r="B225" s="98" t="s">
        <v>776</v>
      </c>
      <c r="C225" s="98" t="s">
        <v>774</v>
      </c>
      <c r="D225" s="98"/>
      <c r="E225" s="266">
        <v>2100.0</v>
      </c>
      <c r="G225" s="51">
        <v>3000.0</v>
      </c>
      <c r="H225" s="265"/>
      <c r="I225" s="265">
        <f t="shared" si="19"/>
        <v>0.4285714286</v>
      </c>
      <c r="J225" s="98"/>
      <c r="K225" s="51">
        <f> J225 - SUMIF('Ventas diarias'!C:C, A225, 'Ventas diarias'!E:E)</f>
        <v>-2</v>
      </c>
      <c r="L225" s="266">
        <f t="shared" si="20"/>
        <v>0</v>
      </c>
      <c r="M225" s="98">
        <v>0.0</v>
      </c>
      <c r="N225" s="267" t="str">
        <f t="shared" si="21"/>
        <v>🟡 Bajo</v>
      </c>
      <c r="O225" s="251"/>
      <c r="P225" s="251"/>
      <c r="Q225" s="251"/>
      <c r="R225" s="251"/>
    </row>
    <row r="226" ht="15.75" hidden="1" customHeight="1">
      <c r="A226" s="268">
        <v>300.0</v>
      </c>
      <c r="B226" s="99" t="s">
        <v>777</v>
      </c>
      <c r="C226" s="99" t="s">
        <v>774</v>
      </c>
      <c r="D226" s="99" t="s">
        <v>714</v>
      </c>
      <c r="E226" s="272">
        <v>2050.0</v>
      </c>
      <c r="G226" s="50">
        <v>2990.0</v>
      </c>
      <c r="H226" s="271"/>
      <c r="I226" s="271">
        <f t="shared" si="19"/>
        <v>0.4585365854</v>
      </c>
      <c r="J226" s="99">
        <v>3.0</v>
      </c>
      <c r="K226" s="50">
        <f> J226 - SUMIF('Ventas diarias'!C:C, A226, 'Ventas diarias'!E:E)</f>
        <v>1</v>
      </c>
      <c r="L226" s="272">
        <f t="shared" si="20"/>
        <v>6150</v>
      </c>
      <c r="M226" s="99">
        <v>0.0</v>
      </c>
      <c r="N226" s="273" t="str">
        <f t="shared" si="21"/>
        <v>✅ Ok</v>
      </c>
      <c r="O226" s="251"/>
      <c r="P226" s="251"/>
      <c r="Q226" s="251"/>
      <c r="R226" s="251"/>
    </row>
    <row r="227" ht="15.75" hidden="1" customHeight="1">
      <c r="A227" s="262">
        <v>301.0</v>
      </c>
      <c r="B227" s="98" t="s">
        <v>778</v>
      </c>
      <c r="C227" s="98" t="s">
        <v>774</v>
      </c>
      <c r="D227" s="98" t="s">
        <v>714</v>
      </c>
      <c r="E227" s="266">
        <v>365.0</v>
      </c>
      <c r="G227" s="51">
        <v>700.0</v>
      </c>
      <c r="H227" s="265"/>
      <c r="I227" s="265">
        <f t="shared" si="19"/>
        <v>0.9178082192</v>
      </c>
      <c r="J227" s="98">
        <v>12.0</v>
      </c>
      <c r="K227" s="51">
        <f> J227 - SUMIF('Ventas diarias'!C:C, A227, 'Ventas diarias'!E:E)</f>
        <v>8</v>
      </c>
      <c r="L227" s="266">
        <f t="shared" si="20"/>
        <v>4380</v>
      </c>
      <c r="M227" s="98">
        <v>0.0</v>
      </c>
      <c r="N227" s="267" t="str">
        <f t="shared" si="21"/>
        <v>✅ Ok</v>
      </c>
      <c r="O227" s="251"/>
      <c r="P227" s="251"/>
      <c r="Q227" s="251"/>
      <c r="R227" s="251"/>
    </row>
    <row r="228" ht="15.75" hidden="1" customHeight="1">
      <c r="A228" s="268">
        <v>302.0</v>
      </c>
      <c r="B228" s="99" t="s">
        <v>779</v>
      </c>
      <c r="C228" s="99" t="s">
        <v>774</v>
      </c>
      <c r="D228" s="99" t="s">
        <v>714</v>
      </c>
      <c r="E228" s="272">
        <v>1250.0</v>
      </c>
      <c r="G228" s="50">
        <v>1999.0</v>
      </c>
      <c r="H228" s="271"/>
      <c r="I228" s="271">
        <f t="shared" si="19"/>
        <v>0.5992</v>
      </c>
      <c r="J228" s="99">
        <v>12.0</v>
      </c>
      <c r="K228" s="50">
        <f> J228 - SUMIF('Ventas diarias'!C:C, A228, 'Ventas diarias'!E:E)</f>
        <v>10</v>
      </c>
      <c r="L228" s="272">
        <f t="shared" si="20"/>
        <v>15000</v>
      </c>
      <c r="M228" s="99">
        <v>0.0</v>
      </c>
      <c r="N228" s="273" t="str">
        <f t="shared" si="21"/>
        <v>✅ Ok</v>
      </c>
      <c r="O228" s="251"/>
      <c r="P228" s="251"/>
      <c r="Q228" s="251"/>
      <c r="R228" s="251"/>
    </row>
    <row r="229" ht="15.75" hidden="1" customHeight="1">
      <c r="A229" s="262">
        <v>303.0</v>
      </c>
      <c r="B229" s="98" t="s">
        <v>780</v>
      </c>
      <c r="C229" s="98" t="s">
        <v>774</v>
      </c>
      <c r="D229" s="98" t="s">
        <v>714</v>
      </c>
      <c r="E229" s="266">
        <v>465.0</v>
      </c>
      <c r="G229" s="51">
        <v>999.0</v>
      </c>
      <c r="H229" s="265"/>
      <c r="I229" s="265">
        <f t="shared" si="19"/>
        <v>1.148387097</v>
      </c>
      <c r="J229" s="98">
        <v>3.0</v>
      </c>
      <c r="K229" s="51">
        <f> J229 - SUMIF('Ventas diarias'!C:C, A229, 'Ventas diarias'!E:E)</f>
        <v>-1</v>
      </c>
      <c r="L229" s="266">
        <f t="shared" si="20"/>
        <v>1395</v>
      </c>
      <c r="M229" s="98">
        <v>0.0</v>
      </c>
      <c r="N229" s="267" t="str">
        <f t="shared" si="21"/>
        <v>🟡 Bajo</v>
      </c>
      <c r="O229" s="251"/>
      <c r="P229" s="251"/>
      <c r="Q229" s="251"/>
      <c r="R229" s="251"/>
    </row>
    <row r="230" ht="15.75" hidden="1" customHeight="1">
      <c r="A230" s="268">
        <v>304.0</v>
      </c>
      <c r="B230" s="99" t="s">
        <v>781</v>
      </c>
      <c r="C230" s="99" t="s">
        <v>774</v>
      </c>
      <c r="D230" s="99" t="s">
        <v>714</v>
      </c>
      <c r="E230" s="272">
        <v>3450.0</v>
      </c>
      <c r="G230" s="50">
        <v>3900.0</v>
      </c>
      <c r="H230" s="271"/>
      <c r="I230" s="271">
        <f t="shared" si="19"/>
        <v>0.1304347826</v>
      </c>
      <c r="J230" s="99">
        <v>3.0</v>
      </c>
      <c r="K230" s="50">
        <f> J230 - SUMIF('Ventas diarias'!C:C, A230, 'Ventas diarias'!E:E)</f>
        <v>2</v>
      </c>
      <c r="L230" s="272">
        <f t="shared" si="20"/>
        <v>10350</v>
      </c>
      <c r="M230" s="99">
        <v>0.0</v>
      </c>
      <c r="N230" s="273" t="str">
        <f t="shared" si="21"/>
        <v>✅ Ok</v>
      </c>
      <c r="O230" s="251"/>
      <c r="P230" s="251"/>
      <c r="Q230" s="251"/>
      <c r="R230" s="251"/>
    </row>
    <row r="231" ht="15.75" hidden="1" customHeight="1">
      <c r="A231" s="262">
        <v>305.0</v>
      </c>
      <c r="B231" s="98" t="s">
        <v>782</v>
      </c>
      <c r="C231" s="98" t="s">
        <v>774</v>
      </c>
      <c r="D231" s="98" t="s">
        <v>714</v>
      </c>
      <c r="E231" s="266">
        <v>1170.0</v>
      </c>
      <c r="G231" s="51">
        <v>2300.0</v>
      </c>
      <c r="H231" s="265"/>
      <c r="I231" s="265">
        <f t="shared" si="19"/>
        <v>0.9658119658</v>
      </c>
      <c r="J231" s="98">
        <v>3.0</v>
      </c>
      <c r="K231" s="51">
        <f> J231 - SUMIF('Ventas diarias'!C:C, A231, 'Ventas diarias'!E:E)</f>
        <v>2</v>
      </c>
      <c r="L231" s="266">
        <f t="shared" si="20"/>
        <v>3510</v>
      </c>
      <c r="M231" s="98">
        <v>0.0</v>
      </c>
      <c r="N231" s="267" t="str">
        <f t="shared" si="21"/>
        <v>✅ Ok</v>
      </c>
      <c r="O231" s="251"/>
      <c r="P231" s="251"/>
      <c r="Q231" s="251"/>
      <c r="R231" s="251"/>
    </row>
    <row r="232" ht="15.75" hidden="1" customHeight="1">
      <c r="A232" s="268">
        <v>306.0</v>
      </c>
      <c r="B232" s="80" t="s">
        <v>783</v>
      </c>
      <c r="C232" s="99" t="s">
        <v>774</v>
      </c>
      <c r="D232" s="99" t="s">
        <v>714</v>
      </c>
      <c r="E232" s="272"/>
      <c r="H232" s="271"/>
      <c r="I232" s="271" t="str">
        <f t="shared" si="19"/>
        <v>#DIV/0!</v>
      </c>
      <c r="J232" s="99">
        <v>12.0</v>
      </c>
      <c r="K232" s="50">
        <f> J232 - SUMIF('Ventas diarias'!C:C, A232, 'Ventas diarias'!E:E)</f>
        <v>12</v>
      </c>
      <c r="L232" s="272">
        <f t="shared" si="20"/>
        <v>0</v>
      </c>
      <c r="M232" s="99">
        <v>0.0</v>
      </c>
      <c r="N232" s="273" t="str">
        <f t="shared" si="21"/>
        <v>✅ Ok</v>
      </c>
      <c r="O232" s="251"/>
      <c r="P232" s="251"/>
      <c r="Q232" s="251"/>
      <c r="R232" s="251"/>
    </row>
    <row r="233" ht="15.75" hidden="1" customHeight="1">
      <c r="A233" s="262">
        <v>307.0</v>
      </c>
      <c r="B233" s="136" t="s">
        <v>784</v>
      </c>
      <c r="C233" s="98" t="s">
        <v>774</v>
      </c>
      <c r="D233" s="98" t="s">
        <v>714</v>
      </c>
      <c r="E233" s="266"/>
      <c r="H233" s="265"/>
      <c r="I233" s="265" t="str">
        <f t="shared" si="19"/>
        <v>#DIV/0!</v>
      </c>
      <c r="J233" s="98">
        <v>12.0</v>
      </c>
      <c r="K233" s="51">
        <f> J233 - SUMIF('Ventas diarias'!C:C, A233, 'Ventas diarias'!E:E)</f>
        <v>12</v>
      </c>
      <c r="L233" s="266">
        <f t="shared" si="20"/>
        <v>0</v>
      </c>
      <c r="M233" s="98">
        <v>0.0</v>
      </c>
      <c r="N233" s="267" t="str">
        <f t="shared" si="21"/>
        <v>✅ Ok</v>
      </c>
      <c r="O233" s="251"/>
      <c r="P233" s="251"/>
      <c r="Q233" s="251"/>
      <c r="R233" s="251"/>
    </row>
    <row r="234" ht="15.75" hidden="1" customHeight="1">
      <c r="A234" s="268">
        <v>308.0</v>
      </c>
      <c r="B234" s="99" t="s">
        <v>785</v>
      </c>
      <c r="C234" s="99" t="s">
        <v>774</v>
      </c>
      <c r="D234" s="99" t="s">
        <v>714</v>
      </c>
      <c r="E234" s="272">
        <v>4375.0</v>
      </c>
      <c r="G234" s="50">
        <v>4790.0</v>
      </c>
      <c r="H234" s="271"/>
      <c r="I234" s="271">
        <f t="shared" si="19"/>
        <v>0.09485714286</v>
      </c>
      <c r="J234" s="99">
        <v>2.0</v>
      </c>
      <c r="K234" s="50">
        <f> J234 - SUMIF('Ventas diarias'!C:C, A234, 'Ventas diarias'!E:E)</f>
        <v>1</v>
      </c>
      <c r="L234" s="272">
        <f t="shared" si="20"/>
        <v>8750</v>
      </c>
      <c r="M234" s="99">
        <v>0.0</v>
      </c>
      <c r="N234" s="273" t="str">
        <f t="shared" si="21"/>
        <v>✅ Ok</v>
      </c>
      <c r="O234" s="251"/>
      <c r="P234" s="251"/>
      <c r="Q234" s="251"/>
      <c r="R234" s="251"/>
    </row>
    <row r="235" ht="15.75" hidden="1" customHeight="1">
      <c r="A235" s="262">
        <v>309.0</v>
      </c>
      <c r="B235" s="98" t="s">
        <v>786</v>
      </c>
      <c r="C235" s="98" t="s">
        <v>774</v>
      </c>
      <c r="D235" s="98" t="s">
        <v>714</v>
      </c>
      <c r="E235" s="266">
        <v>2800.0</v>
      </c>
      <c r="G235" s="51">
        <v>3499.0</v>
      </c>
      <c r="H235" s="265"/>
      <c r="I235" s="265">
        <f t="shared" si="19"/>
        <v>0.2496428571</v>
      </c>
      <c r="J235" s="98">
        <v>2.0</v>
      </c>
      <c r="K235" s="51">
        <f> J235 - SUMIF('Ventas diarias'!C:C, A235, 'Ventas diarias'!E:E)</f>
        <v>1</v>
      </c>
      <c r="L235" s="266">
        <f t="shared" si="20"/>
        <v>5600</v>
      </c>
      <c r="M235" s="98">
        <v>0.0</v>
      </c>
      <c r="N235" s="267" t="str">
        <f t="shared" si="21"/>
        <v>✅ Ok</v>
      </c>
      <c r="O235" s="251"/>
      <c r="P235" s="251"/>
      <c r="Q235" s="251"/>
      <c r="R235" s="251"/>
    </row>
    <row r="236" ht="15.75" hidden="1" customHeight="1">
      <c r="A236" s="268">
        <v>310.0</v>
      </c>
      <c r="B236" s="99" t="s">
        <v>787</v>
      </c>
      <c r="C236" s="99" t="s">
        <v>774</v>
      </c>
      <c r="D236" s="99" t="s">
        <v>714</v>
      </c>
      <c r="E236" s="272">
        <v>2982.0</v>
      </c>
      <c r="G236" s="50">
        <v>3990.0</v>
      </c>
      <c r="H236" s="271"/>
      <c r="I236" s="271">
        <f t="shared" si="19"/>
        <v>0.338028169</v>
      </c>
      <c r="J236" s="99">
        <v>2.0</v>
      </c>
      <c r="K236" s="50">
        <f> J236 - SUMIF('Ventas diarias'!C:C, A236, 'Ventas diarias'!E:E)</f>
        <v>2</v>
      </c>
      <c r="L236" s="272">
        <f t="shared" si="20"/>
        <v>5964</v>
      </c>
      <c r="M236" s="99">
        <v>0.0</v>
      </c>
      <c r="N236" s="273" t="str">
        <f t="shared" si="21"/>
        <v>✅ Ok</v>
      </c>
      <c r="O236" s="251"/>
      <c r="P236" s="251"/>
      <c r="Q236" s="251"/>
      <c r="R236" s="251"/>
    </row>
    <row r="237" ht="15.75" hidden="1" customHeight="1">
      <c r="A237" s="262">
        <v>311.0</v>
      </c>
      <c r="B237" s="98" t="s">
        <v>788</v>
      </c>
      <c r="C237" s="98" t="s">
        <v>774</v>
      </c>
      <c r="D237" s="98" t="s">
        <v>714</v>
      </c>
      <c r="E237" s="266">
        <v>1170.0</v>
      </c>
      <c r="G237" s="51">
        <v>1799.0</v>
      </c>
      <c r="H237" s="265"/>
      <c r="I237" s="265">
        <f t="shared" si="19"/>
        <v>0.5376068376</v>
      </c>
      <c r="J237" s="98">
        <v>3.0</v>
      </c>
      <c r="K237" s="51">
        <f> J237 - SUMIF('Ventas diarias'!C:C, A237, 'Ventas diarias'!E:E)</f>
        <v>3</v>
      </c>
      <c r="L237" s="266">
        <f t="shared" si="20"/>
        <v>3510</v>
      </c>
      <c r="M237" s="98">
        <v>0.0</v>
      </c>
      <c r="N237" s="267" t="str">
        <f t="shared" si="21"/>
        <v>✅ Ok</v>
      </c>
      <c r="O237" s="251"/>
      <c r="P237" s="251"/>
      <c r="Q237" s="251"/>
      <c r="R237" s="251"/>
    </row>
    <row r="238" ht="15.75" hidden="1" customHeight="1">
      <c r="A238" s="268">
        <v>312.0</v>
      </c>
      <c r="B238" s="99" t="s">
        <v>789</v>
      </c>
      <c r="C238" s="99" t="s">
        <v>774</v>
      </c>
      <c r="D238" s="99" t="s">
        <v>714</v>
      </c>
      <c r="E238" s="272">
        <v>1763.0</v>
      </c>
      <c r="G238" s="50">
        <v>2299.0</v>
      </c>
      <c r="H238" s="271"/>
      <c r="I238" s="271">
        <f t="shared" si="19"/>
        <v>0.3040272263</v>
      </c>
      <c r="J238" s="99">
        <v>3.0</v>
      </c>
      <c r="K238" s="50">
        <f> J238 - SUMIF('Ventas diarias'!C:C, A238, 'Ventas diarias'!E:E)</f>
        <v>1</v>
      </c>
      <c r="L238" s="272">
        <f t="shared" si="20"/>
        <v>5289</v>
      </c>
      <c r="M238" s="99">
        <v>0.0</v>
      </c>
      <c r="N238" s="273" t="str">
        <f t="shared" si="21"/>
        <v>✅ Ok</v>
      </c>
      <c r="O238" s="251"/>
      <c r="P238" s="251"/>
      <c r="Q238" s="251"/>
      <c r="R238" s="251"/>
    </row>
    <row r="239" ht="15.75" hidden="1" customHeight="1">
      <c r="A239" s="262">
        <v>313.0</v>
      </c>
      <c r="B239" s="98" t="s">
        <v>790</v>
      </c>
      <c r="C239" s="98" t="s">
        <v>774</v>
      </c>
      <c r="D239" s="98" t="s">
        <v>714</v>
      </c>
      <c r="E239" s="266">
        <v>875.0</v>
      </c>
      <c r="G239" s="51">
        <v>1100.0</v>
      </c>
      <c r="H239" s="265"/>
      <c r="I239" s="265">
        <f t="shared" si="19"/>
        <v>0.2571428571</v>
      </c>
      <c r="J239" s="98">
        <v>3.0</v>
      </c>
      <c r="K239" s="51">
        <f> J239 - SUMIF('Ventas diarias'!C:C, A239, 'Ventas diarias'!E:E)</f>
        <v>2</v>
      </c>
      <c r="L239" s="266">
        <f t="shared" si="20"/>
        <v>2625</v>
      </c>
      <c r="M239" s="98">
        <v>0.0</v>
      </c>
      <c r="N239" s="267" t="str">
        <f t="shared" si="21"/>
        <v>✅ Ok</v>
      </c>
      <c r="O239" s="251"/>
      <c r="P239" s="251"/>
      <c r="Q239" s="251"/>
      <c r="R239" s="251"/>
    </row>
    <row r="240" ht="15.75" hidden="1" customHeight="1">
      <c r="A240" s="268">
        <v>314.0</v>
      </c>
      <c r="B240" s="99" t="s">
        <v>791</v>
      </c>
      <c r="C240" s="99" t="s">
        <v>774</v>
      </c>
      <c r="D240" s="99" t="s">
        <v>714</v>
      </c>
      <c r="E240" s="272">
        <v>342.0</v>
      </c>
      <c r="G240" s="50">
        <v>899.0</v>
      </c>
      <c r="H240" s="271"/>
      <c r="I240" s="271">
        <f t="shared" si="19"/>
        <v>1.628654971</v>
      </c>
      <c r="J240" s="99">
        <v>12.0</v>
      </c>
      <c r="K240" s="50">
        <f> J240 - SUMIF('Ventas diarias'!C:C, A240, 'Ventas diarias'!E:E)</f>
        <v>6</v>
      </c>
      <c r="L240" s="272">
        <f t="shared" si="20"/>
        <v>4104</v>
      </c>
      <c r="M240" s="99">
        <v>0.0</v>
      </c>
      <c r="N240" s="273" t="str">
        <f t="shared" si="21"/>
        <v>✅ Ok</v>
      </c>
      <c r="O240" s="251"/>
      <c r="P240" s="251"/>
      <c r="Q240" s="251"/>
      <c r="R240" s="251"/>
    </row>
    <row r="241" ht="15.75" hidden="1" customHeight="1">
      <c r="A241" s="262">
        <v>315.0</v>
      </c>
      <c r="B241" s="98" t="s">
        <v>792</v>
      </c>
      <c r="C241" s="98" t="s">
        <v>774</v>
      </c>
      <c r="D241" s="98" t="s">
        <v>714</v>
      </c>
      <c r="E241" s="266">
        <v>1771.0</v>
      </c>
      <c r="G241" s="51">
        <v>2299.0</v>
      </c>
      <c r="H241" s="265"/>
      <c r="I241" s="265">
        <f t="shared" si="19"/>
        <v>0.298136646</v>
      </c>
      <c r="J241" s="98">
        <v>3.0</v>
      </c>
      <c r="K241" s="51">
        <f> J241 - SUMIF('Ventas diarias'!C:C, A241, 'Ventas diarias'!E:E)</f>
        <v>3</v>
      </c>
      <c r="L241" s="266">
        <f t="shared" si="20"/>
        <v>5313</v>
      </c>
      <c r="M241" s="98">
        <v>0.0</v>
      </c>
      <c r="N241" s="267" t="str">
        <f t="shared" si="21"/>
        <v>✅ Ok</v>
      </c>
      <c r="O241" s="251"/>
      <c r="P241" s="251"/>
      <c r="Q241" s="251"/>
      <c r="R241" s="251"/>
    </row>
    <row r="242" ht="15.75" hidden="1" customHeight="1">
      <c r="A242" s="268">
        <v>316.0</v>
      </c>
      <c r="B242" s="99" t="s">
        <v>793</v>
      </c>
      <c r="C242" s="99" t="s">
        <v>774</v>
      </c>
      <c r="D242" s="99" t="s">
        <v>714</v>
      </c>
      <c r="E242" s="272">
        <v>605.0</v>
      </c>
      <c r="G242" s="50">
        <v>990.0</v>
      </c>
      <c r="H242" s="271"/>
      <c r="I242" s="271">
        <f t="shared" si="19"/>
        <v>0.6363636364</v>
      </c>
      <c r="J242" s="99">
        <v>1.0</v>
      </c>
      <c r="K242" s="50">
        <f> J242 - SUMIF('Ventas diarias'!C:C, A242, 'Ventas diarias'!E:E)</f>
        <v>1</v>
      </c>
      <c r="L242" s="272">
        <f t="shared" si="20"/>
        <v>605</v>
      </c>
      <c r="M242" s="99">
        <v>0.0</v>
      </c>
      <c r="N242" s="273" t="str">
        <f t="shared" si="21"/>
        <v>✅ Ok</v>
      </c>
      <c r="O242" s="251"/>
      <c r="P242" s="251"/>
      <c r="Q242" s="251"/>
      <c r="R242" s="251"/>
    </row>
    <row r="243" ht="15.75" hidden="1" customHeight="1">
      <c r="A243" s="262">
        <v>317.0</v>
      </c>
      <c r="B243" s="98" t="s">
        <v>794</v>
      </c>
      <c r="C243" s="98" t="s">
        <v>774</v>
      </c>
      <c r="D243" s="98" t="s">
        <v>714</v>
      </c>
      <c r="E243" s="266">
        <v>1150.0</v>
      </c>
      <c r="G243" s="51">
        <v>1990.0</v>
      </c>
      <c r="H243" s="265"/>
      <c r="I243" s="265">
        <f t="shared" si="19"/>
        <v>0.7304347826</v>
      </c>
      <c r="J243" s="98">
        <v>3.0</v>
      </c>
      <c r="K243" s="51">
        <f> J243 - SUMIF('Ventas diarias'!C:C, A243, 'Ventas diarias'!E:E)</f>
        <v>3</v>
      </c>
      <c r="L243" s="266">
        <f t="shared" si="20"/>
        <v>3450</v>
      </c>
      <c r="M243" s="98">
        <v>0.0</v>
      </c>
      <c r="N243" s="267" t="str">
        <f t="shared" si="21"/>
        <v>✅ Ok</v>
      </c>
      <c r="O243" s="251"/>
      <c r="P243" s="251"/>
      <c r="Q243" s="251"/>
      <c r="R243" s="251"/>
    </row>
    <row r="244" ht="15.75" hidden="1" customHeight="1">
      <c r="A244" s="268">
        <v>318.0</v>
      </c>
      <c r="B244" s="99" t="s">
        <v>795</v>
      </c>
      <c r="C244" s="99" t="s">
        <v>774</v>
      </c>
      <c r="D244" s="99" t="s">
        <v>714</v>
      </c>
      <c r="E244" s="272">
        <v>781.0</v>
      </c>
      <c r="G244" s="50">
        <v>1299.0</v>
      </c>
      <c r="H244" s="271"/>
      <c r="I244" s="271">
        <f t="shared" si="19"/>
        <v>0.6632522407</v>
      </c>
      <c r="J244" s="99">
        <v>3.0</v>
      </c>
      <c r="K244" s="50">
        <f> J244 - SUMIF('Ventas diarias'!C:C, A244, 'Ventas diarias'!E:E)</f>
        <v>2</v>
      </c>
      <c r="L244" s="272">
        <f t="shared" si="20"/>
        <v>2343</v>
      </c>
      <c r="M244" s="99">
        <v>0.0</v>
      </c>
      <c r="N244" s="273" t="str">
        <f t="shared" si="21"/>
        <v>✅ Ok</v>
      </c>
      <c r="O244" s="251"/>
      <c r="P244" s="251"/>
      <c r="Q244" s="251"/>
      <c r="R244" s="251"/>
    </row>
    <row r="245" ht="15.75" hidden="1" customHeight="1">
      <c r="A245" s="262">
        <v>319.0</v>
      </c>
      <c r="B245" s="98" t="s">
        <v>796</v>
      </c>
      <c r="C245" s="98" t="s">
        <v>774</v>
      </c>
      <c r="D245" s="98" t="s">
        <v>714</v>
      </c>
      <c r="E245" s="266">
        <v>1100.0</v>
      </c>
      <c r="G245" s="51">
        <v>1990.0</v>
      </c>
      <c r="H245" s="265"/>
      <c r="I245" s="265">
        <f t="shared" si="19"/>
        <v>0.8090909091</v>
      </c>
      <c r="J245" s="98">
        <v>3.0</v>
      </c>
      <c r="K245" s="51">
        <f> J245 - SUMIF('Ventas diarias'!C:C, A245, 'Ventas diarias'!E:E)</f>
        <v>2</v>
      </c>
      <c r="L245" s="266">
        <f t="shared" si="20"/>
        <v>3300</v>
      </c>
      <c r="M245" s="98">
        <v>0.0</v>
      </c>
      <c r="N245" s="267" t="str">
        <f t="shared" si="21"/>
        <v>✅ Ok</v>
      </c>
      <c r="O245" s="251"/>
      <c r="P245" s="251"/>
      <c r="Q245" s="251"/>
      <c r="R245" s="251"/>
    </row>
    <row r="246" ht="15.75" hidden="1" customHeight="1">
      <c r="A246" s="268">
        <v>320.0</v>
      </c>
      <c r="B246" s="99" t="s">
        <v>797</v>
      </c>
      <c r="C246" s="99" t="s">
        <v>774</v>
      </c>
      <c r="D246" s="99" t="s">
        <v>714</v>
      </c>
      <c r="E246" s="272">
        <v>2660.0</v>
      </c>
      <c r="G246" s="50">
        <v>3500.0</v>
      </c>
      <c r="H246" s="271"/>
      <c r="I246" s="271">
        <f t="shared" si="19"/>
        <v>0.3157894737</v>
      </c>
      <c r="J246" s="99">
        <v>3.0</v>
      </c>
      <c r="K246" s="50">
        <f> J246 - SUMIF('Ventas diarias'!C:C, A246, 'Ventas diarias'!E:E)</f>
        <v>3</v>
      </c>
      <c r="L246" s="272">
        <f t="shared" si="20"/>
        <v>7980</v>
      </c>
      <c r="M246" s="99">
        <v>0.0</v>
      </c>
      <c r="N246" s="273" t="str">
        <f t="shared" si="21"/>
        <v>✅ Ok</v>
      </c>
      <c r="O246" s="251"/>
      <c r="P246" s="251"/>
      <c r="Q246" s="251"/>
      <c r="R246" s="251"/>
    </row>
    <row r="247" ht="15.75" hidden="1" customHeight="1">
      <c r="A247" s="262">
        <v>321.0</v>
      </c>
      <c r="B247" s="98" t="s">
        <v>798</v>
      </c>
      <c r="C247" s="98" t="s">
        <v>774</v>
      </c>
      <c r="D247" s="98" t="s">
        <v>714</v>
      </c>
      <c r="E247" s="266">
        <v>720.0</v>
      </c>
      <c r="G247" s="51">
        <v>1299.0</v>
      </c>
      <c r="H247" s="265"/>
      <c r="I247" s="265">
        <f t="shared" si="19"/>
        <v>0.8041666667</v>
      </c>
      <c r="J247" s="98">
        <v>3.0</v>
      </c>
      <c r="K247" s="51">
        <f> J247 - SUMIF('Ventas diarias'!C:C, A247, 'Ventas diarias'!E:E)</f>
        <v>3</v>
      </c>
      <c r="L247" s="266">
        <f t="shared" si="20"/>
        <v>2160</v>
      </c>
      <c r="M247" s="98">
        <v>0.0</v>
      </c>
      <c r="N247" s="267" t="str">
        <f t="shared" si="21"/>
        <v>✅ Ok</v>
      </c>
      <c r="O247" s="251"/>
      <c r="P247" s="251"/>
      <c r="Q247" s="251"/>
      <c r="R247" s="251"/>
    </row>
    <row r="248" ht="15.75" hidden="1" customHeight="1">
      <c r="A248" s="268">
        <v>322.0</v>
      </c>
      <c r="B248" s="99" t="s">
        <v>799</v>
      </c>
      <c r="C248" s="99" t="s">
        <v>774</v>
      </c>
      <c r="D248" s="99" t="s">
        <v>714</v>
      </c>
      <c r="E248" s="272">
        <v>2470.0</v>
      </c>
      <c r="G248" s="50">
        <v>3490.0</v>
      </c>
      <c r="H248" s="271"/>
      <c r="I248" s="271">
        <f t="shared" si="19"/>
        <v>0.4129554656</v>
      </c>
      <c r="J248" s="99">
        <v>2.0</v>
      </c>
      <c r="K248" s="50">
        <f> J248 - SUMIF('Ventas diarias'!C:C, A248, 'Ventas diarias'!E:E)</f>
        <v>1</v>
      </c>
      <c r="L248" s="272">
        <f t="shared" si="20"/>
        <v>4940</v>
      </c>
      <c r="M248" s="99">
        <v>0.0</v>
      </c>
      <c r="N248" s="273" t="str">
        <f t="shared" si="21"/>
        <v>✅ Ok</v>
      </c>
      <c r="O248" s="251"/>
      <c r="P248" s="251"/>
      <c r="Q248" s="251"/>
      <c r="R248" s="251"/>
    </row>
    <row r="249" ht="15.75" hidden="1" customHeight="1">
      <c r="A249" s="262">
        <v>323.0</v>
      </c>
      <c r="B249" s="98" t="s">
        <v>800</v>
      </c>
      <c r="C249" s="98" t="s">
        <v>774</v>
      </c>
      <c r="D249" s="98" t="s">
        <v>714</v>
      </c>
      <c r="E249" s="266">
        <v>5179.0</v>
      </c>
      <c r="G249" s="51">
        <v>5580.0</v>
      </c>
      <c r="H249" s="265"/>
      <c r="I249" s="265">
        <f t="shared" si="19"/>
        <v>0.07742807492</v>
      </c>
      <c r="J249" s="98">
        <v>3.0</v>
      </c>
      <c r="K249" s="51">
        <f> J249 - SUMIF('Ventas diarias'!C:C, A249, 'Ventas diarias'!E:E)</f>
        <v>3</v>
      </c>
      <c r="L249" s="266">
        <f t="shared" si="20"/>
        <v>15537</v>
      </c>
      <c r="M249" s="98">
        <v>0.0</v>
      </c>
      <c r="N249" s="267" t="str">
        <f t="shared" si="21"/>
        <v>✅ Ok</v>
      </c>
      <c r="O249" s="251"/>
      <c r="P249" s="251"/>
      <c r="Q249" s="251"/>
      <c r="R249" s="251"/>
    </row>
    <row r="250" ht="15.75" hidden="1" customHeight="1">
      <c r="A250" s="268">
        <v>324.0</v>
      </c>
      <c r="B250" s="99" t="s">
        <v>801</v>
      </c>
      <c r="C250" s="99" t="s">
        <v>774</v>
      </c>
      <c r="D250" s="99" t="s">
        <v>714</v>
      </c>
      <c r="E250" s="272">
        <v>321.0</v>
      </c>
      <c r="G250" s="50">
        <v>899.0</v>
      </c>
      <c r="H250" s="271"/>
      <c r="I250" s="271">
        <f t="shared" si="19"/>
        <v>1.800623053</v>
      </c>
      <c r="J250" s="99">
        <v>12.0</v>
      </c>
      <c r="K250" s="50">
        <f> J250 - SUMIF('Ventas diarias'!C:C, A250, 'Ventas diarias'!E:E)</f>
        <v>11</v>
      </c>
      <c r="L250" s="272">
        <f t="shared" si="20"/>
        <v>3852</v>
      </c>
      <c r="M250" s="99">
        <v>0.0</v>
      </c>
      <c r="N250" s="273" t="str">
        <f t="shared" si="21"/>
        <v>✅ Ok</v>
      </c>
      <c r="O250" s="251"/>
      <c r="P250" s="251"/>
      <c r="Q250" s="251"/>
      <c r="R250" s="251"/>
    </row>
    <row r="251" ht="15.75" hidden="1" customHeight="1">
      <c r="A251" s="262">
        <v>325.0</v>
      </c>
      <c r="B251" s="98" t="s">
        <v>802</v>
      </c>
      <c r="C251" s="98" t="s">
        <v>774</v>
      </c>
      <c r="D251" s="98" t="s">
        <v>714</v>
      </c>
      <c r="E251" s="266">
        <v>750.0</v>
      </c>
      <c r="G251" s="51">
        <v>1399.0</v>
      </c>
      <c r="H251" s="265"/>
      <c r="I251" s="265">
        <f t="shared" si="19"/>
        <v>0.8653333333</v>
      </c>
      <c r="J251" s="98">
        <v>12.0</v>
      </c>
      <c r="K251" s="51">
        <f> J251 - SUMIF('Ventas diarias'!C:C, A251, 'Ventas diarias'!E:E)</f>
        <v>11</v>
      </c>
      <c r="L251" s="266">
        <f t="shared" si="20"/>
        <v>9000</v>
      </c>
      <c r="M251" s="98">
        <v>0.0</v>
      </c>
      <c r="N251" s="267" t="str">
        <f t="shared" si="21"/>
        <v>✅ Ok</v>
      </c>
      <c r="O251" s="251"/>
      <c r="P251" s="251"/>
      <c r="Q251" s="251"/>
      <c r="R251" s="251"/>
    </row>
    <row r="252" ht="15.75" hidden="1" customHeight="1">
      <c r="A252" s="268">
        <v>326.0</v>
      </c>
      <c r="B252" s="99" t="s">
        <v>803</v>
      </c>
      <c r="C252" s="99" t="s">
        <v>774</v>
      </c>
      <c r="D252" s="99" t="s">
        <v>714</v>
      </c>
      <c r="E252" s="272">
        <v>1600.0</v>
      </c>
      <c r="G252" s="50">
        <v>2199.0</v>
      </c>
      <c r="H252" s="271"/>
      <c r="I252" s="271">
        <f t="shared" si="19"/>
        <v>0.374375</v>
      </c>
      <c r="J252" s="99">
        <v>5.0</v>
      </c>
      <c r="K252" s="50">
        <f> J252 - SUMIF('Ventas diarias'!C:C, A252, 'Ventas diarias'!E:E)</f>
        <v>4</v>
      </c>
      <c r="L252" s="272">
        <f t="shared" si="20"/>
        <v>8000</v>
      </c>
      <c r="M252" s="99">
        <v>0.0</v>
      </c>
      <c r="N252" s="273" t="str">
        <f t="shared" si="21"/>
        <v>✅ Ok</v>
      </c>
      <c r="O252" s="251"/>
      <c r="P252" s="251"/>
      <c r="Q252" s="251"/>
      <c r="R252" s="251"/>
    </row>
    <row r="253" ht="15.75" hidden="1" customHeight="1">
      <c r="A253" s="262">
        <v>327.0</v>
      </c>
      <c r="B253" s="98" t="s">
        <v>804</v>
      </c>
      <c r="C253" s="98" t="s">
        <v>774</v>
      </c>
      <c r="D253" s="98" t="s">
        <v>714</v>
      </c>
      <c r="E253" s="266">
        <v>400.0</v>
      </c>
      <c r="G253" s="51">
        <v>799.0</v>
      </c>
      <c r="H253" s="265"/>
      <c r="I253" s="265">
        <f t="shared" si="19"/>
        <v>0.9975</v>
      </c>
      <c r="J253" s="98">
        <v>12.0</v>
      </c>
      <c r="K253" s="51">
        <f> J253 - SUMIF('Ventas diarias'!C:C, A253, 'Ventas diarias'!E:E)</f>
        <v>10</v>
      </c>
      <c r="L253" s="266">
        <f t="shared" si="20"/>
        <v>4800</v>
      </c>
      <c r="M253" s="98">
        <v>0.0</v>
      </c>
      <c r="N253" s="267" t="str">
        <f t="shared" si="21"/>
        <v>✅ Ok</v>
      </c>
      <c r="O253" s="251"/>
      <c r="P253" s="251"/>
      <c r="Q253" s="251"/>
      <c r="R253" s="251"/>
    </row>
    <row r="254" ht="15.75" hidden="1" customHeight="1">
      <c r="A254" s="268">
        <v>328.0</v>
      </c>
      <c r="B254" s="99" t="s">
        <v>805</v>
      </c>
      <c r="C254" s="99" t="s">
        <v>774</v>
      </c>
      <c r="D254" s="99" t="s">
        <v>714</v>
      </c>
      <c r="E254" s="272">
        <v>595.0</v>
      </c>
      <c r="G254" s="50">
        <v>999.0</v>
      </c>
      <c r="H254" s="271"/>
      <c r="I254" s="271">
        <f t="shared" si="19"/>
        <v>0.6789915966</v>
      </c>
      <c r="J254" s="99">
        <v>12.0</v>
      </c>
      <c r="K254" s="50">
        <f> J254 - SUMIF('Ventas diarias'!C:C, A254, 'Ventas diarias'!E:E)</f>
        <v>6</v>
      </c>
      <c r="L254" s="272">
        <f t="shared" si="20"/>
        <v>7140</v>
      </c>
      <c r="M254" s="99">
        <v>0.0</v>
      </c>
      <c r="N254" s="273" t="str">
        <f t="shared" si="21"/>
        <v>✅ Ok</v>
      </c>
      <c r="O254" s="251"/>
      <c r="P254" s="251"/>
      <c r="Q254" s="251"/>
      <c r="R254" s="251"/>
    </row>
    <row r="255" ht="15.75" hidden="1" customHeight="1">
      <c r="A255" s="262">
        <v>329.0</v>
      </c>
      <c r="B255" s="98" t="s">
        <v>806</v>
      </c>
      <c r="C255" s="98" t="s">
        <v>774</v>
      </c>
      <c r="D255" s="98" t="s">
        <v>714</v>
      </c>
      <c r="E255" s="266">
        <v>1200.0</v>
      </c>
      <c r="G255" s="51">
        <v>1799.0</v>
      </c>
      <c r="H255" s="265"/>
      <c r="I255" s="265">
        <f t="shared" si="19"/>
        <v>0.4991666667</v>
      </c>
      <c r="J255" s="98">
        <v>3.0</v>
      </c>
      <c r="K255" s="51">
        <f> J255 - SUMIF('Ventas diarias'!C:C, A255, 'Ventas diarias'!E:E)</f>
        <v>3</v>
      </c>
      <c r="L255" s="266">
        <f t="shared" si="20"/>
        <v>3600</v>
      </c>
      <c r="M255" s="98">
        <v>0.0</v>
      </c>
      <c r="N255" s="267" t="str">
        <f t="shared" si="21"/>
        <v>✅ Ok</v>
      </c>
      <c r="O255" s="251"/>
      <c r="P255" s="251"/>
      <c r="Q255" s="251"/>
      <c r="R255" s="251"/>
    </row>
    <row r="256" ht="15.75" hidden="1" customHeight="1">
      <c r="A256" s="268">
        <v>330.0</v>
      </c>
      <c r="B256" s="99" t="s">
        <v>807</v>
      </c>
      <c r="C256" s="99" t="s">
        <v>774</v>
      </c>
      <c r="D256" s="99" t="s">
        <v>714</v>
      </c>
      <c r="E256" s="272">
        <v>875.0</v>
      </c>
      <c r="G256" s="50">
        <v>1190.0</v>
      </c>
      <c r="H256" s="271"/>
      <c r="I256" s="271">
        <f t="shared" si="19"/>
        <v>0.36</v>
      </c>
      <c r="J256" s="99">
        <v>3.0</v>
      </c>
      <c r="K256" s="50">
        <f> J256 - SUMIF('Ventas diarias'!C:C, A256, 'Ventas diarias'!E:E)</f>
        <v>3</v>
      </c>
      <c r="L256" s="272">
        <f t="shared" si="20"/>
        <v>2625</v>
      </c>
      <c r="M256" s="99">
        <v>0.0</v>
      </c>
      <c r="N256" s="273" t="str">
        <f t="shared" si="21"/>
        <v>✅ Ok</v>
      </c>
      <c r="O256" s="251"/>
      <c r="P256" s="251"/>
      <c r="Q256" s="251"/>
      <c r="R256" s="251"/>
    </row>
    <row r="257" ht="15.75" hidden="1" customHeight="1">
      <c r="A257" s="262">
        <v>331.0</v>
      </c>
      <c r="B257" s="98" t="s">
        <v>808</v>
      </c>
      <c r="C257" s="98" t="s">
        <v>774</v>
      </c>
      <c r="D257" s="98" t="s">
        <v>714</v>
      </c>
      <c r="E257" s="266">
        <v>590.0</v>
      </c>
      <c r="G257" s="51">
        <v>890.0</v>
      </c>
      <c r="H257" s="265"/>
      <c r="I257" s="265">
        <f t="shared" si="19"/>
        <v>0.5084745763</v>
      </c>
      <c r="J257" s="98">
        <v>3.0</v>
      </c>
      <c r="K257" s="51">
        <f> J257 - SUMIF('Ventas diarias'!C:C, A257, 'Ventas diarias'!E:E)</f>
        <v>3</v>
      </c>
      <c r="L257" s="266">
        <f t="shared" si="20"/>
        <v>1770</v>
      </c>
      <c r="M257" s="98">
        <v>0.0</v>
      </c>
      <c r="N257" s="267" t="str">
        <f t="shared" si="21"/>
        <v>✅ Ok</v>
      </c>
      <c r="O257" s="251"/>
      <c r="P257" s="251"/>
      <c r="Q257" s="251"/>
      <c r="R257" s="251"/>
    </row>
    <row r="258" ht="15.75" hidden="1" customHeight="1">
      <c r="A258" s="268">
        <v>332.0</v>
      </c>
      <c r="B258" s="99" t="s">
        <v>809</v>
      </c>
      <c r="C258" s="99" t="s">
        <v>774</v>
      </c>
      <c r="D258" s="99" t="s">
        <v>714</v>
      </c>
      <c r="E258" s="272">
        <v>590.0</v>
      </c>
      <c r="G258" s="50">
        <v>990.0</v>
      </c>
      <c r="H258" s="271"/>
      <c r="I258" s="271">
        <f t="shared" si="19"/>
        <v>0.6779661017</v>
      </c>
      <c r="J258" s="99">
        <v>3.0</v>
      </c>
      <c r="K258" s="50">
        <f> J258 - SUMIF('Ventas diarias'!C:C, A258, 'Ventas diarias'!E:E)</f>
        <v>3</v>
      </c>
      <c r="L258" s="272">
        <f t="shared" si="20"/>
        <v>1770</v>
      </c>
      <c r="M258" s="99">
        <v>0.0</v>
      </c>
      <c r="N258" s="273" t="str">
        <f t="shared" si="21"/>
        <v>✅ Ok</v>
      </c>
      <c r="O258" s="251"/>
      <c r="P258" s="251"/>
      <c r="Q258" s="251"/>
      <c r="R258" s="251"/>
    </row>
    <row r="259" ht="15.75" hidden="1" customHeight="1">
      <c r="A259" s="262">
        <v>333.0</v>
      </c>
      <c r="B259" s="98" t="s">
        <v>810</v>
      </c>
      <c r="C259" s="98" t="s">
        <v>774</v>
      </c>
      <c r="D259" s="98" t="s">
        <v>714</v>
      </c>
      <c r="E259" s="266">
        <v>1400.0</v>
      </c>
      <c r="G259" s="51">
        <v>1999.0</v>
      </c>
      <c r="H259" s="265"/>
      <c r="I259" s="265">
        <f t="shared" si="19"/>
        <v>0.4278571429</v>
      </c>
      <c r="J259" s="98">
        <v>3.0</v>
      </c>
      <c r="K259" s="51">
        <f> J259 - SUMIF('Ventas diarias'!C:C, A259, 'Ventas diarias'!E:E)</f>
        <v>2</v>
      </c>
      <c r="L259" s="266">
        <f t="shared" si="20"/>
        <v>4200</v>
      </c>
      <c r="M259" s="98">
        <v>0.0</v>
      </c>
      <c r="N259" s="267" t="str">
        <f t="shared" si="21"/>
        <v>✅ Ok</v>
      </c>
      <c r="O259" s="251"/>
      <c r="P259" s="251"/>
      <c r="Q259" s="251"/>
      <c r="R259" s="251"/>
    </row>
    <row r="260" ht="15.75" hidden="1" customHeight="1">
      <c r="A260" s="268">
        <v>334.0</v>
      </c>
      <c r="B260" s="99" t="s">
        <v>811</v>
      </c>
      <c r="C260" s="99" t="s">
        <v>774</v>
      </c>
      <c r="D260" s="99" t="s">
        <v>714</v>
      </c>
      <c r="E260" s="272">
        <v>930.0</v>
      </c>
      <c r="G260" s="50">
        <v>1190.0</v>
      </c>
      <c r="H260" s="271"/>
      <c r="I260" s="271">
        <f t="shared" si="19"/>
        <v>0.2795698925</v>
      </c>
      <c r="J260" s="99">
        <v>3.0</v>
      </c>
      <c r="K260" s="50">
        <f> J260 - SUMIF('Ventas diarias'!C:C, A260, 'Ventas diarias'!E:E)</f>
        <v>1</v>
      </c>
      <c r="L260" s="272">
        <f t="shared" si="20"/>
        <v>2790</v>
      </c>
      <c r="M260" s="99">
        <v>0.0</v>
      </c>
      <c r="N260" s="273" t="str">
        <f t="shared" si="21"/>
        <v>✅ Ok</v>
      </c>
      <c r="O260" s="251"/>
      <c r="P260" s="251"/>
      <c r="Q260" s="251"/>
      <c r="R260" s="251"/>
    </row>
    <row r="261" ht="15.75" hidden="1" customHeight="1">
      <c r="A261" s="262">
        <v>335.0</v>
      </c>
      <c r="B261" s="98" t="s">
        <v>812</v>
      </c>
      <c r="C261" s="98" t="s">
        <v>774</v>
      </c>
      <c r="D261" s="98" t="s">
        <v>714</v>
      </c>
      <c r="E261" s="266">
        <v>1100.0</v>
      </c>
      <c r="G261" s="51">
        <v>1599.0</v>
      </c>
      <c r="H261" s="265"/>
      <c r="I261" s="265">
        <f t="shared" si="19"/>
        <v>0.4536363636</v>
      </c>
      <c r="J261" s="98">
        <v>3.0</v>
      </c>
      <c r="K261" s="51">
        <f> J261 - SUMIF('Ventas diarias'!C:C, A261, 'Ventas diarias'!E:E)</f>
        <v>3</v>
      </c>
      <c r="L261" s="266">
        <f t="shared" si="20"/>
        <v>3300</v>
      </c>
      <c r="M261" s="98">
        <v>0.0</v>
      </c>
      <c r="N261" s="267" t="str">
        <f t="shared" si="21"/>
        <v>✅ Ok</v>
      </c>
      <c r="O261" s="251"/>
      <c r="P261" s="251"/>
      <c r="Q261" s="251"/>
      <c r="R261" s="251"/>
    </row>
    <row r="262" ht="15.75" hidden="1" customHeight="1">
      <c r="A262" s="268">
        <v>336.0</v>
      </c>
      <c r="B262" s="99" t="s">
        <v>813</v>
      </c>
      <c r="C262" s="99" t="s">
        <v>774</v>
      </c>
      <c r="D262" s="99" t="s">
        <v>714</v>
      </c>
      <c r="E262" s="272">
        <v>600.0</v>
      </c>
      <c r="G262" s="50">
        <v>990.0</v>
      </c>
      <c r="H262" s="271"/>
      <c r="I262" s="271">
        <f t="shared" si="19"/>
        <v>0.65</v>
      </c>
      <c r="J262" s="99">
        <v>3.0</v>
      </c>
      <c r="K262" s="50">
        <f> J262 - SUMIF('Ventas diarias'!C:C, A262, 'Ventas diarias'!E:E)</f>
        <v>3</v>
      </c>
      <c r="L262" s="272">
        <f t="shared" si="20"/>
        <v>1800</v>
      </c>
      <c r="M262" s="99">
        <v>0.0</v>
      </c>
      <c r="N262" s="273" t="str">
        <f t="shared" si="21"/>
        <v>✅ Ok</v>
      </c>
      <c r="O262" s="251"/>
      <c r="P262" s="251"/>
      <c r="Q262" s="251"/>
      <c r="R262" s="251"/>
    </row>
    <row r="263" ht="15.75" hidden="1" customHeight="1">
      <c r="A263" s="262">
        <v>337.0</v>
      </c>
      <c r="B263" s="98" t="s">
        <v>814</v>
      </c>
      <c r="C263" s="98" t="s">
        <v>774</v>
      </c>
      <c r="D263" s="98" t="s">
        <v>714</v>
      </c>
      <c r="E263" s="266">
        <v>1610.0</v>
      </c>
      <c r="G263" s="51">
        <v>2399.0</v>
      </c>
      <c r="H263" s="265"/>
      <c r="I263" s="265">
        <f t="shared" si="19"/>
        <v>0.4900621118</v>
      </c>
      <c r="J263" s="98">
        <v>2.0</v>
      </c>
      <c r="K263" s="51">
        <f> J263 - SUMIF('Ventas diarias'!C:C, A263, 'Ventas diarias'!E:E)</f>
        <v>1</v>
      </c>
      <c r="L263" s="266">
        <f t="shared" si="20"/>
        <v>3220</v>
      </c>
      <c r="M263" s="98">
        <v>0.0</v>
      </c>
      <c r="N263" s="267" t="str">
        <f t="shared" si="21"/>
        <v>✅ Ok</v>
      </c>
      <c r="O263" s="251"/>
      <c r="P263" s="251"/>
      <c r="Q263" s="251"/>
      <c r="R263" s="251"/>
    </row>
    <row r="264" ht="15.75" hidden="1" customHeight="1">
      <c r="A264" s="268">
        <v>338.0</v>
      </c>
      <c r="B264" s="99" t="s">
        <v>815</v>
      </c>
      <c r="C264" s="99" t="s">
        <v>774</v>
      </c>
      <c r="D264" s="99" t="s">
        <v>714</v>
      </c>
      <c r="E264" s="272">
        <v>3290.0</v>
      </c>
      <c r="G264" s="50">
        <v>4199.0</v>
      </c>
      <c r="H264" s="271"/>
      <c r="I264" s="271">
        <f t="shared" si="19"/>
        <v>0.2762917933</v>
      </c>
      <c r="J264" s="99">
        <v>2.0</v>
      </c>
      <c r="K264" s="50">
        <f> J264 - SUMIF('Ventas diarias'!C:C, A264, 'Ventas diarias'!E:E)</f>
        <v>2</v>
      </c>
      <c r="L264" s="272">
        <f t="shared" si="20"/>
        <v>6580</v>
      </c>
      <c r="M264" s="99">
        <v>0.0</v>
      </c>
      <c r="N264" s="273" t="str">
        <f t="shared" si="21"/>
        <v>✅ Ok</v>
      </c>
      <c r="O264" s="251"/>
      <c r="P264" s="251"/>
      <c r="Q264" s="251"/>
      <c r="R264" s="251"/>
    </row>
    <row r="265" ht="15.75" hidden="1" customHeight="1">
      <c r="A265" s="262">
        <v>339.0</v>
      </c>
      <c r="B265" s="98" t="s">
        <v>816</v>
      </c>
      <c r="C265" s="98" t="s">
        <v>774</v>
      </c>
      <c r="D265" s="98" t="s">
        <v>714</v>
      </c>
      <c r="E265" s="266">
        <v>3523.0</v>
      </c>
      <c r="G265" s="51">
        <v>4499.0</v>
      </c>
      <c r="H265" s="265"/>
      <c r="I265" s="265">
        <f t="shared" si="19"/>
        <v>0.2770366165</v>
      </c>
      <c r="J265" s="98">
        <v>2.0</v>
      </c>
      <c r="K265" s="51">
        <f> J265 - SUMIF('Ventas diarias'!C:C, A265, 'Ventas diarias'!E:E)</f>
        <v>2</v>
      </c>
      <c r="L265" s="266">
        <f t="shared" si="20"/>
        <v>7046</v>
      </c>
      <c r="M265" s="98">
        <v>0.0</v>
      </c>
      <c r="N265" s="267" t="str">
        <f t="shared" si="21"/>
        <v>✅ Ok</v>
      </c>
      <c r="O265" s="251"/>
      <c r="P265" s="251"/>
      <c r="Q265" s="251"/>
      <c r="R265" s="251"/>
    </row>
    <row r="266" ht="15.75" hidden="1" customHeight="1">
      <c r="A266" s="268">
        <v>340.0</v>
      </c>
      <c r="B266" s="99" t="s">
        <v>817</v>
      </c>
      <c r="C266" s="99" t="s">
        <v>774</v>
      </c>
      <c r="D266" s="99" t="s">
        <v>714</v>
      </c>
      <c r="E266" s="272">
        <v>225.0</v>
      </c>
      <c r="G266" s="50">
        <v>499.0</v>
      </c>
      <c r="H266" s="271"/>
      <c r="I266" s="271">
        <f t="shared" si="19"/>
        <v>1.217777778</v>
      </c>
      <c r="J266" s="99">
        <v>12.0</v>
      </c>
      <c r="K266" s="50">
        <f> J266 - SUMIF('Ventas diarias'!C:C, A266, 'Ventas diarias'!E:E)</f>
        <v>11</v>
      </c>
      <c r="L266" s="272">
        <f t="shared" si="20"/>
        <v>2700</v>
      </c>
      <c r="M266" s="99">
        <v>0.0</v>
      </c>
      <c r="N266" s="273" t="str">
        <f t="shared" si="21"/>
        <v>✅ Ok</v>
      </c>
      <c r="O266" s="251"/>
      <c r="P266" s="251"/>
      <c r="Q266" s="251"/>
      <c r="R266" s="251"/>
    </row>
    <row r="267" ht="15.75" hidden="1" customHeight="1">
      <c r="A267" s="262">
        <v>341.0</v>
      </c>
      <c r="B267" s="98" t="s">
        <v>818</v>
      </c>
      <c r="C267" s="98" t="s">
        <v>774</v>
      </c>
      <c r="D267" s="98" t="s">
        <v>714</v>
      </c>
      <c r="E267" s="266">
        <v>596.0</v>
      </c>
      <c r="G267" s="51">
        <v>1000.0</v>
      </c>
      <c r="H267" s="265"/>
      <c r="I267" s="265">
        <f t="shared" si="19"/>
        <v>0.677852349</v>
      </c>
      <c r="J267" s="98">
        <v>12.0</v>
      </c>
      <c r="K267" s="51">
        <f> J267 - SUMIF('Ventas diarias'!C:C, A267, 'Ventas diarias'!E:E)</f>
        <v>8</v>
      </c>
      <c r="L267" s="266">
        <f t="shared" si="20"/>
        <v>7152</v>
      </c>
      <c r="M267" s="98">
        <v>0.0</v>
      </c>
      <c r="N267" s="267" t="str">
        <f t="shared" si="21"/>
        <v>✅ Ok</v>
      </c>
      <c r="O267" s="251"/>
      <c r="P267" s="251"/>
      <c r="Q267" s="251"/>
      <c r="R267" s="251"/>
    </row>
    <row r="268" ht="15.75" hidden="1" customHeight="1">
      <c r="A268" s="268">
        <v>342.0</v>
      </c>
      <c r="B268" s="99" t="s">
        <v>819</v>
      </c>
      <c r="C268" s="99" t="s">
        <v>774</v>
      </c>
      <c r="D268" s="99" t="s">
        <v>714</v>
      </c>
      <c r="E268" s="272">
        <v>532.0</v>
      </c>
      <c r="G268" s="50">
        <v>899.0</v>
      </c>
      <c r="H268" s="271"/>
      <c r="I268" s="271">
        <f t="shared" si="19"/>
        <v>0.6898496241</v>
      </c>
      <c r="J268" s="99">
        <v>12.0</v>
      </c>
      <c r="K268" s="50">
        <f> J268 - SUMIF('Ventas diarias'!C:C, A268, 'Ventas diarias'!E:E)</f>
        <v>9</v>
      </c>
      <c r="L268" s="272">
        <f t="shared" si="20"/>
        <v>6384</v>
      </c>
      <c r="M268" s="99">
        <v>0.0</v>
      </c>
      <c r="N268" s="273" t="str">
        <f t="shared" si="21"/>
        <v>✅ Ok</v>
      </c>
      <c r="O268" s="251"/>
      <c r="P268" s="251"/>
      <c r="Q268" s="251"/>
      <c r="R268" s="251"/>
    </row>
    <row r="269" ht="15.75" hidden="1" customHeight="1">
      <c r="A269" s="262">
        <v>343.0</v>
      </c>
      <c r="B269" s="98" t="s">
        <v>820</v>
      </c>
      <c r="C269" s="98" t="s">
        <v>774</v>
      </c>
      <c r="D269" s="98" t="s">
        <v>714</v>
      </c>
      <c r="E269" s="266">
        <v>500.0</v>
      </c>
      <c r="G269" s="51">
        <v>990.0</v>
      </c>
      <c r="H269" s="265"/>
      <c r="I269" s="265">
        <f t="shared" si="19"/>
        <v>0.98</v>
      </c>
      <c r="J269" s="98">
        <v>12.0</v>
      </c>
      <c r="K269" s="51">
        <f> J269 - SUMIF('Ventas diarias'!C:C, A269, 'Ventas diarias'!E:E)</f>
        <v>12</v>
      </c>
      <c r="L269" s="266">
        <f t="shared" si="20"/>
        <v>6000</v>
      </c>
      <c r="M269" s="98">
        <v>0.0</v>
      </c>
      <c r="N269" s="267" t="str">
        <f t="shared" si="21"/>
        <v>✅ Ok</v>
      </c>
      <c r="O269" s="251"/>
      <c r="P269" s="251"/>
      <c r="Q269" s="251"/>
      <c r="R269" s="251"/>
    </row>
    <row r="270" ht="15.75" hidden="1" customHeight="1">
      <c r="A270" s="268">
        <v>344.0</v>
      </c>
      <c r="B270" s="80" t="s">
        <v>821</v>
      </c>
      <c r="C270" s="99" t="s">
        <v>774</v>
      </c>
      <c r="D270" s="99" t="s">
        <v>714</v>
      </c>
      <c r="E270" s="272"/>
      <c r="H270" s="271"/>
      <c r="I270" s="271" t="str">
        <f t="shared" si="19"/>
        <v>#DIV/0!</v>
      </c>
      <c r="J270" s="99">
        <v>3.0</v>
      </c>
      <c r="K270" s="50">
        <f> J270 - SUMIF('Ventas diarias'!C:C, A270, 'Ventas diarias'!E:E)</f>
        <v>3</v>
      </c>
      <c r="L270" s="272">
        <f t="shared" si="20"/>
        <v>0</v>
      </c>
      <c r="M270" s="99">
        <v>0.0</v>
      </c>
      <c r="N270" s="273" t="str">
        <f t="shared" si="21"/>
        <v>✅ Ok</v>
      </c>
      <c r="O270" s="251"/>
      <c r="P270" s="251"/>
      <c r="Q270" s="251"/>
      <c r="R270" s="251"/>
    </row>
    <row r="271" ht="15.75" hidden="1" customHeight="1">
      <c r="A271" s="262">
        <v>345.0</v>
      </c>
      <c r="B271" s="136" t="s">
        <v>822</v>
      </c>
      <c r="C271" s="98" t="s">
        <v>774</v>
      </c>
      <c r="D271" s="98" t="s">
        <v>714</v>
      </c>
      <c r="E271" s="266"/>
      <c r="H271" s="265"/>
      <c r="I271" s="265" t="str">
        <f t="shared" si="19"/>
        <v>#DIV/0!</v>
      </c>
      <c r="J271" s="98">
        <v>3.0</v>
      </c>
      <c r="K271" s="51">
        <f> J271 - SUMIF('Ventas diarias'!C:C, A271, 'Ventas diarias'!E:E)</f>
        <v>3</v>
      </c>
      <c r="L271" s="266">
        <f t="shared" si="20"/>
        <v>0</v>
      </c>
      <c r="M271" s="98">
        <v>0.0</v>
      </c>
      <c r="N271" s="267" t="str">
        <f t="shared" si="21"/>
        <v>✅ Ok</v>
      </c>
      <c r="O271" s="251"/>
      <c r="P271" s="251"/>
      <c r="Q271" s="251"/>
      <c r="R271" s="251"/>
    </row>
    <row r="272" ht="15.75" hidden="1" customHeight="1">
      <c r="A272" s="268">
        <v>346.0</v>
      </c>
      <c r="B272" s="99" t="s">
        <v>823</v>
      </c>
      <c r="C272" s="99" t="s">
        <v>774</v>
      </c>
      <c r="D272" s="99" t="s">
        <v>714</v>
      </c>
      <c r="E272" s="272">
        <v>570.0</v>
      </c>
      <c r="G272" s="50">
        <v>790.0</v>
      </c>
      <c r="H272" s="271"/>
      <c r="I272" s="271">
        <f t="shared" si="19"/>
        <v>0.3859649123</v>
      </c>
      <c r="J272" s="99">
        <v>3.0</v>
      </c>
      <c r="K272" s="50">
        <f> J272 - SUMIF('Ventas diarias'!C:C, A272, 'Ventas diarias'!E:E)</f>
        <v>2</v>
      </c>
      <c r="L272" s="272">
        <f t="shared" si="20"/>
        <v>1710</v>
      </c>
      <c r="M272" s="99">
        <v>0.0</v>
      </c>
      <c r="N272" s="273" t="str">
        <f t="shared" si="21"/>
        <v>✅ Ok</v>
      </c>
      <c r="O272" s="251"/>
      <c r="P272" s="251"/>
      <c r="Q272" s="251"/>
      <c r="R272" s="251"/>
    </row>
    <row r="273" ht="15.75" hidden="1" customHeight="1">
      <c r="A273" s="262">
        <v>347.0</v>
      </c>
      <c r="B273" s="98" t="s">
        <v>824</v>
      </c>
      <c r="C273" s="98" t="s">
        <v>774</v>
      </c>
      <c r="D273" s="98" t="s">
        <v>714</v>
      </c>
      <c r="E273" s="266">
        <v>360.0</v>
      </c>
      <c r="G273" s="51">
        <v>490.0</v>
      </c>
      <c r="H273" s="265"/>
      <c r="I273" s="265">
        <f t="shared" si="19"/>
        <v>0.3611111111</v>
      </c>
      <c r="J273" s="98">
        <v>5.0</v>
      </c>
      <c r="K273" s="51">
        <f> J273 - SUMIF('Ventas diarias'!C:C, A273, 'Ventas diarias'!E:E)</f>
        <v>4</v>
      </c>
      <c r="L273" s="266">
        <f t="shared" si="20"/>
        <v>1800</v>
      </c>
      <c r="M273" s="98">
        <v>0.0</v>
      </c>
      <c r="N273" s="267" t="str">
        <f t="shared" si="21"/>
        <v>✅ Ok</v>
      </c>
      <c r="O273" s="251"/>
      <c r="P273" s="251"/>
      <c r="Q273" s="251"/>
      <c r="R273" s="251"/>
    </row>
    <row r="274" ht="15.75" hidden="1" customHeight="1">
      <c r="A274" s="268">
        <v>348.0</v>
      </c>
      <c r="B274" s="99" t="s">
        <v>825</v>
      </c>
      <c r="C274" s="99" t="s">
        <v>774</v>
      </c>
      <c r="D274" s="99" t="s">
        <v>714</v>
      </c>
      <c r="E274" s="272">
        <v>1203.0</v>
      </c>
      <c r="G274" s="50">
        <v>1499.0</v>
      </c>
      <c r="H274" s="271"/>
      <c r="I274" s="271">
        <f t="shared" si="19"/>
        <v>0.2460515378</v>
      </c>
      <c r="J274" s="99">
        <v>5.0</v>
      </c>
      <c r="K274" s="50">
        <f> J274 - SUMIF('Ventas diarias'!C:C, A274, 'Ventas diarias'!E:E)</f>
        <v>4</v>
      </c>
      <c r="L274" s="272">
        <f t="shared" si="20"/>
        <v>6015</v>
      </c>
      <c r="M274" s="99">
        <v>0.0</v>
      </c>
      <c r="N274" s="273" t="str">
        <f t="shared" si="21"/>
        <v>✅ Ok</v>
      </c>
      <c r="O274" s="251"/>
      <c r="P274" s="251"/>
      <c r="Q274" s="251"/>
      <c r="R274" s="251"/>
    </row>
    <row r="275" ht="15.75" hidden="1" customHeight="1">
      <c r="A275" s="262">
        <v>349.0</v>
      </c>
      <c r="B275" s="136" t="s">
        <v>826</v>
      </c>
      <c r="C275" s="98" t="s">
        <v>774</v>
      </c>
      <c r="D275" s="98" t="s">
        <v>714</v>
      </c>
      <c r="E275" s="266"/>
      <c r="H275" s="265"/>
      <c r="I275" s="265" t="str">
        <f t="shared" si="19"/>
        <v>#DIV/0!</v>
      </c>
      <c r="J275" s="98">
        <v>5.0</v>
      </c>
      <c r="K275" s="51">
        <f> J275 - SUMIF('Ventas diarias'!C:C, A275, 'Ventas diarias'!E:E)</f>
        <v>5</v>
      </c>
      <c r="L275" s="266"/>
      <c r="M275" s="98">
        <v>0.0</v>
      </c>
      <c r="N275" s="267" t="str">
        <f t="shared" si="21"/>
        <v>✅ Ok</v>
      </c>
      <c r="O275" s="251"/>
      <c r="P275" s="251"/>
      <c r="Q275" s="251"/>
      <c r="R275" s="251"/>
    </row>
    <row r="276" ht="15.75" hidden="1" customHeight="1">
      <c r="A276" s="268">
        <v>350.0</v>
      </c>
      <c r="B276" s="99" t="s">
        <v>827</v>
      </c>
      <c r="C276" s="99" t="s">
        <v>774</v>
      </c>
      <c r="D276" s="99" t="s">
        <v>714</v>
      </c>
      <c r="E276" s="272">
        <v>550.0</v>
      </c>
      <c r="G276" s="50">
        <v>990.0</v>
      </c>
      <c r="H276" s="271"/>
      <c r="I276" s="271">
        <f t="shared" si="19"/>
        <v>0.8</v>
      </c>
      <c r="J276" s="99">
        <v>3.0</v>
      </c>
      <c r="K276" s="50">
        <f> J276 - SUMIF('Ventas diarias'!C:C, A276, 'Ventas diarias'!E:E)</f>
        <v>3</v>
      </c>
      <c r="L276" s="272">
        <f t="shared" ref="L276:L299" si="22">E276*J276</f>
        <v>1650</v>
      </c>
      <c r="M276" s="99">
        <v>0.0</v>
      </c>
      <c r="N276" s="273" t="str">
        <f t="shared" si="21"/>
        <v>✅ Ok</v>
      </c>
      <c r="O276" s="251"/>
      <c r="P276" s="251"/>
      <c r="Q276" s="251"/>
      <c r="R276" s="251"/>
    </row>
    <row r="277" ht="15.75" hidden="1" customHeight="1">
      <c r="A277" s="262">
        <v>351.0</v>
      </c>
      <c r="B277" s="98" t="s">
        <v>828</v>
      </c>
      <c r="C277" s="98" t="s">
        <v>774</v>
      </c>
      <c r="D277" s="98" t="s">
        <v>714</v>
      </c>
      <c r="E277" s="266">
        <v>1200.0</v>
      </c>
      <c r="G277" s="51">
        <v>1799.0</v>
      </c>
      <c r="H277" s="265"/>
      <c r="I277" s="265">
        <f t="shared" si="19"/>
        <v>0.4991666667</v>
      </c>
      <c r="J277" s="98">
        <v>3.0</v>
      </c>
      <c r="K277" s="51">
        <f> J277 - SUMIF('Ventas diarias'!C:C, A277, 'Ventas diarias'!E:E)</f>
        <v>3</v>
      </c>
      <c r="L277" s="266">
        <f t="shared" si="22"/>
        <v>3600</v>
      </c>
      <c r="M277" s="98">
        <v>0.0</v>
      </c>
      <c r="N277" s="267" t="str">
        <f t="shared" si="21"/>
        <v>✅ Ok</v>
      </c>
      <c r="O277" s="251"/>
      <c r="P277" s="251"/>
      <c r="Q277" s="251"/>
      <c r="R277" s="251"/>
    </row>
    <row r="278" ht="15.75" hidden="1" customHeight="1">
      <c r="A278" s="268">
        <v>352.0</v>
      </c>
      <c r="B278" s="99" t="s">
        <v>829</v>
      </c>
      <c r="C278" s="99" t="s">
        <v>774</v>
      </c>
      <c r="D278" s="99" t="s">
        <v>714</v>
      </c>
      <c r="E278" s="272">
        <v>980.0</v>
      </c>
      <c r="G278" s="50">
        <v>1380.0</v>
      </c>
      <c r="H278" s="271"/>
      <c r="I278" s="271">
        <f t="shared" si="19"/>
        <v>0.4081632653</v>
      </c>
      <c r="J278" s="99">
        <v>3.0</v>
      </c>
      <c r="K278" s="50">
        <f> J278 - SUMIF('Ventas diarias'!C:C, A278, 'Ventas diarias'!E:E)</f>
        <v>3</v>
      </c>
      <c r="L278" s="272">
        <f t="shared" si="22"/>
        <v>2940</v>
      </c>
      <c r="M278" s="99">
        <v>0.0</v>
      </c>
      <c r="N278" s="273" t="str">
        <f t="shared" si="21"/>
        <v>✅ Ok</v>
      </c>
      <c r="O278" s="251"/>
      <c r="P278" s="251"/>
      <c r="Q278" s="251"/>
      <c r="R278" s="251"/>
    </row>
    <row r="279" ht="15.75" hidden="1" customHeight="1">
      <c r="A279" s="262">
        <v>353.0</v>
      </c>
      <c r="B279" s="98" t="s">
        <v>830</v>
      </c>
      <c r="C279" s="98" t="s">
        <v>774</v>
      </c>
      <c r="D279" s="98" t="s">
        <v>714</v>
      </c>
      <c r="E279" s="266">
        <v>1650.0</v>
      </c>
      <c r="G279" s="51">
        <v>2190.0</v>
      </c>
      <c r="H279" s="265"/>
      <c r="I279" s="265">
        <f t="shared" si="19"/>
        <v>0.3272727273</v>
      </c>
      <c r="J279" s="98">
        <v>3.0</v>
      </c>
      <c r="K279" s="51">
        <f> J279 - SUMIF('Ventas diarias'!C:C, A279, 'Ventas diarias'!E:E)</f>
        <v>2</v>
      </c>
      <c r="L279" s="266">
        <f t="shared" si="22"/>
        <v>4950</v>
      </c>
      <c r="M279" s="98">
        <v>0.0</v>
      </c>
      <c r="N279" s="267" t="str">
        <f t="shared" si="21"/>
        <v>✅ Ok</v>
      </c>
      <c r="O279" s="251"/>
      <c r="P279" s="251"/>
      <c r="Q279" s="251"/>
      <c r="R279" s="251"/>
    </row>
    <row r="280" ht="15.75" hidden="1" customHeight="1">
      <c r="A280" s="268">
        <v>354.0</v>
      </c>
      <c r="B280" s="99" t="s">
        <v>831</v>
      </c>
      <c r="C280" s="99" t="s">
        <v>774</v>
      </c>
      <c r="D280" s="99" t="s">
        <v>714</v>
      </c>
      <c r="E280" s="272">
        <v>1035.0</v>
      </c>
      <c r="G280" s="50">
        <v>1350.0</v>
      </c>
      <c r="H280" s="271"/>
      <c r="I280" s="271">
        <f t="shared" si="19"/>
        <v>0.3043478261</v>
      </c>
      <c r="J280" s="99">
        <v>12.0</v>
      </c>
      <c r="K280" s="50">
        <v>13.0</v>
      </c>
      <c r="L280" s="272">
        <f t="shared" si="22"/>
        <v>12420</v>
      </c>
      <c r="M280" s="99">
        <v>3.0</v>
      </c>
      <c r="N280" s="273" t="str">
        <f t="shared" si="21"/>
        <v>✅ Ok</v>
      </c>
      <c r="O280" s="251"/>
      <c r="P280" s="251"/>
      <c r="Q280" s="251"/>
      <c r="R280" s="251"/>
    </row>
    <row r="281" ht="15.75" hidden="1" customHeight="1">
      <c r="A281" s="262">
        <v>355.0</v>
      </c>
      <c r="B281" s="98" t="s">
        <v>832</v>
      </c>
      <c r="C281" s="98" t="s">
        <v>774</v>
      </c>
      <c r="D281" s="98" t="s">
        <v>714</v>
      </c>
      <c r="E281" s="266">
        <v>909.0</v>
      </c>
      <c r="G281" s="51">
        <v>1000.0</v>
      </c>
      <c r="H281" s="265"/>
      <c r="I281" s="265">
        <f t="shared" si="19"/>
        <v>0.100110011</v>
      </c>
      <c r="J281" s="98">
        <v>5.0</v>
      </c>
      <c r="K281" s="51">
        <f> J281 - SUMIF('Ventas diarias'!C:C, A281, 'Ventas diarias'!E:E)</f>
        <v>2</v>
      </c>
      <c r="L281" s="266">
        <f t="shared" si="22"/>
        <v>4545</v>
      </c>
      <c r="M281" s="98">
        <v>0.0</v>
      </c>
      <c r="N281" s="267" t="str">
        <f t="shared" si="21"/>
        <v>✅ Ok</v>
      </c>
      <c r="O281" s="251"/>
      <c r="P281" s="251"/>
      <c r="Q281" s="251"/>
      <c r="R281" s="251"/>
    </row>
    <row r="282" ht="15.75" hidden="1" customHeight="1">
      <c r="A282" s="268">
        <v>356.0</v>
      </c>
      <c r="B282" s="99" t="s">
        <v>833</v>
      </c>
      <c r="C282" s="99" t="s">
        <v>774</v>
      </c>
      <c r="D282" s="99" t="s">
        <v>714</v>
      </c>
      <c r="E282" s="272">
        <v>175.5</v>
      </c>
      <c r="G282" s="50">
        <v>499.0</v>
      </c>
      <c r="H282" s="271"/>
      <c r="I282" s="271">
        <f t="shared" si="19"/>
        <v>1.843304843</v>
      </c>
      <c r="J282" s="99">
        <v>30.0</v>
      </c>
      <c r="K282" s="50">
        <f> J282 - SUMIF('Ventas diarias'!C:C, A282, 'Ventas diarias'!E:E)</f>
        <v>30</v>
      </c>
      <c r="L282" s="272">
        <f t="shared" si="22"/>
        <v>5265</v>
      </c>
      <c r="M282" s="99">
        <v>0.0</v>
      </c>
      <c r="N282" s="273" t="str">
        <f t="shared" si="21"/>
        <v>✅ Ok</v>
      </c>
      <c r="O282" s="251"/>
      <c r="P282" s="251"/>
      <c r="Q282" s="251"/>
      <c r="R282" s="251"/>
    </row>
    <row r="283" ht="15.75" hidden="1" customHeight="1">
      <c r="A283" s="262">
        <v>357.0</v>
      </c>
      <c r="B283" s="98" t="s">
        <v>834</v>
      </c>
      <c r="C283" s="98" t="s">
        <v>774</v>
      </c>
      <c r="D283" s="98" t="s">
        <v>714</v>
      </c>
      <c r="E283" s="266">
        <v>1170.0</v>
      </c>
      <c r="G283" s="51">
        <v>1900.0</v>
      </c>
      <c r="H283" s="265"/>
      <c r="I283" s="265">
        <f t="shared" si="19"/>
        <v>0.6239316239</v>
      </c>
      <c r="J283" s="98">
        <v>12.0</v>
      </c>
      <c r="K283" s="51">
        <f> J283 - SUMIF('Ventas diarias'!C:C, A283, 'Ventas diarias'!E:E)</f>
        <v>-1</v>
      </c>
      <c r="L283" s="266">
        <f t="shared" si="22"/>
        <v>14040</v>
      </c>
      <c r="M283" s="98">
        <v>0.0</v>
      </c>
      <c r="N283" s="267" t="str">
        <f t="shared" si="21"/>
        <v>🟡 Bajo</v>
      </c>
      <c r="O283" s="251"/>
      <c r="P283" s="251"/>
      <c r="Q283" s="251"/>
      <c r="R283" s="251"/>
    </row>
    <row r="284" ht="15.75" hidden="1" customHeight="1">
      <c r="A284" s="268">
        <v>358.0</v>
      </c>
      <c r="B284" s="99" t="s">
        <v>835</v>
      </c>
      <c r="C284" s="99" t="s">
        <v>836</v>
      </c>
      <c r="D284" s="99" t="s">
        <v>837</v>
      </c>
      <c r="E284" s="272">
        <v>3000.0</v>
      </c>
      <c r="G284" s="50">
        <v>5500.0</v>
      </c>
      <c r="H284" s="271"/>
      <c r="I284" s="271">
        <f t="shared" si="19"/>
        <v>0.8333333333</v>
      </c>
      <c r="J284" s="99"/>
      <c r="K284" s="50">
        <f> J284 - SUMIF('Ventas diarias'!C:C, A284, 'Ventas diarias'!E:E)</f>
        <v>0</v>
      </c>
      <c r="L284" s="272">
        <f t="shared" si="22"/>
        <v>0</v>
      </c>
      <c r="M284" s="99">
        <v>0.0</v>
      </c>
      <c r="N284" s="273" t="str">
        <f t="shared" si="21"/>
        <v>🛑 Agotado</v>
      </c>
      <c r="O284" s="251"/>
      <c r="P284" s="251"/>
      <c r="Q284" s="251"/>
      <c r="R284" s="251"/>
    </row>
    <row r="285" ht="15.75" hidden="1" customHeight="1">
      <c r="A285" s="262">
        <v>359.0</v>
      </c>
      <c r="B285" s="98" t="s">
        <v>838</v>
      </c>
      <c r="C285" s="98" t="s">
        <v>836</v>
      </c>
      <c r="D285" s="98" t="s">
        <v>837</v>
      </c>
      <c r="E285" s="266">
        <v>3000.0</v>
      </c>
      <c r="G285" s="51">
        <v>6000.0</v>
      </c>
      <c r="H285" s="265"/>
      <c r="I285" s="265">
        <f t="shared" si="19"/>
        <v>1</v>
      </c>
      <c r="J285" s="98"/>
      <c r="K285" s="51">
        <f> J285 - SUMIF('Ventas diarias'!C:C, A285, 'Ventas diarias'!E:E)</f>
        <v>-1</v>
      </c>
      <c r="L285" s="266">
        <f t="shared" si="22"/>
        <v>0</v>
      </c>
      <c r="M285" s="98">
        <v>0.0</v>
      </c>
      <c r="N285" s="267" t="str">
        <f t="shared" si="21"/>
        <v>🟡 Bajo</v>
      </c>
      <c r="O285" s="251"/>
      <c r="P285" s="251"/>
      <c r="Q285" s="251"/>
      <c r="R285" s="251"/>
    </row>
    <row r="286" ht="15.75" hidden="1" customHeight="1">
      <c r="A286" s="268">
        <v>360.0</v>
      </c>
      <c r="B286" s="99" t="s">
        <v>839</v>
      </c>
      <c r="C286" s="99" t="s">
        <v>836</v>
      </c>
      <c r="D286" s="99" t="s">
        <v>837</v>
      </c>
      <c r="E286" s="272">
        <v>3000.0</v>
      </c>
      <c r="G286" s="50">
        <v>6500.0</v>
      </c>
      <c r="H286" s="271"/>
      <c r="I286" s="271">
        <f t="shared" si="19"/>
        <v>1.166666667</v>
      </c>
      <c r="J286" s="99"/>
      <c r="K286" s="50">
        <f> J286 - SUMIF('Ventas diarias'!C:C, A286, 'Ventas diarias'!E:E)</f>
        <v>0</v>
      </c>
      <c r="L286" s="272">
        <f t="shared" si="22"/>
        <v>0</v>
      </c>
      <c r="M286" s="99">
        <v>0.0</v>
      </c>
      <c r="N286" s="273" t="str">
        <f t="shared" si="21"/>
        <v>🛑 Agotado</v>
      </c>
      <c r="O286" s="251"/>
      <c r="P286" s="251"/>
      <c r="Q286" s="251"/>
      <c r="R286" s="251"/>
    </row>
    <row r="287" ht="15.75" hidden="1" customHeight="1">
      <c r="A287" s="262">
        <v>361.0</v>
      </c>
      <c r="B287" s="98" t="s">
        <v>840</v>
      </c>
      <c r="C287" s="98" t="s">
        <v>836</v>
      </c>
      <c r="D287" s="98" t="s">
        <v>837</v>
      </c>
      <c r="E287" s="266">
        <v>3000.0</v>
      </c>
      <c r="G287" s="51">
        <v>7000.0</v>
      </c>
      <c r="H287" s="265"/>
      <c r="I287" s="265">
        <f t="shared" si="19"/>
        <v>1.333333333</v>
      </c>
      <c r="J287" s="98"/>
      <c r="K287" s="51">
        <f> J287 - SUMIF('Ventas diarias'!C:C, A287, 'Ventas diarias'!E:E)</f>
        <v>0</v>
      </c>
      <c r="L287" s="266">
        <f t="shared" si="22"/>
        <v>0</v>
      </c>
      <c r="M287" s="98">
        <v>0.0</v>
      </c>
      <c r="N287" s="267" t="str">
        <f t="shared" si="21"/>
        <v>🛑 Agotado</v>
      </c>
      <c r="O287" s="251"/>
      <c r="P287" s="251"/>
      <c r="Q287" s="251"/>
      <c r="R287" s="251"/>
    </row>
    <row r="288" ht="15.75" hidden="1" customHeight="1">
      <c r="A288" s="268">
        <v>3621.0</v>
      </c>
      <c r="B288" s="99" t="s">
        <v>841</v>
      </c>
      <c r="C288" s="99" t="s">
        <v>836</v>
      </c>
      <c r="D288" s="99" t="s">
        <v>837</v>
      </c>
      <c r="E288" s="272">
        <v>3000.0</v>
      </c>
      <c r="G288" s="50">
        <v>7500.0</v>
      </c>
      <c r="H288" s="271"/>
      <c r="I288" s="271">
        <f t="shared" si="19"/>
        <v>1.5</v>
      </c>
      <c r="J288" s="99"/>
      <c r="K288" s="50">
        <f> J288 - SUMIF('Ventas diarias'!C:C, A288, 'Ventas diarias'!E:E)</f>
        <v>0</v>
      </c>
      <c r="L288" s="272">
        <f t="shared" si="22"/>
        <v>0</v>
      </c>
      <c r="M288" s="99">
        <v>0.0</v>
      </c>
      <c r="N288" s="273" t="str">
        <f t="shared" si="21"/>
        <v>🛑 Agotado</v>
      </c>
      <c r="O288" s="251"/>
      <c r="P288" s="251"/>
      <c r="Q288" s="251"/>
      <c r="R288" s="251"/>
    </row>
    <row r="289" ht="15.75" hidden="1" customHeight="1">
      <c r="A289" s="262">
        <v>3622.0</v>
      </c>
      <c r="B289" s="98" t="s">
        <v>842</v>
      </c>
      <c r="C289" s="98" t="s">
        <v>836</v>
      </c>
      <c r="D289" s="98" t="s">
        <v>837</v>
      </c>
      <c r="E289" s="266">
        <v>3000.0</v>
      </c>
      <c r="G289" s="51">
        <v>8000.0</v>
      </c>
      <c r="H289" s="265"/>
      <c r="I289" s="265">
        <f t="shared" si="19"/>
        <v>1.666666667</v>
      </c>
      <c r="J289" s="98"/>
      <c r="K289" s="51">
        <f> J289 - SUMIF('Ventas diarias'!C:C, A289, 'Ventas diarias'!E:E)</f>
        <v>-5</v>
      </c>
      <c r="L289" s="266">
        <f t="shared" si="22"/>
        <v>0</v>
      </c>
      <c r="M289" s="98">
        <v>0.0</v>
      </c>
      <c r="N289" s="267" t="str">
        <f t="shared" si="21"/>
        <v>🟡 Bajo</v>
      </c>
      <c r="O289" s="251"/>
      <c r="P289" s="251"/>
      <c r="Q289" s="251"/>
      <c r="R289" s="251"/>
    </row>
    <row r="290" ht="15.75" hidden="1" customHeight="1">
      <c r="A290" s="293">
        <v>3623.0</v>
      </c>
      <c r="B290" s="294" t="s">
        <v>843</v>
      </c>
      <c r="C290" s="295" t="s">
        <v>836</v>
      </c>
      <c r="D290" s="295" t="s">
        <v>837</v>
      </c>
      <c r="E290" s="272">
        <v>3000.0</v>
      </c>
      <c r="F290" s="296"/>
      <c r="G290" s="297">
        <v>8500.0</v>
      </c>
      <c r="H290" s="298"/>
      <c r="I290" s="299">
        <f t="shared" si="19"/>
        <v>1.833333333</v>
      </c>
      <c r="J290" s="300"/>
      <c r="K290" s="50">
        <f> J290 - SUMIF('Ventas diarias'!C:C, A290, 'Ventas diarias'!E:E)</f>
        <v>0</v>
      </c>
      <c r="L290" s="301">
        <f t="shared" si="22"/>
        <v>0</v>
      </c>
      <c r="M290" s="99">
        <v>0.0</v>
      </c>
      <c r="N290" s="302" t="str">
        <f t="shared" si="21"/>
        <v>🛑 Agotado</v>
      </c>
      <c r="O290" s="251"/>
      <c r="P290" s="251"/>
      <c r="Q290" s="251"/>
      <c r="R290" s="251"/>
    </row>
    <row r="291" ht="15.75" hidden="1" customHeight="1">
      <c r="A291" s="293">
        <v>3624.0</v>
      </c>
      <c r="B291" s="294" t="s">
        <v>844</v>
      </c>
      <c r="C291" s="295" t="s">
        <v>836</v>
      </c>
      <c r="D291" s="295" t="s">
        <v>837</v>
      </c>
      <c r="E291" s="266">
        <v>3000.0</v>
      </c>
      <c r="F291" s="296"/>
      <c r="G291" s="297">
        <v>9000.0</v>
      </c>
      <c r="H291" s="298"/>
      <c r="I291" s="299">
        <f t="shared" si="19"/>
        <v>2</v>
      </c>
      <c r="J291" s="300"/>
      <c r="K291" s="51">
        <f> J291 - SUMIF('Ventas diarias'!C:C, A291, 'Ventas diarias'!E:E)</f>
        <v>-1</v>
      </c>
      <c r="L291" s="301">
        <f t="shared" si="22"/>
        <v>0</v>
      </c>
      <c r="M291" s="98">
        <v>0.0</v>
      </c>
      <c r="N291" s="302" t="str">
        <f t="shared" si="21"/>
        <v>🟡 Bajo</v>
      </c>
      <c r="O291" s="251"/>
      <c r="P291" s="251"/>
      <c r="Q291" s="251"/>
      <c r="R291" s="251"/>
    </row>
    <row r="292" ht="15.75" hidden="1" customHeight="1">
      <c r="A292" s="268">
        <v>363.0</v>
      </c>
      <c r="B292" s="99" t="s">
        <v>845</v>
      </c>
      <c r="C292" s="99" t="s">
        <v>846</v>
      </c>
      <c r="D292" s="99" t="s">
        <v>837</v>
      </c>
      <c r="E292" s="272">
        <v>9000.0</v>
      </c>
      <c r="G292" s="50">
        <v>13500.0</v>
      </c>
      <c r="H292" s="271"/>
      <c r="I292" s="271">
        <f t="shared" si="19"/>
        <v>0.5</v>
      </c>
      <c r="J292" s="99">
        <v>2.0</v>
      </c>
      <c r="K292" s="50">
        <f> J292 - SUMIF('Ventas diarias'!C:C, A292, 'Ventas diarias'!E:E)</f>
        <v>-1</v>
      </c>
      <c r="L292" s="272">
        <f t="shared" si="22"/>
        <v>18000</v>
      </c>
      <c r="M292" s="99">
        <v>0.0</v>
      </c>
      <c r="N292" s="273" t="str">
        <f t="shared" si="21"/>
        <v>🟡 Bajo</v>
      </c>
      <c r="O292" s="251"/>
      <c r="P292" s="251"/>
      <c r="Q292" s="251"/>
      <c r="R292" s="251"/>
    </row>
    <row r="293" ht="15.75" hidden="1" customHeight="1">
      <c r="A293" s="262">
        <v>364.0</v>
      </c>
      <c r="B293" s="98" t="s">
        <v>847</v>
      </c>
      <c r="C293" s="98" t="s">
        <v>846</v>
      </c>
      <c r="D293" s="98" t="s">
        <v>837</v>
      </c>
      <c r="E293" s="266">
        <v>11000.0</v>
      </c>
      <c r="G293" s="51">
        <v>16500.0</v>
      </c>
      <c r="H293" s="265"/>
      <c r="I293" s="265">
        <f t="shared" si="19"/>
        <v>0.5</v>
      </c>
      <c r="J293" s="98">
        <v>2.0</v>
      </c>
      <c r="K293" s="51">
        <f> J293 - SUMIF('Ventas diarias'!C:C, A293, 'Ventas diarias'!E:E)</f>
        <v>-4</v>
      </c>
      <c r="L293" s="266">
        <f t="shared" si="22"/>
        <v>22000</v>
      </c>
      <c r="M293" s="98">
        <v>0.0</v>
      </c>
      <c r="N293" s="267" t="str">
        <f t="shared" si="21"/>
        <v>🟡 Bajo</v>
      </c>
      <c r="O293" s="251"/>
      <c r="P293" s="251"/>
      <c r="Q293" s="251"/>
      <c r="R293" s="251"/>
    </row>
    <row r="294" ht="15.75" hidden="1" customHeight="1">
      <c r="A294" s="268">
        <v>365.0</v>
      </c>
      <c r="B294" s="99" t="s">
        <v>848</v>
      </c>
      <c r="C294" s="99" t="s">
        <v>846</v>
      </c>
      <c r="D294" s="99" t="s">
        <v>837</v>
      </c>
      <c r="E294" s="272">
        <v>13000.0</v>
      </c>
      <c r="G294" s="50">
        <v>19500.0</v>
      </c>
      <c r="H294" s="271"/>
      <c r="I294" s="271">
        <f t="shared" si="19"/>
        <v>0.5</v>
      </c>
      <c r="J294" s="99">
        <v>2.0</v>
      </c>
      <c r="K294" s="50">
        <f> J294 - SUMIF('Ventas diarias'!C:C, A294, 'Ventas diarias'!E:E)</f>
        <v>-4</v>
      </c>
      <c r="L294" s="272">
        <f t="shared" si="22"/>
        <v>26000</v>
      </c>
      <c r="M294" s="99">
        <v>0.0</v>
      </c>
      <c r="N294" s="273" t="str">
        <f t="shared" si="21"/>
        <v>🟡 Bajo</v>
      </c>
      <c r="O294" s="251"/>
      <c r="P294" s="251"/>
      <c r="Q294" s="251"/>
      <c r="R294" s="251"/>
    </row>
    <row r="295" ht="15.75" hidden="1" customHeight="1">
      <c r="A295" s="262">
        <v>366.0</v>
      </c>
      <c r="B295" s="98" t="s">
        <v>849</v>
      </c>
      <c r="C295" s="98" t="s">
        <v>846</v>
      </c>
      <c r="D295" s="98" t="s">
        <v>837</v>
      </c>
      <c r="E295" s="266">
        <v>20000.0</v>
      </c>
      <c r="G295" s="51">
        <v>30000.0</v>
      </c>
      <c r="H295" s="265"/>
      <c r="I295" s="265">
        <f t="shared" si="19"/>
        <v>0.5</v>
      </c>
      <c r="J295" s="98">
        <v>2.0</v>
      </c>
      <c r="K295" s="51">
        <f> J295 - SUMIF('Ventas diarias'!C:C, A295, 'Ventas diarias'!E:E)</f>
        <v>-2</v>
      </c>
      <c r="L295" s="266">
        <f t="shared" si="22"/>
        <v>40000</v>
      </c>
      <c r="M295" s="98">
        <v>0.0</v>
      </c>
      <c r="N295" s="267" t="str">
        <f t="shared" si="21"/>
        <v>🟡 Bajo</v>
      </c>
      <c r="O295" s="251"/>
      <c r="P295" s="251"/>
      <c r="Q295" s="251"/>
      <c r="R295" s="251"/>
    </row>
    <row r="296" ht="15.75" hidden="1" customHeight="1">
      <c r="A296" s="303">
        <v>367.0</v>
      </c>
      <c r="B296" s="99" t="s">
        <v>850</v>
      </c>
      <c r="C296" s="99" t="s">
        <v>846</v>
      </c>
      <c r="D296" s="99" t="s">
        <v>837</v>
      </c>
      <c r="E296" s="272">
        <v>14000.0</v>
      </c>
      <c r="G296" s="50">
        <v>21000.0</v>
      </c>
      <c r="H296" s="271"/>
      <c r="I296" s="271">
        <f t="shared" si="19"/>
        <v>0.5</v>
      </c>
      <c r="J296" s="99"/>
      <c r="K296" s="50">
        <f> J296 - SUMIF('Ventas diarias'!C:C, A296, 'Ventas diarias'!E:E)</f>
        <v>0</v>
      </c>
      <c r="L296" s="272">
        <f t="shared" si="22"/>
        <v>0</v>
      </c>
      <c r="M296" s="99">
        <v>0.0</v>
      </c>
      <c r="N296" s="273" t="str">
        <f t="shared" si="21"/>
        <v>🛑 Agotado</v>
      </c>
      <c r="O296" s="251"/>
      <c r="P296" s="251"/>
      <c r="Q296" s="251"/>
      <c r="R296" s="251"/>
    </row>
    <row r="297" ht="15.75" hidden="1" customHeight="1">
      <c r="A297" s="304">
        <v>368.0</v>
      </c>
      <c r="B297" s="98" t="s">
        <v>851</v>
      </c>
      <c r="C297" s="98" t="s">
        <v>846</v>
      </c>
      <c r="D297" s="98" t="s">
        <v>837</v>
      </c>
      <c r="E297" s="266">
        <v>19000.0</v>
      </c>
      <c r="G297" s="51">
        <v>28500.0</v>
      </c>
      <c r="H297" s="265"/>
      <c r="I297" s="265">
        <f t="shared" si="19"/>
        <v>0.5</v>
      </c>
      <c r="J297" s="98">
        <v>2.0</v>
      </c>
      <c r="K297" s="51">
        <f> J297 - SUMIF('Ventas diarias'!C:C, A297, 'Ventas diarias'!E:E)</f>
        <v>2</v>
      </c>
      <c r="L297" s="266">
        <f t="shared" si="22"/>
        <v>38000</v>
      </c>
      <c r="M297" s="98">
        <v>0.0</v>
      </c>
      <c r="N297" s="267" t="str">
        <f t="shared" si="21"/>
        <v>✅ Ok</v>
      </c>
      <c r="O297" s="251"/>
      <c r="P297" s="251"/>
      <c r="Q297" s="251"/>
      <c r="R297" s="251"/>
    </row>
    <row r="298" ht="15.75" hidden="1" customHeight="1">
      <c r="A298" s="303">
        <v>369.0</v>
      </c>
      <c r="B298" s="99" t="s">
        <v>852</v>
      </c>
      <c r="C298" s="99" t="s">
        <v>846</v>
      </c>
      <c r="D298" s="99" t="s">
        <v>837</v>
      </c>
      <c r="E298" s="272">
        <v>10000.0</v>
      </c>
      <c r="G298" s="50">
        <v>12000.0</v>
      </c>
      <c r="H298" s="271"/>
      <c r="I298" s="271">
        <f t="shared" si="19"/>
        <v>0.2</v>
      </c>
      <c r="J298" s="99">
        <v>2.0</v>
      </c>
      <c r="K298" s="50">
        <f> J298 - SUMIF('Ventas diarias'!C:C, A298, 'Ventas diarias'!E:E)</f>
        <v>1</v>
      </c>
      <c r="L298" s="272">
        <f t="shared" si="22"/>
        <v>20000</v>
      </c>
      <c r="M298" s="99">
        <v>0.0</v>
      </c>
      <c r="N298" s="273" t="str">
        <f t="shared" si="21"/>
        <v>✅ Ok</v>
      </c>
      <c r="O298" s="251"/>
      <c r="P298" s="251"/>
      <c r="Q298" s="251"/>
      <c r="R298" s="251"/>
    </row>
    <row r="299" ht="15.75" hidden="1" customHeight="1">
      <c r="A299" s="304">
        <v>370.0</v>
      </c>
      <c r="B299" s="98" t="s">
        <v>853</v>
      </c>
      <c r="C299" s="98" t="s">
        <v>846</v>
      </c>
      <c r="D299" s="98" t="s">
        <v>837</v>
      </c>
      <c r="E299" s="266">
        <v>20000.0</v>
      </c>
      <c r="G299" s="51">
        <v>30000.0</v>
      </c>
      <c r="H299" s="265"/>
      <c r="I299" s="265">
        <f t="shared" si="19"/>
        <v>0.5</v>
      </c>
      <c r="J299" s="98">
        <v>2.0</v>
      </c>
      <c r="K299" s="51">
        <f> J299 - SUMIF('Ventas diarias'!C:C, A299, 'Ventas diarias'!E:E)</f>
        <v>-3</v>
      </c>
      <c r="L299" s="266">
        <f t="shared" si="22"/>
        <v>40000</v>
      </c>
      <c r="M299" s="98">
        <v>0.0</v>
      </c>
      <c r="N299" s="267" t="str">
        <f t="shared" si="21"/>
        <v>🟡 Bajo</v>
      </c>
      <c r="O299" s="251"/>
      <c r="P299" s="251"/>
      <c r="Q299" s="251"/>
      <c r="R299" s="251"/>
    </row>
    <row r="300" ht="15.75" hidden="1" customHeight="1">
      <c r="A300" s="305"/>
      <c r="B300" s="306" t="s">
        <v>854</v>
      </c>
      <c r="C300" s="307"/>
      <c r="D300" s="307"/>
      <c r="E300" s="308"/>
      <c r="F300" s="309"/>
      <c r="G300" s="309"/>
      <c r="H300" s="310"/>
      <c r="I300" s="310"/>
      <c r="J300" s="307"/>
      <c r="K300" s="50">
        <f> J300 - SUMIF('Ventas diarias'!C:C, A300, 'Ventas diarias'!E:E)</f>
        <v>0</v>
      </c>
      <c r="L300" s="308"/>
      <c r="M300" s="307"/>
      <c r="N300" s="311"/>
      <c r="O300" s="251"/>
      <c r="P300" s="251"/>
      <c r="Q300" s="251"/>
      <c r="R300" s="251"/>
    </row>
    <row r="301" ht="15.75" hidden="1" customHeight="1">
      <c r="A301" s="304">
        <v>371.0</v>
      </c>
      <c r="B301" s="98" t="s">
        <v>855</v>
      </c>
      <c r="C301" s="98" t="s">
        <v>856</v>
      </c>
      <c r="D301" s="98" t="s">
        <v>857</v>
      </c>
      <c r="E301" s="266">
        <v>650.0</v>
      </c>
      <c r="G301" s="51">
        <v>1300.0</v>
      </c>
      <c r="H301" s="265"/>
      <c r="I301" s="265">
        <f t="shared" ref="I301:I316" si="23">((G301-E301)/E301)</f>
        <v>1</v>
      </c>
      <c r="J301" s="98"/>
      <c r="K301" s="51">
        <f> J301 - SUMIF('Ventas diarias'!C:C, A301, 'Ventas diarias'!E:E)</f>
        <v>-3</v>
      </c>
      <c r="L301" s="266"/>
      <c r="M301" s="98">
        <v>0.0</v>
      </c>
      <c r="N301" s="267" t="str">
        <f t="shared" ref="N301:N316" si="24">IF(K301=0, "🛑 Agotado", IF(K301&lt;=M301, "🟡 Bajo", "✅ Ok"))</f>
        <v>🟡 Bajo</v>
      </c>
      <c r="O301" s="251"/>
      <c r="P301" s="251"/>
      <c r="Q301" s="251"/>
      <c r="R301" s="251"/>
    </row>
    <row r="302" ht="15.75" hidden="1" customHeight="1">
      <c r="A302" s="303">
        <v>372.0</v>
      </c>
      <c r="B302" s="99" t="s">
        <v>858</v>
      </c>
      <c r="C302" s="99" t="s">
        <v>856</v>
      </c>
      <c r="D302" s="99" t="s">
        <v>857</v>
      </c>
      <c r="E302" s="272">
        <v>3000.0</v>
      </c>
      <c r="G302" s="50">
        <v>4500.0</v>
      </c>
      <c r="H302" s="271"/>
      <c r="I302" s="271">
        <f t="shared" si="23"/>
        <v>0.5</v>
      </c>
      <c r="J302" s="99"/>
      <c r="K302" s="50">
        <f> J302 - SUMIF('Ventas diarias'!C:C, A302, 'Ventas diarias'!E:E)</f>
        <v>-1</v>
      </c>
      <c r="L302" s="272"/>
      <c r="M302" s="99">
        <v>0.0</v>
      </c>
      <c r="N302" s="273" t="str">
        <f t="shared" si="24"/>
        <v>🟡 Bajo</v>
      </c>
      <c r="O302" s="251"/>
      <c r="P302" s="251"/>
      <c r="Q302" s="251"/>
      <c r="R302" s="251"/>
    </row>
    <row r="303" ht="15.75" hidden="1" customHeight="1">
      <c r="A303" s="304">
        <v>373.0</v>
      </c>
      <c r="B303" s="98" t="s">
        <v>859</v>
      </c>
      <c r="C303" s="98" t="s">
        <v>856</v>
      </c>
      <c r="D303" s="98" t="s">
        <v>857</v>
      </c>
      <c r="E303" s="266">
        <v>1800.0</v>
      </c>
      <c r="G303" s="51">
        <v>3600.0</v>
      </c>
      <c r="H303" s="265"/>
      <c r="I303" s="265">
        <f t="shared" si="23"/>
        <v>1</v>
      </c>
      <c r="J303" s="98"/>
      <c r="K303" s="51">
        <f> J303 - SUMIF('Ventas diarias'!C:C, A303, 'Ventas diarias'!E:E)</f>
        <v>-1</v>
      </c>
      <c r="L303" s="266"/>
      <c r="M303" s="98">
        <v>0.0</v>
      </c>
      <c r="N303" s="267" t="str">
        <f t="shared" si="24"/>
        <v>🟡 Bajo</v>
      </c>
      <c r="O303" s="251"/>
      <c r="P303" s="251"/>
      <c r="Q303" s="251"/>
      <c r="R303" s="251"/>
    </row>
    <row r="304" ht="15.75" hidden="1" customHeight="1">
      <c r="A304" s="303">
        <v>374.0</v>
      </c>
      <c r="B304" s="99" t="s">
        <v>860</v>
      </c>
      <c r="C304" s="99" t="s">
        <v>856</v>
      </c>
      <c r="D304" s="99" t="s">
        <v>857</v>
      </c>
      <c r="E304" s="272">
        <v>1300.0</v>
      </c>
      <c r="G304" s="50">
        <v>2000.0</v>
      </c>
      <c r="H304" s="271"/>
      <c r="I304" s="271">
        <f t="shared" si="23"/>
        <v>0.5384615385</v>
      </c>
      <c r="J304" s="99"/>
      <c r="K304" s="50">
        <f> J304 - SUMIF('Ventas diarias'!C:C, A304, 'Ventas diarias'!E:E)</f>
        <v>-2</v>
      </c>
      <c r="L304" s="272"/>
      <c r="M304" s="99">
        <v>0.0</v>
      </c>
      <c r="N304" s="273" t="str">
        <f t="shared" si="24"/>
        <v>🟡 Bajo</v>
      </c>
      <c r="O304" s="251"/>
      <c r="P304" s="251"/>
      <c r="Q304" s="251"/>
      <c r="R304" s="251"/>
    </row>
    <row r="305" ht="15.75" hidden="1" customHeight="1">
      <c r="A305" s="304">
        <v>375.0</v>
      </c>
      <c r="B305" s="98" t="s">
        <v>861</v>
      </c>
      <c r="C305" s="98" t="s">
        <v>856</v>
      </c>
      <c r="D305" s="98" t="s">
        <v>857</v>
      </c>
      <c r="E305" s="266">
        <v>1000.0</v>
      </c>
      <c r="G305" s="51">
        <v>2000.0</v>
      </c>
      <c r="H305" s="265"/>
      <c r="I305" s="265">
        <f t="shared" si="23"/>
        <v>1</v>
      </c>
      <c r="J305" s="98"/>
      <c r="K305" s="51">
        <f> J305 - SUMIF('Ventas diarias'!C:C, A305, 'Ventas diarias'!E:E)</f>
        <v>-1</v>
      </c>
      <c r="L305" s="266"/>
      <c r="M305" s="98">
        <v>0.0</v>
      </c>
      <c r="N305" s="267" t="str">
        <f t="shared" si="24"/>
        <v>🟡 Bajo</v>
      </c>
      <c r="O305" s="251"/>
      <c r="P305" s="251"/>
      <c r="Q305" s="251"/>
      <c r="R305" s="251"/>
    </row>
    <row r="306" ht="15.75" hidden="1" customHeight="1">
      <c r="A306" s="303">
        <v>376.0</v>
      </c>
      <c r="B306" s="99" t="s">
        <v>862</v>
      </c>
      <c r="C306" s="99" t="s">
        <v>856</v>
      </c>
      <c r="D306" s="99" t="s">
        <v>857</v>
      </c>
      <c r="E306" s="272">
        <v>600.0</v>
      </c>
      <c r="G306" s="50">
        <v>1500.0</v>
      </c>
      <c r="H306" s="271"/>
      <c r="I306" s="271">
        <f t="shared" si="23"/>
        <v>1.5</v>
      </c>
      <c r="J306" s="99"/>
      <c r="K306" s="50">
        <f> J306 - SUMIF('Ventas diarias'!C:C, A306, 'Ventas diarias'!E:E)</f>
        <v>0</v>
      </c>
      <c r="L306" s="272"/>
      <c r="M306" s="99">
        <v>0.0</v>
      </c>
      <c r="N306" s="273" t="str">
        <f t="shared" si="24"/>
        <v>🛑 Agotado</v>
      </c>
      <c r="O306" s="251"/>
      <c r="P306" s="251"/>
      <c r="Q306" s="251"/>
      <c r="R306" s="251"/>
    </row>
    <row r="307" ht="15.75" hidden="1" customHeight="1">
      <c r="A307" s="304">
        <v>377.0</v>
      </c>
      <c r="B307" s="98" t="s">
        <v>863</v>
      </c>
      <c r="C307" s="98" t="s">
        <v>856</v>
      </c>
      <c r="D307" s="98" t="s">
        <v>857</v>
      </c>
      <c r="E307" s="266">
        <v>2200.0</v>
      </c>
      <c r="G307" s="51">
        <v>3500.0</v>
      </c>
      <c r="H307" s="265"/>
      <c r="I307" s="265">
        <f t="shared" si="23"/>
        <v>0.5909090909</v>
      </c>
      <c r="J307" s="98"/>
      <c r="K307" s="51">
        <f> J307 - SUMIF('Ventas diarias'!C:C, A307, 'Ventas diarias'!E:E)</f>
        <v>-1</v>
      </c>
      <c r="L307" s="266"/>
      <c r="M307" s="98">
        <v>0.0</v>
      </c>
      <c r="N307" s="267" t="str">
        <f t="shared" si="24"/>
        <v>🟡 Bajo</v>
      </c>
      <c r="O307" s="251"/>
      <c r="P307" s="251"/>
      <c r="Q307" s="251"/>
      <c r="R307" s="251"/>
    </row>
    <row r="308" ht="15.75" hidden="1" customHeight="1">
      <c r="A308" s="303">
        <v>378.0</v>
      </c>
      <c r="B308" s="99" t="s">
        <v>864</v>
      </c>
      <c r="C308" s="99" t="s">
        <v>856</v>
      </c>
      <c r="D308" s="99" t="s">
        <v>857</v>
      </c>
      <c r="E308" s="272">
        <v>1700.0</v>
      </c>
      <c r="G308" s="50">
        <v>3500.0</v>
      </c>
      <c r="H308" s="271"/>
      <c r="I308" s="271">
        <f t="shared" si="23"/>
        <v>1.058823529</v>
      </c>
      <c r="J308" s="99"/>
      <c r="K308" s="50">
        <f> J308 - SUMIF('Ventas diarias'!C:C, A308, 'Ventas diarias'!E:E)</f>
        <v>-2</v>
      </c>
      <c r="L308" s="272"/>
      <c r="M308" s="99">
        <v>0.0</v>
      </c>
      <c r="N308" s="273" t="str">
        <f t="shared" si="24"/>
        <v>🟡 Bajo</v>
      </c>
      <c r="O308" s="251"/>
      <c r="P308" s="251"/>
      <c r="Q308" s="251"/>
      <c r="R308" s="251"/>
    </row>
    <row r="309" ht="15.75" hidden="1" customHeight="1">
      <c r="A309" s="304">
        <v>379.0</v>
      </c>
      <c r="B309" s="98" t="s">
        <v>865</v>
      </c>
      <c r="C309" s="98" t="s">
        <v>856</v>
      </c>
      <c r="D309" s="98" t="s">
        <v>857</v>
      </c>
      <c r="E309" s="266">
        <v>1300.0</v>
      </c>
      <c r="G309" s="51">
        <v>2600.0</v>
      </c>
      <c r="H309" s="265"/>
      <c r="I309" s="265">
        <f t="shared" si="23"/>
        <v>1</v>
      </c>
      <c r="J309" s="98"/>
      <c r="K309" s="51">
        <f> J309 - SUMIF('Ventas diarias'!C:C, A309, 'Ventas diarias'!E:E)</f>
        <v>-2</v>
      </c>
      <c r="L309" s="266"/>
      <c r="M309" s="98">
        <v>0.0</v>
      </c>
      <c r="N309" s="267" t="str">
        <f t="shared" si="24"/>
        <v>🟡 Bajo</v>
      </c>
      <c r="O309" s="251"/>
      <c r="P309" s="251"/>
      <c r="Q309" s="251"/>
      <c r="R309" s="251"/>
    </row>
    <row r="310" ht="15.75" hidden="1" customHeight="1">
      <c r="A310" s="303">
        <v>380.0</v>
      </c>
      <c r="B310" s="99" t="s">
        <v>866</v>
      </c>
      <c r="C310" s="99" t="s">
        <v>856</v>
      </c>
      <c r="D310" s="99" t="s">
        <v>857</v>
      </c>
      <c r="E310" s="272">
        <v>2000.0</v>
      </c>
      <c r="G310" s="50">
        <v>3500.0</v>
      </c>
      <c r="H310" s="271"/>
      <c r="I310" s="271">
        <f t="shared" si="23"/>
        <v>0.75</v>
      </c>
      <c r="J310" s="99"/>
      <c r="K310" s="50">
        <f> J310 - SUMIF('Ventas diarias'!C:C, A310, 'Ventas diarias'!E:E)</f>
        <v>-2</v>
      </c>
      <c r="L310" s="272"/>
      <c r="M310" s="99">
        <v>0.0</v>
      </c>
      <c r="N310" s="273" t="str">
        <f t="shared" si="24"/>
        <v>🟡 Bajo</v>
      </c>
      <c r="O310" s="251"/>
      <c r="P310" s="251"/>
      <c r="Q310" s="251"/>
      <c r="R310" s="251"/>
    </row>
    <row r="311" ht="15.75" hidden="1" customHeight="1">
      <c r="A311" s="304">
        <v>381.0</v>
      </c>
      <c r="B311" s="98" t="s">
        <v>867</v>
      </c>
      <c r="C311" s="98" t="s">
        <v>856</v>
      </c>
      <c r="D311" s="98" t="s">
        <v>857</v>
      </c>
      <c r="E311" s="266">
        <v>1400.0</v>
      </c>
      <c r="G311" s="51">
        <v>3000.0</v>
      </c>
      <c r="H311" s="265"/>
      <c r="I311" s="265">
        <f t="shared" si="23"/>
        <v>1.142857143</v>
      </c>
      <c r="J311" s="98"/>
      <c r="K311" s="51">
        <f> J311 - SUMIF('Ventas diarias'!C:C, A311, 'Ventas diarias'!E:E)</f>
        <v>0</v>
      </c>
      <c r="L311" s="266"/>
      <c r="M311" s="98">
        <v>0.0</v>
      </c>
      <c r="N311" s="267" t="str">
        <f t="shared" si="24"/>
        <v>🛑 Agotado</v>
      </c>
      <c r="O311" s="251"/>
      <c r="P311" s="251"/>
      <c r="Q311" s="251"/>
      <c r="R311" s="251"/>
    </row>
    <row r="312" ht="15.75" hidden="1" customHeight="1">
      <c r="A312" s="303">
        <v>382.0</v>
      </c>
      <c r="B312" s="99" t="s">
        <v>868</v>
      </c>
      <c r="C312" s="99" t="s">
        <v>856</v>
      </c>
      <c r="D312" s="99" t="s">
        <v>857</v>
      </c>
      <c r="E312" s="272">
        <v>1200.0</v>
      </c>
      <c r="G312" s="50">
        <v>2400.0</v>
      </c>
      <c r="H312" s="271"/>
      <c r="I312" s="271">
        <f t="shared" si="23"/>
        <v>1</v>
      </c>
      <c r="J312" s="99"/>
      <c r="K312" s="50">
        <f> J312 - SUMIF('Ventas diarias'!C:C, A312, 'Ventas diarias'!E:E)</f>
        <v>0</v>
      </c>
      <c r="L312" s="272"/>
      <c r="M312" s="99">
        <v>0.0</v>
      </c>
      <c r="N312" s="273" t="str">
        <f t="shared" si="24"/>
        <v>🛑 Agotado</v>
      </c>
      <c r="O312" s="251"/>
      <c r="P312" s="251"/>
      <c r="Q312" s="251"/>
      <c r="R312" s="251"/>
    </row>
    <row r="313" ht="15.75" hidden="1" customHeight="1">
      <c r="A313" s="304">
        <v>383.0</v>
      </c>
      <c r="B313" s="312" t="s">
        <v>869</v>
      </c>
      <c r="C313" s="98" t="s">
        <v>856</v>
      </c>
      <c r="D313" s="98" t="s">
        <v>857</v>
      </c>
      <c r="E313" s="266">
        <v>600.0</v>
      </c>
      <c r="G313" s="51">
        <v>1200.0</v>
      </c>
      <c r="H313" s="265"/>
      <c r="I313" s="265">
        <f t="shared" si="23"/>
        <v>1</v>
      </c>
      <c r="J313" s="98"/>
      <c r="K313" s="51">
        <f> J313 - SUMIF('Ventas diarias'!C:C, A313, 'Ventas diarias'!E:E)</f>
        <v>-1</v>
      </c>
      <c r="L313" s="266"/>
      <c r="M313" s="98">
        <v>0.0</v>
      </c>
      <c r="N313" s="267" t="str">
        <f t="shared" si="24"/>
        <v>🟡 Bajo</v>
      </c>
      <c r="O313" s="251"/>
      <c r="P313" s="251"/>
      <c r="Q313" s="251"/>
      <c r="R313" s="251"/>
    </row>
    <row r="314" ht="15.75" hidden="1" customHeight="1">
      <c r="A314" s="303">
        <v>384.0</v>
      </c>
      <c r="B314" s="99" t="s">
        <v>870</v>
      </c>
      <c r="C314" s="99" t="s">
        <v>856</v>
      </c>
      <c r="D314" s="99" t="s">
        <v>857</v>
      </c>
      <c r="E314" s="272">
        <v>800.0</v>
      </c>
      <c r="G314" s="50">
        <v>1500.0</v>
      </c>
      <c r="H314" s="271"/>
      <c r="I314" s="271">
        <f t="shared" si="23"/>
        <v>0.875</v>
      </c>
      <c r="J314" s="99"/>
      <c r="K314" s="50">
        <f> J314 - SUMIF('Ventas diarias'!C:C, A314, 'Ventas diarias'!E:E)</f>
        <v>-1</v>
      </c>
      <c r="L314" s="272"/>
      <c r="M314" s="99">
        <v>0.0</v>
      </c>
      <c r="N314" s="273" t="str">
        <f t="shared" si="24"/>
        <v>🟡 Bajo</v>
      </c>
      <c r="O314" s="251"/>
      <c r="P314" s="251"/>
      <c r="Q314" s="251"/>
      <c r="R314" s="251"/>
    </row>
    <row r="315" ht="15.75" hidden="1" customHeight="1">
      <c r="A315" s="304">
        <v>385.0</v>
      </c>
      <c r="B315" s="98" t="s">
        <v>871</v>
      </c>
      <c r="C315" s="98" t="s">
        <v>856</v>
      </c>
      <c r="D315" s="98" t="s">
        <v>857</v>
      </c>
      <c r="E315" s="266">
        <v>360.0</v>
      </c>
      <c r="G315" s="51">
        <v>1000.0</v>
      </c>
      <c r="H315" s="265"/>
      <c r="I315" s="265">
        <f t="shared" si="23"/>
        <v>1.777777778</v>
      </c>
      <c r="J315" s="98"/>
      <c r="K315" s="51">
        <f> J315 - SUMIF('Ventas diarias'!C:C, A315, 'Ventas diarias'!E:E)</f>
        <v>-7</v>
      </c>
      <c r="L315" s="266"/>
      <c r="M315" s="98">
        <v>0.0</v>
      </c>
      <c r="N315" s="267" t="str">
        <f t="shared" si="24"/>
        <v>🟡 Bajo</v>
      </c>
      <c r="O315" s="251"/>
      <c r="P315" s="251"/>
      <c r="Q315" s="251"/>
      <c r="R315" s="251"/>
    </row>
    <row r="316" ht="15.75" hidden="1" customHeight="1">
      <c r="A316" s="303">
        <v>386.0</v>
      </c>
      <c r="B316" s="99" t="s">
        <v>872</v>
      </c>
      <c r="C316" s="99" t="s">
        <v>856</v>
      </c>
      <c r="D316" s="99" t="s">
        <v>714</v>
      </c>
      <c r="E316" s="272">
        <v>3380.0</v>
      </c>
      <c r="F316" s="236"/>
      <c r="G316" s="99">
        <v>4500.0</v>
      </c>
      <c r="H316" s="313"/>
      <c r="I316" s="271">
        <f t="shared" si="23"/>
        <v>0.3313609467</v>
      </c>
      <c r="J316" s="236"/>
      <c r="K316" s="50">
        <f> J316 - SUMIF('Ventas diarias'!C:C, A316, 'Ventas diarias'!E:E)</f>
        <v>-1</v>
      </c>
      <c r="L316" s="314"/>
      <c r="M316" s="99">
        <v>0.0</v>
      </c>
      <c r="N316" s="273" t="str">
        <f t="shared" si="24"/>
        <v>🟡 Bajo</v>
      </c>
      <c r="O316" s="251"/>
      <c r="P316" s="251"/>
      <c r="Q316" s="251"/>
      <c r="R316" s="251"/>
    </row>
    <row r="317" ht="15.75" hidden="1" customHeight="1">
      <c r="A317" s="315"/>
      <c r="B317" s="233"/>
      <c r="C317" s="233"/>
      <c r="D317" s="233"/>
      <c r="E317" s="316"/>
      <c r="F317" s="233"/>
      <c r="G317" s="233"/>
      <c r="H317" s="317"/>
      <c r="I317" s="317"/>
      <c r="J317" s="233"/>
      <c r="K317" s="233"/>
      <c r="L317" s="316"/>
      <c r="M317" s="233"/>
      <c r="N317" s="234"/>
      <c r="O317" s="251"/>
      <c r="P317" s="251"/>
      <c r="Q317" s="251"/>
      <c r="R317" s="251"/>
    </row>
    <row r="318" ht="15.75" hidden="1" customHeight="1">
      <c r="A318" s="318"/>
      <c r="B318" s="236"/>
      <c r="C318" s="236"/>
      <c r="D318" s="236"/>
      <c r="E318" s="314"/>
      <c r="F318" s="236"/>
      <c r="G318" s="236"/>
      <c r="H318" s="313"/>
      <c r="I318" s="313"/>
      <c r="J318" s="236"/>
      <c r="K318" s="236"/>
      <c r="L318" s="314"/>
      <c r="M318" s="236"/>
      <c r="N318" s="237"/>
      <c r="O318" s="251"/>
      <c r="P318" s="251"/>
      <c r="Q318" s="251"/>
      <c r="R318" s="251"/>
    </row>
    <row r="319" ht="15.75" hidden="1" customHeight="1">
      <c r="A319" s="315"/>
      <c r="B319" s="233"/>
      <c r="C319" s="233"/>
      <c r="D319" s="233"/>
      <c r="E319" s="316"/>
      <c r="F319" s="233"/>
      <c r="G319" s="233"/>
      <c r="H319" s="317"/>
      <c r="I319" s="317"/>
      <c r="J319" s="233"/>
      <c r="K319" s="233"/>
      <c r="L319" s="316"/>
      <c r="M319" s="233"/>
      <c r="N319" s="234"/>
      <c r="O319" s="251"/>
      <c r="P319" s="251"/>
      <c r="Q319" s="251"/>
      <c r="R319" s="251"/>
    </row>
    <row r="320" ht="15.75" hidden="1" customHeight="1">
      <c r="A320" s="318"/>
      <c r="B320" s="236"/>
      <c r="C320" s="236"/>
      <c r="D320" s="236"/>
      <c r="E320" s="314"/>
      <c r="F320" s="236"/>
      <c r="G320" s="236"/>
      <c r="H320" s="313"/>
      <c r="I320" s="313"/>
      <c r="J320" s="236"/>
      <c r="K320" s="236"/>
      <c r="L320" s="314"/>
      <c r="M320" s="236"/>
      <c r="N320" s="237"/>
      <c r="O320" s="251"/>
      <c r="P320" s="251"/>
      <c r="Q320" s="251"/>
      <c r="R320" s="251"/>
    </row>
    <row r="321" ht="15.75" hidden="1" customHeight="1">
      <c r="A321" s="315"/>
      <c r="B321" s="233"/>
      <c r="C321" s="233"/>
      <c r="D321" s="233"/>
      <c r="E321" s="316"/>
      <c r="F321" s="233"/>
      <c r="G321" s="233"/>
      <c r="H321" s="317"/>
      <c r="I321" s="317"/>
      <c r="J321" s="233"/>
      <c r="K321" s="233"/>
      <c r="L321" s="316"/>
      <c r="M321" s="233"/>
      <c r="N321" s="234"/>
      <c r="O321" s="251"/>
      <c r="P321" s="251"/>
      <c r="Q321" s="251"/>
      <c r="R321" s="251"/>
    </row>
    <row r="322" ht="15.75" hidden="1" customHeight="1">
      <c r="A322" s="318"/>
      <c r="B322" s="236"/>
      <c r="C322" s="236"/>
      <c r="D322" s="236"/>
      <c r="E322" s="314"/>
      <c r="F322" s="236"/>
      <c r="G322" s="236"/>
      <c r="H322" s="313"/>
      <c r="I322" s="313"/>
      <c r="J322" s="236"/>
      <c r="K322" s="236"/>
      <c r="L322" s="314"/>
      <c r="M322" s="236"/>
      <c r="N322" s="237"/>
      <c r="O322" s="251"/>
      <c r="P322" s="251"/>
      <c r="Q322" s="251"/>
      <c r="R322" s="251"/>
    </row>
    <row r="323" ht="15.75" hidden="1" customHeight="1">
      <c r="A323" s="315"/>
      <c r="B323" s="233"/>
      <c r="C323" s="233"/>
      <c r="D323" s="233"/>
      <c r="E323" s="316"/>
      <c r="F323" s="233"/>
      <c r="G323" s="233"/>
      <c r="H323" s="317"/>
      <c r="I323" s="317"/>
      <c r="J323" s="233"/>
      <c r="K323" s="233"/>
      <c r="L323" s="316"/>
      <c r="M323" s="233"/>
      <c r="N323" s="234"/>
      <c r="O323" s="251"/>
      <c r="P323" s="251"/>
      <c r="Q323" s="251"/>
      <c r="R323" s="251"/>
    </row>
    <row r="324" ht="15.75" hidden="1" customHeight="1">
      <c r="A324" s="318"/>
      <c r="B324" s="236"/>
      <c r="C324" s="236"/>
      <c r="D324" s="236"/>
      <c r="E324" s="314"/>
      <c r="F324" s="236"/>
      <c r="G324" s="236"/>
      <c r="H324" s="313"/>
      <c r="I324" s="313"/>
      <c r="J324" s="236"/>
      <c r="K324" s="236"/>
      <c r="L324" s="314"/>
      <c r="M324" s="236"/>
      <c r="N324" s="237"/>
      <c r="O324" s="251"/>
      <c r="P324" s="251"/>
      <c r="Q324" s="251"/>
      <c r="R324" s="251"/>
    </row>
    <row r="325" ht="15.75" hidden="1" customHeight="1">
      <c r="A325" s="315"/>
      <c r="B325" s="233"/>
      <c r="C325" s="233"/>
      <c r="D325" s="233"/>
      <c r="E325" s="316"/>
      <c r="F325" s="233"/>
      <c r="G325" s="233"/>
      <c r="H325" s="317"/>
      <c r="I325" s="317"/>
      <c r="J325" s="233"/>
      <c r="K325" s="233"/>
      <c r="L325" s="316"/>
      <c r="M325" s="233"/>
      <c r="N325" s="234"/>
      <c r="O325" s="251"/>
      <c r="P325" s="251"/>
      <c r="Q325" s="251"/>
      <c r="R325" s="251"/>
    </row>
    <row r="326" ht="15.75" hidden="1" customHeight="1">
      <c r="A326" s="318"/>
      <c r="B326" s="236"/>
      <c r="C326" s="236"/>
      <c r="D326" s="236"/>
      <c r="E326" s="314"/>
      <c r="F326" s="236"/>
      <c r="G326" s="236"/>
      <c r="H326" s="313"/>
      <c r="I326" s="313"/>
      <c r="J326" s="236"/>
      <c r="K326" s="236"/>
      <c r="L326" s="314"/>
      <c r="M326" s="236"/>
      <c r="N326" s="237"/>
      <c r="O326" s="251"/>
      <c r="P326" s="251"/>
      <c r="Q326" s="251"/>
      <c r="R326" s="251"/>
    </row>
    <row r="327" ht="15.75" hidden="1" customHeight="1">
      <c r="A327" s="315"/>
      <c r="B327" s="233"/>
      <c r="C327" s="233"/>
      <c r="D327" s="233"/>
      <c r="E327" s="316"/>
      <c r="F327" s="233"/>
      <c r="G327" s="233"/>
      <c r="H327" s="317"/>
      <c r="I327" s="317"/>
      <c r="J327" s="233"/>
      <c r="K327" s="233"/>
      <c r="L327" s="316"/>
      <c r="M327" s="233"/>
      <c r="N327" s="234"/>
      <c r="O327" s="251"/>
      <c r="P327" s="251"/>
      <c r="Q327" s="251"/>
      <c r="R327" s="251"/>
    </row>
    <row r="328" ht="15.75" hidden="1" customHeight="1">
      <c r="A328" s="318"/>
      <c r="B328" s="236"/>
      <c r="C328" s="236"/>
      <c r="D328" s="236"/>
      <c r="E328" s="314"/>
      <c r="F328" s="236"/>
      <c r="G328" s="236"/>
      <c r="H328" s="313"/>
      <c r="I328" s="313"/>
      <c r="J328" s="236"/>
      <c r="K328" s="236"/>
      <c r="L328" s="314"/>
      <c r="M328" s="236"/>
      <c r="N328" s="237"/>
      <c r="O328" s="251"/>
      <c r="P328" s="251"/>
      <c r="Q328" s="251"/>
      <c r="R328" s="251"/>
    </row>
    <row r="329" ht="15.75" hidden="1" customHeight="1">
      <c r="A329" s="315"/>
      <c r="B329" s="233"/>
      <c r="C329" s="233"/>
      <c r="D329" s="233"/>
      <c r="E329" s="316"/>
      <c r="F329" s="233"/>
      <c r="G329" s="233"/>
      <c r="H329" s="317"/>
      <c r="I329" s="317"/>
      <c r="J329" s="233"/>
      <c r="K329" s="233"/>
      <c r="L329" s="316"/>
      <c r="M329" s="233"/>
      <c r="N329" s="234"/>
      <c r="O329" s="251"/>
      <c r="P329" s="251"/>
      <c r="Q329" s="251"/>
      <c r="R329" s="251"/>
    </row>
    <row r="330" ht="15.75" hidden="1" customHeight="1">
      <c r="A330" s="318"/>
      <c r="B330" s="236"/>
      <c r="C330" s="236"/>
      <c r="D330" s="236"/>
      <c r="E330" s="314"/>
      <c r="F330" s="236"/>
      <c r="G330" s="236"/>
      <c r="H330" s="313"/>
      <c r="I330" s="313"/>
      <c r="J330" s="236"/>
      <c r="K330" s="236"/>
      <c r="L330" s="314"/>
      <c r="M330" s="236"/>
      <c r="N330" s="237"/>
      <c r="O330" s="251"/>
      <c r="P330" s="251"/>
      <c r="Q330" s="251"/>
      <c r="R330" s="251"/>
    </row>
    <row r="331" ht="15.75" hidden="1" customHeight="1">
      <c r="A331" s="315"/>
      <c r="B331" s="233"/>
      <c r="C331" s="233"/>
      <c r="D331" s="233"/>
      <c r="E331" s="316"/>
      <c r="F331" s="233"/>
      <c r="G331" s="233"/>
      <c r="H331" s="317"/>
      <c r="I331" s="317"/>
      <c r="J331" s="233"/>
      <c r="K331" s="233"/>
      <c r="L331" s="316"/>
      <c r="M331" s="233"/>
      <c r="N331" s="234"/>
      <c r="O331" s="251"/>
      <c r="P331" s="251"/>
      <c r="Q331" s="251"/>
      <c r="R331" s="251"/>
    </row>
    <row r="332" ht="15.75" hidden="1" customHeight="1">
      <c r="A332" s="318"/>
      <c r="B332" s="236"/>
      <c r="C332" s="236"/>
      <c r="D332" s="236"/>
      <c r="E332" s="314"/>
      <c r="F332" s="236"/>
      <c r="G332" s="236"/>
      <c r="H332" s="313"/>
      <c r="I332" s="313"/>
      <c r="J332" s="236"/>
      <c r="K332" s="236"/>
      <c r="L332" s="314"/>
      <c r="M332" s="236"/>
      <c r="N332" s="237"/>
      <c r="O332" s="251"/>
      <c r="P332" s="251"/>
      <c r="Q332" s="251"/>
      <c r="R332" s="251"/>
    </row>
    <row r="333" ht="15.75" hidden="1" customHeight="1">
      <c r="A333" s="315"/>
      <c r="B333" s="233"/>
      <c r="C333" s="233"/>
      <c r="D333" s="233"/>
      <c r="E333" s="316"/>
      <c r="F333" s="233"/>
      <c r="G333" s="233"/>
      <c r="H333" s="317"/>
      <c r="I333" s="317"/>
      <c r="J333" s="233"/>
      <c r="K333" s="233"/>
      <c r="L333" s="316"/>
      <c r="M333" s="233"/>
      <c r="N333" s="234"/>
      <c r="O333" s="251"/>
      <c r="P333" s="251"/>
      <c r="Q333" s="251"/>
      <c r="R333" s="251"/>
    </row>
    <row r="334" ht="15.75" hidden="1" customHeight="1">
      <c r="A334" s="318"/>
      <c r="B334" s="236"/>
      <c r="C334" s="236"/>
      <c r="D334" s="236"/>
      <c r="E334" s="314"/>
      <c r="F334" s="236"/>
      <c r="G334" s="236"/>
      <c r="H334" s="313"/>
      <c r="I334" s="313"/>
      <c r="J334" s="236"/>
      <c r="K334" s="236"/>
      <c r="L334" s="314"/>
      <c r="M334" s="236"/>
      <c r="N334" s="237"/>
      <c r="O334" s="251"/>
      <c r="P334" s="251"/>
      <c r="Q334" s="251"/>
      <c r="R334" s="251"/>
    </row>
    <row r="335" ht="15.75" hidden="1" customHeight="1">
      <c r="A335" s="315"/>
      <c r="B335" s="233"/>
      <c r="C335" s="233"/>
      <c r="D335" s="233"/>
      <c r="E335" s="316"/>
      <c r="F335" s="233"/>
      <c r="G335" s="233"/>
      <c r="H335" s="317"/>
      <c r="I335" s="317"/>
      <c r="J335" s="233"/>
      <c r="K335" s="233"/>
      <c r="L335" s="316"/>
      <c r="M335" s="233"/>
      <c r="N335" s="234"/>
      <c r="O335" s="251"/>
      <c r="P335" s="251"/>
      <c r="Q335" s="251"/>
      <c r="R335" s="251"/>
    </row>
    <row r="336" ht="15.75" hidden="1" customHeight="1">
      <c r="A336" s="318"/>
      <c r="B336" s="236"/>
      <c r="C336" s="236"/>
      <c r="D336" s="236"/>
      <c r="E336" s="314"/>
      <c r="F336" s="236"/>
      <c r="G336" s="236"/>
      <c r="H336" s="313"/>
      <c r="I336" s="313"/>
      <c r="J336" s="236"/>
      <c r="K336" s="236"/>
      <c r="L336" s="314"/>
      <c r="M336" s="236"/>
      <c r="N336" s="237"/>
      <c r="O336" s="251"/>
      <c r="P336" s="251"/>
      <c r="Q336" s="251"/>
      <c r="R336" s="251"/>
    </row>
    <row r="337" ht="15.75" hidden="1" customHeight="1">
      <c r="A337" s="315"/>
      <c r="B337" s="233"/>
      <c r="C337" s="233"/>
      <c r="D337" s="233"/>
      <c r="E337" s="316"/>
      <c r="F337" s="233"/>
      <c r="G337" s="233"/>
      <c r="H337" s="317"/>
      <c r="I337" s="317"/>
      <c r="J337" s="233"/>
      <c r="K337" s="233"/>
      <c r="L337" s="316"/>
      <c r="M337" s="233"/>
      <c r="N337" s="234"/>
      <c r="O337" s="251"/>
      <c r="P337" s="251"/>
      <c r="Q337" s="251"/>
      <c r="R337" s="251"/>
    </row>
    <row r="338" ht="15.75" hidden="1" customHeight="1">
      <c r="A338" s="318"/>
      <c r="B338" s="236"/>
      <c r="C338" s="236"/>
      <c r="D338" s="236"/>
      <c r="E338" s="314"/>
      <c r="F338" s="236"/>
      <c r="G338" s="236"/>
      <c r="H338" s="313"/>
      <c r="I338" s="313"/>
      <c r="J338" s="236"/>
      <c r="K338" s="236"/>
      <c r="L338" s="314"/>
      <c r="M338" s="236"/>
      <c r="N338" s="237"/>
      <c r="O338" s="251"/>
      <c r="P338" s="251"/>
      <c r="Q338" s="251"/>
      <c r="R338" s="251"/>
    </row>
    <row r="339" ht="15.75" hidden="1" customHeight="1">
      <c r="A339" s="315"/>
      <c r="B339" s="233"/>
      <c r="C339" s="233"/>
      <c r="D339" s="233"/>
      <c r="E339" s="316"/>
      <c r="F339" s="233"/>
      <c r="G339" s="233"/>
      <c r="H339" s="317"/>
      <c r="I339" s="317"/>
      <c r="J339" s="233"/>
      <c r="K339" s="233"/>
      <c r="L339" s="316"/>
      <c r="M339" s="233"/>
      <c r="N339" s="234"/>
      <c r="O339" s="251"/>
      <c r="P339" s="251"/>
      <c r="Q339" s="251"/>
      <c r="R339" s="251"/>
    </row>
    <row r="340" ht="15.75" hidden="1" customHeight="1">
      <c r="A340" s="318"/>
      <c r="B340" s="236"/>
      <c r="C340" s="236"/>
      <c r="D340" s="236"/>
      <c r="E340" s="314"/>
      <c r="F340" s="236"/>
      <c r="G340" s="236"/>
      <c r="H340" s="313"/>
      <c r="I340" s="313"/>
      <c r="J340" s="236"/>
      <c r="K340" s="236"/>
      <c r="L340" s="314"/>
      <c r="M340" s="236"/>
      <c r="N340" s="237"/>
      <c r="O340" s="251"/>
      <c r="P340" s="251"/>
      <c r="Q340" s="251"/>
      <c r="R340" s="251"/>
    </row>
    <row r="341" ht="15.75" hidden="1" customHeight="1">
      <c r="A341" s="315"/>
      <c r="B341" s="233"/>
      <c r="C341" s="233"/>
      <c r="D341" s="233"/>
      <c r="E341" s="316"/>
      <c r="F341" s="233"/>
      <c r="G341" s="233"/>
      <c r="H341" s="317"/>
      <c r="I341" s="317"/>
      <c r="J341" s="233"/>
      <c r="K341" s="233"/>
      <c r="L341" s="316"/>
      <c r="M341" s="233"/>
      <c r="N341" s="234"/>
      <c r="O341" s="251"/>
      <c r="P341" s="251"/>
      <c r="Q341" s="251"/>
      <c r="R341" s="251"/>
    </row>
    <row r="342" ht="15.75" hidden="1" customHeight="1">
      <c r="A342" s="318"/>
      <c r="B342" s="236"/>
      <c r="C342" s="236"/>
      <c r="D342" s="236"/>
      <c r="E342" s="314"/>
      <c r="F342" s="236"/>
      <c r="G342" s="236"/>
      <c r="H342" s="313"/>
      <c r="I342" s="313"/>
      <c r="J342" s="236"/>
      <c r="K342" s="236"/>
      <c r="L342" s="314"/>
      <c r="M342" s="236"/>
      <c r="N342" s="237"/>
      <c r="O342" s="251"/>
      <c r="P342" s="251"/>
      <c r="Q342" s="251"/>
      <c r="R342" s="251"/>
    </row>
    <row r="343" ht="15.75" hidden="1" customHeight="1">
      <c r="A343" s="315"/>
      <c r="B343" s="233"/>
      <c r="C343" s="233"/>
      <c r="D343" s="233"/>
      <c r="E343" s="316"/>
      <c r="F343" s="233"/>
      <c r="G343" s="233"/>
      <c r="H343" s="317"/>
      <c r="I343" s="317"/>
      <c r="J343" s="233"/>
      <c r="K343" s="233"/>
      <c r="L343" s="316"/>
      <c r="M343" s="233"/>
      <c r="N343" s="234"/>
      <c r="O343" s="251"/>
      <c r="P343" s="251"/>
      <c r="Q343" s="251"/>
      <c r="R343" s="251"/>
    </row>
    <row r="344" ht="15.75" hidden="1" customHeight="1">
      <c r="A344" s="318"/>
      <c r="B344" s="236"/>
      <c r="C344" s="236"/>
      <c r="D344" s="236"/>
      <c r="E344" s="314"/>
      <c r="F344" s="236"/>
      <c r="G344" s="236"/>
      <c r="H344" s="313"/>
      <c r="I344" s="313"/>
      <c r="J344" s="236"/>
      <c r="K344" s="236"/>
      <c r="L344" s="314"/>
      <c r="M344" s="236"/>
      <c r="N344" s="237"/>
      <c r="O344" s="251"/>
      <c r="P344" s="251"/>
      <c r="Q344" s="251"/>
      <c r="R344" s="251"/>
    </row>
    <row r="345" ht="15.75" hidden="1" customHeight="1">
      <c r="A345" s="315"/>
      <c r="B345" s="233"/>
      <c r="C345" s="233"/>
      <c r="D345" s="233"/>
      <c r="E345" s="316"/>
      <c r="F345" s="233"/>
      <c r="G345" s="233"/>
      <c r="H345" s="317"/>
      <c r="I345" s="317"/>
      <c r="J345" s="233"/>
      <c r="K345" s="233"/>
      <c r="L345" s="316"/>
      <c r="M345" s="233"/>
      <c r="N345" s="234"/>
      <c r="O345" s="251"/>
      <c r="P345" s="251"/>
      <c r="Q345" s="251"/>
      <c r="R345" s="251"/>
    </row>
    <row r="346" ht="15.75" hidden="1" customHeight="1">
      <c r="A346" s="318"/>
      <c r="B346" s="236"/>
      <c r="C346" s="236"/>
      <c r="D346" s="236"/>
      <c r="E346" s="314"/>
      <c r="F346" s="236"/>
      <c r="G346" s="236"/>
      <c r="H346" s="313"/>
      <c r="I346" s="313"/>
      <c r="J346" s="236"/>
      <c r="K346" s="236"/>
      <c r="L346" s="314"/>
      <c r="M346" s="236"/>
      <c r="N346" s="237"/>
      <c r="O346" s="251"/>
      <c r="P346" s="251"/>
      <c r="Q346" s="251"/>
      <c r="R346" s="251"/>
    </row>
    <row r="347" ht="15.75" hidden="1" customHeight="1">
      <c r="A347" s="315"/>
      <c r="B347" s="233"/>
      <c r="C347" s="233"/>
      <c r="D347" s="233"/>
      <c r="E347" s="316"/>
      <c r="F347" s="233"/>
      <c r="G347" s="233"/>
      <c r="H347" s="317"/>
      <c r="I347" s="317"/>
      <c r="J347" s="233"/>
      <c r="K347" s="233"/>
      <c r="L347" s="316"/>
      <c r="M347" s="233"/>
      <c r="N347" s="234"/>
      <c r="O347" s="251"/>
      <c r="P347" s="251"/>
      <c r="Q347" s="251"/>
      <c r="R347" s="251"/>
    </row>
    <row r="348" ht="15.75" hidden="1" customHeight="1">
      <c r="A348" s="318"/>
      <c r="B348" s="236"/>
      <c r="C348" s="236"/>
      <c r="D348" s="236"/>
      <c r="E348" s="314"/>
      <c r="F348" s="236"/>
      <c r="G348" s="236"/>
      <c r="H348" s="313"/>
      <c r="I348" s="313"/>
      <c r="J348" s="236"/>
      <c r="K348" s="236"/>
      <c r="L348" s="314"/>
      <c r="M348" s="236"/>
      <c r="N348" s="237"/>
      <c r="O348" s="251"/>
      <c r="P348" s="251"/>
      <c r="Q348" s="251"/>
      <c r="R348" s="251"/>
    </row>
    <row r="349" ht="15.75" hidden="1" customHeight="1">
      <c r="A349" s="315"/>
      <c r="B349" s="233"/>
      <c r="C349" s="233"/>
      <c r="D349" s="233"/>
      <c r="E349" s="316"/>
      <c r="F349" s="233"/>
      <c r="G349" s="233"/>
      <c r="H349" s="317"/>
      <c r="I349" s="317"/>
      <c r="J349" s="233"/>
      <c r="K349" s="233"/>
      <c r="L349" s="316"/>
      <c r="M349" s="233"/>
      <c r="N349" s="234"/>
      <c r="O349" s="251"/>
      <c r="P349" s="251"/>
      <c r="Q349" s="251"/>
      <c r="R349" s="251"/>
    </row>
    <row r="350" ht="15.75" hidden="1" customHeight="1">
      <c r="A350" s="318"/>
      <c r="B350" s="236"/>
      <c r="C350" s="236"/>
      <c r="D350" s="236"/>
      <c r="E350" s="314"/>
      <c r="F350" s="236"/>
      <c r="G350" s="236"/>
      <c r="H350" s="313"/>
      <c r="I350" s="313"/>
      <c r="J350" s="236"/>
      <c r="K350" s="236"/>
      <c r="L350" s="314"/>
      <c r="M350" s="236"/>
      <c r="N350" s="237"/>
      <c r="O350" s="251"/>
      <c r="P350" s="251"/>
      <c r="Q350" s="251"/>
      <c r="R350" s="251"/>
    </row>
    <row r="351" ht="15.75" hidden="1" customHeight="1">
      <c r="A351" s="315"/>
      <c r="B351" s="233"/>
      <c r="C351" s="233"/>
      <c r="D351" s="233"/>
      <c r="E351" s="316"/>
      <c r="F351" s="233"/>
      <c r="G351" s="233"/>
      <c r="H351" s="317"/>
      <c r="I351" s="317"/>
      <c r="J351" s="233"/>
      <c r="K351" s="233"/>
      <c r="L351" s="316"/>
      <c r="M351" s="233"/>
      <c r="N351" s="234"/>
      <c r="O351" s="251"/>
      <c r="P351" s="251"/>
      <c r="Q351" s="251"/>
      <c r="R351" s="251"/>
    </row>
    <row r="352" ht="15.75" hidden="1" customHeight="1">
      <c r="A352" s="318"/>
      <c r="B352" s="236"/>
      <c r="C352" s="236"/>
      <c r="D352" s="236"/>
      <c r="E352" s="314"/>
      <c r="F352" s="236"/>
      <c r="G352" s="236"/>
      <c r="H352" s="313"/>
      <c r="I352" s="313"/>
      <c r="J352" s="236"/>
      <c r="K352" s="236"/>
      <c r="L352" s="314"/>
      <c r="M352" s="236"/>
      <c r="N352" s="237"/>
      <c r="O352" s="251"/>
      <c r="P352" s="251"/>
      <c r="Q352" s="251"/>
      <c r="R352" s="251"/>
    </row>
    <row r="353" ht="15.75" hidden="1" customHeight="1">
      <c r="A353" s="315"/>
      <c r="B353" s="233"/>
      <c r="C353" s="233"/>
      <c r="D353" s="233"/>
      <c r="E353" s="316"/>
      <c r="F353" s="233"/>
      <c r="G353" s="233"/>
      <c r="H353" s="317"/>
      <c r="I353" s="317"/>
      <c r="J353" s="233"/>
      <c r="K353" s="233"/>
      <c r="L353" s="316"/>
      <c r="M353" s="233"/>
      <c r="N353" s="234"/>
      <c r="O353" s="251"/>
      <c r="P353" s="251"/>
      <c r="Q353" s="251"/>
      <c r="R353" s="251"/>
    </row>
    <row r="354" ht="15.75" hidden="1" customHeight="1">
      <c r="A354" s="318"/>
      <c r="B354" s="236"/>
      <c r="C354" s="236"/>
      <c r="D354" s="236"/>
      <c r="E354" s="314"/>
      <c r="F354" s="236"/>
      <c r="G354" s="236"/>
      <c r="H354" s="313"/>
      <c r="I354" s="313"/>
      <c r="J354" s="236"/>
      <c r="K354" s="236"/>
      <c r="L354" s="314"/>
      <c r="M354" s="236"/>
      <c r="N354" s="237"/>
      <c r="O354" s="251"/>
      <c r="P354" s="251"/>
      <c r="Q354" s="251"/>
      <c r="R354" s="251"/>
    </row>
    <row r="355" ht="15.75" hidden="1" customHeight="1">
      <c r="A355" s="315"/>
      <c r="B355" s="233"/>
      <c r="C355" s="233"/>
      <c r="D355" s="233"/>
      <c r="E355" s="316"/>
      <c r="F355" s="233"/>
      <c r="G355" s="233"/>
      <c r="H355" s="317"/>
      <c r="I355" s="317"/>
      <c r="J355" s="233"/>
      <c r="K355" s="233"/>
      <c r="L355" s="316"/>
      <c r="M355" s="233"/>
      <c r="N355" s="234"/>
      <c r="O355" s="251"/>
      <c r="P355" s="251"/>
      <c r="Q355" s="251"/>
      <c r="R355" s="251"/>
    </row>
    <row r="356" ht="15.75" hidden="1" customHeight="1">
      <c r="A356" s="318"/>
      <c r="B356" s="236"/>
      <c r="C356" s="236"/>
      <c r="D356" s="236"/>
      <c r="E356" s="314"/>
      <c r="F356" s="236"/>
      <c r="G356" s="236"/>
      <c r="H356" s="313"/>
      <c r="I356" s="313"/>
      <c r="J356" s="236"/>
      <c r="K356" s="236"/>
      <c r="L356" s="314"/>
      <c r="M356" s="236"/>
      <c r="N356" s="237"/>
      <c r="O356" s="251"/>
      <c r="P356" s="251"/>
      <c r="Q356" s="251"/>
      <c r="R356" s="251"/>
    </row>
    <row r="357" ht="15.75" hidden="1" customHeight="1">
      <c r="A357" s="315"/>
      <c r="B357" s="233"/>
      <c r="C357" s="233"/>
      <c r="D357" s="233"/>
      <c r="E357" s="316"/>
      <c r="F357" s="233"/>
      <c r="G357" s="233"/>
      <c r="H357" s="317"/>
      <c r="I357" s="317"/>
      <c r="J357" s="233"/>
      <c r="K357" s="233"/>
      <c r="L357" s="316"/>
      <c r="M357" s="233"/>
      <c r="N357" s="234"/>
      <c r="O357" s="251"/>
      <c r="P357" s="251"/>
      <c r="Q357" s="251"/>
      <c r="R357" s="251"/>
    </row>
    <row r="358" ht="15.75" hidden="1" customHeight="1">
      <c r="A358" s="318"/>
      <c r="B358" s="236"/>
      <c r="C358" s="236"/>
      <c r="D358" s="236"/>
      <c r="E358" s="314"/>
      <c r="F358" s="236"/>
      <c r="G358" s="236"/>
      <c r="H358" s="313"/>
      <c r="I358" s="313"/>
      <c r="J358" s="236"/>
      <c r="K358" s="236"/>
      <c r="L358" s="314"/>
      <c r="M358" s="236"/>
      <c r="N358" s="237"/>
      <c r="O358" s="251"/>
      <c r="P358" s="251"/>
      <c r="Q358" s="251"/>
      <c r="R358" s="251"/>
    </row>
    <row r="359" ht="15.75" hidden="1" customHeight="1">
      <c r="A359" s="315"/>
      <c r="B359" s="233"/>
      <c r="C359" s="233"/>
      <c r="D359" s="233"/>
      <c r="E359" s="316"/>
      <c r="F359" s="233"/>
      <c r="G359" s="233"/>
      <c r="H359" s="317"/>
      <c r="I359" s="317"/>
      <c r="J359" s="233"/>
      <c r="K359" s="233"/>
      <c r="L359" s="316"/>
      <c r="M359" s="233"/>
      <c r="N359" s="234"/>
      <c r="O359" s="251"/>
      <c r="P359" s="251"/>
      <c r="Q359" s="251"/>
      <c r="R359" s="251"/>
    </row>
    <row r="360" ht="15.75" hidden="1" customHeight="1">
      <c r="A360" s="318"/>
      <c r="B360" s="236"/>
      <c r="C360" s="236"/>
      <c r="D360" s="236"/>
      <c r="E360" s="314"/>
      <c r="F360" s="236"/>
      <c r="G360" s="236"/>
      <c r="H360" s="313"/>
      <c r="I360" s="313"/>
      <c r="J360" s="236"/>
      <c r="K360" s="236"/>
      <c r="L360" s="314"/>
      <c r="M360" s="236"/>
      <c r="N360" s="237"/>
      <c r="O360" s="251"/>
      <c r="P360" s="251"/>
      <c r="Q360" s="251"/>
      <c r="R360" s="251"/>
    </row>
    <row r="361" ht="15.75" hidden="1" customHeight="1">
      <c r="A361" s="315"/>
      <c r="B361" s="233"/>
      <c r="C361" s="233"/>
      <c r="D361" s="233"/>
      <c r="E361" s="316"/>
      <c r="F361" s="233"/>
      <c r="G361" s="233"/>
      <c r="H361" s="317"/>
      <c r="I361" s="317"/>
      <c r="J361" s="233"/>
      <c r="K361" s="233"/>
      <c r="L361" s="316"/>
      <c r="M361" s="233"/>
      <c r="N361" s="234"/>
      <c r="O361" s="251"/>
      <c r="P361" s="251"/>
      <c r="Q361" s="251"/>
      <c r="R361" s="251"/>
    </row>
    <row r="362" ht="15.75" hidden="1" customHeight="1">
      <c r="A362" s="318"/>
      <c r="B362" s="236"/>
      <c r="C362" s="236"/>
      <c r="D362" s="236"/>
      <c r="E362" s="314"/>
      <c r="F362" s="236"/>
      <c r="G362" s="236"/>
      <c r="H362" s="313"/>
      <c r="I362" s="313"/>
      <c r="J362" s="236"/>
      <c r="K362" s="236"/>
      <c r="L362" s="314"/>
      <c r="M362" s="236"/>
      <c r="N362" s="237"/>
      <c r="O362" s="251"/>
      <c r="P362" s="251"/>
      <c r="Q362" s="251"/>
      <c r="R362" s="251"/>
    </row>
    <row r="363" ht="15.75" hidden="1" customHeight="1">
      <c r="A363" s="315"/>
      <c r="B363" s="233"/>
      <c r="C363" s="233"/>
      <c r="D363" s="233"/>
      <c r="E363" s="316"/>
      <c r="F363" s="233"/>
      <c r="G363" s="233"/>
      <c r="H363" s="317"/>
      <c r="I363" s="317"/>
      <c r="J363" s="233"/>
      <c r="K363" s="233"/>
      <c r="L363" s="316"/>
      <c r="M363" s="233"/>
      <c r="N363" s="234"/>
      <c r="O363" s="251"/>
      <c r="P363" s="251"/>
      <c r="Q363" s="251"/>
      <c r="R363" s="251"/>
    </row>
    <row r="364" ht="15.75" hidden="1" customHeight="1">
      <c r="A364" s="318"/>
      <c r="B364" s="236"/>
      <c r="C364" s="236"/>
      <c r="D364" s="236"/>
      <c r="E364" s="314"/>
      <c r="F364" s="236"/>
      <c r="G364" s="236"/>
      <c r="H364" s="313"/>
      <c r="I364" s="313"/>
      <c r="J364" s="236"/>
      <c r="K364" s="236"/>
      <c r="L364" s="314"/>
      <c r="M364" s="236"/>
      <c r="N364" s="237"/>
      <c r="O364" s="251"/>
      <c r="P364" s="251"/>
      <c r="Q364" s="251"/>
      <c r="R364" s="251"/>
    </row>
    <row r="365" ht="15.75" hidden="1" customHeight="1">
      <c r="A365" s="315"/>
      <c r="B365" s="233"/>
      <c r="C365" s="233"/>
      <c r="D365" s="233"/>
      <c r="E365" s="316"/>
      <c r="F365" s="233"/>
      <c r="G365" s="233"/>
      <c r="H365" s="317"/>
      <c r="I365" s="317"/>
      <c r="J365" s="233"/>
      <c r="K365" s="233"/>
      <c r="L365" s="316"/>
      <c r="M365" s="233"/>
      <c r="N365" s="234"/>
      <c r="O365" s="251"/>
      <c r="P365" s="251"/>
      <c r="Q365" s="251"/>
      <c r="R365" s="251"/>
    </row>
    <row r="366" ht="15.75" hidden="1" customHeight="1">
      <c r="A366" s="318"/>
      <c r="B366" s="236"/>
      <c r="C366" s="236"/>
      <c r="D366" s="236"/>
      <c r="E366" s="314"/>
      <c r="F366" s="236"/>
      <c r="G366" s="236"/>
      <c r="H366" s="313"/>
      <c r="I366" s="313"/>
      <c r="J366" s="236"/>
      <c r="K366" s="236"/>
      <c r="L366" s="314"/>
      <c r="M366" s="236"/>
      <c r="N366" s="237"/>
      <c r="O366" s="251"/>
      <c r="P366" s="251"/>
      <c r="Q366" s="251"/>
      <c r="R366" s="251"/>
    </row>
    <row r="367" ht="15.75" hidden="1" customHeight="1">
      <c r="A367" s="315"/>
      <c r="B367" s="233"/>
      <c r="C367" s="233"/>
      <c r="D367" s="233"/>
      <c r="E367" s="316"/>
      <c r="F367" s="233"/>
      <c r="G367" s="233"/>
      <c r="H367" s="317"/>
      <c r="I367" s="317"/>
      <c r="J367" s="233"/>
      <c r="K367" s="233"/>
      <c r="L367" s="316"/>
      <c r="M367" s="233"/>
      <c r="N367" s="234"/>
      <c r="O367" s="251"/>
      <c r="P367" s="251"/>
      <c r="Q367" s="251"/>
      <c r="R367" s="251"/>
    </row>
    <row r="368" ht="15.75" hidden="1" customHeight="1">
      <c r="A368" s="318"/>
      <c r="B368" s="236"/>
      <c r="C368" s="236"/>
      <c r="D368" s="236"/>
      <c r="E368" s="314"/>
      <c r="F368" s="236"/>
      <c r="G368" s="236"/>
      <c r="H368" s="313"/>
      <c r="I368" s="313"/>
      <c r="J368" s="236"/>
      <c r="K368" s="236"/>
      <c r="L368" s="314"/>
      <c r="M368" s="236"/>
      <c r="N368" s="237"/>
      <c r="O368" s="251"/>
      <c r="P368" s="251"/>
      <c r="Q368" s="251"/>
      <c r="R368" s="251"/>
    </row>
    <row r="369" ht="15.75" hidden="1" customHeight="1">
      <c r="A369" s="315"/>
      <c r="B369" s="233"/>
      <c r="C369" s="233"/>
      <c r="D369" s="233"/>
      <c r="E369" s="316"/>
      <c r="F369" s="233"/>
      <c r="G369" s="233"/>
      <c r="H369" s="317"/>
      <c r="I369" s="317"/>
      <c r="J369" s="233"/>
      <c r="K369" s="233"/>
      <c r="L369" s="316"/>
      <c r="M369" s="233"/>
      <c r="N369" s="234"/>
      <c r="O369" s="251"/>
      <c r="P369" s="251"/>
      <c r="Q369" s="251"/>
      <c r="R369" s="251"/>
    </row>
    <row r="370" ht="15.75" hidden="1" customHeight="1">
      <c r="A370" s="318"/>
      <c r="B370" s="236"/>
      <c r="C370" s="236"/>
      <c r="D370" s="236"/>
      <c r="E370" s="314"/>
      <c r="F370" s="236"/>
      <c r="G370" s="236"/>
      <c r="H370" s="313"/>
      <c r="I370" s="313"/>
      <c r="J370" s="236"/>
      <c r="K370" s="236"/>
      <c r="L370" s="314"/>
      <c r="M370" s="236"/>
      <c r="N370" s="237"/>
      <c r="O370" s="251"/>
      <c r="P370" s="251"/>
      <c r="Q370" s="251"/>
      <c r="R370" s="251"/>
    </row>
    <row r="371" ht="15.75" hidden="1" customHeight="1">
      <c r="A371" s="315"/>
      <c r="B371" s="233"/>
      <c r="C371" s="233"/>
      <c r="D371" s="233"/>
      <c r="E371" s="316"/>
      <c r="F371" s="233"/>
      <c r="G371" s="233"/>
      <c r="H371" s="317"/>
      <c r="I371" s="317"/>
      <c r="J371" s="233"/>
      <c r="K371" s="233"/>
      <c r="L371" s="316"/>
      <c r="M371" s="233"/>
      <c r="N371" s="234"/>
      <c r="O371" s="251"/>
      <c r="P371" s="251"/>
      <c r="Q371" s="251"/>
      <c r="R371" s="251"/>
    </row>
    <row r="372" ht="15.75" hidden="1" customHeight="1">
      <c r="A372" s="318"/>
      <c r="B372" s="236"/>
      <c r="C372" s="236"/>
      <c r="D372" s="236"/>
      <c r="E372" s="314"/>
      <c r="F372" s="236"/>
      <c r="G372" s="236"/>
      <c r="H372" s="313"/>
      <c r="I372" s="313"/>
      <c r="J372" s="236"/>
      <c r="K372" s="236"/>
      <c r="L372" s="314"/>
      <c r="M372" s="236"/>
      <c r="N372" s="237"/>
      <c r="O372" s="251"/>
      <c r="P372" s="251"/>
      <c r="Q372" s="251"/>
      <c r="R372" s="251"/>
    </row>
    <row r="373" ht="15.75" hidden="1" customHeight="1">
      <c r="A373" s="315"/>
      <c r="B373" s="233"/>
      <c r="C373" s="233"/>
      <c r="D373" s="233"/>
      <c r="E373" s="316"/>
      <c r="F373" s="233"/>
      <c r="G373" s="233"/>
      <c r="H373" s="317"/>
      <c r="I373" s="317"/>
      <c r="J373" s="233"/>
      <c r="K373" s="233"/>
      <c r="L373" s="316"/>
      <c r="M373" s="233"/>
      <c r="N373" s="234"/>
      <c r="O373" s="251"/>
      <c r="P373" s="251"/>
      <c r="Q373" s="251"/>
      <c r="R373" s="251"/>
    </row>
    <row r="374" ht="15.75" hidden="1" customHeight="1">
      <c r="A374" s="318"/>
      <c r="B374" s="236"/>
      <c r="C374" s="236"/>
      <c r="D374" s="236"/>
      <c r="E374" s="314"/>
      <c r="F374" s="236"/>
      <c r="G374" s="236"/>
      <c r="H374" s="313"/>
      <c r="I374" s="313"/>
      <c r="J374" s="236"/>
      <c r="K374" s="236"/>
      <c r="L374" s="314"/>
      <c r="M374" s="236"/>
      <c r="N374" s="237"/>
      <c r="O374" s="251"/>
      <c r="P374" s="251"/>
      <c r="Q374" s="251"/>
      <c r="R374" s="251"/>
    </row>
    <row r="375" ht="15.75" hidden="1" customHeight="1">
      <c r="A375" s="315"/>
      <c r="B375" s="233"/>
      <c r="C375" s="233"/>
      <c r="D375" s="233"/>
      <c r="E375" s="316"/>
      <c r="F375" s="233"/>
      <c r="G375" s="233"/>
      <c r="H375" s="317"/>
      <c r="I375" s="317"/>
      <c r="J375" s="233"/>
      <c r="K375" s="233"/>
      <c r="L375" s="316"/>
      <c r="M375" s="233"/>
      <c r="N375" s="234"/>
      <c r="O375" s="251"/>
      <c r="P375" s="251"/>
      <c r="Q375" s="251"/>
      <c r="R375" s="251"/>
    </row>
    <row r="376" ht="15.75" hidden="1" customHeight="1">
      <c r="A376" s="318"/>
      <c r="B376" s="236"/>
      <c r="C376" s="236"/>
      <c r="D376" s="236"/>
      <c r="E376" s="314"/>
      <c r="F376" s="236"/>
      <c r="G376" s="236"/>
      <c r="H376" s="313"/>
      <c r="I376" s="313"/>
      <c r="J376" s="236"/>
      <c r="K376" s="236"/>
      <c r="L376" s="314"/>
      <c r="M376" s="236"/>
      <c r="N376" s="237"/>
      <c r="O376" s="251"/>
      <c r="P376" s="251"/>
      <c r="Q376" s="251"/>
      <c r="R376" s="251"/>
    </row>
    <row r="377" ht="15.75" hidden="1" customHeight="1">
      <c r="A377" s="315"/>
      <c r="B377" s="233"/>
      <c r="C377" s="233"/>
      <c r="D377" s="233"/>
      <c r="E377" s="316"/>
      <c r="F377" s="233"/>
      <c r="G377" s="233"/>
      <c r="H377" s="317"/>
      <c r="I377" s="317"/>
      <c r="J377" s="233"/>
      <c r="K377" s="233"/>
      <c r="L377" s="316"/>
      <c r="M377" s="233"/>
      <c r="N377" s="234"/>
      <c r="O377" s="251"/>
      <c r="P377" s="251"/>
      <c r="Q377" s="251"/>
      <c r="R377" s="251"/>
    </row>
    <row r="378" ht="15.75" hidden="1" customHeight="1">
      <c r="A378" s="318"/>
      <c r="B378" s="236"/>
      <c r="C378" s="236"/>
      <c r="D378" s="236"/>
      <c r="E378" s="314"/>
      <c r="F378" s="236"/>
      <c r="G378" s="236"/>
      <c r="H378" s="313"/>
      <c r="I378" s="313"/>
      <c r="J378" s="236"/>
      <c r="K378" s="236"/>
      <c r="L378" s="314"/>
      <c r="M378" s="236"/>
      <c r="N378" s="237"/>
      <c r="O378" s="251"/>
      <c r="P378" s="251"/>
      <c r="Q378" s="251"/>
      <c r="R378" s="251"/>
    </row>
    <row r="379" ht="15.75" hidden="1" customHeight="1">
      <c r="A379" s="315"/>
      <c r="B379" s="233"/>
      <c r="C379" s="233"/>
      <c r="D379" s="233"/>
      <c r="E379" s="316"/>
      <c r="F379" s="233"/>
      <c r="G379" s="233"/>
      <c r="H379" s="317"/>
      <c r="I379" s="317"/>
      <c r="J379" s="233"/>
      <c r="K379" s="233"/>
      <c r="L379" s="316"/>
      <c r="M379" s="233"/>
      <c r="N379" s="234"/>
      <c r="O379" s="251"/>
      <c r="P379" s="251"/>
      <c r="Q379" s="251"/>
      <c r="R379" s="251"/>
    </row>
    <row r="380" ht="15.75" hidden="1" customHeight="1">
      <c r="A380" s="318"/>
      <c r="B380" s="236"/>
      <c r="C380" s="236"/>
      <c r="D380" s="236"/>
      <c r="E380" s="314"/>
      <c r="F380" s="236"/>
      <c r="G380" s="236"/>
      <c r="H380" s="313"/>
      <c r="I380" s="313"/>
      <c r="J380" s="236"/>
      <c r="K380" s="236"/>
      <c r="L380" s="314"/>
      <c r="M380" s="236"/>
      <c r="N380" s="237"/>
      <c r="O380" s="251"/>
      <c r="P380" s="251"/>
      <c r="Q380" s="251"/>
      <c r="R380" s="251"/>
    </row>
    <row r="381" ht="15.75" hidden="1" customHeight="1">
      <c r="A381" s="315"/>
      <c r="B381" s="233"/>
      <c r="C381" s="233"/>
      <c r="D381" s="233"/>
      <c r="E381" s="316"/>
      <c r="F381" s="233"/>
      <c r="G381" s="233"/>
      <c r="H381" s="317"/>
      <c r="I381" s="317"/>
      <c r="J381" s="233"/>
      <c r="K381" s="233"/>
      <c r="L381" s="316"/>
      <c r="M381" s="233"/>
      <c r="N381" s="234"/>
      <c r="O381" s="251"/>
      <c r="P381" s="251"/>
      <c r="Q381" s="251"/>
      <c r="R381" s="251"/>
    </row>
    <row r="382" ht="15.75" hidden="1" customHeight="1">
      <c r="A382" s="318"/>
      <c r="B382" s="236"/>
      <c r="C382" s="236"/>
      <c r="D382" s="236"/>
      <c r="E382" s="314"/>
      <c r="F382" s="236"/>
      <c r="G382" s="236"/>
      <c r="H382" s="313"/>
      <c r="I382" s="313"/>
      <c r="J382" s="236"/>
      <c r="K382" s="236"/>
      <c r="L382" s="314"/>
      <c r="M382" s="236"/>
      <c r="N382" s="237"/>
      <c r="O382" s="251"/>
      <c r="P382" s="251"/>
      <c r="Q382" s="251"/>
      <c r="R382" s="251"/>
    </row>
    <row r="383" ht="15.75" hidden="1" customHeight="1">
      <c r="A383" s="315"/>
      <c r="B383" s="233"/>
      <c r="C383" s="233"/>
      <c r="D383" s="233"/>
      <c r="E383" s="316"/>
      <c r="F383" s="233"/>
      <c r="G383" s="233"/>
      <c r="H383" s="317"/>
      <c r="I383" s="317"/>
      <c r="J383" s="233"/>
      <c r="K383" s="233"/>
      <c r="L383" s="316"/>
      <c r="M383" s="233"/>
      <c r="N383" s="234"/>
      <c r="O383" s="251"/>
      <c r="P383" s="251"/>
      <c r="Q383" s="251"/>
      <c r="R383" s="251"/>
    </row>
    <row r="384" ht="15.75" hidden="1" customHeight="1">
      <c r="A384" s="318"/>
      <c r="B384" s="236"/>
      <c r="C384" s="236"/>
      <c r="D384" s="236"/>
      <c r="E384" s="314"/>
      <c r="F384" s="236"/>
      <c r="G384" s="236"/>
      <c r="H384" s="313"/>
      <c r="I384" s="313"/>
      <c r="J384" s="236"/>
      <c r="K384" s="236"/>
      <c r="L384" s="314"/>
      <c r="M384" s="236"/>
      <c r="N384" s="237"/>
      <c r="O384" s="251"/>
      <c r="P384" s="251"/>
      <c r="Q384" s="251"/>
      <c r="R384" s="251"/>
    </row>
    <row r="385" ht="15.75" hidden="1" customHeight="1">
      <c r="A385" s="315"/>
      <c r="B385" s="233"/>
      <c r="C385" s="233"/>
      <c r="D385" s="233"/>
      <c r="E385" s="316"/>
      <c r="F385" s="233"/>
      <c r="G385" s="233"/>
      <c r="H385" s="317"/>
      <c r="I385" s="317"/>
      <c r="J385" s="233"/>
      <c r="K385" s="233"/>
      <c r="L385" s="316"/>
      <c r="M385" s="233"/>
      <c r="N385" s="234"/>
      <c r="O385" s="251"/>
      <c r="P385" s="251"/>
      <c r="Q385" s="251"/>
      <c r="R385" s="251"/>
    </row>
    <row r="386" ht="15.75" hidden="1" customHeight="1">
      <c r="A386" s="318"/>
      <c r="B386" s="236"/>
      <c r="C386" s="236"/>
      <c r="D386" s="236"/>
      <c r="E386" s="314"/>
      <c r="F386" s="236"/>
      <c r="G386" s="236"/>
      <c r="H386" s="313"/>
      <c r="I386" s="313"/>
      <c r="J386" s="236"/>
      <c r="K386" s="236"/>
      <c r="L386" s="314"/>
      <c r="M386" s="236"/>
      <c r="N386" s="237"/>
      <c r="O386" s="251"/>
      <c r="P386" s="251"/>
      <c r="Q386" s="251"/>
      <c r="R386" s="251"/>
    </row>
    <row r="387" ht="15.75" hidden="1" customHeight="1">
      <c r="A387" s="315"/>
      <c r="B387" s="233"/>
      <c r="C387" s="233"/>
      <c r="D387" s="233"/>
      <c r="E387" s="316"/>
      <c r="F387" s="233"/>
      <c r="G387" s="233"/>
      <c r="H387" s="317"/>
      <c r="I387" s="317"/>
      <c r="J387" s="233"/>
      <c r="K387" s="233"/>
      <c r="L387" s="316"/>
      <c r="M387" s="233"/>
      <c r="N387" s="234"/>
      <c r="O387" s="251"/>
      <c r="P387" s="251"/>
      <c r="Q387" s="251"/>
      <c r="R387" s="251"/>
    </row>
    <row r="388" ht="15.75" hidden="1" customHeight="1">
      <c r="A388" s="318"/>
      <c r="B388" s="236"/>
      <c r="C388" s="236"/>
      <c r="D388" s="236"/>
      <c r="E388" s="314"/>
      <c r="F388" s="236"/>
      <c r="G388" s="236"/>
      <c r="H388" s="313"/>
      <c r="I388" s="313"/>
      <c r="J388" s="236"/>
      <c r="K388" s="236"/>
      <c r="L388" s="314"/>
      <c r="M388" s="236"/>
      <c r="N388" s="237"/>
      <c r="O388" s="251"/>
      <c r="P388" s="251"/>
      <c r="Q388" s="251"/>
      <c r="R388" s="251"/>
    </row>
    <row r="389" ht="15.75" hidden="1" customHeight="1">
      <c r="A389" s="315"/>
      <c r="B389" s="233"/>
      <c r="C389" s="233"/>
      <c r="D389" s="233"/>
      <c r="E389" s="316"/>
      <c r="F389" s="233"/>
      <c r="G389" s="233"/>
      <c r="H389" s="317"/>
      <c r="I389" s="317"/>
      <c r="J389" s="233"/>
      <c r="K389" s="233"/>
      <c r="L389" s="316"/>
      <c r="M389" s="233"/>
      <c r="N389" s="234"/>
      <c r="O389" s="251"/>
      <c r="P389" s="251"/>
      <c r="Q389" s="251"/>
      <c r="R389" s="251"/>
    </row>
    <row r="390" ht="15.75" hidden="1" customHeight="1">
      <c r="A390" s="318"/>
      <c r="B390" s="236"/>
      <c r="C390" s="236"/>
      <c r="D390" s="236"/>
      <c r="E390" s="314"/>
      <c r="F390" s="236"/>
      <c r="G390" s="236"/>
      <c r="H390" s="313"/>
      <c r="I390" s="313"/>
      <c r="J390" s="236"/>
      <c r="K390" s="236"/>
      <c r="L390" s="314"/>
      <c r="M390" s="236"/>
      <c r="N390" s="237"/>
      <c r="O390" s="251"/>
      <c r="P390" s="251"/>
      <c r="Q390" s="251"/>
      <c r="R390" s="251"/>
    </row>
    <row r="391" ht="15.75" hidden="1" customHeight="1">
      <c r="A391" s="315"/>
      <c r="B391" s="233"/>
      <c r="C391" s="233"/>
      <c r="D391" s="233"/>
      <c r="E391" s="316"/>
      <c r="F391" s="233"/>
      <c r="G391" s="233"/>
      <c r="H391" s="317"/>
      <c r="I391" s="317"/>
      <c r="J391" s="233"/>
      <c r="K391" s="233"/>
      <c r="L391" s="316"/>
      <c r="M391" s="233"/>
      <c r="N391" s="234"/>
      <c r="O391" s="251"/>
      <c r="P391" s="251"/>
      <c r="Q391" s="251"/>
      <c r="R391" s="251"/>
    </row>
    <row r="392" ht="15.75" hidden="1" customHeight="1">
      <c r="A392" s="318"/>
      <c r="B392" s="236"/>
      <c r="C392" s="236"/>
      <c r="D392" s="236"/>
      <c r="E392" s="314"/>
      <c r="F392" s="236"/>
      <c r="G392" s="236"/>
      <c r="H392" s="313"/>
      <c r="I392" s="313"/>
      <c r="J392" s="236"/>
      <c r="K392" s="236"/>
      <c r="L392" s="314"/>
      <c r="M392" s="236"/>
      <c r="N392" s="237"/>
      <c r="O392" s="251"/>
      <c r="P392" s="251"/>
      <c r="Q392" s="251"/>
      <c r="R392" s="251"/>
    </row>
    <row r="393" ht="15.75" hidden="1" customHeight="1">
      <c r="A393" s="315"/>
      <c r="B393" s="233"/>
      <c r="C393" s="233"/>
      <c r="D393" s="233"/>
      <c r="E393" s="316"/>
      <c r="F393" s="233"/>
      <c r="G393" s="233"/>
      <c r="H393" s="317"/>
      <c r="I393" s="317"/>
      <c r="J393" s="233"/>
      <c r="K393" s="233"/>
      <c r="L393" s="316"/>
      <c r="M393" s="233"/>
      <c r="N393" s="234"/>
      <c r="O393" s="251"/>
      <c r="P393" s="251"/>
      <c r="Q393" s="251"/>
      <c r="R393" s="251"/>
    </row>
    <row r="394" ht="15.75" hidden="1" customHeight="1">
      <c r="A394" s="318"/>
      <c r="B394" s="236"/>
      <c r="C394" s="236"/>
      <c r="D394" s="236"/>
      <c r="E394" s="314"/>
      <c r="F394" s="236"/>
      <c r="G394" s="236"/>
      <c r="H394" s="313"/>
      <c r="I394" s="313"/>
      <c r="J394" s="236"/>
      <c r="K394" s="236"/>
      <c r="L394" s="314"/>
      <c r="M394" s="236"/>
      <c r="N394" s="237"/>
      <c r="O394" s="251"/>
      <c r="P394" s="251"/>
      <c r="Q394" s="251"/>
      <c r="R394" s="251"/>
    </row>
    <row r="395" ht="15.75" hidden="1" customHeight="1">
      <c r="A395" s="315"/>
      <c r="B395" s="233"/>
      <c r="C395" s="233"/>
      <c r="D395" s="233"/>
      <c r="E395" s="316"/>
      <c r="F395" s="233"/>
      <c r="G395" s="233"/>
      <c r="H395" s="317"/>
      <c r="I395" s="317"/>
      <c r="J395" s="233"/>
      <c r="K395" s="233"/>
      <c r="L395" s="316"/>
      <c r="M395" s="233"/>
      <c r="N395" s="234"/>
      <c r="O395" s="251"/>
      <c r="P395" s="251"/>
      <c r="Q395" s="251"/>
      <c r="R395" s="251"/>
    </row>
    <row r="396" ht="15.75" hidden="1" customHeight="1">
      <c r="A396" s="318"/>
      <c r="B396" s="236"/>
      <c r="C396" s="236"/>
      <c r="D396" s="236"/>
      <c r="E396" s="314"/>
      <c r="F396" s="236"/>
      <c r="G396" s="236"/>
      <c r="H396" s="313"/>
      <c r="I396" s="313"/>
      <c r="J396" s="236"/>
      <c r="K396" s="236"/>
      <c r="L396" s="314"/>
      <c r="M396" s="236"/>
      <c r="N396" s="237"/>
      <c r="O396" s="251"/>
      <c r="P396" s="251"/>
      <c r="Q396" s="251"/>
      <c r="R396" s="251"/>
    </row>
    <row r="397" ht="15.75" hidden="1" customHeight="1">
      <c r="A397" s="315"/>
      <c r="B397" s="233"/>
      <c r="C397" s="233"/>
      <c r="D397" s="233"/>
      <c r="E397" s="316"/>
      <c r="F397" s="233"/>
      <c r="G397" s="233"/>
      <c r="H397" s="317"/>
      <c r="I397" s="317"/>
      <c r="J397" s="233"/>
      <c r="K397" s="233"/>
      <c r="L397" s="316"/>
      <c r="M397" s="233"/>
      <c r="N397" s="234"/>
      <c r="O397" s="251"/>
      <c r="P397" s="251"/>
      <c r="Q397" s="251"/>
      <c r="R397" s="251"/>
    </row>
    <row r="398" ht="15.75" hidden="1" customHeight="1">
      <c r="A398" s="318"/>
      <c r="B398" s="236"/>
      <c r="C398" s="236"/>
      <c r="D398" s="236"/>
      <c r="E398" s="314"/>
      <c r="F398" s="236"/>
      <c r="G398" s="236"/>
      <c r="H398" s="313"/>
      <c r="I398" s="313"/>
      <c r="J398" s="236"/>
      <c r="K398" s="236"/>
      <c r="L398" s="314"/>
      <c r="M398" s="236"/>
      <c r="N398" s="237"/>
      <c r="O398" s="251"/>
      <c r="P398" s="251"/>
      <c r="Q398" s="251"/>
      <c r="R398" s="251"/>
    </row>
    <row r="399" ht="15.75" hidden="1" customHeight="1">
      <c r="A399" s="315"/>
      <c r="B399" s="233"/>
      <c r="C399" s="233"/>
      <c r="D399" s="233"/>
      <c r="E399" s="316"/>
      <c r="F399" s="233"/>
      <c r="G399" s="233"/>
      <c r="H399" s="317"/>
      <c r="I399" s="317"/>
      <c r="J399" s="233"/>
      <c r="K399" s="233"/>
      <c r="L399" s="316"/>
      <c r="M399" s="233"/>
      <c r="N399" s="234"/>
      <c r="O399" s="251"/>
      <c r="P399" s="251"/>
      <c r="Q399" s="251"/>
      <c r="R399" s="251"/>
    </row>
    <row r="400" ht="15.75" hidden="1" customHeight="1">
      <c r="A400" s="318"/>
      <c r="B400" s="236"/>
      <c r="C400" s="236"/>
      <c r="D400" s="236"/>
      <c r="E400" s="314"/>
      <c r="F400" s="236"/>
      <c r="G400" s="236"/>
      <c r="H400" s="313"/>
      <c r="I400" s="313"/>
      <c r="J400" s="236"/>
      <c r="K400" s="236"/>
      <c r="L400" s="314"/>
      <c r="M400" s="236"/>
      <c r="N400" s="237"/>
      <c r="O400" s="251"/>
      <c r="P400" s="251"/>
      <c r="Q400" s="251"/>
      <c r="R400" s="251"/>
    </row>
    <row r="401" ht="15.75" hidden="1" customHeight="1">
      <c r="A401" s="315"/>
      <c r="B401" s="233"/>
      <c r="C401" s="233"/>
      <c r="D401" s="233"/>
      <c r="E401" s="316"/>
      <c r="F401" s="233"/>
      <c r="G401" s="233"/>
      <c r="H401" s="317"/>
      <c r="I401" s="317"/>
      <c r="J401" s="233"/>
      <c r="K401" s="233"/>
      <c r="L401" s="316"/>
      <c r="M401" s="233"/>
      <c r="N401" s="234"/>
      <c r="O401" s="251"/>
      <c r="P401" s="251"/>
      <c r="Q401" s="251"/>
      <c r="R401" s="251"/>
    </row>
    <row r="402" ht="15.75" hidden="1" customHeight="1">
      <c r="A402" s="318"/>
      <c r="B402" s="236"/>
      <c r="C402" s="236"/>
      <c r="D402" s="236"/>
      <c r="E402" s="314"/>
      <c r="F402" s="236"/>
      <c r="G402" s="236"/>
      <c r="H402" s="313"/>
      <c r="I402" s="313"/>
      <c r="J402" s="236"/>
      <c r="K402" s="236"/>
      <c r="L402" s="314"/>
      <c r="M402" s="236"/>
      <c r="N402" s="237"/>
      <c r="O402" s="251"/>
      <c r="P402" s="251"/>
      <c r="Q402" s="251"/>
      <c r="R402" s="251"/>
    </row>
    <row r="403" ht="15.75" hidden="1" customHeight="1">
      <c r="A403" s="315"/>
      <c r="B403" s="233"/>
      <c r="C403" s="233"/>
      <c r="D403" s="233"/>
      <c r="E403" s="316"/>
      <c r="F403" s="233"/>
      <c r="G403" s="233"/>
      <c r="H403" s="317"/>
      <c r="I403" s="317"/>
      <c r="J403" s="233"/>
      <c r="K403" s="233"/>
      <c r="L403" s="316"/>
      <c r="M403" s="233"/>
      <c r="N403" s="234"/>
      <c r="O403" s="251"/>
      <c r="P403" s="251"/>
      <c r="Q403" s="251"/>
      <c r="R403" s="251"/>
    </row>
    <row r="404" ht="15.75" hidden="1" customHeight="1">
      <c r="A404" s="318"/>
      <c r="B404" s="236"/>
      <c r="C404" s="236"/>
      <c r="D404" s="236"/>
      <c r="E404" s="314"/>
      <c r="F404" s="236"/>
      <c r="G404" s="236"/>
      <c r="H404" s="313"/>
      <c r="I404" s="313"/>
      <c r="J404" s="236"/>
      <c r="K404" s="236"/>
      <c r="L404" s="314"/>
      <c r="M404" s="236"/>
      <c r="N404" s="237"/>
      <c r="O404" s="251"/>
      <c r="P404" s="251"/>
      <c r="Q404" s="251"/>
      <c r="R404" s="251"/>
    </row>
    <row r="405" ht="15.75" hidden="1" customHeight="1">
      <c r="A405" s="315"/>
      <c r="B405" s="233"/>
      <c r="C405" s="233"/>
      <c r="D405" s="233"/>
      <c r="E405" s="316"/>
      <c r="F405" s="233"/>
      <c r="G405" s="233"/>
      <c r="H405" s="317"/>
      <c r="I405" s="317"/>
      <c r="J405" s="233"/>
      <c r="K405" s="233"/>
      <c r="L405" s="316"/>
      <c r="M405" s="233"/>
      <c r="N405" s="234"/>
      <c r="O405" s="251"/>
      <c r="P405" s="251"/>
      <c r="Q405" s="251"/>
      <c r="R405" s="251"/>
    </row>
    <row r="406" ht="15.75" hidden="1" customHeight="1">
      <c r="A406" s="318"/>
      <c r="B406" s="236"/>
      <c r="C406" s="236"/>
      <c r="D406" s="236"/>
      <c r="E406" s="314"/>
      <c r="F406" s="236"/>
      <c r="G406" s="236"/>
      <c r="H406" s="313"/>
      <c r="I406" s="313"/>
      <c r="J406" s="236"/>
      <c r="K406" s="236"/>
      <c r="L406" s="314"/>
      <c r="M406" s="236"/>
      <c r="N406" s="237"/>
      <c r="O406" s="251"/>
      <c r="P406" s="251"/>
      <c r="Q406" s="251"/>
      <c r="R406" s="251"/>
    </row>
    <row r="407" ht="15.75" hidden="1" customHeight="1">
      <c r="A407" s="315"/>
      <c r="B407" s="233"/>
      <c r="C407" s="233"/>
      <c r="D407" s="233"/>
      <c r="E407" s="316"/>
      <c r="F407" s="233"/>
      <c r="G407" s="233"/>
      <c r="H407" s="317"/>
      <c r="I407" s="317"/>
      <c r="J407" s="233"/>
      <c r="K407" s="233"/>
      <c r="L407" s="316"/>
      <c r="M407" s="233"/>
      <c r="N407" s="234"/>
      <c r="O407" s="251"/>
      <c r="P407" s="251"/>
      <c r="Q407" s="251"/>
      <c r="R407" s="251"/>
    </row>
    <row r="408" ht="15.75" hidden="1" customHeight="1">
      <c r="A408" s="318"/>
      <c r="B408" s="236"/>
      <c r="C408" s="236"/>
      <c r="D408" s="236"/>
      <c r="E408" s="314"/>
      <c r="F408" s="236"/>
      <c r="G408" s="236"/>
      <c r="H408" s="313"/>
      <c r="I408" s="313"/>
      <c r="J408" s="236"/>
      <c r="K408" s="236"/>
      <c r="L408" s="314"/>
      <c r="M408" s="236"/>
      <c r="N408" s="237"/>
      <c r="O408" s="251"/>
      <c r="P408" s="251"/>
      <c r="Q408" s="251"/>
      <c r="R408" s="251"/>
    </row>
    <row r="409" ht="15.75" hidden="1" customHeight="1">
      <c r="A409" s="315"/>
      <c r="B409" s="233"/>
      <c r="C409" s="233"/>
      <c r="D409" s="233"/>
      <c r="E409" s="316"/>
      <c r="F409" s="233"/>
      <c r="G409" s="233"/>
      <c r="H409" s="317"/>
      <c r="I409" s="317"/>
      <c r="J409" s="233"/>
      <c r="K409" s="233"/>
      <c r="L409" s="316"/>
      <c r="M409" s="233"/>
      <c r="N409" s="234"/>
      <c r="O409" s="251"/>
      <c r="P409" s="251"/>
      <c r="Q409" s="251"/>
      <c r="R409" s="251"/>
    </row>
    <row r="410" ht="15.75" hidden="1" customHeight="1">
      <c r="A410" s="318"/>
      <c r="B410" s="236"/>
      <c r="C410" s="236"/>
      <c r="D410" s="236"/>
      <c r="E410" s="314"/>
      <c r="F410" s="236"/>
      <c r="G410" s="236"/>
      <c r="H410" s="313"/>
      <c r="I410" s="313"/>
      <c r="J410" s="236"/>
      <c r="K410" s="236"/>
      <c r="L410" s="314"/>
      <c r="M410" s="236"/>
      <c r="N410" s="237"/>
      <c r="O410" s="251"/>
      <c r="P410" s="251"/>
      <c r="Q410" s="251"/>
      <c r="R410" s="251"/>
    </row>
    <row r="411" ht="15.75" hidden="1" customHeight="1">
      <c r="A411" s="315"/>
      <c r="B411" s="233"/>
      <c r="C411" s="233"/>
      <c r="D411" s="233"/>
      <c r="E411" s="316"/>
      <c r="F411" s="233"/>
      <c r="G411" s="233"/>
      <c r="H411" s="317"/>
      <c r="I411" s="317"/>
      <c r="J411" s="233"/>
      <c r="K411" s="233"/>
      <c r="L411" s="316"/>
      <c r="M411" s="233"/>
      <c r="N411" s="234"/>
      <c r="O411" s="251"/>
      <c r="P411" s="251"/>
      <c r="Q411" s="251"/>
      <c r="R411" s="251"/>
    </row>
    <row r="412" ht="15.75" hidden="1" customHeight="1">
      <c r="A412" s="318"/>
      <c r="B412" s="236"/>
      <c r="C412" s="236"/>
      <c r="D412" s="236"/>
      <c r="E412" s="314"/>
      <c r="F412" s="236"/>
      <c r="G412" s="236"/>
      <c r="H412" s="313"/>
      <c r="I412" s="313"/>
      <c r="J412" s="236"/>
      <c r="K412" s="236"/>
      <c r="L412" s="314"/>
      <c r="M412" s="236"/>
      <c r="N412" s="237"/>
      <c r="O412" s="251"/>
      <c r="P412" s="251"/>
      <c r="Q412" s="251"/>
      <c r="R412" s="251"/>
    </row>
    <row r="413" ht="15.75" hidden="1" customHeight="1">
      <c r="A413" s="315"/>
      <c r="B413" s="233"/>
      <c r="C413" s="233"/>
      <c r="D413" s="233"/>
      <c r="E413" s="316"/>
      <c r="F413" s="233"/>
      <c r="G413" s="233"/>
      <c r="H413" s="317"/>
      <c r="I413" s="317"/>
      <c r="J413" s="233"/>
      <c r="K413" s="233"/>
      <c r="L413" s="316"/>
      <c r="M413" s="233"/>
      <c r="N413" s="234"/>
      <c r="O413" s="251"/>
      <c r="P413" s="251"/>
      <c r="Q413" s="251"/>
      <c r="R413" s="251"/>
    </row>
    <row r="414" ht="15.75" hidden="1" customHeight="1">
      <c r="A414" s="318"/>
      <c r="B414" s="236"/>
      <c r="C414" s="236"/>
      <c r="D414" s="236"/>
      <c r="E414" s="314"/>
      <c r="F414" s="236"/>
      <c r="G414" s="236"/>
      <c r="H414" s="313"/>
      <c r="I414" s="313"/>
      <c r="J414" s="236"/>
      <c r="K414" s="236"/>
      <c r="L414" s="314"/>
      <c r="M414" s="236"/>
      <c r="N414" s="237"/>
      <c r="O414" s="251"/>
      <c r="P414" s="251"/>
      <c r="Q414" s="251"/>
      <c r="R414" s="251"/>
    </row>
    <row r="415" ht="15.75" hidden="1" customHeight="1">
      <c r="A415" s="315"/>
      <c r="B415" s="233"/>
      <c r="C415" s="233"/>
      <c r="D415" s="233"/>
      <c r="E415" s="316"/>
      <c r="F415" s="233"/>
      <c r="G415" s="233"/>
      <c r="H415" s="317"/>
      <c r="I415" s="317"/>
      <c r="J415" s="233"/>
      <c r="K415" s="233"/>
      <c r="L415" s="316"/>
      <c r="M415" s="233"/>
      <c r="N415" s="234"/>
      <c r="O415" s="251"/>
      <c r="P415" s="251"/>
      <c r="Q415" s="251"/>
      <c r="R415" s="251"/>
    </row>
    <row r="416" ht="15.75" hidden="1" customHeight="1">
      <c r="A416" s="318"/>
      <c r="B416" s="236"/>
      <c r="C416" s="236"/>
      <c r="D416" s="236"/>
      <c r="E416" s="314"/>
      <c r="F416" s="236"/>
      <c r="G416" s="236"/>
      <c r="H416" s="313"/>
      <c r="I416" s="313"/>
      <c r="J416" s="236"/>
      <c r="K416" s="236"/>
      <c r="L416" s="314"/>
      <c r="M416" s="236"/>
      <c r="N416" s="237"/>
      <c r="O416" s="251"/>
      <c r="P416" s="251"/>
      <c r="Q416" s="251"/>
      <c r="R416" s="251"/>
    </row>
    <row r="417" ht="15.75" hidden="1" customHeight="1">
      <c r="A417" s="315"/>
      <c r="B417" s="233"/>
      <c r="C417" s="233"/>
      <c r="D417" s="233"/>
      <c r="E417" s="316"/>
      <c r="F417" s="233"/>
      <c r="G417" s="233"/>
      <c r="H417" s="317"/>
      <c r="I417" s="317"/>
      <c r="J417" s="233"/>
      <c r="K417" s="233"/>
      <c r="L417" s="316"/>
      <c r="M417" s="233"/>
      <c r="N417" s="234"/>
      <c r="O417" s="251"/>
      <c r="P417" s="251"/>
      <c r="Q417" s="251"/>
      <c r="R417" s="251"/>
    </row>
    <row r="418" ht="15.75" hidden="1" customHeight="1">
      <c r="A418" s="318"/>
      <c r="B418" s="236"/>
      <c r="C418" s="236"/>
      <c r="D418" s="236"/>
      <c r="E418" s="314"/>
      <c r="F418" s="236"/>
      <c r="G418" s="236"/>
      <c r="H418" s="313"/>
      <c r="I418" s="313"/>
      <c r="J418" s="236"/>
      <c r="K418" s="236"/>
      <c r="L418" s="314"/>
      <c r="M418" s="236"/>
      <c r="N418" s="237"/>
      <c r="O418" s="251"/>
      <c r="P418" s="251"/>
      <c r="Q418" s="251"/>
      <c r="R418" s="251"/>
    </row>
    <row r="419" ht="15.75" hidden="1" customHeight="1">
      <c r="A419" s="315"/>
      <c r="B419" s="233"/>
      <c r="C419" s="233"/>
      <c r="D419" s="233"/>
      <c r="E419" s="316"/>
      <c r="F419" s="233"/>
      <c r="G419" s="233"/>
      <c r="H419" s="317"/>
      <c r="I419" s="317"/>
      <c r="J419" s="233"/>
      <c r="K419" s="233"/>
      <c r="L419" s="316"/>
      <c r="M419" s="233"/>
      <c r="N419" s="234"/>
      <c r="O419" s="251"/>
      <c r="P419" s="251"/>
      <c r="Q419" s="251"/>
      <c r="R419" s="251"/>
    </row>
    <row r="420" ht="15.75" hidden="1" customHeight="1">
      <c r="A420" s="318"/>
      <c r="B420" s="236"/>
      <c r="C420" s="236"/>
      <c r="D420" s="236"/>
      <c r="E420" s="314"/>
      <c r="F420" s="236"/>
      <c r="G420" s="236"/>
      <c r="H420" s="313"/>
      <c r="I420" s="313"/>
      <c r="J420" s="236"/>
      <c r="K420" s="236"/>
      <c r="L420" s="314"/>
      <c r="M420" s="236"/>
      <c r="N420" s="237"/>
      <c r="O420" s="251"/>
      <c r="P420" s="251"/>
      <c r="Q420" s="251"/>
      <c r="R420" s="251"/>
    </row>
    <row r="421" ht="15.75" hidden="1" customHeight="1">
      <c r="A421" s="315"/>
      <c r="B421" s="233"/>
      <c r="C421" s="233"/>
      <c r="D421" s="233"/>
      <c r="E421" s="316"/>
      <c r="F421" s="233"/>
      <c r="G421" s="233"/>
      <c r="H421" s="317"/>
      <c r="I421" s="317"/>
      <c r="J421" s="233"/>
      <c r="K421" s="233"/>
      <c r="L421" s="316"/>
      <c r="M421" s="233"/>
      <c r="N421" s="234"/>
      <c r="O421" s="251"/>
      <c r="P421" s="251"/>
      <c r="Q421" s="251"/>
      <c r="R421" s="251"/>
    </row>
    <row r="422" ht="15.75" hidden="1" customHeight="1">
      <c r="A422" s="318"/>
      <c r="B422" s="236"/>
      <c r="C422" s="236"/>
      <c r="D422" s="236"/>
      <c r="E422" s="314"/>
      <c r="F422" s="236"/>
      <c r="G422" s="236"/>
      <c r="H422" s="313"/>
      <c r="I422" s="313"/>
      <c r="J422" s="236"/>
      <c r="K422" s="236"/>
      <c r="L422" s="314"/>
      <c r="M422" s="236"/>
      <c r="N422" s="237"/>
      <c r="O422" s="251"/>
      <c r="P422" s="251"/>
      <c r="Q422" s="251"/>
      <c r="R422" s="251"/>
    </row>
    <row r="423" ht="15.75" hidden="1" customHeight="1">
      <c r="A423" s="315"/>
      <c r="B423" s="233"/>
      <c r="C423" s="233"/>
      <c r="D423" s="233"/>
      <c r="E423" s="316"/>
      <c r="F423" s="233"/>
      <c r="G423" s="233"/>
      <c r="H423" s="317"/>
      <c r="I423" s="317"/>
      <c r="J423" s="233"/>
      <c r="K423" s="233"/>
      <c r="L423" s="316"/>
      <c r="M423" s="233"/>
      <c r="N423" s="234"/>
      <c r="O423" s="251"/>
      <c r="P423" s="251"/>
      <c r="Q423" s="251"/>
      <c r="R423" s="251"/>
    </row>
    <row r="424" ht="15.75" hidden="1" customHeight="1">
      <c r="A424" s="318"/>
      <c r="B424" s="236"/>
      <c r="C424" s="236"/>
      <c r="D424" s="236"/>
      <c r="E424" s="314"/>
      <c r="F424" s="236"/>
      <c r="G424" s="236"/>
      <c r="H424" s="313"/>
      <c r="I424" s="313"/>
      <c r="J424" s="236"/>
      <c r="K424" s="236"/>
      <c r="L424" s="314"/>
      <c r="M424" s="236"/>
      <c r="N424" s="237"/>
      <c r="O424" s="251"/>
      <c r="P424" s="251"/>
      <c r="Q424" s="251"/>
      <c r="R424" s="251"/>
    </row>
    <row r="425" ht="15.75" hidden="1" customHeight="1">
      <c r="A425" s="315"/>
      <c r="B425" s="233"/>
      <c r="C425" s="233"/>
      <c r="D425" s="233"/>
      <c r="E425" s="316"/>
      <c r="F425" s="233"/>
      <c r="G425" s="233"/>
      <c r="H425" s="317"/>
      <c r="I425" s="317"/>
      <c r="J425" s="233"/>
      <c r="K425" s="233"/>
      <c r="L425" s="316"/>
      <c r="M425" s="233"/>
      <c r="N425" s="234"/>
      <c r="O425" s="251"/>
      <c r="P425" s="251"/>
      <c r="Q425" s="251"/>
      <c r="R425" s="251"/>
    </row>
    <row r="426" ht="15.75" hidden="1" customHeight="1">
      <c r="A426" s="318"/>
      <c r="B426" s="236"/>
      <c r="C426" s="236"/>
      <c r="D426" s="236"/>
      <c r="E426" s="314"/>
      <c r="F426" s="236"/>
      <c r="G426" s="236"/>
      <c r="H426" s="313"/>
      <c r="I426" s="313"/>
      <c r="J426" s="236"/>
      <c r="K426" s="236"/>
      <c r="L426" s="314"/>
      <c r="M426" s="236"/>
      <c r="N426" s="237"/>
      <c r="O426" s="251"/>
      <c r="P426" s="251"/>
      <c r="Q426" s="251"/>
      <c r="R426" s="251"/>
    </row>
    <row r="427" ht="15.75" hidden="1" customHeight="1">
      <c r="A427" s="315"/>
      <c r="B427" s="233"/>
      <c r="C427" s="233"/>
      <c r="D427" s="233"/>
      <c r="E427" s="316"/>
      <c r="F427" s="233"/>
      <c r="G427" s="233"/>
      <c r="H427" s="317"/>
      <c r="I427" s="317"/>
      <c r="J427" s="233"/>
      <c r="K427" s="233"/>
      <c r="L427" s="316"/>
      <c r="M427" s="233"/>
      <c r="N427" s="234"/>
      <c r="O427" s="251"/>
      <c r="P427" s="251"/>
      <c r="Q427" s="251"/>
      <c r="R427" s="251"/>
    </row>
    <row r="428" ht="15.75" hidden="1" customHeight="1">
      <c r="A428" s="318"/>
      <c r="B428" s="236"/>
      <c r="C428" s="236"/>
      <c r="D428" s="236"/>
      <c r="E428" s="314"/>
      <c r="F428" s="236"/>
      <c r="G428" s="236"/>
      <c r="H428" s="313"/>
      <c r="I428" s="313"/>
      <c r="J428" s="236"/>
      <c r="K428" s="236"/>
      <c r="L428" s="314"/>
      <c r="M428" s="236"/>
      <c r="N428" s="237"/>
      <c r="O428" s="251"/>
      <c r="P428" s="251"/>
      <c r="Q428" s="251"/>
      <c r="R428" s="251"/>
    </row>
    <row r="429" ht="15.75" hidden="1" customHeight="1">
      <c r="A429" s="315"/>
      <c r="B429" s="233"/>
      <c r="C429" s="233"/>
      <c r="D429" s="233"/>
      <c r="E429" s="316"/>
      <c r="F429" s="233"/>
      <c r="G429" s="233"/>
      <c r="H429" s="317"/>
      <c r="I429" s="317"/>
      <c r="J429" s="233"/>
      <c r="K429" s="233"/>
      <c r="L429" s="316"/>
      <c r="M429" s="233"/>
      <c r="N429" s="234"/>
      <c r="O429" s="251"/>
      <c r="P429" s="251"/>
      <c r="Q429" s="251"/>
      <c r="R429" s="251"/>
    </row>
    <row r="430" ht="15.75" hidden="1" customHeight="1">
      <c r="A430" s="318"/>
      <c r="B430" s="236"/>
      <c r="C430" s="236"/>
      <c r="D430" s="236"/>
      <c r="E430" s="314"/>
      <c r="F430" s="236"/>
      <c r="G430" s="236"/>
      <c r="H430" s="313"/>
      <c r="I430" s="313"/>
      <c r="J430" s="236"/>
      <c r="K430" s="236"/>
      <c r="L430" s="314"/>
      <c r="M430" s="236"/>
      <c r="N430" s="237"/>
      <c r="O430" s="251"/>
      <c r="P430" s="251"/>
      <c r="Q430" s="251"/>
      <c r="R430" s="251"/>
    </row>
    <row r="431" ht="15.75" hidden="1" customHeight="1">
      <c r="A431" s="315"/>
      <c r="B431" s="233"/>
      <c r="C431" s="233"/>
      <c r="D431" s="233"/>
      <c r="E431" s="316"/>
      <c r="F431" s="233"/>
      <c r="G431" s="233"/>
      <c r="H431" s="317"/>
      <c r="I431" s="317"/>
      <c r="J431" s="233"/>
      <c r="K431" s="233"/>
      <c r="L431" s="316"/>
      <c r="M431" s="233"/>
      <c r="N431" s="234"/>
      <c r="O431" s="251"/>
      <c r="P431" s="251"/>
      <c r="Q431" s="251"/>
      <c r="R431" s="251"/>
    </row>
    <row r="432" ht="15.75" hidden="1" customHeight="1">
      <c r="A432" s="318"/>
      <c r="B432" s="236"/>
      <c r="C432" s="236"/>
      <c r="D432" s="236"/>
      <c r="E432" s="314"/>
      <c r="F432" s="236"/>
      <c r="G432" s="236"/>
      <c r="H432" s="313"/>
      <c r="I432" s="313"/>
      <c r="J432" s="236"/>
      <c r="K432" s="236"/>
      <c r="L432" s="314"/>
      <c r="M432" s="236"/>
      <c r="N432" s="237"/>
      <c r="O432" s="251"/>
      <c r="P432" s="251"/>
      <c r="Q432" s="251"/>
      <c r="R432" s="251"/>
    </row>
    <row r="433" ht="15.75" hidden="1" customHeight="1">
      <c r="A433" s="315"/>
      <c r="B433" s="233"/>
      <c r="C433" s="233"/>
      <c r="D433" s="233"/>
      <c r="E433" s="316"/>
      <c r="F433" s="233"/>
      <c r="G433" s="233"/>
      <c r="H433" s="317"/>
      <c r="I433" s="317"/>
      <c r="J433" s="233"/>
      <c r="K433" s="233"/>
      <c r="L433" s="316"/>
      <c r="M433" s="233"/>
      <c r="N433" s="234"/>
      <c r="O433" s="251"/>
      <c r="P433" s="251"/>
      <c r="Q433" s="251"/>
      <c r="R433" s="251"/>
    </row>
    <row r="434" ht="15.75" hidden="1" customHeight="1">
      <c r="A434" s="318"/>
      <c r="B434" s="236"/>
      <c r="C434" s="236"/>
      <c r="D434" s="236"/>
      <c r="E434" s="314"/>
      <c r="F434" s="236"/>
      <c r="G434" s="236"/>
      <c r="H434" s="313"/>
      <c r="I434" s="313"/>
      <c r="J434" s="236"/>
      <c r="K434" s="236"/>
      <c r="L434" s="314"/>
      <c r="M434" s="236"/>
      <c r="N434" s="237"/>
      <c r="O434" s="251"/>
      <c r="P434" s="251"/>
      <c r="Q434" s="251"/>
      <c r="R434" s="251"/>
    </row>
    <row r="435" ht="15.75" hidden="1" customHeight="1">
      <c r="A435" s="315"/>
      <c r="B435" s="233"/>
      <c r="C435" s="233"/>
      <c r="D435" s="233"/>
      <c r="E435" s="316"/>
      <c r="F435" s="233"/>
      <c r="G435" s="233"/>
      <c r="H435" s="317"/>
      <c r="I435" s="317"/>
      <c r="J435" s="233"/>
      <c r="K435" s="233"/>
      <c r="L435" s="316"/>
      <c r="M435" s="233"/>
      <c r="N435" s="234"/>
      <c r="O435" s="251"/>
      <c r="P435" s="251"/>
      <c r="Q435" s="251"/>
      <c r="R435" s="251"/>
    </row>
    <row r="436" ht="15.75" hidden="1" customHeight="1">
      <c r="A436" s="318"/>
      <c r="B436" s="236"/>
      <c r="C436" s="236"/>
      <c r="D436" s="236"/>
      <c r="E436" s="314"/>
      <c r="F436" s="236"/>
      <c r="G436" s="236"/>
      <c r="H436" s="313"/>
      <c r="I436" s="313"/>
      <c r="J436" s="236"/>
      <c r="K436" s="236"/>
      <c r="L436" s="314"/>
      <c r="M436" s="236"/>
      <c r="N436" s="237"/>
      <c r="O436" s="251"/>
      <c r="P436" s="251"/>
      <c r="Q436" s="251"/>
      <c r="R436" s="251"/>
    </row>
    <row r="437" ht="15.75" hidden="1" customHeight="1">
      <c r="A437" s="315"/>
      <c r="B437" s="233"/>
      <c r="C437" s="233"/>
      <c r="D437" s="233"/>
      <c r="E437" s="316"/>
      <c r="F437" s="233"/>
      <c r="G437" s="233"/>
      <c r="H437" s="317"/>
      <c r="I437" s="317"/>
      <c r="J437" s="233"/>
      <c r="K437" s="233"/>
      <c r="L437" s="316"/>
      <c r="M437" s="233"/>
      <c r="N437" s="234"/>
      <c r="O437" s="251"/>
      <c r="P437" s="251"/>
      <c r="Q437" s="251"/>
      <c r="R437" s="251"/>
    </row>
    <row r="438" ht="15.75" hidden="1" customHeight="1">
      <c r="A438" s="318"/>
      <c r="B438" s="236"/>
      <c r="C438" s="236"/>
      <c r="D438" s="236"/>
      <c r="E438" s="314"/>
      <c r="F438" s="236"/>
      <c r="G438" s="236"/>
      <c r="H438" s="313"/>
      <c r="I438" s="313"/>
      <c r="J438" s="236"/>
      <c r="K438" s="236"/>
      <c r="L438" s="314"/>
      <c r="M438" s="236"/>
      <c r="N438" s="237"/>
      <c r="O438" s="251"/>
      <c r="P438" s="251"/>
      <c r="Q438" s="251"/>
      <c r="R438" s="251"/>
    </row>
    <row r="439" ht="15.75" hidden="1" customHeight="1">
      <c r="A439" s="315"/>
      <c r="B439" s="233"/>
      <c r="C439" s="233"/>
      <c r="D439" s="233"/>
      <c r="E439" s="316"/>
      <c r="F439" s="233"/>
      <c r="G439" s="233"/>
      <c r="H439" s="317"/>
      <c r="I439" s="317"/>
      <c r="J439" s="233"/>
      <c r="K439" s="233"/>
      <c r="L439" s="316"/>
      <c r="M439" s="233"/>
      <c r="N439" s="234"/>
      <c r="O439" s="251"/>
      <c r="P439" s="251"/>
      <c r="Q439" s="251"/>
      <c r="R439" s="251"/>
    </row>
    <row r="440" ht="15.75" hidden="1" customHeight="1">
      <c r="A440" s="318"/>
      <c r="B440" s="236"/>
      <c r="C440" s="236"/>
      <c r="D440" s="236"/>
      <c r="E440" s="314"/>
      <c r="F440" s="236"/>
      <c r="G440" s="236"/>
      <c r="H440" s="313"/>
      <c r="I440" s="313"/>
      <c r="J440" s="236"/>
      <c r="K440" s="236"/>
      <c r="L440" s="314"/>
      <c r="M440" s="236"/>
      <c r="N440" s="237"/>
      <c r="O440" s="251"/>
      <c r="P440" s="251"/>
      <c r="Q440" s="251"/>
      <c r="R440" s="251"/>
    </row>
    <row r="441" ht="15.75" hidden="1" customHeight="1">
      <c r="A441" s="315"/>
      <c r="B441" s="233"/>
      <c r="C441" s="233"/>
      <c r="D441" s="233"/>
      <c r="E441" s="316"/>
      <c r="F441" s="233"/>
      <c r="G441" s="233"/>
      <c r="H441" s="317"/>
      <c r="I441" s="317"/>
      <c r="J441" s="233"/>
      <c r="K441" s="233"/>
      <c r="L441" s="316"/>
      <c r="M441" s="233"/>
      <c r="N441" s="234"/>
      <c r="O441" s="251"/>
      <c r="P441" s="251"/>
      <c r="Q441" s="251"/>
      <c r="R441" s="251"/>
    </row>
    <row r="442" ht="15.75" hidden="1" customHeight="1">
      <c r="A442" s="318"/>
      <c r="B442" s="236"/>
      <c r="C442" s="236"/>
      <c r="D442" s="236"/>
      <c r="E442" s="314"/>
      <c r="F442" s="236"/>
      <c r="G442" s="236"/>
      <c r="H442" s="313"/>
      <c r="I442" s="313"/>
      <c r="J442" s="236"/>
      <c r="K442" s="236"/>
      <c r="L442" s="314"/>
      <c r="M442" s="236"/>
      <c r="N442" s="237"/>
      <c r="O442" s="251"/>
      <c r="P442" s="251"/>
      <c r="Q442" s="251"/>
      <c r="R442" s="251"/>
    </row>
    <row r="443" ht="15.75" hidden="1" customHeight="1">
      <c r="A443" s="315"/>
      <c r="B443" s="233"/>
      <c r="C443" s="233"/>
      <c r="D443" s="233"/>
      <c r="E443" s="316"/>
      <c r="F443" s="233"/>
      <c r="G443" s="233"/>
      <c r="H443" s="317"/>
      <c r="I443" s="317"/>
      <c r="J443" s="233"/>
      <c r="K443" s="233"/>
      <c r="L443" s="316"/>
      <c r="M443" s="233"/>
      <c r="N443" s="234"/>
      <c r="O443" s="251"/>
      <c r="P443" s="251"/>
      <c r="Q443" s="251"/>
      <c r="R443" s="251"/>
    </row>
    <row r="444" ht="15.75" hidden="1" customHeight="1">
      <c r="A444" s="318"/>
      <c r="B444" s="236"/>
      <c r="C444" s="236"/>
      <c r="D444" s="236"/>
      <c r="E444" s="314"/>
      <c r="F444" s="236"/>
      <c r="G444" s="236"/>
      <c r="H444" s="313"/>
      <c r="I444" s="313"/>
      <c r="J444" s="236"/>
      <c r="K444" s="236"/>
      <c r="L444" s="314"/>
      <c r="M444" s="236"/>
      <c r="N444" s="237"/>
      <c r="O444" s="251"/>
      <c r="P444" s="251"/>
      <c r="Q444" s="251"/>
      <c r="R444" s="251"/>
    </row>
    <row r="445" ht="15.75" hidden="1" customHeight="1">
      <c r="A445" s="315"/>
      <c r="B445" s="233"/>
      <c r="C445" s="233"/>
      <c r="D445" s="233"/>
      <c r="E445" s="316"/>
      <c r="F445" s="233"/>
      <c r="G445" s="233"/>
      <c r="H445" s="317"/>
      <c r="I445" s="317"/>
      <c r="J445" s="233"/>
      <c r="K445" s="233"/>
      <c r="L445" s="316"/>
      <c r="M445" s="233"/>
      <c r="N445" s="234"/>
      <c r="O445" s="251"/>
      <c r="P445" s="251"/>
      <c r="Q445" s="251"/>
      <c r="R445" s="251"/>
    </row>
    <row r="446" ht="15.75" hidden="1" customHeight="1">
      <c r="A446" s="318"/>
      <c r="B446" s="236"/>
      <c r="C446" s="236"/>
      <c r="D446" s="236"/>
      <c r="E446" s="314"/>
      <c r="F446" s="236"/>
      <c r="G446" s="236"/>
      <c r="H446" s="313"/>
      <c r="I446" s="313"/>
      <c r="J446" s="236"/>
      <c r="K446" s="236"/>
      <c r="L446" s="314"/>
      <c r="M446" s="236"/>
      <c r="N446" s="237"/>
      <c r="O446" s="251"/>
      <c r="P446" s="251"/>
      <c r="Q446" s="251"/>
      <c r="R446" s="251"/>
    </row>
    <row r="447" ht="15.75" hidden="1" customHeight="1">
      <c r="A447" s="315"/>
      <c r="B447" s="233"/>
      <c r="C447" s="233"/>
      <c r="D447" s="233"/>
      <c r="E447" s="316"/>
      <c r="F447" s="233"/>
      <c r="G447" s="233"/>
      <c r="H447" s="317"/>
      <c r="I447" s="317"/>
      <c r="J447" s="233"/>
      <c r="K447" s="233"/>
      <c r="L447" s="316"/>
      <c r="M447" s="233"/>
      <c r="N447" s="234"/>
      <c r="O447" s="251"/>
      <c r="P447" s="251"/>
      <c r="Q447" s="251"/>
      <c r="R447" s="251"/>
    </row>
    <row r="448" ht="15.75" hidden="1" customHeight="1">
      <c r="A448" s="318"/>
      <c r="B448" s="236"/>
      <c r="C448" s="236"/>
      <c r="D448" s="236"/>
      <c r="E448" s="314"/>
      <c r="F448" s="236"/>
      <c r="G448" s="236"/>
      <c r="H448" s="313"/>
      <c r="I448" s="313"/>
      <c r="J448" s="236"/>
      <c r="K448" s="236"/>
      <c r="L448" s="314"/>
      <c r="M448" s="236"/>
      <c r="N448" s="237"/>
      <c r="O448" s="251"/>
      <c r="P448" s="251"/>
      <c r="Q448" s="251"/>
      <c r="R448" s="251"/>
    </row>
    <row r="449" ht="15.75" hidden="1" customHeight="1">
      <c r="A449" s="315"/>
      <c r="B449" s="233"/>
      <c r="C449" s="233"/>
      <c r="D449" s="233"/>
      <c r="E449" s="316"/>
      <c r="F449" s="233"/>
      <c r="G449" s="233"/>
      <c r="H449" s="317"/>
      <c r="I449" s="317"/>
      <c r="J449" s="233"/>
      <c r="K449" s="233"/>
      <c r="L449" s="316"/>
      <c r="M449" s="233"/>
      <c r="N449" s="234"/>
      <c r="O449" s="251"/>
      <c r="P449" s="251"/>
      <c r="Q449" s="251"/>
      <c r="R449" s="251"/>
    </row>
    <row r="450" ht="15.75" hidden="1" customHeight="1">
      <c r="A450" s="318"/>
      <c r="B450" s="236"/>
      <c r="C450" s="236"/>
      <c r="D450" s="236"/>
      <c r="E450" s="314"/>
      <c r="F450" s="236"/>
      <c r="G450" s="236"/>
      <c r="H450" s="313"/>
      <c r="I450" s="313"/>
      <c r="J450" s="236"/>
      <c r="K450" s="236"/>
      <c r="L450" s="314"/>
      <c r="M450" s="236"/>
      <c r="N450" s="237"/>
      <c r="O450" s="251"/>
      <c r="P450" s="251"/>
      <c r="Q450" s="251"/>
      <c r="R450" s="251"/>
    </row>
    <row r="451" ht="15.75" hidden="1" customHeight="1">
      <c r="A451" s="315"/>
      <c r="B451" s="233"/>
      <c r="C451" s="233"/>
      <c r="D451" s="233"/>
      <c r="E451" s="316"/>
      <c r="F451" s="233"/>
      <c r="G451" s="233"/>
      <c r="H451" s="317"/>
      <c r="I451" s="317"/>
      <c r="J451" s="233"/>
      <c r="K451" s="233"/>
      <c r="L451" s="316"/>
      <c r="M451" s="233"/>
      <c r="N451" s="234"/>
      <c r="O451" s="251"/>
      <c r="P451" s="251"/>
      <c r="Q451" s="251"/>
      <c r="R451" s="251"/>
    </row>
    <row r="452" ht="15.75" hidden="1" customHeight="1">
      <c r="A452" s="318"/>
      <c r="B452" s="236"/>
      <c r="C452" s="236"/>
      <c r="D452" s="236"/>
      <c r="E452" s="314"/>
      <c r="F452" s="236"/>
      <c r="G452" s="236"/>
      <c r="H452" s="313"/>
      <c r="I452" s="313"/>
      <c r="J452" s="236"/>
      <c r="K452" s="236"/>
      <c r="L452" s="314"/>
      <c r="M452" s="236"/>
      <c r="N452" s="237"/>
      <c r="O452" s="251"/>
      <c r="P452" s="251"/>
      <c r="Q452" s="251"/>
      <c r="R452" s="251"/>
    </row>
    <row r="453" ht="15.75" hidden="1" customHeight="1">
      <c r="A453" s="315"/>
      <c r="B453" s="233"/>
      <c r="C453" s="233"/>
      <c r="D453" s="233"/>
      <c r="E453" s="316"/>
      <c r="F453" s="233"/>
      <c r="G453" s="233"/>
      <c r="H453" s="317"/>
      <c r="I453" s="317"/>
      <c r="J453" s="233"/>
      <c r="K453" s="233"/>
      <c r="L453" s="316"/>
      <c r="M453" s="233"/>
      <c r="N453" s="234"/>
      <c r="O453" s="251"/>
      <c r="P453" s="251"/>
      <c r="Q453" s="251"/>
      <c r="R453" s="251"/>
    </row>
    <row r="454" ht="15.75" hidden="1" customHeight="1">
      <c r="A454" s="318"/>
      <c r="B454" s="236"/>
      <c r="C454" s="236"/>
      <c r="D454" s="236"/>
      <c r="E454" s="314"/>
      <c r="F454" s="236"/>
      <c r="G454" s="236"/>
      <c r="H454" s="313"/>
      <c r="I454" s="313"/>
      <c r="J454" s="236"/>
      <c r="K454" s="236"/>
      <c r="L454" s="314"/>
      <c r="M454" s="236"/>
      <c r="N454" s="237"/>
      <c r="O454" s="251"/>
      <c r="P454" s="251"/>
      <c r="Q454" s="251"/>
      <c r="R454" s="251"/>
    </row>
    <row r="455" ht="15.75" hidden="1" customHeight="1">
      <c r="A455" s="315"/>
      <c r="B455" s="233"/>
      <c r="C455" s="233"/>
      <c r="D455" s="233"/>
      <c r="E455" s="316"/>
      <c r="F455" s="233"/>
      <c r="G455" s="233"/>
      <c r="H455" s="317"/>
      <c r="I455" s="317"/>
      <c r="J455" s="233"/>
      <c r="K455" s="233"/>
      <c r="L455" s="316"/>
      <c r="M455" s="233"/>
      <c r="N455" s="234"/>
      <c r="O455" s="251"/>
      <c r="P455" s="251"/>
      <c r="Q455" s="251"/>
      <c r="R455" s="251"/>
    </row>
    <row r="456" ht="15.75" hidden="1" customHeight="1">
      <c r="A456" s="318"/>
      <c r="B456" s="236"/>
      <c r="C456" s="236"/>
      <c r="D456" s="236"/>
      <c r="E456" s="314"/>
      <c r="F456" s="236"/>
      <c r="G456" s="236"/>
      <c r="H456" s="313"/>
      <c r="I456" s="313"/>
      <c r="J456" s="236"/>
      <c r="K456" s="236"/>
      <c r="L456" s="314"/>
      <c r="M456" s="236"/>
      <c r="N456" s="237"/>
      <c r="O456" s="251"/>
      <c r="P456" s="251"/>
      <c r="Q456" s="251"/>
      <c r="R456" s="251"/>
    </row>
    <row r="457" ht="15.75" hidden="1" customHeight="1">
      <c r="A457" s="315"/>
      <c r="B457" s="233"/>
      <c r="C457" s="233"/>
      <c r="D457" s="233"/>
      <c r="E457" s="316"/>
      <c r="F457" s="233"/>
      <c r="G457" s="233"/>
      <c r="H457" s="317"/>
      <c r="I457" s="317"/>
      <c r="J457" s="233"/>
      <c r="K457" s="233"/>
      <c r="L457" s="316"/>
      <c r="M457" s="233"/>
      <c r="N457" s="234"/>
      <c r="O457" s="251"/>
      <c r="P457" s="251"/>
      <c r="Q457" s="251"/>
      <c r="R457" s="251"/>
    </row>
    <row r="458" ht="15.75" hidden="1" customHeight="1">
      <c r="A458" s="318"/>
      <c r="B458" s="236"/>
      <c r="C458" s="236"/>
      <c r="D458" s="236"/>
      <c r="E458" s="314"/>
      <c r="F458" s="236"/>
      <c r="G458" s="236"/>
      <c r="H458" s="313"/>
      <c r="I458" s="313"/>
      <c r="J458" s="236"/>
      <c r="K458" s="236"/>
      <c r="L458" s="314"/>
      <c r="M458" s="236"/>
      <c r="N458" s="237"/>
      <c r="O458" s="251"/>
      <c r="P458" s="251"/>
      <c r="Q458" s="251"/>
      <c r="R458" s="251"/>
    </row>
    <row r="459" ht="15.75" hidden="1" customHeight="1">
      <c r="A459" s="315"/>
      <c r="B459" s="233"/>
      <c r="C459" s="233"/>
      <c r="D459" s="233"/>
      <c r="E459" s="316"/>
      <c r="F459" s="233"/>
      <c r="G459" s="233"/>
      <c r="H459" s="317"/>
      <c r="I459" s="317"/>
      <c r="J459" s="233"/>
      <c r="K459" s="233"/>
      <c r="L459" s="316"/>
      <c r="M459" s="233"/>
      <c r="N459" s="234"/>
      <c r="O459" s="251"/>
      <c r="P459" s="251"/>
      <c r="Q459" s="251"/>
      <c r="R459" s="251"/>
    </row>
    <row r="460" ht="15.75" hidden="1" customHeight="1">
      <c r="A460" s="318"/>
      <c r="B460" s="236"/>
      <c r="C460" s="236"/>
      <c r="D460" s="236"/>
      <c r="E460" s="314"/>
      <c r="F460" s="236"/>
      <c r="G460" s="236"/>
      <c r="H460" s="313"/>
      <c r="I460" s="313"/>
      <c r="J460" s="236"/>
      <c r="K460" s="236"/>
      <c r="L460" s="314"/>
      <c r="M460" s="236"/>
      <c r="N460" s="237"/>
      <c r="O460" s="251"/>
      <c r="P460" s="251"/>
      <c r="Q460" s="251"/>
      <c r="R460" s="251"/>
    </row>
    <row r="461" ht="15.75" hidden="1" customHeight="1">
      <c r="A461" s="315"/>
      <c r="B461" s="233"/>
      <c r="C461" s="233"/>
      <c r="D461" s="233"/>
      <c r="E461" s="316"/>
      <c r="F461" s="233"/>
      <c r="G461" s="233"/>
      <c r="H461" s="317"/>
      <c r="I461" s="317"/>
      <c r="J461" s="233"/>
      <c r="K461" s="233"/>
      <c r="L461" s="316"/>
      <c r="M461" s="233"/>
      <c r="N461" s="234"/>
      <c r="O461" s="251"/>
      <c r="P461" s="251"/>
      <c r="Q461" s="251"/>
      <c r="R461" s="251"/>
    </row>
    <row r="462" ht="15.75" hidden="1" customHeight="1">
      <c r="A462" s="318"/>
      <c r="B462" s="236"/>
      <c r="C462" s="236"/>
      <c r="D462" s="236"/>
      <c r="E462" s="314"/>
      <c r="F462" s="236"/>
      <c r="G462" s="236"/>
      <c r="H462" s="313"/>
      <c r="I462" s="313"/>
      <c r="J462" s="236"/>
      <c r="K462" s="236"/>
      <c r="L462" s="314"/>
      <c r="M462" s="236"/>
      <c r="N462" s="237"/>
      <c r="O462" s="251"/>
      <c r="P462" s="251"/>
      <c r="Q462" s="251"/>
      <c r="R462" s="251"/>
    </row>
    <row r="463" ht="15.75" hidden="1" customHeight="1">
      <c r="A463" s="315"/>
      <c r="B463" s="233"/>
      <c r="C463" s="233"/>
      <c r="D463" s="233"/>
      <c r="E463" s="316"/>
      <c r="F463" s="233"/>
      <c r="G463" s="233"/>
      <c r="H463" s="317"/>
      <c r="I463" s="317"/>
      <c r="J463" s="233"/>
      <c r="K463" s="233"/>
      <c r="L463" s="316"/>
      <c r="M463" s="233"/>
      <c r="N463" s="234"/>
      <c r="O463" s="251"/>
      <c r="P463" s="251"/>
      <c r="Q463" s="251"/>
      <c r="R463" s="251"/>
    </row>
    <row r="464" ht="15.75" hidden="1" customHeight="1">
      <c r="A464" s="318"/>
      <c r="B464" s="236"/>
      <c r="C464" s="236"/>
      <c r="D464" s="236"/>
      <c r="E464" s="314"/>
      <c r="F464" s="236"/>
      <c r="G464" s="236"/>
      <c r="H464" s="313"/>
      <c r="I464" s="313"/>
      <c r="J464" s="236"/>
      <c r="K464" s="236"/>
      <c r="L464" s="314"/>
      <c r="M464" s="236"/>
      <c r="N464" s="237"/>
      <c r="O464" s="251"/>
      <c r="P464" s="251"/>
      <c r="Q464" s="251"/>
      <c r="R464" s="251"/>
    </row>
    <row r="465" ht="15.75" hidden="1" customHeight="1">
      <c r="A465" s="315"/>
      <c r="B465" s="233"/>
      <c r="C465" s="233"/>
      <c r="D465" s="233"/>
      <c r="E465" s="316"/>
      <c r="F465" s="233"/>
      <c r="G465" s="233"/>
      <c r="H465" s="317"/>
      <c r="I465" s="317"/>
      <c r="J465" s="233"/>
      <c r="K465" s="233"/>
      <c r="L465" s="316"/>
      <c r="M465" s="233"/>
      <c r="N465" s="234"/>
      <c r="O465" s="251"/>
      <c r="P465" s="251"/>
      <c r="Q465" s="251"/>
      <c r="R465" s="251"/>
    </row>
    <row r="466" ht="15.75" hidden="1" customHeight="1">
      <c r="A466" s="318"/>
      <c r="B466" s="236"/>
      <c r="C466" s="236"/>
      <c r="D466" s="236"/>
      <c r="E466" s="314"/>
      <c r="F466" s="236"/>
      <c r="G466" s="236"/>
      <c r="H466" s="313"/>
      <c r="I466" s="313"/>
      <c r="J466" s="236"/>
      <c r="K466" s="236"/>
      <c r="L466" s="314"/>
      <c r="M466" s="236"/>
      <c r="N466" s="237"/>
      <c r="O466" s="251"/>
      <c r="P466" s="251"/>
      <c r="Q466" s="251"/>
      <c r="R466" s="251"/>
    </row>
    <row r="467" ht="15.75" hidden="1" customHeight="1">
      <c r="A467" s="315"/>
      <c r="B467" s="233"/>
      <c r="C467" s="233"/>
      <c r="D467" s="233"/>
      <c r="E467" s="316"/>
      <c r="F467" s="233"/>
      <c r="G467" s="233"/>
      <c r="H467" s="317"/>
      <c r="I467" s="317"/>
      <c r="J467" s="233"/>
      <c r="K467" s="233"/>
      <c r="L467" s="316"/>
      <c r="M467" s="233"/>
      <c r="N467" s="234"/>
      <c r="O467" s="251"/>
      <c r="P467" s="251"/>
      <c r="Q467" s="251"/>
      <c r="R467" s="251"/>
    </row>
    <row r="468" ht="15.75" hidden="1" customHeight="1">
      <c r="A468" s="318"/>
      <c r="B468" s="236"/>
      <c r="C468" s="236"/>
      <c r="D468" s="236"/>
      <c r="E468" s="314"/>
      <c r="F468" s="236"/>
      <c r="G468" s="236"/>
      <c r="H468" s="313"/>
      <c r="I468" s="313"/>
      <c r="J468" s="236"/>
      <c r="K468" s="236"/>
      <c r="L468" s="314"/>
      <c r="M468" s="236"/>
      <c r="N468" s="237"/>
      <c r="O468" s="251"/>
      <c r="P468" s="251"/>
      <c r="Q468" s="251"/>
      <c r="R468" s="251"/>
    </row>
    <row r="469" ht="15.75" hidden="1" customHeight="1">
      <c r="A469" s="315"/>
      <c r="B469" s="233"/>
      <c r="C469" s="233"/>
      <c r="D469" s="233"/>
      <c r="E469" s="316"/>
      <c r="F469" s="233"/>
      <c r="G469" s="233"/>
      <c r="H469" s="317"/>
      <c r="I469" s="317"/>
      <c r="J469" s="233"/>
      <c r="K469" s="233"/>
      <c r="L469" s="316"/>
      <c r="M469" s="233"/>
      <c r="N469" s="234"/>
      <c r="O469" s="251"/>
      <c r="P469" s="251"/>
      <c r="Q469" s="251"/>
      <c r="R469" s="251"/>
    </row>
    <row r="470" ht="15.75" hidden="1" customHeight="1">
      <c r="A470" s="318"/>
      <c r="B470" s="236"/>
      <c r="C470" s="236"/>
      <c r="D470" s="236"/>
      <c r="E470" s="314"/>
      <c r="F470" s="236"/>
      <c r="G470" s="236"/>
      <c r="H470" s="313"/>
      <c r="I470" s="313"/>
      <c r="J470" s="236"/>
      <c r="K470" s="236"/>
      <c r="L470" s="314"/>
      <c r="M470" s="236"/>
      <c r="N470" s="237"/>
      <c r="O470" s="251"/>
      <c r="P470" s="251"/>
      <c r="Q470" s="251"/>
      <c r="R470" s="251"/>
    </row>
    <row r="471" ht="15.75" hidden="1" customHeight="1">
      <c r="A471" s="315"/>
      <c r="B471" s="233"/>
      <c r="C471" s="233"/>
      <c r="D471" s="233"/>
      <c r="E471" s="316"/>
      <c r="F471" s="233"/>
      <c r="G471" s="233"/>
      <c r="H471" s="317"/>
      <c r="I471" s="317"/>
      <c r="J471" s="233"/>
      <c r="K471" s="233"/>
      <c r="L471" s="316"/>
      <c r="M471" s="233"/>
      <c r="N471" s="234"/>
      <c r="O471" s="251"/>
      <c r="P471" s="251"/>
      <c r="Q471" s="251"/>
      <c r="R471" s="251"/>
    </row>
    <row r="472" ht="15.75" hidden="1" customHeight="1">
      <c r="A472" s="318"/>
      <c r="B472" s="236"/>
      <c r="C472" s="236"/>
      <c r="D472" s="236"/>
      <c r="E472" s="314"/>
      <c r="F472" s="236"/>
      <c r="G472" s="236"/>
      <c r="H472" s="313"/>
      <c r="I472" s="313"/>
      <c r="J472" s="236"/>
      <c r="K472" s="236"/>
      <c r="L472" s="314"/>
      <c r="M472" s="236"/>
      <c r="N472" s="237"/>
      <c r="O472" s="251"/>
      <c r="P472" s="251"/>
      <c r="Q472" s="251"/>
      <c r="R472" s="251"/>
    </row>
    <row r="473" ht="15.75" hidden="1" customHeight="1">
      <c r="A473" s="315"/>
      <c r="B473" s="233"/>
      <c r="C473" s="233"/>
      <c r="D473" s="233"/>
      <c r="E473" s="316"/>
      <c r="F473" s="233"/>
      <c r="G473" s="233"/>
      <c r="H473" s="317"/>
      <c r="I473" s="317"/>
      <c r="J473" s="233"/>
      <c r="K473" s="233"/>
      <c r="L473" s="316"/>
      <c r="M473" s="233"/>
      <c r="N473" s="234"/>
      <c r="O473" s="251"/>
      <c r="P473" s="251"/>
      <c r="Q473" s="251"/>
      <c r="R473" s="251"/>
    </row>
    <row r="474" ht="15.75" hidden="1" customHeight="1">
      <c r="A474" s="318"/>
      <c r="B474" s="236"/>
      <c r="C474" s="236"/>
      <c r="D474" s="236"/>
      <c r="E474" s="314"/>
      <c r="F474" s="236"/>
      <c r="G474" s="236"/>
      <c r="H474" s="313"/>
      <c r="I474" s="313"/>
      <c r="J474" s="236"/>
      <c r="K474" s="236"/>
      <c r="L474" s="314"/>
      <c r="M474" s="236"/>
      <c r="N474" s="237"/>
      <c r="O474" s="251"/>
      <c r="P474" s="251"/>
      <c r="Q474" s="251"/>
      <c r="R474" s="251"/>
    </row>
    <row r="475" ht="15.75" hidden="1" customHeight="1">
      <c r="A475" s="315"/>
      <c r="B475" s="233"/>
      <c r="C475" s="233"/>
      <c r="D475" s="233"/>
      <c r="E475" s="316"/>
      <c r="F475" s="233"/>
      <c r="G475" s="233"/>
      <c r="H475" s="317"/>
      <c r="I475" s="317"/>
      <c r="J475" s="233"/>
      <c r="K475" s="233"/>
      <c r="L475" s="316"/>
      <c r="M475" s="233"/>
      <c r="N475" s="234"/>
      <c r="O475" s="251"/>
      <c r="P475" s="251"/>
      <c r="Q475" s="251"/>
      <c r="R475" s="251"/>
    </row>
    <row r="476" ht="15.75" hidden="1" customHeight="1">
      <c r="A476" s="318"/>
      <c r="B476" s="236"/>
      <c r="C476" s="236"/>
      <c r="D476" s="236"/>
      <c r="E476" s="314"/>
      <c r="F476" s="236"/>
      <c r="G476" s="236"/>
      <c r="H476" s="313"/>
      <c r="I476" s="313"/>
      <c r="J476" s="236"/>
      <c r="K476" s="236"/>
      <c r="L476" s="314"/>
      <c r="M476" s="236"/>
      <c r="N476" s="237"/>
      <c r="O476" s="251"/>
      <c r="P476" s="251"/>
      <c r="Q476" s="251"/>
      <c r="R476" s="251"/>
    </row>
    <row r="477" ht="15.75" hidden="1" customHeight="1">
      <c r="A477" s="315"/>
      <c r="B477" s="233"/>
      <c r="C477" s="233"/>
      <c r="D477" s="233"/>
      <c r="E477" s="316"/>
      <c r="F477" s="233"/>
      <c r="G477" s="233"/>
      <c r="H477" s="317"/>
      <c r="I477" s="317"/>
      <c r="J477" s="233"/>
      <c r="K477" s="233"/>
      <c r="L477" s="316"/>
      <c r="M477" s="233"/>
      <c r="N477" s="234"/>
      <c r="O477" s="251"/>
      <c r="P477" s="251"/>
      <c r="Q477" s="251"/>
      <c r="R477" s="251"/>
    </row>
    <row r="478" ht="15.75" hidden="1" customHeight="1">
      <c r="A478" s="318"/>
      <c r="B478" s="236"/>
      <c r="C478" s="236"/>
      <c r="D478" s="236"/>
      <c r="E478" s="314"/>
      <c r="F478" s="236"/>
      <c r="G478" s="236"/>
      <c r="H478" s="313"/>
      <c r="I478" s="313"/>
      <c r="J478" s="236"/>
      <c r="K478" s="236"/>
      <c r="L478" s="314"/>
      <c r="M478" s="236"/>
      <c r="N478" s="237"/>
      <c r="O478" s="251"/>
      <c r="P478" s="251"/>
      <c r="Q478" s="251"/>
      <c r="R478" s="251"/>
    </row>
    <row r="479" ht="15.75" hidden="1" customHeight="1">
      <c r="A479" s="315"/>
      <c r="B479" s="233"/>
      <c r="C479" s="233"/>
      <c r="D479" s="233"/>
      <c r="E479" s="316"/>
      <c r="F479" s="233"/>
      <c r="G479" s="233"/>
      <c r="H479" s="317"/>
      <c r="I479" s="317"/>
      <c r="J479" s="233"/>
      <c r="K479" s="233"/>
      <c r="L479" s="316"/>
      <c r="M479" s="233"/>
      <c r="N479" s="234"/>
      <c r="O479" s="251"/>
      <c r="P479" s="251"/>
      <c r="Q479" s="251"/>
      <c r="R479" s="251"/>
    </row>
    <row r="480" ht="15.75" hidden="1" customHeight="1">
      <c r="A480" s="318"/>
      <c r="B480" s="236"/>
      <c r="C480" s="236"/>
      <c r="D480" s="236"/>
      <c r="E480" s="314"/>
      <c r="F480" s="236"/>
      <c r="G480" s="236"/>
      <c r="H480" s="313"/>
      <c r="I480" s="313"/>
      <c r="J480" s="236"/>
      <c r="K480" s="236"/>
      <c r="L480" s="314"/>
      <c r="M480" s="236"/>
      <c r="N480" s="237"/>
      <c r="O480" s="251"/>
      <c r="P480" s="251"/>
      <c r="Q480" s="251"/>
      <c r="R480" s="251"/>
    </row>
    <row r="481" ht="15.75" hidden="1" customHeight="1">
      <c r="A481" s="315"/>
      <c r="B481" s="233"/>
      <c r="C481" s="233"/>
      <c r="D481" s="233"/>
      <c r="E481" s="316"/>
      <c r="F481" s="233"/>
      <c r="G481" s="233"/>
      <c r="H481" s="317"/>
      <c r="I481" s="317"/>
      <c r="J481" s="233"/>
      <c r="K481" s="233"/>
      <c r="L481" s="316"/>
      <c r="M481" s="233"/>
      <c r="N481" s="234"/>
      <c r="O481" s="251"/>
      <c r="P481" s="251"/>
      <c r="Q481" s="251"/>
      <c r="R481" s="251"/>
    </row>
    <row r="482" ht="15.75" hidden="1" customHeight="1">
      <c r="A482" s="318"/>
      <c r="B482" s="236"/>
      <c r="C482" s="236"/>
      <c r="D482" s="236"/>
      <c r="E482" s="314"/>
      <c r="F482" s="236"/>
      <c r="G482" s="236"/>
      <c r="H482" s="313"/>
      <c r="I482" s="313"/>
      <c r="J482" s="236"/>
      <c r="K482" s="236"/>
      <c r="L482" s="314"/>
      <c r="M482" s="236"/>
      <c r="N482" s="237"/>
      <c r="O482" s="251"/>
      <c r="P482" s="251"/>
      <c r="Q482" s="251"/>
      <c r="R482" s="251"/>
    </row>
    <row r="483" ht="15.75" hidden="1" customHeight="1">
      <c r="A483" s="315"/>
      <c r="B483" s="233"/>
      <c r="C483" s="233"/>
      <c r="D483" s="233"/>
      <c r="E483" s="316"/>
      <c r="F483" s="233"/>
      <c r="G483" s="233"/>
      <c r="H483" s="317"/>
      <c r="I483" s="317"/>
      <c r="J483" s="233"/>
      <c r="K483" s="233"/>
      <c r="L483" s="316"/>
      <c r="M483" s="233"/>
      <c r="N483" s="234"/>
      <c r="O483" s="251"/>
      <c r="P483" s="251"/>
      <c r="Q483" s="251"/>
      <c r="R483" s="251"/>
    </row>
    <row r="484" ht="15.75" hidden="1" customHeight="1">
      <c r="A484" s="318"/>
      <c r="B484" s="236"/>
      <c r="C484" s="236"/>
      <c r="D484" s="236"/>
      <c r="E484" s="314"/>
      <c r="F484" s="236"/>
      <c r="G484" s="236"/>
      <c r="H484" s="313"/>
      <c r="I484" s="313"/>
      <c r="J484" s="236"/>
      <c r="K484" s="236"/>
      <c r="L484" s="314"/>
      <c r="M484" s="236"/>
      <c r="N484" s="237"/>
      <c r="O484" s="251"/>
      <c r="P484" s="251"/>
      <c r="Q484" s="251"/>
      <c r="R484" s="251"/>
    </row>
    <row r="485" ht="15.75" hidden="1" customHeight="1">
      <c r="A485" s="315"/>
      <c r="B485" s="233"/>
      <c r="C485" s="233"/>
      <c r="D485" s="233"/>
      <c r="E485" s="316"/>
      <c r="F485" s="233"/>
      <c r="G485" s="233"/>
      <c r="H485" s="317"/>
      <c r="I485" s="317"/>
      <c r="J485" s="233"/>
      <c r="K485" s="233"/>
      <c r="L485" s="316"/>
      <c r="M485" s="233"/>
      <c r="N485" s="234"/>
      <c r="O485" s="251"/>
      <c r="P485" s="251"/>
      <c r="Q485" s="251"/>
      <c r="R485" s="251"/>
    </row>
    <row r="486" ht="15.75" hidden="1" customHeight="1">
      <c r="A486" s="318"/>
      <c r="B486" s="236"/>
      <c r="C486" s="236"/>
      <c r="D486" s="236"/>
      <c r="E486" s="314"/>
      <c r="F486" s="236"/>
      <c r="G486" s="236"/>
      <c r="H486" s="313"/>
      <c r="I486" s="313"/>
      <c r="J486" s="236"/>
      <c r="K486" s="236"/>
      <c r="L486" s="314"/>
      <c r="M486" s="236"/>
      <c r="N486" s="237"/>
      <c r="O486" s="251"/>
      <c r="P486" s="251"/>
      <c r="Q486" s="251"/>
      <c r="R486" s="251"/>
    </row>
    <row r="487" ht="15.75" hidden="1" customHeight="1">
      <c r="A487" s="315"/>
      <c r="B487" s="233"/>
      <c r="C487" s="233"/>
      <c r="D487" s="233"/>
      <c r="E487" s="316"/>
      <c r="F487" s="233"/>
      <c r="G487" s="233"/>
      <c r="H487" s="317"/>
      <c r="I487" s="317"/>
      <c r="J487" s="233"/>
      <c r="K487" s="233"/>
      <c r="L487" s="316"/>
      <c r="M487" s="233"/>
      <c r="N487" s="234"/>
      <c r="O487" s="251"/>
      <c r="P487" s="251"/>
      <c r="Q487" s="251"/>
      <c r="R487" s="251"/>
    </row>
    <row r="488" ht="15.75" hidden="1" customHeight="1">
      <c r="A488" s="318"/>
      <c r="B488" s="236"/>
      <c r="C488" s="236"/>
      <c r="D488" s="236"/>
      <c r="E488" s="314"/>
      <c r="F488" s="236"/>
      <c r="G488" s="236"/>
      <c r="H488" s="313"/>
      <c r="I488" s="313"/>
      <c r="J488" s="236"/>
      <c r="K488" s="236"/>
      <c r="L488" s="314"/>
      <c r="M488" s="236"/>
      <c r="N488" s="237"/>
      <c r="O488" s="251"/>
      <c r="P488" s="251"/>
      <c r="Q488" s="251"/>
      <c r="R488" s="251"/>
    </row>
    <row r="489" ht="15.75" hidden="1" customHeight="1">
      <c r="A489" s="315"/>
      <c r="B489" s="233"/>
      <c r="C489" s="233"/>
      <c r="D489" s="233"/>
      <c r="E489" s="316"/>
      <c r="F489" s="233"/>
      <c r="G489" s="233"/>
      <c r="H489" s="317"/>
      <c r="I489" s="317"/>
      <c r="J489" s="233"/>
      <c r="K489" s="233"/>
      <c r="L489" s="316"/>
      <c r="M489" s="233"/>
      <c r="N489" s="234"/>
      <c r="O489" s="251"/>
      <c r="P489" s="251"/>
      <c r="Q489" s="251"/>
      <c r="R489" s="251"/>
    </row>
    <row r="490" ht="15.75" hidden="1" customHeight="1">
      <c r="A490" s="318"/>
      <c r="B490" s="236"/>
      <c r="C490" s="236"/>
      <c r="D490" s="236"/>
      <c r="E490" s="314"/>
      <c r="F490" s="236"/>
      <c r="G490" s="236"/>
      <c r="H490" s="313"/>
      <c r="I490" s="313"/>
      <c r="J490" s="236"/>
      <c r="K490" s="236"/>
      <c r="L490" s="314"/>
      <c r="M490" s="236"/>
      <c r="N490" s="237"/>
      <c r="O490" s="251"/>
      <c r="P490" s="251"/>
      <c r="Q490" s="251"/>
      <c r="R490" s="251"/>
    </row>
    <row r="491" ht="15.75" hidden="1" customHeight="1">
      <c r="A491" s="315"/>
      <c r="B491" s="233"/>
      <c r="C491" s="233"/>
      <c r="D491" s="233"/>
      <c r="E491" s="316"/>
      <c r="F491" s="233"/>
      <c r="G491" s="233"/>
      <c r="H491" s="317"/>
      <c r="I491" s="317"/>
      <c r="J491" s="233"/>
      <c r="K491" s="233"/>
      <c r="L491" s="316"/>
      <c r="M491" s="233"/>
      <c r="N491" s="234"/>
      <c r="O491" s="251"/>
      <c r="P491" s="251"/>
      <c r="Q491" s="251"/>
      <c r="R491" s="251"/>
    </row>
    <row r="492" ht="15.75" hidden="1" customHeight="1">
      <c r="A492" s="318"/>
      <c r="B492" s="236"/>
      <c r="C492" s="236"/>
      <c r="D492" s="236"/>
      <c r="E492" s="314"/>
      <c r="F492" s="236"/>
      <c r="G492" s="236"/>
      <c r="H492" s="313"/>
      <c r="I492" s="313"/>
      <c r="J492" s="236"/>
      <c r="K492" s="236"/>
      <c r="L492" s="314"/>
      <c r="M492" s="236"/>
      <c r="N492" s="237"/>
      <c r="O492" s="251"/>
      <c r="P492" s="251"/>
      <c r="Q492" s="251"/>
      <c r="R492" s="251"/>
    </row>
    <row r="493" ht="15.75" hidden="1" customHeight="1">
      <c r="A493" s="315"/>
      <c r="B493" s="233"/>
      <c r="C493" s="233"/>
      <c r="D493" s="233"/>
      <c r="E493" s="316"/>
      <c r="F493" s="233"/>
      <c r="G493" s="233"/>
      <c r="H493" s="317"/>
      <c r="I493" s="317"/>
      <c r="J493" s="233"/>
      <c r="K493" s="233"/>
      <c r="L493" s="316"/>
      <c r="M493" s="233"/>
      <c r="N493" s="234"/>
      <c r="O493" s="251"/>
      <c r="P493" s="251"/>
      <c r="Q493" s="251"/>
      <c r="R493" s="251"/>
    </row>
    <row r="494" ht="15.75" hidden="1" customHeight="1">
      <c r="A494" s="318"/>
      <c r="B494" s="236"/>
      <c r="C494" s="236"/>
      <c r="D494" s="236"/>
      <c r="E494" s="314"/>
      <c r="F494" s="236"/>
      <c r="G494" s="236"/>
      <c r="H494" s="313"/>
      <c r="I494" s="313"/>
      <c r="J494" s="236"/>
      <c r="K494" s="236"/>
      <c r="L494" s="314"/>
      <c r="M494" s="236"/>
      <c r="N494" s="237"/>
      <c r="O494" s="251"/>
      <c r="P494" s="251"/>
      <c r="Q494" s="251"/>
      <c r="R494" s="251"/>
    </row>
    <row r="495" ht="15.75" hidden="1" customHeight="1">
      <c r="A495" s="315"/>
      <c r="B495" s="233"/>
      <c r="C495" s="233"/>
      <c r="D495" s="233"/>
      <c r="E495" s="316"/>
      <c r="F495" s="233"/>
      <c r="G495" s="233"/>
      <c r="H495" s="317"/>
      <c r="I495" s="317"/>
      <c r="J495" s="233"/>
      <c r="K495" s="233"/>
      <c r="L495" s="316"/>
      <c r="M495" s="233"/>
      <c r="N495" s="234"/>
      <c r="O495" s="251"/>
      <c r="P495" s="251"/>
      <c r="Q495" s="251"/>
      <c r="R495" s="251"/>
    </row>
    <row r="496" ht="15.75" hidden="1" customHeight="1">
      <c r="A496" s="318"/>
      <c r="B496" s="236"/>
      <c r="C496" s="236"/>
      <c r="D496" s="236"/>
      <c r="E496" s="314"/>
      <c r="F496" s="236"/>
      <c r="G496" s="236"/>
      <c r="H496" s="313"/>
      <c r="I496" s="313"/>
      <c r="J496" s="236"/>
      <c r="K496" s="236"/>
      <c r="L496" s="314"/>
      <c r="M496" s="236"/>
      <c r="N496" s="237"/>
      <c r="O496" s="251"/>
      <c r="P496" s="251"/>
      <c r="Q496" s="251"/>
      <c r="R496" s="251"/>
    </row>
    <row r="497" ht="15.75" hidden="1" customHeight="1">
      <c r="A497" s="315"/>
      <c r="B497" s="233"/>
      <c r="C497" s="233"/>
      <c r="D497" s="233"/>
      <c r="E497" s="316"/>
      <c r="F497" s="233"/>
      <c r="G497" s="233"/>
      <c r="H497" s="317"/>
      <c r="I497" s="317"/>
      <c r="J497" s="233"/>
      <c r="K497" s="233"/>
      <c r="L497" s="316"/>
      <c r="M497" s="233"/>
      <c r="N497" s="234"/>
      <c r="O497" s="251"/>
      <c r="P497" s="251"/>
      <c r="Q497" s="251"/>
      <c r="R497" s="251"/>
    </row>
    <row r="498" ht="15.75" hidden="1" customHeight="1">
      <c r="A498" s="318"/>
      <c r="B498" s="236"/>
      <c r="C498" s="236"/>
      <c r="D498" s="236"/>
      <c r="E498" s="314"/>
      <c r="F498" s="236"/>
      <c r="G498" s="236"/>
      <c r="H498" s="313"/>
      <c r="I498" s="313"/>
      <c r="J498" s="236"/>
      <c r="K498" s="236"/>
      <c r="L498" s="314"/>
      <c r="M498" s="236"/>
      <c r="N498" s="237"/>
      <c r="O498" s="251"/>
      <c r="P498" s="251"/>
      <c r="Q498" s="251"/>
      <c r="R498" s="251"/>
    </row>
    <row r="499" ht="15.75" hidden="1" customHeight="1">
      <c r="A499" s="315"/>
      <c r="B499" s="233"/>
      <c r="C499" s="233"/>
      <c r="D499" s="233"/>
      <c r="E499" s="316"/>
      <c r="F499" s="233"/>
      <c r="G499" s="233"/>
      <c r="H499" s="317"/>
      <c r="I499" s="317"/>
      <c r="J499" s="233"/>
      <c r="K499" s="233"/>
      <c r="L499" s="316"/>
      <c r="M499" s="233"/>
      <c r="N499" s="234"/>
      <c r="O499" s="251"/>
      <c r="P499" s="251"/>
      <c r="Q499" s="251"/>
      <c r="R499" s="251"/>
    </row>
    <row r="500" ht="15.75" hidden="1" customHeight="1">
      <c r="A500" s="318"/>
      <c r="B500" s="236"/>
      <c r="C500" s="236"/>
      <c r="D500" s="236"/>
      <c r="E500" s="314"/>
      <c r="F500" s="236"/>
      <c r="G500" s="236"/>
      <c r="H500" s="313"/>
      <c r="I500" s="313"/>
      <c r="J500" s="236"/>
      <c r="K500" s="236"/>
      <c r="L500" s="314"/>
      <c r="M500" s="236"/>
      <c r="N500" s="237"/>
      <c r="O500" s="251"/>
      <c r="P500" s="251"/>
      <c r="Q500" s="251"/>
      <c r="R500" s="251"/>
    </row>
    <row r="501" ht="15.75" hidden="1" customHeight="1">
      <c r="A501" s="315"/>
      <c r="B501" s="233"/>
      <c r="C501" s="233"/>
      <c r="D501" s="233"/>
      <c r="E501" s="316"/>
      <c r="F501" s="233"/>
      <c r="G501" s="233"/>
      <c r="H501" s="317"/>
      <c r="I501" s="317"/>
      <c r="J501" s="233"/>
      <c r="K501" s="233"/>
      <c r="L501" s="316"/>
      <c r="M501" s="233"/>
      <c r="N501" s="234"/>
      <c r="O501" s="251"/>
      <c r="P501" s="251"/>
      <c r="Q501" s="251"/>
      <c r="R501" s="251"/>
    </row>
    <row r="502" ht="15.75" hidden="1" customHeight="1">
      <c r="A502" s="318"/>
      <c r="B502" s="236"/>
      <c r="C502" s="236"/>
      <c r="D502" s="236"/>
      <c r="E502" s="314"/>
      <c r="F502" s="236"/>
      <c r="G502" s="236"/>
      <c r="H502" s="313"/>
      <c r="I502" s="313"/>
      <c r="J502" s="236"/>
      <c r="K502" s="236"/>
      <c r="L502" s="314"/>
      <c r="M502" s="236"/>
      <c r="N502" s="237"/>
      <c r="O502" s="251"/>
      <c r="P502" s="251"/>
      <c r="Q502" s="251"/>
      <c r="R502" s="251"/>
    </row>
    <row r="503" ht="15.75" hidden="1" customHeight="1">
      <c r="A503" s="315"/>
      <c r="B503" s="233"/>
      <c r="C503" s="233"/>
      <c r="D503" s="233"/>
      <c r="E503" s="316"/>
      <c r="F503" s="233"/>
      <c r="G503" s="233"/>
      <c r="H503" s="317"/>
      <c r="I503" s="317"/>
      <c r="J503" s="233"/>
      <c r="K503" s="233"/>
      <c r="L503" s="316"/>
      <c r="M503" s="233"/>
      <c r="N503" s="234"/>
      <c r="O503" s="251"/>
      <c r="P503" s="251"/>
      <c r="Q503" s="251"/>
      <c r="R503" s="251"/>
    </row>
    <row r="504" ht="15.75" hidden="1" customHeight="1">
      <c r="A504" s="318"/>
      <c r="B504" s="236"/>
      <c r="C504" s="236"/>
      <c r="D504" s="236"/>
      <c r="E504" s="314"/>
      <c r="F504" s="236"/>
      <c r="G504" s="236"/>
      <c r="H504" s="313"/>
      <c r="I504" s="313"/>
      <c r="J504" s="236"/>
      <c r="K504" s="236"/>
      <c r="L504" s="314"/>
      <c r="M504" s="236"/>
      <c r="N504" s="237"/>
      <c r="O504" s="251"/>
      <c r="P504" s="251"/>
      <c r="Q504" s="251"/>
      <c r="R504" s="251"/>
    </row>
    <row r="505" ht="15.75" hidden="1" customHeight="1">
      <c r="A505" s="315"/>
      <c r="B505" s="233"/>
      <c r="C505" s="233"/>
      <c r="D505" s="233"/>
      <c r="E505" s="316"/>
      <c r="F505" s="233"/>
      <c r="G505" s="233"/>
      <c r="H505" s="317"/>
      <c r="I505" s="317"/>
      <c r="J505" s="233"/>
      <c r="K505" s="233"/>
      <c r="L505" s="316"/>
      <c r="M505" s="233"/>
      <c r="N505" s="234"/>
      <c r="O505" s="251"/>
      <c r="P505" s="251"/>
      <c r="Q505" s="251"/>
      <c r="R505" s="251"/>
    </row>
    <row r="506" ht="15.75" hidden="1" customHeight="1">
      <c r="A506" s="318"/>
      <c r="B506" s="236"/>
      <c r="C506" s="236"/>
      <c r="D506" s="236"/>
      <c r="E506" s="314"/>
      <c r="F506" s="236"/>
      <c r="G506" s="236"/>
      <c r="H506" s="313"/>
      <c r="I506" s="313"/>
      <c r="J506" s="236"/>
      <c r="K506" s="236"/>
      <c r="L506" s="314"/>
      <c r="M506" s="236"/>
      <c r="N506" s="237"/>
      <c r="O506" s="251"/>
      <c r="P506" s="251"/>
      <c r="Q506" s="251"/>
      <c r="R506" s="251"/>
    </row>
    <row r="507" ht="15.75" hidden="1" customHeight="1">
      <c r="A507" s="315"/>
      <c r="B507" s="233"/>
      <c r="C507" s="233"/>
      <c r="D507" s="233"/>
      <c r="E507" s="316"/>
      <c r="F507" s="233"/>
      <c r="G507" s="233"/>
      <c r="H507" s="317"/>
      <c r="I507" s="317"/>
      <c r="J507" s="233"/>
      <c r="K507" s="233"/>
      <c r="L507" s="316"/>
      <c r="M507" s="233"/>
      <c r="N507" s="234"/>
      <c r="O507" s="251"/>
      <c r="P507" s="251"/>
      <c r="Q507" s="251"/>
      <c r="R507" s="251"/>
    </row>
    <row r="508" ht="15.75" hidden="1" customHeight="1">
      <c r="A508" s="318"/>
      <c r="B508" s="236"/>
      <c r="C508" s="236"/>
      <c r="D508" s="236"/>
      <c r="E508" s="314"/>
      <c r="F508" s="236"/>
      <c r="G508" s="236"/>
      <c r="H508" s="313"/>
      <c r="I508" s="313"/>
      <c r="J508" s="236"/>
      <c r="K508" s="236"/>
      <c r="L508" s="314"/>
      <c r="M508" s="236"/>
      <c r="N508" s="237"/>
      <c r="O508" s="251"/>
      <c r="P508" s="251"/>
      <c r="Q508" s="251"/>
      <c r="R508" s="251"/>
    </row>
    <row r="509" ht="15.75" hidden="1" customHeight="1">
      <c r="A509" s="315"/>
      <c r="B509" s="233"/>
      <c r="C509" s="233"/>
      <c r="D509" s="233"/>
      <c r="E509" s="316"/>
      <c r="F509" s="233"/>
      <c r="G509" s="233"/>
      <c r="H509" s="317"/>
      <c r="I509" s="317"/>
      <c r="J509" s="233"/>
      <c r="K509" s="233"/>
      <c r="L509" s="316"/>
      <c r="M509" s="233"/>
      <c r="N509" s="234"/>
      <c r="O509" s="251"/>
      <c r="P509" s="251"/>
      <c r="Q509" s="251"/>
      <c r="R509" s="251"/>
    </row>
    <row r="510" ht="15.75" hidden="1" customHeight="1">
      <c r="A510" s="318"/>
      <c r="B510" s="236"/>
      <c r="C510" s="236"/>
      <c r="D510" s="236"/>
      <c r="E510" s="314"/>
      <c r="F510" s="236"/>
      <c r="G510" s="236"/>
      <c r="H510" s="313"/>
      <c r="I510" s="313"/>
      <c r="J510" s="236"/>
      <c r="K510" s="236"/>
      <c r="L510" s="314"/>
      <c r="M510" s="236"/>
      <c r="N510" s="237"/>
      <c r="O510" s="251"/>
      <c r="P510" s="251"/>
      <c r="Q510" s="251"/>
      <c r="R510" s="251"/>
    </row>
    <row r="511" ht="15.75" hidden="1" customHeight="1">
      <c r="A511" s="315"/>
      <c r="B511" s="233"/>
      <c r="C511" s="233"/>
      <c r="D511" s="233"/>
      <c r="E511" s="316"/>
      <c r="F511" s="233"/>
      <c r="G511" s="233"/>
      <c r="H511" s="317"/>
      <c r="I511" s="317"/>
      <c r="J511" s="233"/>
      <c r="K511" s="233"/>
      <c r="L511" s="316"/>
      <c r="M511" s="233"/>
      <c r="N511" s="234"/>
      <c r="O511" s="251"/>
      <c r="P511" s="251"/>
      <c r="Q511" s="251"/>
      <c r="R511" s="251"/>
    </row>
    <row r="512" ht="15.75" hidden="1" customHeight="1">
      <c r="A512" s="318"/>
      <c r="B512" s="236"/>
      <c r="C512" s="236"/>
      <c r="D512" s="236"/>
      <c r="E512" s="314"/>
      <c r="F512" s="236"/>
      <c r="G512" s="236"/>
      <c r="H512" s="313"/>
      <c r="I512" s="313"/>
      <c r="J512" s="236"/>
      <c r="K512" s="236"/>
      <c r="L512" s="314"/>
      <c r="M512" s="236"/>
      <c r="N512" s="237"/>
      <c r="O512" s="251"/>
      <c r="P512" s="251"/>
      <c r="Q512" s="251"/>
      <c r="R512" s="251"/>
    </row>
    <row r="513" ht="15.75" hidden="1" customHeight="1">
      <c r="A513" s="315"/>
      <c r="B513" s="233"/>
      <c r="C513" s="233"/>
      <c r="D513" s="233"/>
      <c r="E513" s="316"/>
      <c r="F513" s="233"/>
      <c r="G513" s="233"/>
      <c r="H513" s="317"/>
      <c r="I513" s="317"/>
      <c r="J513" s="233"/>
      <c r="K513" s="233"/>
      <c r="L513" s="316"/>
      <c r="M513" s="233"/>
      <c r="N513" s="234"/>
      <c r="O513" s="251"/>
      <c r="P513" s="251"/>
      <c r="Q513" s="251"/>
      <c r="R513" s="251"/>
    </row>
    <row r="514" ht="15.75" hidden="1" customHeight="1">
      <c r="A514" s="318"/>
      <c r="B514" s="236"/>
      <c r="C514" s="236"/>
      <c r="D514" s="236"/>
      <c r="E514" s="314"/>
      <c r="F514" s="236"/>
      <c r="G514" s="236"/>
      <c r="H514" s="313"/>
      <c r="I514" s="313"/>
      <c r="J514" s="236"/>
      <c r="K514" s="236"/>
      <c r="L514" s="314"/>
      <c r="M514" s="236"/>
      <c r="N514" s="237"/>
      <c r="O514" s="251"/>
      <c r="P514" s="251"/>
      <c r="Q514" s="251"/>
      <c r="R514" s="251"/>
    </row>
    <row r="515" ht="15.75" hidden="1" customHeight="1">
      <c r="A515" s="315"/>
      <c r="B515" s="233"/>
      <c r="C515" s="233"/>
      <c r="D515" s="233"/>
      <c r="E515" s="316"/>
      <c r="F515" s="233"/>
      <c r="G515" s="233"/>
      <c r="H515" s="317"/>
      <c r="I515" s="317"/>
      <c r="J515" s="233"/>
      <c r="K515" s="233"/>
      <c r="L515" s="316"/>
      <c r="M515" s="233"/>
      <c r="N515" s="234"/>
      <c r="O515" s="251"/>
      <c r="P515" s="251"/>
      <c r="Q515" s="251"/>
      <c r="R515" s="251"/>
    </row>
    <row r="516" ht="15.75" hidden="1" customHeight="1">
      <c r="A516" s="318"/>
      <c r="B516" s="236"/>
      <c r="C516" s="236"/>
      <c r="D516" s="236"/>
      <c r="E516" s="314"/>
      <c r="F516" s="236"/>
      <c r="G516" s="236"/>
      <c r="H516" s="313"/>
      <c r="I516" s="313"/>
      <c r="J516" s="236"/>
      <c r="K516" s="236"/>
      <c r="L516" s="314"/>
      <c r="M516" s="236"/>
      <c r="N516" s="237"/>
      <c r="O516" s="251"/>
      <c r="P516" s="251"/>
      <c r="Q516" s="251"/>
      <c r="R516" s="251"/>
    </row>
    <row r="517" ht="15.75" hidden="1" customHeight="1">
      <c r="A517" s="315"/>
      <c r="B517" s="233"/>
      <c r="C517" s="233"/>
      <c r="D517" s="233"/>
      <c r="E517" s="316"/>
      <c r="F517" s="233"/>
      <c r="G517" s="233"/>
      <c r="H517" s="317"/>
      <c r="I517" s="317"/>
      <c r="J517" s="233"/>
      <c r="K517" s="233"/>
      <c r="L517" s="316"/>
      <c r="M517" s="233"/>
      <c r="N517" s="234"/>
      <c r="O517" s="251"/>
      <c r="P517" s="251"/>
      <c r="Q517" s="251"/>
      <c r="R517" s="251"/>
    </row>
    <row r="518" ht="15.75" hidden="1" customHeight="1">
      <c r="A518" s="318"/>
      <c r="B518" s="236"/>
      <c r="C518" s="236"/>
      <c r="D518" s="236"/>
      <c r="E518" s="314"/>
      <c r="F518" s="236"/>
      <c r="G518" s="236"/>
      <c r="H518" s="313"/>
      <c r="I518" s="313"/>
      <c r="J518" s="236"/>
      <c r="K518" s="236"/>
      <c r="L518" s="314"/>
      <c r="M518" s="236"/>
      <c r="N518" s="237"/>
      <c r="O518" s="251"/>
      <c r="P518" s="251"/>
      <c r="Q518" s="251"/>
      <c r="R518" s="251"/>
    </row>
    <row r="519" ht="15.75" hidden="1" customHeight="1">
      <c r="A519" s="315"/>
      <c r="B519" s="233"/>
      <c r="C519" s="233"/>
      <c r="D519" s="233"/>
      <c r="E519" s="316"/>
      <c r="F519" s="233"/>
      <c r="G519" s="233"/>
      <c r="H519" s="317"/>
      <c r="I519" s="317"/>
      <c r="J519" s="233"/>
      <c r="K519" s="233"/>
      <c r="L519" s="316"/>
      <c r="M519" s="233"/>
      <c r="N519" s="234"/>
      <c r="O519" s="251"/>
      <c r="P519" s="251"/>
      <c r="Q519" s="251"/>
      <c r="R519" s="251"/>
    </row>
    <row r="520" ht="15.75" hidden="1" customHeight="1">
      <c r="A520" s="318"/>
      <c r="B520" s="236"/>
      <c r="C520" s="236"/>
      <c r="D520" s="236"/>
      <c r="E520" s="314"/>
      <c r="F520" s="236"/>
      <c r="G520" s="236"/>
      <c r="H520" s="313"/>
      <c r="I520" s="313"/>
      <c r="J520" s="236"/>
      <c r="K520" s="236"/>
      <c r="L520" s="314"/>
      <c r="M520" s="236"/>
      <c r="N520" s="237"/>
      <c r="O520" s="251"/>
      <c r="P520" s="251"/>
      <c r="Q520" s="251"/>
      <c r="R520" s="251"/>
    </row>
    <row r="521" ht="15.75" hidden="1" customHeight="1">
      <c r="A521" s="315"/>
      <c r="B521" s="233"/>
      <c r="C521" s="233"/>
      <c r="D521" s="233"/>
      <c r="E521" s="316"/>
      <c r="F521" s="233"/>
      <c r="G521" s="233"/>
      <c r="H521" s="317"/>
      <c r="I521" s="317"/>
      <c r="J521" s="233"/>
      <c r="K521" s="233"/>
      <c r="L521" s="316"/>
      <c r="M521" s="233"/>
      <c r="N521" s="234"/>
      <c r="O521" s="251"/>
      <c r="P521" s="251"/>
      <c r="Q521" s="251"/>
      <c r="R521" s="251"/>
    </row>
    <row r="522" ht="15.75" hidden="1" customHeight="1">
      <c r="A522" s="318"/>
      <c r="B522" s="236"/>
      <c r="C522" s="236"/>
      <c r="D522" s="236"/>
      <c r="E522" s="314"/>
      <c r="F522" s="236"/>
      <c r="G522" s="236"/>
      <c r="H522" s="313"/>
      <c r="I522" s="313"/>
      <c r="J522" s="236"/>
      <c r="K522" s="236"/>
      <c r="L522" s="314"/>
      <c r="M522" s="236"/>
      <c r="N522" s="237"/>
      <c r="O522" s="251"/>
      <c r="P522" s="251"/>
      <c r="Q522" s="251"/>
      <c r="R522" s="251"/>
    </row>
    <row r="523" ht="15.75" hidden="1" customHeight="1">
      <c r="A523" s="315"/>
      <c r="B523" s="233"/>
      <c r="C523" s="233"/>
      <c r="D523" s="233"/>
      <c r="E523" s="316"/>
      <c r="F523" s="233"/>
      <c r="G523" s="233"/>
      <c r="H523" s="317"/>
      <c r="I523" s="317"/>
      <c r="J523" s="233"/>
      <c r="K523" s="233"/>
      <c r="L523" s="316"/>
      <c r="M523" s="233"/>
      <c r="N523" s="234"/>
      <c r="O523" s="251"/>
      <c r="P523" s="251"/>
      <c r="Q523" s="251"/>
      <c r="R523" s="251"/>
    </row>
    <row r="524" ht="15.75" hidden="1" customHeight="1">
      <c r="A524" s="318"/>
      <c r="B524" s="236"/>
      <c r="C524" s="236"/>
      <c r="D524" s="236"/>
      <c r="E524" s="314"/>
      <c r="F524" s="236"/>
      <c r="G524" s="236"/>
      <c r="H524" s="313"/>
      <c r="I524" s="313"/>
      <c r="J524" s="236"/>
      <c r="K524" s="236"/>
      <c r="L524" s="314"/>
      <c r="M524" s="236"/>
      <c r="N524" s="237"/>
      <c r="O524" s="251"/>
      <c r="P524" s="251"/>
      <c r="Q524" s="251"/>
      <c r="R524" s="251"/>
    </row>
    <row r="525" ht="15.75" hidden="1" customHeight="1">
      <c r="A525" s="315"/>
      <c r="B525" s="233"/>
      <c r="C525" s="233"/>
      <c r="D525" s="233"/>
      <c r="E525" s="316"/>
      <c r="F525" s="233"/>
      <c r="G525" s="233"/>
      <c r="H525" s="317"/>
      <c r="I525" s="317"/>
      <c r="J525" s="233"/>
      <c r="K525" s="233"/>
      <c r="L525" s="316"/>
      <c r="M525" s="233"/>
      <c r="N525" s="234"/>
      <c r="O525" s="251"/>
      <c r="P525" s="251"/>
      <c r="Q525" s="251"/>
      <c r="R525" s="251"/>
    </row>
    <row r="526" ht="15.75" hidden="1" customHeight="1">
      <c r="A526" s="318"/>
      <c r="B526" s="236"/>
      <c r="C526" s="236"/>
      <c r="D526" s="236"/>
      <c r="E526" s="314"/>
      <c r="F526" s="236"/>
      <c r="G526" s="236"/>
      <c r="H526" s="313"/>
      <c r="I526" s="313"/>
      <c r="J526" s="236"/>
      <c r="K526" s="236"/>
      <c r="L526" s="314"/>
      <c r="M526" s="236"/>
      <c r="N526" s="237"/>
      <c r="O526" s="251"/>
      <c r="P526" s="251"/>
      <c r="Q526" s="251"/>
      <c r="R526" s="251"/>
    </row>
    <row r="527" ht="15.75" hidden="1" customHeight="1">
      <c r="A527" s="315"/>
      <c r="B527" s="233"/>
      <c r="C527" s="233"/>
      <c r="D527" s="233"/>
      <c r="E527" s="316"/>
      <c r="F527" s="233"/>
      <c r="G527" s="233"/>
      <c r="H527" s="317"/>
      <c r="I527" s="317"/>
      <c r="J527" s="233"/>
      <c r="K527" s="233"/>
      <c r="L527" s="316"/>
      <c r="M527" s="233"/>
      <c r="N527" s="234"/>
      <c r="O527" s="251"/>
      <c r="P527" s="251"/>
      <c r="Q527" s="251"/>
      <c r="R527" s="251"/>
    </row>
    <row r="528" ht="15.75" hidden="1" customHeight="1">
      <c r="A528" s="318"/>
      <c r="B528" s="236"/>
      <c r="C528" s="236"/>
      <c r="D528" s="236"/>
      <c r="E528" s="314"/>
      <c r="F528" s="236"/>
      <c r="G528" s="236"/>
      <c r="H528" s="313"/>
      <c r="I528" s="313"/>
      <c r="J528" s="236"/>
      <c r="K528" s="236"/>
      <c r="L528" s="314"/>
      <c r="M528" s="236"/>
      <c r="N528" s="237"/>
      <c r="O528" s="251"/>
      <c r="P528" s="251"/>
      <c r="Q528" s="251"/>
      <c r="R528" s="251"/>
    </row>
    <row r="529" ht="15.75" hidden="1" customHeight="1">
      <c r="A529" s="315"/>
      <c r="B529" s="233"/>
      <c r="C529" s="233"/>
      <c r="D529" s="233"/>
      <c r="E529" s="316"/>
      <c r="F529" s="233"/>
      <c r="G529" s="233"/>
      <c r="H529" s="317"/>
      <c r="I529" s="317"/>
      <c r="J529" s="233"/>
      <c r="K529" s="233"/>
      <c r="L529" s="316"/>
      <c r="M529" s="233"/>
      <c r="N529" s="234"/>
      <c r="O529" s="251"/>
      <c r="P529" s="251"/>
      <c r="Q529" s="251"/>
      <c r="R529" s="251"/>
    </row>
    <row r="530" ht="15.75" hidden="1" customHeight="1">
      <c r="A530" s="318"/>
      <c r="B530" s="236"/>
      <c r="C530" s="236"/>
      <c r="D530" s="236"/>
      <c r="E530" s="314"/>
      <c r="F530" s="236"/>
      <c r="G530" s="236"/>
      <c r="H530" s="313"/>
      <c r="I530" s="313"/>
      <c r="J530" s="236"/>
      <c r="K530" s="236"/>
      <c r="L530" s="314"/>
      <c r="M530" s="236"/>
      <c r="N530" s="237"/>
      <c r="O530" s="251"/>
      <c r="P530" s="251"/>
      <c r="Q530" s="251"/>
      <c r="R530" s="251"/>
    </row>
    <row r="531" ht="15.75" hidden="1" customHeight="1">
      <c r="A531" s="315"/>
      <c r="B531" s="233"/>
      <c r="C531" s="233"/>
      <c r="D531" s="233"/>
      <c r="E531" s="316"/>
      <c r="F531" s="233"/>
      <c r="G531" s="233"/>
      <c r="H531" s="317"/>
      <c r="I531" s="317"/>
      <c r="J531" s="233"/>
      <c r="K531" s="233"/>
      <c r="L531" s="316"/>
      <c r="M531" s="233"/>
      <c r="N531" s="234"/>
      <c r="O531" s="251"/>
      <c r="P531" s="251"/>
      <c r="Q531" s="251"/>
      <c r="R531" s="251"/>
    </row>
    <row r="532" ht="15.75" hidden="1" customHeight="1">
      <c r="A532" s="318"/>
      <c r="B532" s="236"/>
      <c r="C532" s="236"/>
      <c r="D532" s="236"/>
      <c r="E532" s="314"/>
      <c r="F532" s="236"/>
      <c r="G532" s="236"/>
      <c r="H532" s="313"/>
      <c r="I532" s="313"/>
      <c r="J532" s="236"/>
      <c r="K532" s="236"/>
      <c r="L532" s="314"/>
      <c r="M532" s="236"/>
      <c r="N532" s="237"/>
      <c r="O532" s="251"/>
      <c r="P532" s="251"/>
      <c r="Q532" s="251"/>
      <c r="R532" s="251"/>
    </row>
    <row r="533" ht="15.75" hidden="1" customHeight="1">
      <c r="A533" s="315"/>
      <c r="B533" s="233"/>
      <c r="C533" s="233"/>
      <c r="D533" s="233"/>
      <c r="E533" s="316"/>
      <c r="F533" s="233"/>
      <c r="G533" s="233"/>
      <c r="H533" s="317"/>
      <c r="I533" s="317"/>
      <c r="J533" s="233"/>
      <c r="K533" s="233"/>
      <c r="L533" s="316"/>
      <c r="M533" s="233"/>
      <c r="N533" s="234"/>
      <c r="O533" s="251"/>
      <c r="P533" s="251"/>
      <c r="Q533" s="251"/>
      <c r="R533" s="251"/>
    </row>
    <row r="534" ht="15.75" hidden="1" customHeight="1">
      <c r="A534" s="318"/>
      <c r="B534" s="236"/>
      <c r="C534" s="236"/>
      <c r="D534" s="236"/>
      <c r="E534" s="314"/>
      <c r="F534" s="236"/>
      <c r="G534" s="236"/>
      <c r="H534" s="313"/>
      <c r="I534" s="313"/>
      <c r="J534" s="236"/>
      <c r="K534" s="236"/>
      <c r="L534" s="314"/>
      <c r="M534" s="236"/>
      <c r="N534" s="237"/>
      <c r="O534" s="251"/>
      <c r="P534" s="251"/>
      <c r="Q534" s="251"/>
      <c r="R534" s="251"/>
    </row>
    <row r="535" ht="15.75" hidden="1" customHeight="1">
      <c r="A535" s="315"/>
      <c r="B535" s="233"/>
      <c r="C535" s="233"/>
      <c r="D535" s="233"/>
      <c r="E535" s="316"/>
      <c r="F535" s="233"/>
      <c r="G535" s="233"/>
      <c r="H535" s="317"/>
      <c r="I535" s="317"/>
      <c r="J535" s="233"/>
      <c r="K535" s="233"/>
      <c r="L535" s="316"/>
      <c r="M535" s="233"/>
      <c r="N535" s="234"/>
      <c r="O535" s="251"/>
      <c r="P535" s="251"/>
      <c r="Q535" s="251"/>
      <c r="R535" s="251"/>
    </row>
    <row r="536" ht="15.75" hidden="1" customHeight="1">
      <c r="A536" s="318"/>
      <c r="B536" s="236"/>
      <c r="C536" s="236"/>
      <c r="D536" s="236"/>
      <c r="E536" s="314"/>
      <c r="F536" s="236"/>
      <c r="G536" s="236"/>
      <c r="H536" s="313"/>
      <c r="I536" s="313"/>
      <c r="J536" s="236"/>
      <c r="K536" s="236"/>
      <c r="L536" s="314"/>
      <c r="M536" s="236"/>
      <c r="N536" s="237"/>
      <c r="O536" s="251"/>
      <c r="P536" s="251"/>
      <c r="Q536" s="251"/>
      <c r="R536" s="251"/>
    </row>
    <row r="537" ht="15.75" hidden="1" customHeight="1">
      <c r="A537" s="315"/>
      <c r="B537" s="233"/>
      <c r="C537" s="233"/>
      <c r="D537" s="233"/>
      <c r="E537" s="316"/>
      <c r="F537" s="233"/>
      <c r="G537" s="233"/>
      <c r="H537" s="317"/>
      <c r="I537" s="317"/>
      <c r="J537" s="233"/>
      <c r="K537" s="233"/>
      <c r="L537" s="316"/>
      <c r="M537" s="233"/>
      <c r="N537" s="234"/>
      <c r="O537" s="251"/>
      <c r="P537" s="251"/>
      <c r="Q537" s="251"/>
      <c r="R537" s="251"/>
    </row>
    <row r="538" ht="15.75" hidden="1" customHeight="1">
      <c r="A538" s="318"/>
      <c r="B538" s="236"/>
      <c r="C538" s="236"/>
      <c r="D538" s="236"/>
      <c r="E538" s="314"/>
      <c r="F538" s="236"/>
      <c r="G538" s="236"/>
      <c r="H538" s="313"/>
      <c r="I538" s="313"/>
      <c r="J538" s="236"/>
      <c r="K538" s="236"/>
      <c r="L538" s="314"/>
      <c r="M538" s="236"/>
      <c r="N538" s="237"/>
      <c r="O538" s="251"/>
      <c r="P538" s="251"/>
      <c r="Q538" s="251"/>
      <c r="R538" s="251"/>
    </row>
    <row r="539" ht="15.75" hidden="1" customHeight="1">
      <c r="A539" s="315"/>
      <c r="B539" s="233"/>
      <c r="C539" s="233"/>
      <c r="D539" s="233"/>
      <c r="E539" s="316"/>
      <c r="F539" s="233"/>
      <c r="G539" s="233"/>
      <c r="H539" s="317"/>
      <c r="I539" s="317"/>
      <c r="J539" s="233"/>
      <c r="K539" s="233"/>
      <c r="L539" s="316"/>
      <c r="M539" s="233"/>
      <c r="N539" s="234"/>
      <c r="O539" s="251"/>
      <c r="P539" s="251"/>
      <c r="Q539" s="251"/>
      <c r="R539" s="251"/>
    </row>
    <row r="540" ht="15.75" hidden="1" customHeight="1">
      <c r="A540" s="318"/>
      <c r="B540" s="236"/>
      <c r="C540" s="236"/>
      <c r="D540" s="236"/>
      <c r="E540" s="314"/>
      <c r="F540" s="236"/>
      <c r="G540" s="236"/>
      <c r="H540" s="313"/>
      <c r="I540" s="313"/>
      <c r="J540" s="236"/>
      <c r="K540" s="236"/>
      <c r="L540" s="314"/>
      <c r="M540" s="236"/>
      <c r="N540" s="237"/>
      <c r="O540" s="251"/>
      <c r="P540" s="251"/>
      <c r="Q540" s="251"/>
      <c r="R540" s="251"/>
    </row>
    <row r="541" ht="15.75" hidden="1" customHeight="1">
      <c r="A541" s="315"/>
      <c r="B541" s="233"/>
      <c r="C541" s="233"/>
      <c r="D541" s="233"/>
      <c r="E541" s="316"/>
      <c r="F541" s="233"/>
      <c r="G541" s="233"/>
      <c r="H541" s="317"/>
      <c r="I541" s="317"/>
      <c r="J541" s="233"/>
      <c r="K541" s="233"/>
      <c r="L541" s="316"/>
      <c r="M541" s="233"/>
      <c r="N541" s="234"/>
      <c r="O541" s="251"/>
      <c r="P541" s="251"/>
      <c r="Q541" s="251"/>
      <c r="R541" s="251"/>
    </row>
    <row r="542" ht="15.75" hidden="1" customHeight="1">
      <c r="A542" s="318"/>
      <c r="B542" s="236"/>
      <c r="C542" s="236"/>
      <c r="D542" s="236"/>
      <c r="E542" s="314"/>
      <c r="F542" s="236"/>
      <c r="G542" s="236"/>
      <c r="H542" s="313"/>
      <c r="I542" s="313"/>
      <c r="J542" s="236"/>
      <c r="K542" s="236"/>
      <c r="L542" s="314"/>
      <c r="M542" s="236"/>
      <c r="N542" s="237"/>
      <c r="O542" s="251"/>
      <c r="P542" s="251"/>
      <c r="Q542" s="251"/>
      <c r="R542" s="251"/>
    </row>
    <row r="543" ht="15.75" hidden="1" customHeight="1">
      <c r="A543" s="315"/>
      <c r="B543" s="233"/>
      <c r="C543" s="233"/>
      <c r="D543" s="233"/>
      <c r="E543" s="316"/>
      <c r="F543" s="233"/>
      <c r="G543" s="233"/>
      <c r="H543" s="317"/>
      <c r="I543" s="317"/>
      <c r="J543" s="233"/>
      <c r="K543" s="233"/>
      <c r="L543" s="316"/>
      <c r="M543" s="233"/>
      <c r="N543" s="234"/>
      <c r="O543" s="251"/>
      <c r="P543" s="251"/>
      <c r="Q543" s="251"/>
      <c r="R543" s="251"/>
    </row>
    <row r="544" ht="15.75" hidden="1" customHeight="1">
      <c r="A544" s="318"/>
      <c r="B544" s="236"/>
      <c r="C544" s="236"/>
      <c r="D544" s="236"/>
      <c r="E544" s="314"/>
      <c r="F544" s="236"/>
      <c r="G544" s="236"/>
      <c r="H544" s="313"/>
      <c r="I544" s="313"/>
      <c r="J544" s="236"/>
      <c r="K544" s="236"/>
      <c r="L544" s="314"/>
      <c r="M544" s="236"/>
      <c r="N544" s="237"/>
      <c r="O544" s="251"/>
      <c r="P544" s="251"/>
      <c r="Q544" s="251"/>
      <c r="R544" s="251"/>
    </row>
    <row r="545" ht="15.75" hidden="1" customHeight="1">
      <c r="A545" s="315"/>
      <c r="B545" s="233"/>
      <c r="C545" s="233"/>
      <c r="D545" s="233"/>
      <c r="E545" s="316"/>
      <c r="F545" s="233"/>
      <c r="G545" s="233"/>
      <c r="H545" s="317"/>
      <c r="I545" s="317"/>
      <c r="J545" s="233"/>
      <c r="K545" s="233"/>
      <c r="L545" s="316"/>
      <c r="M545" s="233"/>
      <c r="N545" s="234"/>
      <c r="O545" s="251"/>
      <c r="P545" s="251"/>
      <c r="Q545" s="251"/>
      <c r="R545" s="251"/>
    </row>
    <row r="546" ht="15.75" hidden="1" customHeight="1">
      <c r="A546" s="318"/>
      <c r="B546" s="236"/>
      <c r="C546" s="236"/>
      <c r="D546" s="236"/>
      <c r="E546" s="314"/>
      <c r="F546" s="236"/>
      <c r="G546" s="236"/>
      <c r="H546" s="313"/>
      <c r="I546" s="313"/>
      <c r="J546" s="236"/>
      <c r="K546" s="236"/>
      <c r="L546" s="314"/>
      <c r="M546" s="236"/>
      <c r="N546" s="237"/>
      <c r="O546" s="251"/>
      <c r="P546" s="251"/>
      <c r="Q546" s="251"/>
      <c r="R546" s="251"/>
    </row>
    <row r="547" ht="15.75" hidden="1" customHeight="1">
      <c r="A547" s="315"/>
      <c r="B547" s="233"/>
      <c r="C547" s="233"/>
      <c r="D547" s="233"/>
      <c r="E547" s="316"/>
      <c r="F547" s="233"/>
      <c r="G547" s="233"/>
      <c r="H547" s="317"/>
      <c r="I547" s="317"/>
      <c r="J547" s="233"/>
      <c r="K547" s="233"/>
      <c r="L547" s="316"/>
      <c r="M547" s="233"/>
      <c r="N547" s="234"/>
      <c r="O547" s="251"/>
      <c r="P547" s="251"/>
      <c r="Q547" s="251"/>
      <c r="R547" s="251"/>
    </row>
    <row r="548" ht="15.75" hidden="1" customHeight="1">
      <c r="A548" s="318"/>
      <c r="B548" s="236"/>
      <c r="C548" s="236"/>
      <c r="D548" s="236"/>
      <c r="E548" s="314"/>
      <c r="F548" s="236"/>
      <c r="G548" s="236"/>
      <c r="H548" s="313"/>
      <c r="I548" s="313"/>
      <c r="J548" s="236"/>
      <c r="K548" s="236"/>
      <c r="L548" s="314"/>
      <c r="M548" s="236"/>
      <c r="N548" s="237"/>
      <c r="O548" s="251"/>
      <c r="P548" s="251"/>
      <c r="Q548" s="251"/>
      <c r="R548" s="251"/>
    </row>
    <row r="549" ht="15.75" hidden="1" customHeight="1">
      <c r="A549" s="315"/>
      <c r="B549" s="233"/>
      <c r="C549" s="233"/>
      <c r="D549" s="233"/>
      <c r="E549" s="316"/>
      <c r="F549" s="233"/>
      <c r="G549" s="233"/>
      <c r="H549" s="317"/>
      <c r="I549" s="317"/>
      <c r="J549" s="233"/>
      <c r="K549" s="233"/>
      <c r="L549" s="316"/>
      <c r="M549" s="233"/>
      <c r="N549" s="234"/>
      <c r="O549" s="251"/>
      <c r="P549" s="251"/>
      <c r="Q549" s="251"/>
      <c r="R549" s="251"/>
    </row>
    <row r="550" ht="15.75" hidden="1" customHeight="1">
      <c r="A550" s="318"/>
      <c r="B550" s="236"/>
      <c r="C550" s="236"/>
      <c r="D550" s="236"/>
      <c r="E550" s="314"/>
      <c r="F550" s="236"/>
      <c r="G550" s="236"/>
      <c r="H550" s="313"/>
      <c r="I550" s="313"/>
      <c r="J550" s="236"/>
      <c r="K550" s="236"/>
      <c r="L550" s="314"/>
      <c r="M550" s="236"/>
      <c r="N550" s="237"/>
      <c r="O550" s="251"/>
      <c r="P550" s="251"/>
      <c r="Q550" s="251"/>
      <c r="R550" s="251"/>
    </row>
    <row r="551" ht="15.75" hidden="1" customHeight="1">
      <c r="A551" s="315"/>
      <c r="B551" s="233"/>
      <c r="C551" s="233"/>
      <c r="D551" s="233"/>
      <c r="E551" s="316"/>
      <c r="F551" s="233"/>
      <c r="G551" s="233"/>
      <c r="H551" s="317"/>
      <c r="I551" s="317"/>
      <c r="J551" s="233"/>
      <c r="K551" s="233"/>
      <c r="L551" s="316"/>
      <c r="M551" s="233"/>
      <c r="N551" s="234"/>
      <c r="O551" s="251"/>
      <c r="P551" s="251"/>
      <c r="Q551" s="251"/>
      <c r="R551" s="251"/>
    </row>
    <row r="552" ht="15.75" hidden="1" customHeight="1">
      <c r="A552" s="318"/>
      <c r="B552" s="236"/>
      <c r="C552" s="236"/>
      <c r="D552" s="236"/>
      <c r="E552" s="314"/>
      <c r="F552" s="236"/>
      <c r="G552" s="236"/>
      <c r="H552" s="313"/>
      <c r="I552" s="313"/>
      <c r="J552" s="236"/>
      <c r="K552" s="236"/>
      <c r="L552" s="314"/>
      <c r="M552" s="236"/>
      <c r="N552" s="237"/>
      <c r="O552" s="251"/>
      <c r="P552" s="251"/>
      <c r="Q552" s="251"/>
      <c r="R552" s="251"/>
    </row>
    <row r="553" ht="15.75" hidden="1" customHeight="1">
      <c r="A553" s="315"/>
      <c r="B553" s="233"/>
      <c r="C553" s="233"/>
      <c r="D553" s="233"/>
      <c r="E553" s="316"/>
      <c r="F553" s="233"/>
      <c r="G553" s="233"/>
      <c r="H553" s="317"/>
      <c r="I553" s="317"/>
      <c r="J553" s="233"/>
      <c r="K553" s="233"/>
      <c r="L553" s="316"/>
      <c r="M553" s="233"/>
      <c r="N553" s="234"/>
      <c r="O553" s="251"/>
      <c r="P553" s="251"/>
      <c r="Q553" s="251"/>
      <c r="R553" s="251"/>
    </row>
    <row r="554" ht="15.75" hidden="1" customHeight="1">
      <c r="A554" s="318"/>
      <c r="B554" s="236"/>
      <c r="C554" s="236"/>
      <c r="D554" s="236"/>
      <c r="E554" s="314"/>
      <c r="F554" s="236"/>
      <c r="G554" s="236"/>
      <c r="H554" s="313"/>
      <c r="I554" s="313"/>
      <c r="J554" s="236"/>
      <c r="K554" s="236"/>
      <c r="L554" s="314"/>
      <c r="M554" s="236"/>
      <c r="N554" s="237"/>
      <c r="O554" s="251"/>
      <c r="P554" s="251"/>
      <c r="Q554" s="251"/>
      <c r="R554" s="251"/>
    </row>
    <row r="555" ht="15.75" hidden="1" customHeight="1">
      <c r="A555" s="315"/>
      <c r="B555" s="233"/>
      <c r="C555" s="233"/>
      <c r="D555" s="233"/>
      <c r="E555" s="316"/>
      <c r="F555" s="233"/>
      <c r="G555" s="233"/>
      <c r="H555" s="317"/>
      <c r="I555" s="317"/>
      <c r="J555" s="233"/>
      <c r="K555" s="233"/>
      <c r="L555" s="316"/>
      <c r="M555" s="233"/>
      <c r="N555" s="234"/>
      <c r="O555" s="251"/>
      <c r="P555" s="251"/>
      <c r="Q555" s="251"/>
      <c r="R555" s="251"/>
    </row>
    <row r="556" ht="15.75" hidden="1" customHeight="1">
      <c r="A556" s="318"/>
      <c r="B556" s="236"/>
      <c r="C556" s="236"/>
      <c r="D556" s="236"/>
      <c r="E556" s="314"/>
      <c r="F556" s="236"/>
      <c r="G556" s="236"/>
      <c r="H556" s="313"/>
      <c r="I556" s="313"/>
      <c r="J556" s="236"/>
      <c r="K556" s="236"/>
      <c r="L556" s="314"/>
      <c r="M556" s="236"/>
      <c r="N556" s="237"/>
      <c r="O556" s="251"/>
      <c r="P556" s="251"/>
      <c r="Q556" s="251"/>
      <c r="R556" s="251"/>
    </row>
    <row r="557" ht="15.75" hidden="1" customHeight="1">
      <c r="A557" s="315"/>
      <c r="B557" s="233"/>
      <c r="C557" s="233"/>
      <c r="D557" s="233"/>
      <c r="E557" s="316"/>
      <c r="F557" s="233"/>
      <c r="G557" s="233"/>
      <c r="H557" s="317"/>
      <c r="I557" s="317"/>
      <c r="J557" s="233"/>
      <c r="K557" s="233"/>
      <c r="L557" s="316"/>
      <c r="M557" s="233"/>
      <c r="N557" s="234"/>
      <c r="O557" s="251"/>
      <c r="P557" s="251"/>
      <c r="Q557" s="251"/>
      <c r="R557" s="251"/>
    </row>
    <row r="558" ht="15.75" hidden="1" customHeight="1">
      <c r="A558" s="318"/>
      <c r="B558" s="236"/>
      <c r="C558" s="236"/>
      <c r="D558" s="236"/>
      <c r="E558" s="314"/>
      <c r="F558" s="236"/>
      <c r="G558" s="236"/>
      <c r="H558" s="313"/>
      <c r="I558" s="313"/>
      <c r="J558" s="236"/>
      <c r="K558" s="236"/>
      <c r="L558" s="314"/>
      <c r="M558" s="236"/>
      <c r="N558" s="237"/>
      <c r="O558" s="251"/>
      <c r="P558" s="251"/>
      <c r="Q558" s="251"/>
      <c r="R558" s="251"/>
    </row>
    <row r="559" ht="15.75" hidden="1" customHeight="1">
      <c r="A559" s="315"/>
      <c r="B559" s="233"/>
      <c r="C559" s="233"/>
      <c r="D559" s="233"/>
      <c r="E559" s="316"/>
      <c r="F559" s="233"/>
      <c r="G559" s="233"/>
      <c r="H559" s="317"/>
      <c r="I559" s="317"/>
      <c r="J559" s="233"/>
      <c r="K559" s="233"/>
      <c r="L559" s="316"/>
      <c r="M559" s="233"/>
      <c r="N559" s="234"/>
      <c r="O559" s="251"/>
      <c r="P559" s="251"/>
      <c r="Q559" s="251"/>
      <c r="R559" s="251"/>
    </row>
    <row r="560" ht="15.75" hidden="1" customHeight="1">
      <c r="A560" s="318"/>
      <c r="B560" s="236"/>
      <c r="C560" s="236"/>
      <c r="D560" s="236"/>
      <c r="E560" s="314"/>
      <c r="F560" s="236"/>
      <c r="G560" s="236"/>
      <c r="H560" s="313"/>
      <c r="I560" s="313"/>
      <c r="J560" s="236"/>
      <c r="K560" s="236"/>
      <c r="L560" s="314"/>
      <c r="M560" s="236"/>
      <c r="N560" s="237"/>
      <c r="O560" s="251"/>
      <c r="P560" s="251"/>
      <c r="Q560" s="251"/>
      <c r="R560" s="251"/>
    </row>
    <row r="561" ht="15.75" hidden="1" customHeight="1">
      <c r="A561" s="315"/>
      <c r="B561" s="233"/>
      <c r="C561" s="233"/>
      <c r="D561" s="233"/>
      <c r="E561" s="316"/>
      <c r="F561" s="233"/>
      <c r="G561" s="233"/>
      <c r="H561" s="317"/>
      <c r="I561" s="317"/>
      <c r="J561" s="233"/>
      <c r="K561" s="233"/>
      <c r="L561" s="316"/>
      <c r="M561" s="233"/>
      <c r="N561" s="234"/>
      <c r="O561" s="251"/>
      <c r="P561" s="251"/>
      <c r="Q561" s="251"/>
      <c r="R561" s="251"/>
    </row>
    <row r="562" ht="15.75" hidden="1" customHeight="1">
      <c r="A562" s="318"/>
      <c r="B562" s="236"/>
      <c r="C562" s="236"/>
      <c r="D562" s="236"/>
      <c r="E562" s="314"/>
      <c r="F562" s="236"/>
      <c r="G562" s="236"/>
      <c r="H562" s="313"/>
      <c r="I562" s="313"/>
      <c r="J562" s="236"/>
      <c r="K562" s="236"/>
      <c r="L562" s="314"/>
      <c r="M562" s="236"/>
      <c r="N562" s="237"/>
      <c r="O562" s="251"/>
      <c r="P562" s="251"/>
      <c r="Q562" s="251"/>
      <c r="R562" s="251"/>
    </row>
    <row r="563" ht="15.75" hidden="1" customHeight="1">
      <c r="A563" s="315"/>
      <c r="B563" s="233"/>
      <c r="C563" s="233"/>
      <c r="D563" s="233"/>
      <c r="E563" s="316"/>
      <c r="F563" s="233"/>
      <c r="G563" s="233"/>
      <c r="H563" s="317"/>
      <c r="I563" s="317"/>
      <c r="J563" s="233"/>
      <c r="K563" s="233"/>
      <c r="L563" s="316"/>
      <c r="M563" s="233"/>
      <c r="N563" s="234"/>
      <c r="O563" s="251"/>
      <c r="P563" s="251"/>
      <c r="Q563" s="251"/>
      <c r="R563" s="251"/>
    </row>
    <row r="564" ht="15.75" hidden="1" customHeight="1">
      <c r="A564" s="318"/>
      <c r="B564" s="236"/>
      <c r="C564" s="236"/>
      <c r="D564" s="236"/>
      <c r="E564" s="314"/>
      <c r="F564" s="236"/>
      <c r="G564" s="236"/>
      <c r="H564" s="313"/>
      <c r="I564" s="313"/>
      <c r="J564" s="236"/>
      <c r="K564" s="236"/>
      <c r="L564" s="314"/>
      <c r="M564" s="236"/>
      <c r="N564" s="237"/>
      <c r="O564" s="251"/>
      <c r="P564" s="251"/>
      <c r="Q564" s="251"/>
      <c r="R564" s="251"/>
    </row>
    <row r="565" ht="15.75" hidden="1" customHeight="1">
      <c r="A565" s="315"/>
      <c r="B565" s="233"/>
      <c r="C565" s="233"/>
      <c r="D565" s="233"/>
      <c r="E565" s="316"/>
      <c r="F565" s="233"/>
      <c r="G565" s="233"/>
      <c r="H565" s="317"/>
      <c r="I565" s="317"/>
      <c r="J565" s="233"/>
      <c r="K565" s="233"/>
      <c r="L565" s="316"/>
      <c r="M565" s="233"/>
      <c r="N565" s="234"/>
      <c r="O565" s="251"/>
      <c r="P565" s="251"/>
      <c r="Q565" s="251"/>
      <c r="R565" s="251"/>
    </row>
    <row r="566" ht="15.75" hidden="1" customHeight="1">
      <c r="A566" s="318"/>
      <c r="B566" s="236"/>
      <c r="C566" s="236"/>
      <c r="D566" s="236"/>
      <c r="E566" s="314"/>
      <c r="F566" s="236"/>
      <c r="G566" s="236"/>
      <c r="H566" s="313"/>
      <c r="I566" s="313"/>
      <c r="J566" s="236"/>
      <c r="K566" s="236"/>
      <c r="L566" s="314"/>
      <c r="M566" s="236"/>
      <c r="N566" s="237"/>
      <c r="O566" s="251"/>
      <c r="P566" s="251"/>
      <c r="Q566" s="251"/>
      <c r="R566" s="251"/>
    </row>
    <row r="567" ht="15.75" hidden="1" customHeight="1">
      <c r="A567" s="315"/>
      <c r="B567" s="233"/>
      <c r="C567" s="233"/>
      <c r="D567" s="233"/>
      <c r="E567" s="316"/>
      <c r="F567" s="233"/>
      <c r="G567" s="233"/>
      <c r="H567" s="317"/>
      <c r="I567" s="317"/>
      <c r="J567" s="233"/>
      <c r="K567" s="233"/>
      <c r="L567" s="316"/>
      <c r="M567" s="233"/>
      <c r="N567" s="234"/>
      <c r="O567" s="251"/>
      <c r="P567" s="251"/>
      <c r="Q567" s="251"/>
      <c r="R567" s="251"/>
    </row>
    <row r="568" ht="15.75" hidden="1" customHeight="1">
      <c r="A568" s="318"/>
      <c r="B568" s="236"/>
      <c r="C568" s="236"/>
      <c r="D568" s="236"/>
      <c r="E568" s="314"/>
      <c r="F568" s="236"/>
      <c r="G568" s="236"/>
      <c r="H568" s="313"/>
      <c r="I568" s="313"/>
      <c r="J568" s="236"/>
      <c r="K568" s="236"/>
      <c r="L568" s="314"/>
      <c r="M568" s="236"/>
      <c r="N568" s="237"/>
      <c r="O568" s="251"/>
      <c r="P568" s="251"/>
      <c r="Q568" s="251"/>
      <c r="R568" s="251"/>
    </row>
    <row r="569" ht="15.75" hidden="1" customHeight="1">
      <c r="A569" s="315"/>
      <c r="B569" s="233"/>
      <c r="C569" s="233"/>
      <c r="D569" s="233"/>
      <c r="E569" s="316"/>
      <c r="F569" s="233"/>
      <c r="G569" s="233"/>
      <c r="H569" s="317"/>
      <c r="I569" s="317"/>
      <c r="J569" s="233"/>
      <c r="K569" s="233"/>
      <c r="L569" s="316"/>
      <c r="M569" s="233"/>
      <c r="N569" s="234"/>
      <c r="O569" s="251"/>
      <c r="P569" s="251"/>
      <c r="Q569" s="251"/>
      <c r="R569" s="251"/>
    </row>
    <row r="570" ht="15.75" hidden="1" customHeight="1">
      <c r="A570" s="318"/>
      <c r="B570" s="236"/>
      <c r="C570" s="236"/>
      <c r="D570" s="236"/>
      <c r="E570" s="314"/>
      <c r="F570" s="236"/>
      <c r="G570" s="236"/>
      <c r="H570" s="313"/>
      <c r="I570" s="313"/>
      <c r="J570" s="236"/>
      <c r="K570" s="236"/>
      <c r="L570" s="314"/>
      <c r="M570" s="236"/>
      <c r="N570" s="237"/>
      <c r="O570" s="251"/>
      <c r="P570" s="251"/>
      <c r="Q570" s="251"/>
      <c r="R570" s="251"/>
    </row>
    <row r="571" ht="15.75" hidden="1" customHeight="1">
      <c r="A571" s="315"/>
      <c r="B571" s="233"/>
      <c r="C571" s="233"/>
      <c r="D571" s="233"/>
      <c r="E571" s="316"/>
      <c r="F571" s="233"/>
      <c r="G571" s="233"/>
      <c r="H571" s="317"/>
      <c r="I571" s="317"/>
      <c r="J571" s="233"/>
      <c r="K571" s="233"/>
      <c r="L571" s="316"/>
      <c r="M571" s="233"/>
      <c r="N571" s="234"/>
      <c r="O571" s="251"/>
      <c r="P571" s="251"/>
      <c r="Q571" s="251"/>
      <c r="R571" s="251"/>
    </row>
    <row r="572" ht="15.75" hidden="1" customHeight="1">
      <c r="A572" s="318"/>
      <c r="B572" s="236"/>
      <c r="C572" s="236"/>
      <c r="D572" s="236"/>
      <c r="E572" s="314"/>
      <c r="F572" s="236"/>
      <c r="G572" s="236"/>
      <c r="H572" s="313"/>
      <c r="I572" s="313"/>
      <c r="J572" s="236"/>
      <c r="K572" s="236"/>
      <c r="L572" s="314"/>
      <c r="M572" s="236"/>
      <c r="N572" s="237"/>
      <c r="O572" s="251"/>
      <c r="P572" s="251"/>
      <c r="Q572" s="251"/>
      <c r="R572" s="251"/>
    </row>
    <row r="573" ht="15.75" hidden="1" customHeight="1">
      <c r="A573" s="315"/>
      <c r="B573" s="233"/>
      <c r="C573" s="233"/>
      <c r="D573" s="233"/>
      <c r="E573" s="316"/>
      <c r="F573" s="233"/>
      <c r="G573" s="233"/>
      <c r="H573" s="317"/>
      <c r="I573" s="317"/>
      <c r="J573" s="233"/>
      <c r="K573" s="233"/>
      <c r="L573" s="316"/>
      <c r="M573" s="233"/>
      <c r="N573" s="234"/>
      <c r="O573" s="251"/>
      <c r="P573" s="251"/>
      <c r="Q573" s="251"/>
      <c r="R573" s="251"/>
    </row>
    <row r="574" ht="15.75" hidden="1" customHeight="1">
      <c r="A574" s="318"/>
      <c r="B574" s="236"/>
      <c r="C574" s="236"/>
      <c r="D574" s="236"/>
      <c r="E574" s="314"/>
      <c r="F574" s="236"/>
      <c r="G574" s="236"/>
      <c r="H574" s="313"/>
      <c r="I574" s="313"/>
      <c r="J574" s="236"/>
      <c r="K574" s="236"/>
      <c r="L574" s="314"/>
      <c r="M574" s="236"/>
      <c r="N574" s="237"/>
      <c r="O574" s="251"/>
      <c r="P574" s="251"/>
      <c r="Q574" s="251"/>
      <c r="R574" s="251"/>
    </row>
    <row r="575" ht="15.75" hidden="1" customHeight="1">
      <c r="A575" s="315"/>
      <c r="B575" s="233"/>
      <c r="C575" s="233"/>
      <c r="D575" s="233"/>
      <c r="E575" s="316"/>
      <c r="F575" s="233"/>
      <c r="G575" s="233"/>
      <c r="H575" s="317"/>
      <c r="I575" s="317"/>
      <c r="J575" s="233"/>
      <c r="K575" s="233"/>
      <c r="L575" s="316"/>
      <c r="M575" s="233"/>
      <c r="N575" s="234"/>
      <c r="O575" s="251"/>
      <c r="P575" s="251"/>
      <c r="Q575" s="251"/>
      <c r="R575" s="251"/>
    </row>
    <row r="576" ht="15.75" hidden="1" customHeight="1">
      <c r="A576" s="318"/>
      <c r="B576" s="236"/>
      <c r="C576" s="236"/>
      <c r="D576" s="236"/>
      <c r="E576" s="314"/>
      <c r="F576" s="236"/>
      <c r="G576" s="236"/>
      <c r="H576" s="313"/>
      <c r="I576" s="313"/>
      <c r="J576" s="236"/>
      <c r="K576" s="236"/>
      <c r="L576" s="314"/>
      <c r="M576" s="236"/>
      <c r="N576" s="237"/>
      <c r="O576" s="251"/>
      <c r="P576" s="251"/>
      <c r="Q576" s="251"/>
      <c r="R576" s="251"/>
    </row>
    <row r="577" ht="15.75" hidden="1" customHeight="1">
      <c r="A577" s="315"/>
      <c r="B577" s="233"/>
      <c r="C577" s="233"/>
      <c r="D577" s="233"/>
      <c r="E577" s="316"/>
      <c r="F577" s="233"/>
      <c r="G577" s="233"/>
      <c r="H577" s="317"/>
      <c r="I577" s="317"/>
      <c r="J577" s="233"/>
      <c r="K577" s="233"/>
      <c r="L577" s="316"/>
      <c r="M577" s="233"/>
      <c r="N577" s="234"/>
      <c r="O577" s="251"/>
      <c r="P577" s="251"/>
      <c r="Q577" s="251"/>
      <c r="R577" s="251"/>
    </row>
    <row r="578" ht="15.75" hidden="1" customHeight="1">
      <c r="A578" s="318"/>
      <c r="B578" s="236"/>
      <c r="C578" s="236"/>
      <c r="D578" s="236"/>
      <c r="E578" s="314"/>
      <c r="F578" s="236"/>
      <c r="G578" s="236"/>
      <c r="H578" s="313"/>
      <c r="I578" s="313"/>
      <c r="J578" s="236"/>
      <c r="K578" s="236"/>
      <c r="L578" s="314"/>
      <c r="M578" s="236"/>
      <c r="N578" s="237"/>
      <c r="O578" s="251"/>
      <c r="P578" s="251"/>
      <c r="Q578" s="251"/>
      <c r="R578" s="251"/>
    </row>
    <row r="579" ht="15.75" hidden="1" customHeight="1">
      <c r="A579" s="315"/>
      <c r="B579" s="233"/>
      <c r="C579" s="233"/>
      <c r="D579" s="233"/>
      <c r="E579" s="316"/>
      <c r="F579" s="233"/>
      <c r="G579" s="233"/>
      <c r="H579" s="317"/>
      <c r="I579" s="317"/>
      <c r="J579" s="233"/>
      <c r="K579" s="233"/>
      <c r="L579" s="316"/>
      <c r="M579" s="233"/>
      <c r="N579" s="234"/>
      <c r="O579" s="251"/>
      <c r="P579" s="251"/>
      <c r="Q579" s="251"/>
      <c r="R579" s="251"/>
    </row>
    <row r="580" ht="15.75" hidden="1" customHeight="1">
      <c r="A580" s="318"/>
      <c r="B580" s="236"/>
      <c r="C580" s="236"/>
      <c r="D580" s="236"/>
      <c r="E580" s="314"/>
      <c r="F580" s="236"/>
      <c r="G580" s="236"/>
      <c r="H580" s="313"/>
      <c r="I580" s="313"/>
      <c r="J580" s="236"/>
      <c r="K580" s="236"/>
      <c r="L580" s="314"/>
      <c r="M580" s="236"/>
      <c r="N580" s="237"/>
      <c r="O580" s="251"/>
      <c r="P580" s="251"/>
      <c r="Q580" s="251"/>
      <c r="R580" s="251"/>
    </row>
    <row r="581" ht="15.75" hidden="1" customHeight="1">
      <c r="A581" s="315"/>
      <c r="B581" s="233"/>
      <c r="C581" s="233"/>
      <c r="D581" s="233"/>
      <c r="E581" s="316"/>
      <c r="F581" s="233"/>
      <c r="G581" s="233"/>
      <c r="H581" s="317"/>
      <c r="I581" s="317"/>
      <c r="J581" s="233"/>
      <c r="K581" s="233"/>
      <c r="L581" s="316"/>
      <c r="M581" s="233"/>
      <c r="N581" s="234"/>
      <c r="O581" s="251"/>
      <c r="P581" s="251"/>
      <c r="Q581" s="251"/>
      <c r="R581" s="251"/>
    </row>
    <row r="582" ht="15.75" hidden="1" customHeight="1">
      <c r="A582" s="318"/>
      <c r="B582" s="236"/>
      <c r="C582" s="236"/>
      <c r="D582" s="236"/>
      <c r="E582" s="314"/>
      <c r="F582" s="236"/>
      <c r="G582" s="236"/>
      <c r="H582" s="313"/>
      <c r="I582" s="313"/>
      <c r="J582" s="236"/>
      <c r="K582" s="236"/>
      <c r="L582" s="314"/>
      <c r="M582" s="236"/>
      <c r="N582" s="237"/>
      <c r="O582" s="251"/>
      <c r="P582" s="251"/>
      <c r="Q582" s="251"/>
      <c r="R582" s="251"/>
    </row>
    <row r="583" ht="15.75" hidden="1" customHeight="1">
      <c r="A583" s="315"/>
      <c r="B583" s="233"/>
      <c r="C583" s="233"/>
      <c r="D583" s="233"/>
      <c r="E583" s="316"/>
      <c r="F583" s="233"/>
      <c r="G583" s="233"/>
      <c r="H583" s="317"/>
      <c r="I583" s="317"/>
      <c r="J583" s="233"/>
      <c r="K583" s="233"/>
      <c r="L583" s="316"/>
      <c r="M583" s="233"/>
      <c r="N583" s="234"/>
      <c r="O583" s="251"/>
      <c r="P583" s="251"/>
      <c r="Q583" s="251"/>
      <c r="R583" s="251"/>
    </row>
    <row r="584" ht="15.75" hidden="1" customHeight="1">
      <c r="A584" s="318"/>
      <c r="B584" s="236"/>
      <c r="C584" s="236"/>
      <c r="D584" s="236"/>
      <c r="E584" s="314"/>
      <c r="F584" s="236"/>
      <c r="G584" s="236"/>
      <c r="H584" s="313"/>
      <c r="I584" s="313"/>
      <c r="J584" s="236"/>
      <c r="K584" s="236"/>
      <c r="L584" s="314"/>
      <c r="M584" s="236"/>
      <c r="N584" s="237"/>
      <c r="O584" s="251"/>
      <c r="P584" s="251"/>
      <c r="Q584" s="251"/>
      <c r="R584" s="251"/>
    </row>
    <row r="585" ht="15.75" hidden="1" customHeight="1">
      <c r="A585" s="315"/>
      <c r="B585" s="233"/>
      <c r="C585" s="233"/>
      <c r="D585" s="233"/>
      <c r="E585" s="316"/>
      <c r="F585" s="233"/>
      <c r="G585" s="233"/>
      <c r="H585" s="317"/>
      <c r="I585" s="317"/>
      <c r="J585" s="233"/>
      <c r="K585" s="233"/>
      <c r="L585" s="316"/>
      <c r="M585" s="233"/>
      <c r="N585" s="234"/>
      <c r="O585" s="251"/>
      <c r="P585" s="251"/>
      <c r="Q585" s="251"/>
      <c r="R585" s="251"/>
    </row>
    <row r="586" ht="15.75" hidden="1" customHeight="1">
      <c r="A586" s="318"/>
      <c r="B586" s="236"/>
      <c r="C586" s="236"/>
      <c r="D586" s="236"/>
      <c r="E586" s="314"/>
      <c r="F586" s="236"/>
      <c r="G586" s="236"/>
      <c r="H586" s="313"/>
      <c r="I586" s="313"/>
      <c r="J586" s="236"/>
      <c r="K586" s="236"/>
      <c r="L586" s="314"/>
      <c r="M586" s="236"/>
      <c r="N586" s="237"/>
      <c r="O586" s="251"/>
      <c r="P586" s="251"/>
      <c r="Q586" s="251"/>
      <c r="R586" s="251"/>
    </row>
    <row r="587" ht="15.75" hidden="1" customHeight="1">
      <c r="A587" s="315"/>
      <c r="B587" s="233"/>
      <c r="C587" s="233"/>
      <c r="D587" s="233"/>
      <c r="E587" s="316"/>
      <c r="F587" s="233"/>
      <c r="G587" s="233"/>
      <c r="H587" s="317"/>
      <c r="I587" s="317"/>
      <c r="J587" s="233"/>
      <c r="K587" s="233"/>
      <c r="L587" s="316"/>
      <c r="M587" s="233"/>
      <c r="N587" s="234"/>
      <c r="O587" s="251"/>
      <c r="P587" s="251"/>
      <c r="Q587" s="251"/>
      <c r="R587" s="251"/>
    </row>
    <row r="588" ht="15.75" hidden="1" customHeight="1">
      <c r="A588" s="318"/>
      <c r="B588" s="236"/>
      <c r="C588" s="236"/>
      <c r="D588" s="236"/>
      <c r="E588" s="314"/>
      <c r="F588" s="236"/>
      <c r="G588" s="236"/>
      <c r="H588" s="313"/>
      <c r="I588" s="313"/>
      <c r="J588" s="236"/>
      <c r="K588" s="236"/>
      <c r="L588" s="314"/>
      <c r="M588" s="236"/>
      <c r="N588" s="237"/>
      <c r="O588" s="251"/>
      <c r="P588" s="251"/>
      <c r="Q588" s="251"/>
      <c r="R588" s="251"/>
    </row>
    <row r="589" ht="15.75" hidden="1" customHeight="1">
      <c r="A589" s="315"/>
      <c r="B589" s="233"/>
      <c r="C589" s="233"/>
      <c r="D589" s="233"/>
      <c r="E589" s="316"/>
      <c r="F589" s="233"/>
      <c r="G589" s="233"/>
      <c r="H589" s="317"/>
      <c r="I589" s="317"/>
      <c r="J589" s="233"/>
      <c r="K589" s="233"/>
      <c r="L589" s="316"/>
      <c r="M589" s="233"/>
      <c r="N589" s="234"/>
      <c r="O589" s="251"/>
      <c r="P589" s="251"/>
      <c r="Q589" s="251"/>
      <c r="R589" s="251"/>
    </row>
    <row r="590" ht="15.75" hidden="1" customHeight="1">
      <c r="A590" s="318"/>
      <c r="B590" s="236"/>
      <c r="C590" s="236"/>
      <c r="D590" s="236"/>
      <c r="E590" s="314"/>
      <c r="F590" s="236"/>
      <c r="G590" s="236"/>
      <c r="H590" s="313"/>
      <c r="I590" s="313"/>
      <c r="J590" s="236"/>
      <c r="K590" s="236"/>
      <c r="L590" s="314"/>
      <c r="M590" s="236"/>
      <c r="N590" s="237"/>
      <c r="O590" s="251"/>
      <c r="P590" s="251"/>
      <c r="Q590" s="251"/>
      <c r="R590" s="251"/>
    </row>
    <row r="591" ht="15.75" hidden="1" customHeight="1">
      <c r="A591" s="315"/>
      <c r="B591" s="233"/>
      <c r="C591" s="233"/>
      <c r="D591" s="233"/>
      <c r="E591" s="316"/>
      <c r="F591" s="233"/>
      <c r="G591" s="233"/>
      <c r="H591" s="317"/>
      <c r="I591" s="317"/>
      <c r="J591" s="233"/>
      <c r="K591" s="233"/>
      <c r="L591" s="316"/>
      <c r="M591" s="233"/>
      <c r="N591" s="234"/>
      <c r="O591" s="251"/>
      <c r="P591" s="251"/>
      <c r="Q591" s="251"/>
      <c r="R591" s="251"/>
    </row>
    <row r="592" ht="15.75" hidden="1" customHeight="1">
      <c r="A592" s="318"/>
      <c r="B592" s="236"/>
      <c r="C592" s="236"/>
      <c r="D592" s="236"/>
      <c r="E592" s="314"/>
      <c r="F592" s="236"/>
      <c r="G592" s="236"/>
      <c r="H592" s="313"/>
      <c r="I592" s="313"/>
      <c r="J592" s="236"/>
      <c r="K592" s="236"/>
      <c r="L592" s="314"/>
      <c r="M592" s="236"/>
      <c r="N592" s="237"/>
      <c r="O592" s="251"/>
      <c r="P592" s="251"/>
      <c r="Q592" s="251"/>
      <c r="R592" s="251"/>
    </row>
    <row r="593" ht="15.75" hidden="1" customHeight="1">
      <c r="A593" s="315"/>
      <c r="B593" s="233"/>
      <c r="C593" s="233"/>
      <c r="D593" s="233"/>
      <c r="E593" s="316"/>
      <c r="F593" s="233"/>
      <c r="G593" s="233"/>
      <c r="H593" s="317"/>
      <c r="I593" s="317"/>
      <c r="J593" s="233"/>
      <c r="K593" s="233"/>
      <c r="L593" s="316"/>
      <c r="M593" s="233"/>
      <c r="N593" s="234"/>
      <c r="O593" s="251"/>
      <c r="P593" s="251"/>
      <c r="Q593" s="251"/>
      <c r="R593" s="251"/>
    </row>
    <row r="594" ht="15.75" hidden="1" customHeight="1">
      <c r="A594" s="318"/>
      <c r="B594" s="236"/>
      <c r="C594" s="236"/>
      <c r="D594" s="236"/>
      <c r="E594" s="314"/>
      <c r="F594" s="236"/>
      <c r="G594" s="236"/>
      <c r="H594" s="313"/>
      <c r="I594" s="313"/>
      <c r="J594" s="236"/>
      <c r="K594" s="236"/>
      <c r="L594" s="314"/>
      <c r="M594" s="236"/>
      <c r="N594" s="237"/>
      <c r="O594" s="251"/>
      <c r="P594" s="251"/>
      <c r="Q594" s="251"/>
      <c r="R594" s="251"/>
    </row>
    <row r="595" ht="15.75" hidden="1" customHeight="1">
      <c r="A595" s="315"/>
      <c r="B595" s="233"/>
      <c r="C595" s="233"/>
      <c r="D595" s="233"/>
      <c r="E595" s="316"/>
      <c r="F595" s="233"/>
      <c r="G595" s="233"/>
      <c r="H595" s="317"/>
      <c r="I595" s="317"/>
      <c r="J595" s="233"/>
      <c r="K595" s="233"/>
      <c r="L595" s="316"/>
      <c r="M595" s="233"/>
      <c r="N595" s="234"/>
      <c r="O595" s="251"/>
      <c r="P595" s="251"/>
      <c r="Q595" s="251"/>
      <c r="R595" s="251"/>
    </row>
    <row r="596" ht="15.75" hidden="1" customHeight="1">
      <c r="A596" s="318"/>
      <c r="B596" s="236"/>
      <c r="C596" s="236"/>
      <c r="D596" s="236"/>
      <c r="E596" s="314"/>
      <c r="F596" s="236"/>
      <c r="G596" s="236"/>
      <c r="H596" s="313"/>
      <c r="I596" s="313"/>
      <c r="J596" s="236"/>
      <c r="K596" s="236"/>
      <c r="L596" s="314"/>
      <c r="M596" s="236"/>
      <c r="N596" s="237"/>
      <c r="O596" s="251"/>
      <c r="P596" s="251"/>
      <c r="Q596" s="251"/>
      <c r="R596" s="251"/>
    </row>
    <row r="597" ht="15.75" hidden="1" customHeight="1">
      <c r="A597" s="315"/>
      <c r="B597" s="233"/>
      <c r="C597" s="233"/>
      <c r="D597" s="233"/>
      <c r="E597" s="316"/>
      <c r="F597" s="233"/>
      <c r="G597" s="233"/>
      <c r="H597" s="317"/>
      <c r="I597" s="317"/>
      <c r="J597" s="233"/>
      <c r="K597" s="233"/>
      <c r="L597" s="316"/>
      <c r="M597" s="233"/>
      <c r="N597" s="234"/>
      <c r="O597" s="251"/>
      <c r="P597" s="251"/>
      <c r="Q597" s="251"/>
      <c r="R597" s="251"/>
    </row>
    <row r="598" ht="15.75" hidden="1" customHeight="1">
      <c r="A598" s="318"/>
      <c r="B598" s="236"/>
      <c r="C598" s="236"/>
      <c r="D598" s="236"/>
      <c r="E598" s="314"/>
      <c r="F598" s="236"/>
      <c r="G598" s="236"/>
      <c r="H598" s="313"/>
      <c r="I598" s="313"/>
      <c r="J598" s="236"/>
      <c r="K598" s="236"/>
      <c r="L598" s="314"/>
      <c r="M598" s="236"/>
      <c r="N598" s="237"/>
      <c r="O598" s="251"/>
      <c r="P598" s="251"/>
      <c r="Q598" s="251"/>
      <c r="R598" s="251"/>
    </row>
    <row r="599" ht="15.75" hidden="1" customHeight="1">
      <c r="A599" s="315"/>
      <c r="B599" s="233"/>
      <c r="C599" s="233"/>
      <c r="D599" s="233"/>
      <c r="E599" s="316"/>
      <c r="F599" s="233"/>
      <c r="G599" s="233"/>
      <c r="H599" s="317"/>
      <c r="I599" s="317"/>
      <c r="J599" s="233"/>
      <c r="K599" s="233"/>
      <c r="L599" s="316"/>
      <c r="M599" s="233"/>
      <c r="N599" s="234"/>
      <c r="O599" s="251"/>
      <c r="P599" s="251"/>
      <c r="Q599" s="251"/>
      <c r="R599" s="251"/>
    </row>
    <row r="600" ht="15.75" hidden="1" customHeight="1">
      <c r="A600" s="318"/>
      <c r="B600" s="236"/>
      <c r="C600" s="236"/>
      <c r="D600" s="236"/>
      <c r="E600" s="314"/>
      <c r="F600" s="236"/>
      <c r="G600" s="236"/>
      <c r="H600" s="313"/>
      <c r="I600" s="313"/>
      <c r="J600" s="236"/>
      <c r="K600" s="236"/>
      <c r="L600" s="314"/>
      <c r="M600" s="236"/>
      <c r="N600" s="237"/>
      <c r="O600" s="251"/>
      <c r="P600" s="251"/>
      <c r="Q600" s="251"/>
      <c r="R600" s="251"/>
    </row>
    <row r="601" ht="15.75" hidden="1" customHeight="1">
      <c r="A601" s="315"/>
      <c r="B601" s="233"/>
      <c r="C601" s="233"/>
      <c r="D601" s="233"/>
      <c r="E601" s="316"/>
      <c r="F601" s="233"/>
      <c r="G601" s="233"/>
      <c r="H601" s="317"/>
      <c r="I601" s="317"/>
      <c r="J601" s="233"/>
      <c r="K601" s="233"/>
      <c r="L601" s="316"/>
      <c r="M601" s="233"/>
      <c r="N601" s="234"/>
      <c r="O601" s="251"/>
      <c r="P601" s="251"/>
      <c r="Q601" s="251"/>
      <c r="R601" s="251"/>
    </row>
    <row r="602" ht="15.75" hidden="1" customHeight="1">
      <c r="A602" s="318"/>
      <c r="B602" s="236"/>
      <c r="C602" s="236"/>
      <c r="D602" s="236"/>
      <c r="E602" s="314"/>
      <c r="F602" s="236"/>
      <c r="G602" s="236"/>
      <c r="H602" s="313"/>
      <c r="I602" s="313"/>
      <c r="J602" s="236"/>
      <c r="K602" s="236"/>
      <c r="L602" s="314"/>
      <c r="M602" s="236"/>
      <c r="N602" s="237"/>
      <c r="O602" s="251"/>
      <c r="P602" s="251"/>
      <c r="Q602" s="251"/>
      <c r="R602" s="251"/>
    </row>
    <row r="603" ht="15.75" hidden="1" customHeight="1">
      <c r="A603" s="315"/>
      <c r="B603" s="233"/>
      <c r="C603" s="233"/>
      <c r="D603" s="233"/>
      <c r="E603" s="316"/>
      <c r="F603" s="233"/>
      <c r="G603" s="233"/>
      <c r="H603" s="317"/>
      <c r="I603" s="317"/>
      <c r="J603" s="233"/>
      <c r="K603" s="233"/>
      <c r="L603" s="316"/>
      <c r="M603" s="233"/>
      <c r="N603" s="234"/>
      <c r="O603" s="251"/>
      <c r="P603" s="251"/>
      <c r="Q603" s="251"/>
      <c r="R603" s="251"/>
    </row>
    <row r="604" ht="15.75" hidden="1" customHeight="1">
      <c r="A604" s="318"/>
      <c r="B604" s="236"/>
      <c r="C604" s="236"/>
      <c r="D604" s="236"/>
      <c r="E604" s="314"/>
      <c r="F604" s="236"/>
      <c r="G604" s="236"/>
      <c r="H604" s="313"/>
      <c r="I604" s="313"/>
      <c r="J604" s="236"/>
      <c r="K604" s="236"/>
      <c r="L604" s="314"/>
      <c r="M604" s="236"/>
      <c r="N604" s="237"/>
      <c r="O604" s="251"/>
      <c r="P604" s="251"/>
      <c r="Q604" s="251"/>
      <c r="R604" s="251"/>
    </row>
    <row r="605" ht="15.75" hidden="1" customHeight="1">
      <c r="A605" s="315"/>
      <c r="B605" s="233"/>
      <c r="C605" s="233"/>
      <c r="D605" s="233"/>
      <c r="E605" s="316"/>
      <c r="F605" s="233"/>
      <c r="G605" s="233"/>
      <c r="H605" s="317"/>
      <c r="I605" s="317"/>
      <c r="J605" s="233"/>
      <c r="K605" s="233"/>
      <c r="L605" s="316"/>
      <c r="M605" s="233"/>
      <c r="N605" s="234"/>
      <c r="O605" s="251"/>
      <c r="P605" s="251"/>
      <c r="Q605" s="251"/>
      <c r="R605" s="251"/>
    </row>
    <row r="606" ht="15.75" hidden="1" customHeight="1">
      <c r="A606" s="318"/>
      <c r="B606" s="236"/>
      <c r="C606" s="236"/>
      <c r="D606" s="236"/>
      <c r="E606" s="314"/>
      <c r="F606" s="236"/>
      <c r="G606" s="236"/>
      <c r="H606" s="313"/>
      <c r="I606" s="313"/>
      <c r="J606" s="236"/>
      <c r="K606" s="236"/>
      <c r="L606" s="314"/>
      <c r="M606" s="236"/>
      <c r="N606" s="237"/>
      <c r="O606" s="251"/>
      <c r="P606" s="251"/>
      <c r="Q606" s="251"/>
      <c r="R606" s="251"/>
    </row>
    <row r="607" ht="15.75" hidden="1" customHeight="1">
      <c r="A607" s="315"/>
      <c r="B607" s="233"/>
      <c r="C607" s="233"/>
      <c r="D607" s="233"/>
      <c r="E607" s="316"/>
      <c r="F607" s="233"/>
      <c r="G607" s="233"/>
      <c r="H607" s="317"/>
      <c r="I607" s="317"/>
      <c r="J607" s="233"/>
      <c r="K607" s="233"/>
      <c r="L607" s="316"/>
      <c r="M607" s="233"/>
      <c r="N607" s="234"/>
      <c r="O607" s="251"/>
      <c r="P607" s="251"/>
      <c r="Q607" s="251"/>
      <c r="R607" s="251"/>
    </row>
    <row r="608" ht="15.75" hidden="1" customHeight="1">
      <c r="A608" s="318"/>
      <c r="B608" s="236"/>
      <c r="C608" s="236"/>
      <c r="D608" s="236"/>
      <c r="E608" s="314"/>
      <c r="F608" s="236"/>
      <c r="G608" s="236"/>
      <c r="H608" s="313"/>
      <c r="I608" s="313"/>
      <c r="J608" s="236"/>
      <c r="K608" s="236"/>
      <c r="L608" s="314"/>
      <c r="M608" s="236"/>
      <c r="N608" s="237"/>
      <c r="O608" s="251"/>
      <c r="P608" s="251"/>
      <c r="Q608" s="251"/>
      <c r="R608" s="251"/>
    </row>
    <row r="609" ht="15.75" hidden="1" customHeight="1">
      <c r="A609" s="315"/>
      <c r="B609" s="233"/>
      <c r="C609" s="233"/>
      <c r="D609" s="233"/>
      <c r="E609" s="316"/>
      <c r="F609" s="233"/>
      <c r="G609" s="233"/>
      <c r="H609" s="317"/>
      <c r="I609" s="317"/>
      <c r="J609" s="233"/>
      <c r="K609" s="233"/>
      <c r="L609" s="316"/>
      <c r="M609" s="233"/>
      <c r="N609" s="234"/>
      <c r="O609" s="251"/>
      <c r="P609" s="251"/>
      <c r="Q609" s="251"/>
      <c r="R609" s="251"/>
    </row>
    <row r="610" ht="15.75" hidden="1" customHeight="1">
      <c r="A610" s="318"/>
      <c r="B610" s="236"/>
      <c r="C610" s="236"/>
      <c r="D610" s="236"/>
      <c r="E610" s="314"/>
      <c r="F610" s="236"/>
      <c r="G610" s="236"/>
      <c r="H610" s="313"/>
      <c r="I610" s="313"/>
      <c r="J610" s="236"/>
      <c r="K610" s="236"/>
      <c r="L610" s="314"/>
      <c r="M610" s="236"/>
      <c r="N610" s="237"/>
      <c r="O610" s="251"/>
      <c r="P610" s="251"/>
      <c r="Q610" s="251"/>
      <c r="R610" s="251"/>
    </row>
    <row r="611" ht="15.75" hidden="1" customHeight="1">
      <c r="A611" s="315"/>
      <c r="B611" s="233"/>
      <c r="C611" s="233"/>
      <c r="D611" s="233"/>
      <c r="E611" s="316"/>
      <c r="F611" s="233"/>
      <c r="G611" s="233"/>
      <c r="H611" s="317"/>
      <c r="I611" s="317"/>
      <c r="J611" s="233"/>
      <c r="K611" s="233"/>
      <c r="L611" s="316"/>
      <c r="M611" s="233"/>
      <c r="N611" s="234"/>
      <c r="O611" s="251"/>
      <c r="P611" s="251"/>
      <c r="Q611" s="251"/>
      <c r="R611" s="251"/>
    </row>
    <row r="612" ht="15.75" hidden="1" customHeight="1">
      <c r="A612" s="318"/>
      <c r="B612" s="236"/>
      <c r="C612" s="236"/>
      <c r="D612" s="236"/>
      <c r="E612" s="314"/>
      <c r="F612" s="236"/>
      <c r="G612" s="236"/>
      <c r="H612" s="313"/>
      <c r="I612" s="313"/>
      <c r="J612" s="236"/>
      <c r="K612" s="236"/>
      <c r="L612" s="314"/>
      <c r="M612" s="236"/>
      <c r="N612" s="237"/>
      <c r="O612" s="251"/>
      <c r="P612" s="251"/>
      <c r="Q612" s="251"/>
      <c r="R612" s="251"/>
    </row>
    <row r="613" ht="15.75" hidden="1" customHeight="1">
      <c r="A613" s="315"/>
      <c r="B613" s="233"/>
      <c r="C613" s="233"/>
      <c r="D613" s="233"/>
      <c r="E613" s="316"/>
      <c r="F613" s="233"/>
      <c r="G613" s="233"/>
      <c r="H613" s="317"/>
      <c r="I613" s="317"/>
      <c r="J613" s="233"/>
      <c r="K613" s="233"/>
      <c r="L613" s="316"/>
      <c r="M613" s="233"/>
      <c r="N613" s="234"/>
      <c r="O613" s="251"/>
      <c r="P613" s="251"/>
      <c r="Q613" s="251"/>
      <c r="R613" s="251"/>
    </row>
    <row r="614" ht="15.75" hidden="1" customHeight="1">
      <c r="A614" s="318"/>
      <c r="B614" s="236"/>
      <c r="C614" s="236"/>
      <c r="D614" s="236"/>
      <c r="E614" s="314"/>
      <c r="F614" s="236"/>
      <c r="G614" s="236"/>
      <c r="H614" s="313"/>
      <c r="I614" s="313"/>
      <c r="J614" s="236"/>
      <c r="K614" s="236"/>
      <c r="L614" s="314"/>
      <c r="M614" s="236"/>
      <c r="N614" s="237"/>
      <c r="O614" s="251"/>
      <c r="P614" s="251"/>
      <c r="Q614" s="251"/>
      <c r="R614" s="251"/>
    </row>
    <row r="615" ht="15.75" hidden="1" customHeight="1">
      <c r="A615" s="315"/>
      <c r="B615" s="233"/>
      <c r="C615" s="233"/>
      <c r="D615" s="233"/>
      <c r="E615" s="316"/>
      <c r="F615" s="233"/>
      <c r="G615" s="233"/>
      <c r="H615" s="317"/>
      <c r="I615" s="317"/>
      <c r="J615" s="233"/>
      <c r="K615" s="233"/>
      <c r="L615" s="316"/>
      <c r="M615" s="233"/>
      <c r="N615" s="234"/>
      <c r="O615" s="251"/>
      <c r="P615" s="251"/>
      <c r="Q615" s="251"/>
      <c r="R615" s="251"/>
    </row>
    <row r="616" ht="15.75" hidden="1" customHeight="1">
      <c r="A616" s="318"/>
      <c r="B616" s="236"/>
      <c r="C616" s="236"/>
      <c r="D616" s="236"/>
      <c r="E616" s="314"/>
      <c r="F616" s="236"/>
      <c r="G616" s="236"/>
      <c r="H616" s="313"/>
      <c r="I616" s="313"/>
      <c r="J616" s="236"/>
      <c r="K616" s="236"/>
      <c r="L616" s="314"/>
      <c r="M616" s="236"/>
      <c r="N616" s="237"/>
      <c r="O616" s="251"/>
      <c r="P616" s="251"/>
      <c r="Q616" s="251"/>
      <c r="R616" s="251"/>
    </row>
    <row r="617" ht="15.75" hidden="1" customHeight="1">
      <c r="A617" s="315"/>
      <c r="B617" s="233"/>
      <c r="C617" s="233"/>
      <c r="D617" s="233"/>
      <c r="E617" s="316"/>
      <c r="F617" s="233"/>
      <c r="G617" s="233"/>
      <c r="H617" s="317"/>
      <c r="I617" s="317"/>
      <c r="J617" s="233"/>
      <c r="K617" s="233"/>
      <c r="L617" s="316"/>
      <c r="M617" s="233"/>
      <c r="N617" s="234"/>
      <c r="O617" s="251"/>
      <c r="P617" s="251"/>
      <c r="Q617" s="251"/>
      <c r="R617" s="251"/>
    </row>
    <row r="618" ht="15.75" hidden="1" customHeight="1">
      <c r="A618" s="318"/>
      <c r="B618" s="236"/>
      <c r="C618" s="236"/>
      <c r="D618" s="236"/>
      <c r="E618" s="314"/>
      <c r="F618" s="236"/>
      <c r="G618" s="236"/>
      <c r="H618" s="313"/>
      <c r="I618" s="313"/>
      <c r="J618" s="236"/>
      <c r="K618" s="236"/>
      <c r="L618" s="314"/>
      <c r="M618" s="236"/>
      <c r="N618" s="237"/>
      <c r="O618" s="251"/>
      <c r="P618" s="251"/>
      <c r="Q618" s="251"/>
      <c r="R618" s="251"/>
    </row>
    <row r="619" ht="15.75" hidden="1" customHeight="1">
      <c r="A619" s="315"/>
      <c r="B619" s="233"/>
      <c r="C619" s="233"/>
      <c r="D619" s="233"/>
      <c r="E619" s="316"/>
      <c r="F619" s="233"/>
      <c r="G619" s="233"/>
      <c r="H619" s="317"/>
      <c r="I619" s="317"/>
      <c r="J619" s="233"/>
      <c r="K619" s="233"/>
      <c r="L619" s="316"/>
      <c r="M619" s="233"/>
      <c r="N619" s="234"/>
      <c r="O619" s="251"/>
      <c r="P619" s="251"/>
      <c r="Q619" s="251"/>
      <c r="R619" s="251"/>
    </row>
    <row r="620" ht="15.75" hidden="1" customHeight="1">
      <c r="A620" s="318"/>
      <c r="B620" s="236"/>
      <c r="C620" s="236"/>
      <c r="D620" s="236"/>
      <c r="E620" s="314"/>
      <c r="F620" s="236"/>
      <c r="G620" s="236"/>
      <c r="H620" s="313"/>
      <c r="I620" s="313"/>
      <c r="J620" s="236"/>
      <c r="K620" s="236"/>
      <c r="L620" s="314"/>
      <c r="M620" s="236"/>
      <c r="N620" s="237"/>
      <c r="O620" s="251"/>
      <c r="P620" s="251"/>
      <c r="Q620" s="251"/>
      <c r="R620" s="251"/>
    </row>
    <row r="621" ht="15.75" hidden="1" customHeight="1">
      <c r="A621" s="315"/>
      <c r="B621" s="233"/>
      <c r="C621" s="233"/>
      <c r="D621" s="233"/>
      <c r="E621" s="316"/>
      <c r="F621" s="233"/>
      <c r="G621" s="233"/>
      <c r="H621" s="317"/>
      <c r="I621" s="317"/>
      <c r="J621" s="233"/>
      <c r="K621" s="233"/>
      <c r="L621" s="316"/>
      <c r="M621" s="233"/>
      <c r="N621" s="234"/>
      <c r="O621" s="251"/>
      <c r="P621" s="251"/>
      <c r="Q621" s="251"/>
      <c r="R621" s="251"/>
    </row>
    <row r="622" ht="15.75" hidden="1" customHeight="1">
      <c r="A622" s="318"/>
      <c r="B622" s="236"/>
      <c r="C622" s="236"/>
      <c r="D622" s="236"/>
      <c r="E622" s="314"/>
      <c r="F622" s="236"/>
      <c r="G622" s="236"/>
      <c r="H622" s="313"/>
      <c r="I622" s="313"/>
      <c r="J622" s="236"/>
      <c r="K622" s="236"/>
      <c r="L622" s="314"/>
      <c r="M622" s="236"/>
      <c r="N622" s="237"/>
      <c r="O622" s="251"/>
      <c r="P622" s="251"/>
      <c r="Q622" s="251"/>
      <c r="R622" s="251"/>
    </row>
    <row r="623" ht="15.75" hidden="1" customHeight="1">
      <c r="A623" s="315"/>
      <c r="B623" s="233"/>
      <c r="C623" s="233"/>
      <c r="D623" s="233"/>
      <c r="E623" s="316"/>
      <c r="F623" s="233"/>
      <c r="G623" s="233"/>
      <c r="H623" s="317"/>
      <c r="I623" s="317"/>
      <c r="J623" s="233"/>
      <c r="K623" s="233"/>
      <c r="L623" s="316"/>
      <c r="M623" s="233"/>
      <c r="N623" s="234"/>
      <c r="O623" s="251"/>
      <c r="P623" s="251"/>
      <c r="Q623" s="251"/>
      <c r="R623" s="251"/>
    </row>
    <row r="624" ht="15.75" hidden="1" customHeight="1">
      <c r="A624" s="318"/>
      <c r="B624" s="236"/>
      <c r="C624" s="236"/>
      <c r="D624" s="236"/>
      <c r="E624" s="314"/>
      <c r="F624" s="236"/>
      <c r="G624" s="236"/>
      <c r="H624" s="313"/>
      <c r="I624" s="313"/>
      <c r="J624" s="236"/>
      <c r="K624" s="236"/>
      <c r="L624" s="314"/>
      <c r="M624" s="236"/>
      <c r="N624" s="237"/>
      <c r="O624" s="251"/>
      <c r="P624" s="251"/>
      <c r="Q624" s="251"/>
      <c r="R624" s="251"/>
    </row>
    <row r="625" ht="15.75" hidden="1" customHeight="1">
      <c r="A625" s="315"/>
      <c r="B625" s="233"/>
      <c r="C625" s="233"/>
      <c r="D625" s="233"/>
      <c r="E625" s="316"/>
      <c r="F625" s="233"/>
      <c r="G625" s="233"/>
      <c r="H625" s="317"/>
      <c r="I625" s="317"/>
      <c r="J625" s="233"/>
      <c r="K625" s="233"/>
      <c r="L625" s="316"/>
      <c r="M625" s="233"/>
      <c r="N625" s="234"/>
      <c r="O625" s="251"/>
      <c r="P625" s="251"/>
      <c r="Q625" s="251"/>
      <c r="R625" s="251"/>
    </row>
    <row r="626" ht="15.75" hidden="1" customHeight="1">
      <c r="A626" s="318"/>
      <c r="B626" s="236"/>
      <c r="C626" s="236"/>
      <c r="D626" s="236"/>
      <c r="E626" s="314"/>
      <c r="F626" s="236"/>
      <c r="G626" s="236"/>
      <c r="H626" s="313"/>
      <c r="I626" s="313"/>
      <c r="J626" s="236"/>
      <c r="K626" s="236"/>
      <c r="L626" s="314"/>
      <c r="M626" s="236"/>
      <c r="N626" s="237"/>
      <c r="O626" s="251"/>
      <c r="P626" s="251"/>
      <c r="Q626" s="251"/>
      <c r="R626" s="251"/>
    </row>
    <row r="627" ht="15.75" hidden="1" customHeight="1">
      <c r="A627" s="315"/>
      <c r="B627" s="233"/>
      <c r="C627" s="233"/>
      <c r="D627" s="233"/>
      <c r="E627" s="316"/>
      <c r="F627" s="233"/>
      <c r="G627" s="233"/>
      <c r="H627" s="317"/>
      <c r="I627" s="317"/>
      <c r="J627" s="233"/>
      <c r="K627" s="233"/>
      <c r="L627" s="316"/>
      <c r="M627" s="233"/>
      <c r="N627" s="234"/>
      <c r="O627" s="251"/>
      <c r="P627" s="251"/>
      <c r="Q627" s="251"/>
      <c r="R627" s="251"/>
    </row>
    <row r="628" ht="15.75" hidden="1" customHeight="1">
      <c r="A628" s="318"/>
      <c r="B628" s="236"/>
      <c r="C628" s="236"/>
      <c r="D628" s="236"/>
      <c r="E628" s="314"/>
      <c r="F628" s="236"/>
      <c r="G628" s="236"/>
      <c r="H628" s="313"/>
      <c r="I628" s="313"/>
      <c r="J628" s="236"/>
      <c r="K628" s="236"/>
      <c r="L628" s="314"/>
      <c r="M628" s="236"/>
      <c r="N628" s="237"/>
      <c r="O628" s="251"/>
      <c r="P628" s="251"/>
      <c r="Q628" s="251"/>
      <c r="R628" s="251"/>
    </row>
    <row r="629" ht="15.75" hidden="1" customHeight="1">
      <c r="A629" s="315"/>
      <c r="B629" s="233"/>
      <c r="C629" s="233"/>
      <c r="D629" s="233"/>
      <c r="E629" s="316"/>
      <c r="F629" s="233"/>
      <c r="G629" s="233"/>
      <c r="H629" s="317"/>
      <c r="I629" s="317"/>
      <c r="J629" s="233"/>
      <c r="K629" s="233"/>
      <c r="L629" s="316"/>
      <c r="M629" s="233"/>
      <c r="N629" s="234"/>
      <c r="O629" s="251"/>
      <c r="P629" s="251"/>
      <c r="Q629" s="251"/>
      <c r="R629" s="251"/>
    </row>
    <row r="630" ht="15.75" hidden="1" customHeight="1">
      <c r="A630" s="318"/>
      <c r="B630" s="236"/>
      <c r="C630" s="236"/>
      <c r="D630" s="236"/>
      <c r="E630" s="314"/>
      <c r="F630" s="236"/>
      <c r="G630" s="236"/>
      <c r="H630" s="313"/>
      <c r="I630" s="313"/>
      <c r="J630" s="236"/>
      <c r="K630" s="236"/>
      <c r="L630" s="314"/>
      <c r="M630" s="236"/>
      <c r="N630" s="237"/>
      <c r="O630" s="251"/>
      <c r="P630" s="251"/>
      <c r="Q630" s="251"/>
      <c r="R630" s="251"/>
    </row>
    <row r="631" ht="15.75" hidden="1" customHeight="1">
      <c r="A631" s="315"/>
      <c r="B631" s="233"/>
      <c r="C631" s="233"/>
      <c r="D631" s="233"/>
      <c r="E631" s="316"/>
      <c r="F631" s="233"/>
      <c r="G631" s="233"/>
      <c r="H631" s="317"/>
      <c r="I631" s="317"/>
      <c r="J631" s="233"/>
      <c r="K631" s="233"/>
      <c r="L631" s="316"/>
      <c r="M631" s="233"/>
      <c r="N631" s="234"/>
      <c r="O631" s="251"/>
      <c r="P631" s="251"/>
      <c r="Q631" s="251"/>
      <c r="R631" s="251"/>
    </row>
    <row r="632" ht="15.75" hidden="1" customHeight="1">
      <c r="A632" s="318"/>
      <c r="B632" s="236"/>
      <c r="C632" s="236"/>
      <c r="D632" s="236"/>
      <c r="E632" s="314"/>
      <c r="F632" s="236"/>
      <c r="G632" s="236"/>
      <c r="H632" s="313"/>
      <c r="I632" s="313"/>
      <c r="J632" s="236"/>
      <c r="K632" s="236"/>
      <c r="L632" s="314"/>
      <c r="M632" s="236"/>
      <c r="N632" s="237"/>
      <c r="O632" s="251"/>
      <c r="P632" s="251"/>
      <c r="Q632" s="251"/>
      <c r="R632" s="251"/>
    </row>
    <row r="633" ht="15.75" hidden="1" customHeight="1">
      <c r="A633" s="315"/>
      <c r="B633" s="233"/>
      <c r="C633" s="233"/>
      <c r="D633" s="233"/>
      <c r="E633" s="316"/>
      <c r="F633" s="233"/>
      <c r="G633" s="233"/>
      <c r="H633" s="317"/>
      <c r="I633" s="317"/>
      <c r="J633" s="233"/>
      <c r="K633" s="233"/>
      <c r="L633" s="316"/>
      <c r="M633" s="233"/>
      <c r="N633" s="234"/>
      <c r="O633" s="251"/>
      <c r="P633" s="251"/>
      <c r="Q633" s="251"/>
      <c r="R633" s="251"/>
    </row>
    <row r="634" ht="15.75" hidden="1" customHeight="1">
      <c r="A634" s="318"/>
      <c r="B634" s="236"/>
      <c r="C634" s="236"/>
      <c r="D634" s="236"/>
      <c r="E634" s="314"/>
      <c r="F634" s="236"/>
      <c r="G634" s="236"/>
      <c r="H634" s="313"/>
      <c r="I634" s="313"/>
      <c r="J634" s="236"/>
      <c r="K634" s="236"/>
      <c r="L634" s="314"/>
      <c r="M634" s="236"/>
      <c r="N634" s="237"/>
      <c r="O634" s="251"/>
      <c r="P634" s="251"/>
      <c r="Q634" s="251"/>
      <c r="R634" s="251"/>
    </row>
    <row r="635" ht="15.75" hidden="1" customHeight="1">
      <c r="A635" s="315"/>
      <c r="B635" s="233"/>
      <c r="C635" s="233"/>
      <c r="D635" s="233"/>
      <c r="E635" s="316"/>
      <c r="F635" s="233"/>
      <c r="G635" s="233"/>
      <c r="H635" s="317"/>
      <c r="I635" s="317"/>
      <c r="J635" s="233"/>
      <c r="K635" s="233"/>
      <c r="L635" s="316"/>
      <c r="M635" s="233"/>
      <c r="N635" s="234"/>
      <c r="O635" s="251"/>
      <c r="P635" s="251"/>
      <c r="Q635" s="251"/>
      <c r="R635" s="251"/>
    </row>
    <row r="636" ht="15.75" hidden="1" customHeight="1">
      <c r="A636" s="318"/>
      <c r="B636" s="236"/>
      <c r="C636" s="236"/>
      <c r="D636" s="236"/>
      <c r="E636" s="314"/>
      <c r="F636" s="236"/>
      <c r="G636" s="236"/>
      <c r="H636" s="313"/>
      <c r="I636" s="313"/>
      <c r="J636" s="236"/>
      <c r="K636" s="236"/>
      <c r="L636" s="314"/>
      <c r="M636" s="236"/>
      <c r="N636" s="237"/>
      <c r="O636" s="251"/>
      <c r="P636" s="251"/>
      <c r="Q636" s="251"/>
      <c r="R636" s="251"/>
    </row>
    <row r="637" ht="15.75" hidden="1" customHeight="1">
      <c r="A637" s="315"/>
      <c r="B637" s="233"/>
      <c r="C637" s="233"/>
      <c r="D637" s="233"/>
      <c r="E637" s="316"/>
      <c r="F637" s="233"/>
      <c r="G637" s="233"/>
      <c r="H637" s="317"/>
      <c r="I637" s="317"/>
      <c r="J637" s="233"/>
      <c r="K637" s="233"/>
      <c r="L637" s="316"/>
      <c r="M637" s="233"/>
      <c r="N637" s="234"/>
      <c r="O637" s="251"/>
      <c r="P637" s="251"/>
      <c r="Q637" s="251"/>
      <c r="R637" s="251"/>
    </row>
    <row r="638" ht="15.75" hidden="1" customHeight="1">
      <c r="A638" s="318"/>
      <c r="B638" s="236"/>
      <c r="C638" s="236"/>
      <c r="D638" s="236"/>
      <c r="E638" s="314"/>
      <c r="F638" s="236"/>
      <c r="G638" s="236"/>
      <c r="H638" s="313"/>
      <c r="I638" s="313"/>
      <c r="J638" s="236"/>
      <c r="K638" s="236"/>
      <c r="L638" s="314"/>
      <c r="M638" s="236"/>
      <c r="N638" s="237"/>
      <c r="O638" s="251"/>
      <c r="P638" s="251"/>
      <c r="Q638" s="251"/>
      <c r="R638" s="251"/>
    </row>
    <row r="639" ht="15.75" hidden="1" customHeight="1">
      <c r="A639" s="315"/>
      <c r="B639" s="233"/>
      <c r="C639" s="233"/>
      <c r="D639" s="233"/>
      <c r="E639" s="316"/>
      <c r="F639" s="233"/>
      <c r="G639" s="233"/>
      <c r="H639" s="317"/>
      <c r="I639" s="317"/>
      <c r="J639" s="233"/>
      <c r="K639" s="233"/>
      <c r="L639" s="316"/>
      <c r="M639" s="233"/>
      <c r="N639" s="234"/>
      <c r="O639" s="251"/>
      <c r="P639" s="251"/>
      <c r="Q639" s="251"/>
      <c r="R639" s="251"/>
    </row>
    <row r="640" ht="15.75" hidden="1" customHeight="1">
      <c r="A640" s="318"/>
      <c r="B640" s="236"/>
      <c r="C640" s="236"/>
      <c r="D640" s="236"/>
      <c r="E640" s="314"/>
      <c r="F640" s="236"/>
      <c r="G640" s="236"/>
      <c r="H640" s="313"/>
      <c r="I640" s="313"/>
      <c r="J640" s="236"/>
      <c r="K640" s="236"/>
      <c r="L640" s="314"/>
      <c r="M640" s="236"/>
      <c r="N640" s="237"/>
      <c r="O640" s="251"/>
      <c r="P640" s="251"/>
      <c r="Q640" s="251"/>
      <c r="R640" s="251"/>
    </row>
    <row r="641" ht="15.75" hidden="1" customHeight="1">
      <c r="A641" s="315"/>
      <c r="B641" s="233"/>
      <c r="C641" s="233"/>
      <c r="D641" s="233"/>
      <c r="E641" s="316"/>
      <c r="F641" s="233"/>
      <c r="G641" s="233"/>
      <c r="H641" s="317"/>
      <c r="I641" s="317"/>
      <c r="J641" s="233"/>
      <c r="K641" s="233"/>
      <c r="L641" s="316"/>
      <c r="M641" s="233"/>
      <c r="N641" s="234"/>
      <c r="O641" s="251"/>
      <c r="P641" s="251"/>
      <c r="Q641" s="251"/>
      <c r="R641" s="251"/>
    </row>
    <row r="642" ht="15.75" hidden="1" customHeight="1">
      <c r="A642" s="318"/>
      <c r="B642" s="236"/>
      <c r="C642" s="236"/>
      <c r="D642" s="236"/>
      <c r="E642" s="314"/>
      <c r="F642" s="236"/>
      <c r="G642" s="236"/>
      <c r="H642" s="313"/>
      <c r="I642" s="313"/>
      <c r="J642" s="236"/>
      <c r="K642" s="236"/>
      <c r="L642" s="314"/>
      <c r="M642" s="236"/>
      <c r="N642" s="237"/>
      <c r="O642" s="251"/>
      <c r="P642" s="251"/>
      <c r="Q642" s="251"/>
      <c r="R642" s="251"/>
    </row>
    <row r="643" ht="15.75" hidden="1" customHeight="1">
      <c r="A643" s="315"/>
      <c r="B643" s="233"/>
      <c r="C643" s="233"/>
      <c r="D643" s="233"/>
      <c r="E643" s="316"/>
      <c r="F643" s="233"/>
      <c r="G643" s="233"/>
      <c r="H643" s="317"/>
      <c r="I643" s="317"/>
      <c r="J643" s="233"/>
      <c r="K643" s="233"/>
      <c r="L643" s="316"/>
      <c r="M643" s="233"/>
      <c r="N643" s="234"/>
      <c r="O643" s="251"/>
      <c r="P643" s="251"/>
      <c r="Q643" s="251"/>
      <c r="R643" s="251"/>
    </row>
    <row r="644" ht="15.75" hidden="1" customHeight="1">
      <c r="A644" s="318"/>
      <c r="B644" s="236"/>
      <c r="C644" s="236"/>
      <c r="D644" s="236"/>
      <c r="E644" s="314"/>
      <c r="F644" s="236"/>
      <c r="G644" s="236"/>
      <c r="H644" s="313"/>
      <c r="I644" s="313"/>
      <c r="J644" s="236"/>
      <c r="K644" s="236"/>
      <c r="L644" s="314"/>
      <c r="M644" s="236"/>
      <c r="N644" s="237"/>
      <c r="O644" s="251"/>
      <c r="P644" s="251"/>
      <c r="Q644" s="251"/>
      <c r="R644" s="251"/>
    </row>
    <row r="645" ht="15.75" hidden="1" customHeight="1">
      <c r="A645" s="315"/>
      <c r="B645" s="233"/>
      <c r="C645" s="233"/>
      <c r="D645" s="233"/>
      <c r="E645" s="316"/>
      <c r="F645" s="233"/>
      <c r="G645" s="233"/>
      <c r="H645" s="317"/>
      <c r="I645" s="317"/>
      <c r="J645" s="233"/>
      <c r="K645" s="233"/>
      <c r="L645" s="316"/>
      <c r="M645" s="233"/>
      <c r="N645" s="234"/>
      <c r="O645" s="251"/>
      <c r="P645" s="251"/>
      <c r="Q645" s="251"/>
      <c r="R645" s="251"/>
    </row>
    <row r="646" ht="15.75" hidden="1" customHeight="1">
      <c r="A646" s="318"/>
      <c r="B646" s="236"/>
      <c r="C646" s="236"/>
      <c r="D646" s="236"/>
      <c r="E646" s="314"/>
      <c r="F646" s="236"/>
      <c r="G646" s="236"/>
      <c r="H646" s="313"/>
      <c r="I646" s="313"/>
      <c r="J646" s="236"/>
      <c r="K646" s="236"/>
      <c r="L646" s="314"/>
      <c r="M646" s="236"/>
      <c r="N646" s="237"/>
      <c r="O646" s="251"/>
      <c r="P646" s="251"/>
      <c r="Q646" s="251"/>
      <c r="R646" s="251"/>
    </row>
    <row r="647" ht="15.75" hidden="1" customHeight="1">
      <c r="A647" s="315"/>
      <c r="B647" s="233"/>
      <c r="C647" s="233"/>
      <c r="D647" s="233"/>
      <c r="E647" s="316"/>
      <c r="F647" s="233"/>
      <c r="G647" s="233"/>
      <c r="H647" s="317"/>
      <c r="I647" s="317"/>
      <c r="J647" s="233"/>
      <c r="K647" s="233"/>
      <c r="L647" s="316"/>
      <c r="M647" s="233"/>
      <c r="N647" s="234"/>
      <c r="O647" s="251"/>
      <c r="P647" s="251"/>
      <c r="Q647" s="251"/>
      <c r="R647" s="251"/>
    </row>
    <row r="648" ht="15.75" hidden="1" customHeight="1">
      <c r="A648" s="318"/>
      <c r="B648" s="236"/>
      <c r="C648" s="236"/>
      <c r="D648" s="236"/>
      <c r="E648" s="314"/>
      <c r="F648" s="236"/>
      <c r="G648" s="236"/>
      <c r="H648" s="313"/>
      <c r="I648" s="313"/>
      <c r="J648" s="236"/>
      <c r="K648" s="236"/>
      <c r="L648" s="314"/>
      <c r="M648" s="236"/>
      <c r="N648" s="237"/>
      <c r="O648" s="251"/>
      <c r="P648" s="251"/>
      <c r="Q648" s="251"/>
      <c r="R648" s="251"/>
    </row>
    <row r="649" ht="15.75" hidden="1" customHeight="1">
      <c r="A649" s="315"/>
      <c r="B649" s="233"/>
      <c r="C649" s="233"/>
      <c r="D649" s="233"/>
      <c r="E649" s="316"/>
      <c r="F649" s="233"/>
      <c r="G649" s="233"/>
      <c r="H649" s="317"/>
      <c r="I649" s="317"/>
      <c r="J649" s="233"/>
      <c r="K649" s="233"/>
      <c r="L649" s="316"/>
      <c r="M649" s="233"/>
      <c r="N649" s="234"/>
      <c r="O649" s="251"/>
      <c r="P649" s="251"/>
      <c r="Q649" s="251"/>
      <c r="R649" s="251"/>
    </row>
    <row r="650" ht="15.75" hidden="1" customHeight="1">
      <c r="A650" s="318"/>
      <c r="B650" s="236"/>
      <c r="C650" s="236"/>
      <c r="D650" s="236"/>
      <c r="E650" s="314"/>
      <c r="F650" s="236"/>
      <c r="G650" s="236"/>
      <c r="H650" s="313"/>
      <c r="I650" s="313"/>
      <c r="J650" s="236"/>
      <c r="K650" s="236"/>
      <c r="L650" s="314"/>
      <c r="M650" s="236"/>
      <c r="N650" s="237"/>
      <c r="O650" s="251"/>
      <c r="P650" s="251"/>
      <c r="Q650" s="251"/>
      <c r="R650" s="251"/>
    </row>
    <row r="651" ht="15.75" hidden="1" customHeight="1">
      <c r="A651" s="315"/>
      <c r="B651" s="233"/>
      <c r="C651" s="233"/>
      <c r="D651" s="233"/>
      <c r="E651" s="316"/>
      <c r="F651" s="233"/>
      <c r="G651" s="233"/>
      <c r="H651" s="317"/>
      <c r="I651" s="317"/>
      <c r="J651" s="233"/>
      <c r="K651" s="233"/>
      <c r="L651" s="316"/>
      <c r="M651" s="233"/>
      <c r="N651" s="234"/>
      <c r="O651" s="251"/>
      <c r="P651" s="251"/>
      <c r="Q651" s="251"/>
      <c r="R651" s="251"/>
    </row>
    <row r="652" ht="15.75" hidden="1" customHeight="1">
      <c r="A652" s="318"/>
      <c r="B652" s="236"/>
      <c r="C652" s="236"/>
      <c r="D652" s="236"/>
      <c r="E652" s="314"/>
      <c r="F652" s="236"/>
      <c r="G652" s="236"/>
      <c r="H652" s="313"/>
      <c r="I652" s="313"/>
      <c r="J652" s="236"/>
      <c r="K652" s="236"/>
      <c r="L652" s="314"/>
      <c r="M652" s="236"/>
      <c r="N652" s="237"/>
      <c r="O652" s="251"/>
      <c r="P652" s="251"/>
      <c r="Q652" s="251"/>
      <c r="R652" s="251"/>
    </row>
    <row r="653" ht="15.75" hidden="1" customHeight="1">
      <c r="A653" s="315"/>
      <c r="B653" s="233"/>
      <c r="C653" s="233"/>
      <c r="D653" s="233"/>
      <c r="E653" s="316"/>
      <c r="F653" s="233"/>
      <c r="G653" s="233"/>
      <c r="H653" s="317"/>
      <c r="I653" s="317"/>
      <c r="J653" s="233"/>
      <c r="K653" s="233"/>
      <c r="L653" s="316"/>
      <c r="M653" s="233"/>
      <c r="N653" s="234"/>
      <c r="O653" s="251"/>
      <c r="P653" s="251"/>
      <c r="Q653" s="251"/>
      <c r="R653" s="251"/>
    </row>
    <row r="654" ht="15.75" hidden="1" customHeight="1">
      <c r="A654" s="318"/>
      <c r="B654" s="236"/>
      <c r="C654" s="236"/>
      <c r="D654" s="236"/>
      <c r="E654" s="314"/>
      <c r="F654" s="236"/>
      <c r="G654" s="236"/>
      <c r="H654" s="313"/>
      <c r="I654" s="313"/>
      <c r="J654" s="236"/>
      <c r="K654" s="236"/>
      <c r="L654" s="314"/>
      <c r="M654" s="236"/>
      <c r="N654" s="237"/>
      <c r="O654" s="251"/>
      <c r="P654" s="251"/>
      <c r="Q654" s="251"/>
      <c r="R654" s="251"/>
    </row>
    <row r="655" ht="15.75" hidden="1" customHeight="1">
      <c r="A655" s="315"/>
      <c r="B655" s="233"/>
      <c r="C655" s="233"/>
      <c r="D655" s="233"/>
      <c r="E655" s="316"/>
      <c r="F655" s="233"/>
      <c r="G655" s="233"/>
      <c r="H655" s="317"/>
      <c r="I655" s="317"/>
      <c r="J655" s="233"/>
      <c r="K655" s="233"/>
      <c r="L655" s="316"/>
      <c r="M655" s="233"/>
      <c r="N655" s="234"/>
      <c r="O655" s="251"/>
      <c r="P655" s="251"/>
      <c r="Q655" s="251"/>
      <c r="R655" s="251"/>
    </row>
    <row r="656" ht="15.75" hidden="1" customHeight="1">
      <c r="A656" s="318"/>
      <c r="B656" s="236"/>
      <c r="C656" s="236"/>
      <c r="D656" s="236"/>
      <c r="E656" s="314"/>
      <c r="F656" s="236"/>
      <c r="G656" s="236"/>
      <c r="H656" s="313"/>
      <c r="I656" s="313"/>
      <c r="J656" s="236"/>
      <c r="K656" s="236"/>
      <c r="L656" s="314"/>
      <c r="M656" s="236"/>
      <c r="N656" s="237"/>
      <c r="O656" s="251"/>
      <c r="P656" s="251"/>
      <c r="Q656" s="251"/>
      <c r="R656" s="251"/>
    </row>
    <row r="657" ht="15.75" hidden="1" customHeight="1">
      <c r="A657" s="315"/>
      <c r="B657" s="233"/>
      <c r="C657" s="233"/>
      <c r="D657" s="233"/>
      <c r="E657" s="316"/>
      <c r="F657" s="233"/>
      <c r="G657" s="233"/>
      <c r="H657" s="317"/>
      <c r="I657" s="317"/>
      <c r="J657" s="233"/>
      <c r="K657" s="233"/>
      <c r="L657" s="316"/>
      <c r="M657" s="233"/>
      <c r="N657" s="234"/>
      <c r="O657" s="251"/>
      <c r="P657" s="251"/>
      <c r="Q657" s="251"/>
      <c r="R657" s="251"/>
    </row>
    <row r="658" ht="15.75" hidden="1" customHeight="1">
      <c r="A658" s="318"/>
      <c r="B658" s="236"/>
      <c r="C658" s="236"/>
      <c r="D658" s="236"/>
      <c r="E658" s="314"/>
      <c r="F658" s="236"/>
      <c r="G658" s="236"/>
      <c r="H658" s="313"/>
      <c r="I658" s="313"/>
      <c r="J658" s="236"/>
      <c r="K658" s="236"/>
      <c r="L658" s="314"/>
      <c r="M658" s="236"/>
      <c r="N658" s="237"/>
      <c r="O658" s="251"/>
      <c r="P658" s="251"/>
      <c r="Q658" s="251"/>
      <c r="R658" s="251"/>
    </row>
    <row r="659" ht="15.75" hidden="1" customHeight="1">
      <c r="A659" s="315"/>
      <c r="B659" s="233"/>
      <c r="C659" s="233"/>
      <c r="D659" s="233"/>
      <c r="E659" s="316"/>
      <c r="F659" s="233"/>
      <c r="G659" s="233"/>
      <c r="H659" s="317"/>
      <c r="I659" s="317"/>
      <c r="J659" s="233"/>
      <c r="K659" s="233"/>
      <c r="L659" s="316"/>
      <c r="M659" s="233"/>
      <c r="N659" s="234"/>
      <c r="O659" s="251"/>
      <c r="P659" s="251"/>
      <c r="Q659" s="251"/>
      <c r="R659" s="251"/>
    </row>
    <row r="660" ht="15.75" hidden="1" customHeight="1">
      <c r="A660" s="318"/>
      <c r="B660" s="236"/>
      <c r="C660" s="236"/>
      <c r="D660" s="236"/>
      <c r="E660" s="314"/>
      <c r="F660" s="236"/>
      <c r="G660" s="236"/>
      <c r="H660" s="313"/>
      <c r="I660" s="313"/>
      <c r="J660" s="236"/>
      <c r="K660" s="236"/>
      <c r="L660" s="314"/>
      <c r="M660" s="236"/>
      <c r="N660" s="237"/>
      <c r="O660" s="251"/>
      <c r="P660" s="251"/>
      <c r="Q660" s="251"/>
      <c r="R660" s="251"/>
    </row>
    <row r="661" ht="15.75" hidden="1" customHeight="1">
      <c r="A661" s="315"/>
      <c r="B661" s="233"/>
      <c r="C661" s="233"/>
      <c r="D661" s="233"/>
      <c r="E661" s="316"/>
      <c r="F661" s="233"/>
      <c r="G661" s="233"/>
      <c r="H661" s="317"/>
      <c r="I661" s="317"/>
      <c r="J661" s="233"/>
      <c r="K661" s="233"/>
      <c r="L661" s="316"/>
      <c r="M661" s="233"/>
      <c r="N661" s="234"/>
      <c r="O661" s="251"/>
      <c r="P661" s="251"/>
      <c r="Q661" s="251"/>
      <c r="R661" s="251"/>
    </row>
    <row r="662" ht="15.75" hidden="1" customHeight="1">
      <c r="A662" s="318"/>
      <c r="B662" s="236"/>
      <c r="C662" s="236"/>
      <c r="D662" s="236"/>
      <c r="E662" s="314"/>
      <c r="F662" s="236"/>
      <c r="G662" s="236"/>
      <c r="H662" s="313"/>
      <c r="I662" s="313"/>
      <c r="J662" s="236"/>
      <c r="K662" s="236"/>
      <c r="L662" s="314"/>
      <c r="M662" s="236"/>
      <c r="N662" s="237"/>
      <c r="O662" s="251"/>
      <c r="P662" s="251"/>
      <c r="Q662" s="251"/>
      <c r="R662" s="251"/>
    </row>
    <row r="663" ht="15.75" hidden="1" customHeight="1">
      <c r="A663" s="315"/>
      <c r="B663" s="233"/>
      <c r="C663" s="233"/>
      <c r="D663" s="233"/>
      <c r="E663" s="316"/>
      <c r="F663" s="233"/>
      <c r="G663" s="233"/>
      <c r="H663" s="317"/>
      <c r="I663" s="317"/>
      <c r="J663" s="233"/>
      <c r="K663" s="233"/>
      <c r="L663" s="316"/>
      <c r="M663" s="233"/>
      <c r="N663" s="234"/>
      <c r="O663" s="251"/>
      <c r="P663" s="251"/>
      <c r="Q663" s="251"/>
      <c r="R663" s="251"/>
    </row>
    <row r="664" ht="15.75" hidden="1" customHeight="1">
      <c r="A664" s="318"/>
      <c r="B664" s="236"/>
      <c r="C664" s="236"/>
      <c r="D664" s="236"/>
      <c r="E664" s="314"/>
      <c r="F664" s="236"/>
      <c r="G664" s="236"/>
      <c r="H664" s="313"/>
      <c r="I664" s="313"/>
      <c r="J664" s="236"/>
      <c r="K664" s="236"/>
      <c r="L664" s="314"/>
      <c r="M664" s="236"/>
      <c r="N664" s="237"/>
      <c r="O664" s="251"/>
      <c r="P664" s="251"/>
      <c r="Q664" s="251"/>
      <c r="R664" s="251"/>
    </row>
    <row r="665" ht="15.75" hidden="1" customHeight="1">
      <c r="A665" s="315"/>
      <c r="B665" s="233"/>
      <c r="C665" s="233"/>
      <c r="D665" s="233"/>
      <c r="E665" s="316"/>
      <c r="F665" s="233"/>
      <c r="G665" s="233"/>
      <c r="H665" s="317"/>
      <c r="I665" s="317"/>
      <c r="J665" s="233"/>
      <c r="K665" s="233"/>
      <c r="L665" s="316"/>
      <c r="M665" s="233"/>
      <c r="N665" s="234"/>
      <c r="O665" s="251"/>
      <c r="P665" s="251"/>
      <c r="Q665" s="251"/>
      <c r="R665" s="251"/>
    </row>
    <row r="666" ht="15.75" hidden="1" customHeight="1">
      <c r="A666" s="318"/>
      <c r="B666" s="236"/>
      <c r="C666" s="236"/>
      <c r="D666" s="236"/>
      <c r="E666" s="314"/>
      <c r="F666" s="236"/>
      <c r="G666" s="236"/>
      <c r="H666" s="313"/>
      <c r="I666" s="313"/>
      <c r="J666" s="236"/>
      <c r="K666" s="236"/>
      <c r="L666" s="314"/>
      <c r="M666" s="236"/>
      <c r="N666" s="237"/>
      <c r="O666" s="251"/>
      <c r="P666" s="251"/>
      <c r="Q666" s="251"/>
      <c r="R666" s="251"/>
    </row>
    <row r="667" ht="15.75" hidden="1" customHeight="1">
      <c r="A667" s="315"/>
      <c r="B667" s="233"/>
      <c r="C667" s="233"/>
      <c r="D667" s="233"/>
      <c r="E667" s="316"/>
      <c r="F667" s="233"/>
      <c r="G667" s="233"/>
      <c r="H667" s="317"/>
      <c r="I667" s="317"/>
      <c r="J667" s="233"/>
      <c r="K667" s="233"/>
      <c r="L667" s="316"/>
      <c r="M667" s="233"/>
      <c r="N667" s="234"/>
      <c r="O667" s="251"/>
      <c r="P667" s="251"/>
      <c r="Q667" s="251"/>
      <c r="R667" s="251"/>
    </row>
    <row r="668" ht="15.75" hidden="1" customHeight="1">
      <c r="A668" s="318"/>
      <c r="B668" s="236"/>
      <c r="C668" s="236"/>
      <c r="D668" s="236"/>
      <c r="E668" s="314"/>
      <c r="F668" s="236"/>
      <c r="G668" s="236"/>
      <c r="H668" s="313"/>
      <c r="I668" s="313"/>
      <c r="J668" s="236"/>
      <c r="K668" s="236"/>
      <c r="L668" s="314"/>
      <c r="M668" s="236"/>
      <c r="N668" s="237"/>
      <c r="O668" s="251"/>
      <c r="P668" s="251"/>
      <c r="Q668" s="251"/>
      <c r="R668" s="251"/>
    </row>
    <row r="669" ht="15.75" hidden="1" customHeight="1">
      <c r="A669" s="315"/>
      <c r="B669" s="233"/>
      <c r="C669" s="233"/>
      <c r="D669" s="233"/>
      <c r="E669" s="316"/>
      <c r="F669" s="233"/>
      <c r="G669" s="233"/>
      <c r="H669" s="317"/>
      <c r="I669" s="317"/>
      <c r="J669" s="233"/>
      <c r="K669" s="233"/>
      <c r="L669" s="316"/>
      <c r="M669" s="233"/>
      <c r="N669" s="234"/>
      <c r="O669" s="251"/>
      <c r="P669" s="251"/>
      <c r="Q669" s="251"/>
      <c r="R669" s="251"/>
    </row>
    <row r="670" ht="15.75" hidden="1" customHeight="1">
      <c r="A670" s="318"/>
      <c r="B670" s="236"/>
      <c r="C670" s="236"/>
      <c r="D670" s="236"/>
      <c r="E670" s="314"/>
      <c r="F670" s="236"/>
      <c r="G670" s="236"/>
      <c r="H670" s="313"/>
      <c r="I670" s="313"/>
      <c r="J670" s="236"/>
      <c r="K670" s="236"/>
      <c r="L670" s="314"/>
      <c r="M670" s="236"/>
      <c r="N670" s="237"/>
      <c r="O670" s="251"/>
      <c r="P670" s="251"/>
      <c r="Q670" s="251"/>
      <c r="R670" s="251"/>
    </row>
    <row r="671" ht="15.75" hidden="1" customHeight="1">
      <c r="A671" s="315"/>
      <c r="B671" s="233"/>
      <c r="C671" s="233"/>
      <c r="D671" s="233"/>
      <c r="E671" s="316"/>
      <c r="F671" s="233"/>
      <c r="G671" s="233"/>
      <c r="H671" s="317"/>
      <c r="I671" s="317"/>
      <c r="J671" s="233"/>
      <c r="K671" s="233"/>
      <c r="L671" s="316"/>
      <c r="M671" s="233"/>
      <c r="N671" s="234"/>
      <c r="O671" s="251"/>
      <c r="P671" s="251"/>
      <c r="Q671" s="251"/>
      <c r="R671" s="251"/>
    </row>
    <row r="672" ht="15.75" hidden="1" customHeight="1">
      <c r="A672" s="318"/>
      <c r="B672" s="236"/>
      <c r="C672" s="236"/>
      <c r="D672" s="236"/>
      <c r="E672" s="314"/>
      <c r="F672" s="236"/>
      <c r="G672" s="236"/>
      <c r="H672" s="313"/>
      <c r="I672" s="313"/>
      <c r="J672" s="236"/>
      <c r="K672" s="236"/>
      <c r="L672" s="314"/>
      <c r="M672" s="236"/>
      <c r="N672" s="237"/>
      <c r="O672" s="251"/>
      <c r="P672" s="251"/>
      <c r="Q672" s="251"/>
      <c r="R672" s="251"/>
    </row>
    <row r="673" ht="15.75" hidden="1" customHeight="1">
      <c r="A673" s="315"/>
      <c r="B673" s="233"/>
      <c r="C673" s="233"/>
      <c r="D673" s="233"/>
      <c r="E673" s="316"/>
      <c r="F673" s="233"/>
      <c r="G673" s="233"/>
      <c r="H673" s="317"/>
      <c r="I673" s="317"/>
      <c r="J673" s="233"/>
      <c r="K673" s="233"/>
      <c r="L673" s="316"/>
      <c r="M673" s="233"/>
      <c r="N673" s="234"/>
      <c r="O673" s="251"/>
      <c r="P673" s="251"/>
      <c r="Q673" s="251"/>
      <c r="R673" s="251"/>
    </row>
    <row r="674" ht="15.75" hidden="1" customHeight="1">
      <c r="A674" s="318"/>
      <c r="B674" s="236"/>
      <c r="C674" s="236"/>
      <c r="D674" s="236"/>
      <c r="E674" s="314"/>
      <c r="F674" s="236"/>
      <c r="G674" s="236"/>
      <c r="H674" s="313"/>
      <c r="I674" s="313"/>
      <c r="J674" s="236"/>
      <c r="K674" s="236"/>
      <c r="L674" s="314"/>
      <c r="M674" s="236"/>
      <c r="N674" s="237"/>
      <c r="O674" s="251"/>
      <c r="P674" s="251"/>
      <c r="Q674" s="251"/>
      <c r="R674" s="251"/>
    </row>
    <row r="675" ht="15.75" hidden="1" customHeight="1">
      <c r="A675" s="315"/>
      <c r="B675" s="233"/>
      <c r="C675" s="233"/>
      <c r="D675" s="233"/>
      <c r="E675" s="316"/>
      <c r="F675" s="233"/>
      <c r="G675" s="233"/>
      <c r="H675" s="317"/>
      <c r="I675" s="317"/>
      <c r="J675" s="233"/>
      <c r="K675" s="233"/>
      <c r="L675" s="316"/>
      <c r="M675" s="233"/>
      <c r="N675" s="234"/>
      <c r="O675" s="251"/>
      <c r="P675" s="251"/>
      <c r="Q675" s="251"/>
      <c r="R675" s="251"/>
    </row>
    <row r="676" ht="15.75" hidden="1" customHeight="1">
      <c r="A676" s="318"/>
      <c r="B676" s="236"/>
      <c r="C676" s="236"/>
      <c r="D676" s="236"/>
      <c r="E676" s="314"/>
      <c r="F676" s="236"/>
      <c r="G676" s="236"/>
      <c r="H676" s="313"/>
      <c r="I676" s="313"/>
      <c r="J676" s="236"/>
      <c r="K676" s="236"/>
      <c r="L676" s="314"/>
      <c r="M676" s="236"/>
      <c r="N676" s="237"/>
      <c r="O676" s="251"/>
      <c r="P676" s="251"/>
      <c r="Q676" s="251"/>
      <c r="R676" s="251"/>
    </row>
    <row r="677" ht="15.75" hidden="1" customHeight="1">
      <c r="A677" s="315"/>
      <c r="B677" s="233"/>
      <c r="C677" s="233"/>
      <c r="D677" s="233"/>
      <c r="E677" s="316"/>
      <c r="F677" s="233"/>
      <c r="G677" s="233"/>
      <c r="H677" s="317"/>
      <c r="I677" s="317"/>
      <c r="J677" s="233"/>
      <c r="K677" s="233"/>
      <c r="L677" s="316"/>
      <c r="M677" s="233"/>
      <c r="N677" s="234"/>
      <c r="O677" s="251"/>
      <c r="P677" s="251"/>
      <c r="Q677" s="251"/>
      <c r="R677" s="251"/>
    </row>
    <row r="678" ht="15.75" hidden="1" customHeight="1">
      <c r="A678" s="318"/>
      <c r="B678" s="236"/>
      <c r="C678" s="236"/>
      <c r="D678" s="236"/>
      <c r="E678" s="314"/>
      <c r="F678" s="236"/>
      <c r="G678" s="236"/>
      <c r="H678" s="313"/>
      <c r="I678" s="313"/>
      <c r="J678" s="236"/>
      <c r="K678" s="236"/>
      <c r="L678" s="314"/>
      <c r="M678" s="236"/>
      <c r="N678" s="237"/>
      <c r="O678" s="251"/>
      <c r="P678" s="251"/>
      <c r="Q678" s="251"/>
      <c r="R678" s="251"/>
    </row>
    <row r="679" ht="15.75" hidden="1" customHeight="1">
      <c r="A679" s="315"/>
      <c r="B679" s="233"/>
      <c r="C679" s="233"/>
      <c r="D679" s="233"/>
      <c r="E679" s="316"/>
      <c r="F679" s="233"/>
      <c r="G679" s="233"/>
      <c r="H679" s="317"/>
      <c r="I679" s="317"/>
      <c r="J679" s="233"/>
      <c r="K679" s="233"/>
      <c r="L679" s="316"/>
      <c r="M679" s="233"/>
      <c r="N679" s="234"/>
      <c r="O679" s="251"/>
      <c r="P679" s="251"/>
      <c r="Q679" s="251"/>
      <c r="R679" s="251"/>
    </row>
    <row r="680" ht="15.75" hidden="1" customHeight="1">
      <c r="A680" s="318"/>
      <c r="B680" s="236"/>
      <c r="C680" s="236"/>
      <c r="D680" s="236"/>
      <c r="E680" s="314"/>
      <c r="F680" s="236"/>
      <c r="G680" s="236"/>
      <c r="H680" s="313"/>
      <c r="I680" s="313"/>
      <c r="J680" s="236"/>
      <c r="K680" s="236"/>
      <c r="L680" s="314"/>
      <c r="M680" s="236"/>
      <c r="N680" s="237"/>
      <c r="O680" s="251"/>
      <c r="P680" s="251"/>
      <c r="Q680" s="251"/>
      <c r="R680" s="251"/>
    </row>
    <row r="681" ht="15.75" hidden="1" customHeight="1">
      <c r="A681" s="315"/>
      <c r="B681" s="233"/>
      <c r="C681" s="233"/>
      <c r="D681" s="233"/>
      <c r="E681" s="316"/>
      <c r="F681" s="233"/>
      <c r="G681" s="233"/>
      <c r="H681" s="317"/>
      <c r="I681" s="317"/>
      <c r="J681" s="233"/>
      <c r="K681" s="233"/>
      <c r="L681" s="316"/>
      <c r="M681" s="233"/>
      <c r="N681" s="234"/>
      <c r="O681" s="251"/>
      <c r="P681" s="251"/>
      <c r="Q681" s="251"/>
      <c r="R681" s="251"/>
    </row>
    <row r="682" ht="15.75" hidden="1" customHeight="1">
      <c r="A682" s="318"/>
      <c r="B682" s="236"/>
      <c r="C682" s="236"/>
      <c r="D682" s="236"/>
      <c r="E682" s="314"/>
      <c r="F682" s="236"/>
      <c r="G682" s="236"/>
      <c r="H682" s="313"/>
      <c r="I682" s="313"/>
      <c r="J682" s="236"/>
      <c r="K682" s="236"/>
      <c r="L682" s="314"/>
      <c r="M682" s="236"/>
      <c r="N682" s="237"/>
      <c r="O682" s="251"/>
      <c r="P682" s="251"/>
      <c r="Q682" s="251"/>
      <c r="R682" s="251"/>
    </row>
    <row r="683" ht="15.75" hidden="1" customHeight="1">
      <c r="A683" s="315"/>
      <c r="B683" s="233"/>
      <c r="C683" s="233"/>
      <c r="D683" s="233"/>
      <c r="E683" s="316"/>
      <c r="F683" s="233"/>
      <c r="G683" s="233"/>
      <c r="H683" s="317"/>
      <c r="I683" s="317"/>
      <c r="J683" s="233"/>
      <c r="K683" s="233"/>
      <c r="L683" s="316"/>
      <c r="M683" s="233"/>
      <c r="N683" s="234"/>
      <c r="O683" s="251"/>
      <c r="P683" s="251"/>
      <c r="Q683" s="251"/>
      <c r="R683" s="251"/>
    </row>
    <row r="684" ht="15.75" hidden="1" customHeight="1">
      <c r="A684" s="318"/>
      <c r="B684" s="236"/>
      <c r="C684" s="236"/>
      <c r="D684" s="236"/>
      <c r="E684" s="314"/>
      <c r="F684" s="236"/>
      <c r="G684" s="236"/>
      <c r="H684" s="313"/>
      <c r="I684" s="313"/>
      <c r="J684" s="236"/>
      <c r="K684" s="236"/>
      <c r="L684" s="314"/>
      <c r="M684" s="236"/>
      <c r="N684" s="237"/>
      <c r="O684" s="251"/>
      <c r="P684" s="251"/>
      <c r="Q684" s="251"/>
      <c r="R684" s="251"/>
    </row>
    <row r="685" ht="15.75" hidden="1" customHeight="1">
      <c r="A685" s="315"/>
      <c r="B685" s="233"/>
      <c r="C685" s="233"/>
      <c r="D685" s="233"/>
      <c r="E685" s="316"/>
      <c r="F685" s="233"/>
      <c r="G685" s="233"/>
      <c r="H685" s="317"/>
      <c r="I685" s="317"/>
      <c r="J685" s="233"/>
      <c r="K685" s="233"/>
      <c r="L685" s="316"/>
      <c r="M685" s="233"/>
      <c r="N685" s="234"/>
      <c r="O685" s="251"/>
      <c r="P685" s="251"/>
      <c r="Q685" s="251"/>
      <c r="R685" s="251"/>
    </row>
    <row r="686" ht="15.75" hidden="1" customHeight="1">
      <c r="A686" s="318"/>
      <c r="B686" s="236"/>
      <c r="C686" s="236"/>
      <c r="D686" s="236"/>
      <c r="E686" s="314"/>
      <c r="F686" s="236"/>
      <c r="G686" s="236"/>
      <c r="H686" s="313"/>
      <c r="I686" s="313"/>
      <c r="J686" s="236"/>
      <c r="K686" s="236"/>
      <c r="L686" s="314"/>
      <c r="M686" s="236"/>
      <c r="N686" s="237"/>
      <c r="O686" s="251"/>
      <c r="P686" s="251"/>
      <c r="Q686" s="251"/>
      <c r="R686" s="251"/>
    </row>
    <row r="687" ht="15.75" hidden="1" customHeight="1">
      <c r="A687" s="315"/>
      <c r="B687" s="233"/>
      <c r="C687" s="233"/>
      <c r="D687" s="233"/>
      <c r="E687" s="316"/>
      <c r="F687" s="233"/>
      <c r="G687" s="233"/>
      <c r="H687" s="317"/>
      <c r="I687" s="317"/>
      <c r="J687" s="233"/>
      <c r="K687" s="233"/>
      <c r="L687" s="316"/>
      <c r="M687" s="233"/>
      <c r="N687" s="234"/>
      <c r="O687" s="251"/>
      <c r="P687" s="251"/>
      <c r="Q687" s="251"/>
      <c r="R687" s="251"/>
    </row>
    <row r="688" ht="15.75" hidden="1" customHeight="1">
      <c r="A688" s="318"/>
      <c r="B688" s="236"/>
      <c r="C688" s="236"/>
      <c r="D688" s="236"/>
      <c r="E688" s="314"/>
      <c r="F688" s="236"/>
      <c r="G688" s="236"/>
      <c r="H688" s="313"/>
      <c r="I688" s="313"/>
      <c r="J688" s="236"/>
      <c r="K688" s="236"/>
      <c r="L688" s="314"/>
      <c r="M688" s="236"/>
      <c r="N688" s="237"/>
      <c r="O688" s="251"/>
      <c r="P688" s="251"/>
      <c r="Q688" s="251"/>
      <c r="R688" s="251"/>
    </row>
    <row r="689" ht="15.75" hidden="1" customHeight="1">
      <c r="A689" s="315"/>
      <c r="B689" s="233"/>
      <c r="C689" s="233"/>
      <c r="D689" s="233"/>
      <c r="E689" s="316"/>
      <c r="F689" s="233"/>
      <c r="G689" s="233"/>
      <c r="H689" s="317"/>
      <c r="I689" s="317"/>
      <c r="J689" s="233"/>
      <c r="K689" s="233"/>
      <c r="L689" s="316"/>
      <c r="M689" s="233"/>
      <c r="N689" s="234"/>
      <c r="O689" s="251"/>
      <c r="P689" s="251"/>
      <c r="Q689" s="251"/>
      <c r="R689" s="251"/>
    </row>
    <row r="690" ht="15.75" hidden="1" customHeight="1">
      <c r="A690" s="318"/>
      <c r="B690" s="236"/>
      <c r="C690" s="236"/>
      <c r="D690" s="236"/>
      <c r="E690" s="314"/>
      <c r="F690" s="236"/>
      <c r="G690" s="236"/>
      <c r="H690" s="313"/>
      <c r="I690" s="313"/>
      <c r="J690" s="236"/>
      <c r="K690" s="236"/>
      <c r="L690" s="314"/>
      <c r="M690" s="236"/>
      <c r="N690" s="237"/>
      <c r="O690" s="251"/>
      <c r="P690" s="251"/>
      <c r="Q690" s="251"/>
      <c r="R690" s="251"/>
    </row>
    <row r="691" ht="15.75" hidden="1" customHeight="1">
      <c r="A691" s="315"/>
      <c r="B691" s="233"/>
      <c r="C691" s="233"/>
      <c r="D691" s="233"/>
      <c r="E691" s="316"/>
      <c r="F691" s="233"/>
      <c r="G691" s="233"/>
      <c r="H691" s="317"/>
      <c r="I691" s="317"/>
      <c r="J691" s="233"/>
      <c r="K691" s="233"/>
      <c r="L691" s="316"/>
      <c r="M691" s="233"/>
      <c r="N691" s="234"/>
      <c r="O691" s="251"/>
      <c r="P691" s="251"/>
      <c r="Q691" s="251"/>
      <c r="R691" s="251"/>
    </row>
    <row r="692" ht="15.75" hidden="1" customHeight="1">
      <c r="A692" s="318"/>
      <c r="B692" s="236"/>
      <c r="C692" s="236"/>
      <c r="D692" s="236"/>
      <c r="E692" s="314"/>
      <c r="F692" s="236"/>
      <c r="G692" s="236"/>
      <c r="H692" s="313"/>
      <c r="I692" s="313"/>
      <c r="J692" s="236"/>
      <c r="K692" s="236"/>
      <c r="L692" s="314"/>
      <c r="M692" s="236"/>
      <c r="N692" s="237"/>
      <c r="O692" s="251"/>
      <c r="P692" s="251"/>
      <c r="Q692" s="251"/>
      <c r="R692" s="251"/>
    </row>
    <row r="693" ht="15.75" hidden="1" customHeight="1">
      <c r="A693" s="315"/>
      <c r="B693" s="233"/>
      <c r="C693" s="233"/>
      <c r="D693" s="233"/>
      <c r="E693" s="316"/>
      <c r="F693" s="233"/>
      <c r="G693" s="233"/>
      <c r="H693" s="317"/>
      <c r="I693" s="317"/>
      <c r="J693" s="233"/>
      <c r="K693" s="233"/>
      <c r="L693" s="316"/>
      <c r="M693" s="233"/>
      <c r="N693" s="234"/>
      <c r="O693" s="251"/>
      <c r="P693" s="251"/>
      <c r="Q693" s="251"/>
      <c r="R693" s="251"/>
    </row>
    <row r="694" ht="15.75" hidden="1" customHeight="1">
      <c r="A694" s="318"/>
      <c r="B694" s="236"/>
      <c r="C694" s="236"/>
      <c r="D694" s="236"/>
      <c r="E694" s="314"/>
      <c r="F694" s="236"/>
      <c r="G694" s="236"/>
      <c r="H694" s="313"/>
      <c r="I694" s="313"/>
      <c r="J694" s="236"/>
      <c r="K694" s="236"/>
      <c r="L694" s="314"/>
      <c r="M694" s="236"/>
      <c r="N694" s="237"/>
      <c r="O694" s="251"/>
      <c r="P694" s="251"/>
      <c r="Q694" s="251"/>
      <c r="R694" s="251"/>
    </row>
    <row r="695" ht="15.75" hidden="1" customHeight="1">
      <c r="A695" s="315"/>
      <c r="B695" s="233"/>
      <c r="C695" s="233"/>
      <c r="D695" s="233"/>
      <c r="E695" s="316"/>
      <c r="F695" s="233"/>
      <c r="G695" s="233"/>
      <c r="H695" s="317"/>
      <c r="I695" s="317"/>
      <c r="J695" s="233"/>
      <c r="K695" s="233"/>
      <c r="L695" s="316"/>
      <c r="M695" s="233"/>
      <c r="N695" s="234"/>
      <c r="O695" s="251"/>
      <c r="P695" s="251"/>
      <c r="Q695" s="251"/>
      <c r="R695" s="251"/>
    </row>
    <row r="696" ht="15.75" hidden="1" customHeight="1">
      <c r="A696" s="318"/>
      <c r="B696" s="236"/>
      <c r="C696" s="236"/>
      <c r="D696" s="236"/>
      <c r="E696" s="314"/>
      <c r="F696" s="236"/>
      <c r="G696" s="236"/>
      <c r="H696" s="313"/>
      <c r="I696" s="313"/>
      <c r="J696" s="236"/>
      <c r="K696" s="236"/>
      <c r="L696" s="314"/>
      <c r="M696" s="236"/>
      <c r="N696" s="237"/>
      <c r="O696" s="251"/>
      <c r="P696" s="251"/>
      <c r="Q696" s="251"/>
      <c r="R696" s="251"/>
    </row>
    <row r="697" ht="15.75" hidden="1" customHeight="1">
      <c r="A697" s="315"/>
      <c r="B697" s="233"/>
      <c r="C697" s="233"/>
      <c r="D697" s="233"/>
      <c r="E697" s="316"/>
      <c r="F697" s="233"/>
      <c r="G697" s="233"/>
      <c r="H697" s="317"/>
      <c r="I697" s="317"/>
      <c r="J697" s="233"/>
      <c r="K697" s="233"/>
      <c r="L697" s="316"/>
      <c r="M697" s="233"/>
      <c r="N697" s="234"/>
      <c r="O697" s="251"/>
      <c r="P697" s="251"/>
      <c r="Q697" s="251"/>
      <c r="R697" s="251"/>
    </row>
    <row r="698" ht="15.75" hidden="1" customHeight="1">
      <c r="A698" s="318"/>
      <c r="B698" s="236"/>
      <c r="C698" s="236"/>
      <c r="D698" s="236"/>
      <c r="E698" s="314"/>
      <c r="F698" s="236"/>
      <c r="G698" s="236"/>
      <c r="H698" s="313"/>
      <c r="I698" s="313"/>
      <c r="J698" s="236"/>
      <c r="K698" s="236"/>
      <c r="L698" s="314"/>
      <c r="M698" s="236"/>
      <c r="N698" s="237"/>
      <c r="O698" s="251"/>
      <c r="P698" s="251"/>
      <c r="Q698" s="251"/>
      <c r="R698" s="251"/>
    </row>
    <row r="699" ht="15.75" hidden="1" customHeight="1">
      <c r="A699" s="315"/>
      <c r="B699" s="233"/>
      <c r="C699" s="233"/>
      <c r="D699" s="233"/>
      <c r="E699" s="316"/>
      <c r="F699" s="233"/>
      <c r="G699" s="233"/>
      <c r="H699" s="317"/>
      <c r="I699" s="317"/>
      <c r="J699" s="233"/>
      <c r="K699" s="233"/>
      <c r="L699" s="316"/>
      <c r="M699" s="233"/>
      <c r="N699" s="234"/>
      <c r="O699" s="251"/>
      <c r="P699" s="251"/>
      <c r="Q699" s="251"/>
      <c r="R699" s="251"/>
    </row>
    <row r="700" ht="15.75" hidden="1" customHeight="1">
      <c r="A700" s="318"/>
      <c r="B700" s="236"/>
      <c r="C700" s="236"/>
      <c r="D700" s="236"/>
      <c r="E700" s="314"/>
      <c r="F700" s="236"/>
      <c r="G700" s="236"/>
      <c r="H700" s="313"/>
      <c r="I700" s="313"/>
      <c r="J700" s="236"/>
      <c r="K700" s="236"/>
      <c r="L700" s="314"/>
      <c r="M700" s="236"/>
      <c r="N700" s="237"/>
      <c r="O700" s="251"/>
      <c r="P700" s="251"/>
      <c r="Q700" s="251"/>
      <c r="R700" s="251"/>
    </row>
    <row r="701" ht="15.75" hidden="1" customHeight="1">
      <c r="A701" s="315"/>
      <c r="B701" s="233"/>
      <c r="C701" s="233"/>
      <c r="D701" s="233"/>
      <c r="E701" s="316"/>
      <c r="F701" s="233"/>
      <c r="G701" s="233"/>
      <c r="H701" s="317"/>
      <c r="I701" s="317"/>
      <c r="J701" s="233"/>
      <c r="K701" s="233"/>
      <c r="L701" s="316"/>
      <c r="M701" s="233"/>
      <c r="N701" s="234"/>
      <c r="O701" s="251"/>
      <c r="P701" s="251"/>
      <c r="Q701" s="251"/>
      <c r="R701" s="251"/>
    </row>
    <row r="702" ht="15.75" hidden="1" customHeight="1">
      <c r="A702" s="318"/>
      <c r="B702" s="236"/>
      <c r="C702" s="236"/>
      <c r="D702" s="236"/>
      <c r="E702" s="314"/>
      <c r="F702" s="236"/>
      <c r="G702" s="236"/>
      <c r="H702" s="313"/>
      <c r="I702" s="313"/>
      <c r="J702" s="236"/>
      <c r="K702" s="236"/>
      <c r="L702" s="314"/>
      <c r="M702" s="236"/>
      <c r="N702" s="237"/>
      <c r="O702" s="251"/>
      <c r="P702" s="251"/>
      <c r="Q702" s="251"/>
      <c r="R702" s="251"/>
    </row>
    <row r="703" ht="15.75" hidden="1" customHeight="1">
      <c r="A703" s="315"/>
      <c r="B703" s="233"/>
      <c r="C703" s="233"/>
      <c r="D703" s="233"/>
      <c r="E703" s="316"/>
      <c r="F703" s="233"/>
      <c r="G703" s="233"/>
      <c r="H703" s="317"/>
      <c r="I703" s="317"/>
      <c r="J703" s="233"/>
      <c r="K703" s="233"/>
      <c r="L703" s="316"/>
      <c r="M703" s="233"/>
      <c r="N703" s="234"/>
      <c r="O703" s="251"/>
      <c r="P703" s="251"/>
      <c r="Q703" s="251"/>
      <c r="R703" s="251"/>
    </row>
    <row r="704" ht="15.75" hidden="1" customHeight="1">
      <c r="A704" s="318"/>
      <c r="B704" s="236"/>
      <c r="C704" s="236"/>
      <c r="D704" s="236"/>
      <c r="E704" s="314"/>
      <c r="F704" s="236"/>
      <c r="G704" s="236"/>
      <c r="H704" s="313"/>
      <c r="I704" s="313"/>
      <c r="J704" s="236"/>
      <c r="K704" s="236"/>
      <c r="L704" s="314"/>
      <c r="M704" s="236"/>
      <c r="N704" s="237"/>
      <c r="O704" s="251"/>
      <c r="P704" s="251"/>
      <c r="Q704" s="251"/>
      <c r="R704" s="251"/>
    </row>
    <row r="705" ht="15.75" hidden="1" customHeight="1">
      <c r="A705" s="315"/>
      <c r="B705" s="233"/>
      <c r="C705" s="233"/>
      <c r="D705" s="233"/>
      <c r="E705" s="316"/>
      <c r="F705" s="233"/>
      <c r="G705" s="233"/>
      <c r="H705" s="317"/>
      <c r="I705" s="317"/>
      <c r="J705" s="233"/>
      <c r="K705" s="233"/>
      <c r="L705" s="316"/>
      <c r="M705" s="233"/>
      <c r="N705" s="234"/>
      <c r="O705" s="251"/>
      <c r="P705" s="251"/>
      <c r="Q705" s="251"/>
      <c r="R705" s="251"/>
    </row>
    <row r="706" ht="15.75" hidden="1" customHeight="1">
      <c r="A706" s="318"/>
      <c r="B706" s="236"/>
      <c r="C706" s="236"/>
      <c r="D706" s="236"/>
      <c r="E706" s="314"/>
      <c r="F706" s="236"/>
      <c r="G706" s="236"/>
      <c r="H706" s="313"/>
      <c r="I706" s="313"/>
      <c r="J706" s="236"/>
      <c r="K706" s="236"/>
      <c r="L706" s="314"/>
      <c r="M706" s="236"/>
      <c r="N706" s="237"/>
      <c r="O706" s="251"/>
      <c r="P706" s="251"/>
      <c r="Q706" s="251"/>
      <c r="R706" s="251"/>
    </row>
    <row r="707" ht="15.75" hidden="1" customHeight="1">
      <c r="A707" s="315"/>
      <c r="B707" s="233"/>
      <c r="C707" s="233"/>
      <c r="D707" s="233"/>
      <c r="E707" s="316"/>
      <c r="F707" s="233"/>
      <c r="G707" s="233"/>
      <c r="H707" s="317"/>
      <c r="I707" s="317"/>
      <c r="J707" s="233"/>
      <c r="K707" s="233"/>
      <c r="L707" s="316"/>
      <c r="M707" s="233"/>
      <c r="N707" s="234"/>
      <c r="O707" s="251"/>
      <c r="P707" s="251"/>
      <c r="Q707" s="251"/>
      <c r="R707" s="251"/>
    </row>
    <row r="708" ht="15.75" hidden="1" customHeight="1">
      <c r="A708" s="318"/>
      <c r="B708" s="236"/>
      <c r="C708" s="236"/>
      <c r="D708" s="236"/>
      <c r="E708" s="314"/>
      <c r="F708" s="236"/>
      <c r="G708" s="236"/>
      <c r="H708" s="313"/>
      <c r="I708" s="313"/>
      <c r="J708" s="236"/>
      <c r="K708" s="236"/>
      <c r="L708" s="314"/>
      <c r="M708" s="236"/>
      <c r="N708" s="237"/>
      <c r="O708" s="251"/>
      <c r="P708" s="251"/>
      <c r="Q708" s="251"/>
      <c r="R708" s="251"/>
    </row>
    <row r="709" ht="15.75" hidden="1" customHeight="1">
      <c r="A709" s="315"/>
      <c r="B709" s="233"/>
      <c r="C709" s="233"/>
      <c r="D709" s="233"/>
      <c r="E709" s="316"/>
      <c r="F709" s="233"/>
      <c r="G709" s="233"/>
      <c r="H709" s="317"/>
      <c r="I709" s="317"/>
      <c r="J709" s="233"/>
      <c r="K709" s="233"/>
      <c r="L709" s="316"/>
      <c r="M709" s="233"/>
      <c r="N709" s="234"/>
      <c r="O709" s="251"/>
      <c r="P709" s="251"/>
      <c r="Q709" s="251"/>
      <c r="R709" s="251"/>
    </row>
    <row r="710" ht="15.75" hidden="1" customHeight="1">
      <c r="A710" s="318"/>
      <c r="B710" s="236"/>
      <c r="C710" s="236"/>
      <c r="D710" s="236"/>
      <c r="E710" s="314"/>
      <c r="F710" s="236"/>
      <c r="G710" s="236"/>
      <c r="H710" s="313"/>
      <c r="I710" s="313"/>
      <c r="J710" s="236"/>
      <c r="K710" s="236"/>
      <c r="L710" s="314"/>
      <c r="M710" s="236"/>
      <c r="N710" s="237"/>
      <c r="O710" s="251"/>
      <c r="P710" s="251"/>
      <c r="Q710" s="251"/>
      <c r="R710" s="251"/>
    </row>
    <row r="711" ht="15.75" hidden="1" customHeight="1">
      <c r="A711" s="315"/>
      <c r="B711" s="233"/>
      <c r="C711" s="233"/>
      <c r="D711" s="233"/>
      <c r="E711" s="316"/>
      <c r="F711" s="233"/>
      <c r="G711" s="233"/>
      <c r="H711" s="317"/>
      <c r="I711" s="317"/>
      <c r="J711" s="233"/>
      <c r="K711" s="233"/>
      <c r="L711" s="316"/>
      <c r="M711" s="233"/>
      <c r="N711" s="234"/>
      <c r="O711" s="251"/>
      <c r="P711" s="251"/>
      <c r="Q711" s="251"/>
      <c r="R711" s="251"/>
    </row>
    <row r="712" ht="15.75" hidden="1" customHeight="1">
      <c r="A712" s="318"/>
      <c r="B712" s="236"/>
      <c r="C712" s="236"/>
      <c r="D712" s="236"/>
      <c r="E712" s="314"/>
      <c r="F712" s="236"/>
      <c r="G712" s="236"/>
      <c r="H712" s="313"/>
      <c r="I712" s="313"/>
      <c r="J712" s="236"/>
      <c r="K712" s="236"/>
      <c r="L712" s="314"/>
      <c r="M712" s="236"/>
      <c r="N712" s="237"/>
      <c r="O712" s="251"/>
      <c r="P712" s="251"/>
      <c r="Q712" s="251"/>
      <c r="R712" s="251"/>
    </row>
    <row r="713" ht="15.75" hidden="1" customHeight="1">
      <c r="A713" s="315"/>
      <c r="B713" s="233"/>
      <c r="C713" s="233"/>
      <c r="D713" s="233"/>
      <c r="E713" s="316"/>
      <c r="F713" s="233"/>
      <c r="G713" s="233"/>
      <c r="H713" s="317"/>
      <c r="I713" s="317"/>
      <c r="J713" s="233"/>
      <c r="K713" s="233"/>
      <c r="L713" s="316"/>
      <c r="M713" s="233"/>
      <c r="N713" s="234"/>
      <c r="O713" s="251"/>
      <c r="P713" s="251"/>
      <c r="Q713" s="251"/>
      <c r="R713" s="251"/>
    </row>
    <row r="714" ht="15.75" hidden="1" customHeight="1">
      <c r="A714" s="318"/>
      <c r="B714" s="236"/>
      <c r="C714" s="236"/>
      <c r="D714" s="236"/>
      <c r="E714" s="314"/>
      <c r="F714" s="236"/>
      <c r="G714" s="236"/>
      <c r="H714" s="313"/>
      <c r="I714" s="313"/>
      <c r="J714" s="236"/>
      <c r="K714" s="236"/>
      <c r="L714" s="314"/>
      <c r="M714" s="236"/>
      <c r="N714" s="237"/>
      <c r="O714" s="251"/>
      <c r="P714" s="251"/>
      <c r="Q714" s="251"/>
      <c r="R714" s="251"/>
    </row>
    <row r="715" ht="15.75" hidden="1" customHeight="1">
      <c r="A715" s="315"/>
      <c r="B715" s="233"/>
      <c r="C715" s="233"/>
      <c r="D715" s="233"/>
      <c r="E715" s="316"/>
      <c r="F715" s="233"/>
      <c r="G715" s="233"/>
      <c r="H715" s="317"/>
      <c r="I715" s="317"/>
      <c r="J715" s="233"/>
      <c r="K715" s="233"/>
      <c r="L715" s="316"/>
      <c r="M715" s="233"/>
      <c r="N715" s="234"/>
      <c r="O715" s="251"/>
      <c r="P715" s="251"/>
      <c r="Q715" s="251"/>
      <c r="R715" s="251"/>
    </row>
    <row r="716" ht="15.75" hidden="1" customHeight="1">
      <c r="A716" s="318"/>
      <c r="B716" s="236"/>
      <c r="C716" s="236"/>
      <c r="D716" s="236"/>
      <c r="E716" s="314"/>
      <c r="F716" s="236"/>
      <c r="G716" s="236"/>
      <c r="H716" s="313"/>
      <c r="I716" s="313"/>
      <c r="J716" s="236"/>
      <c r="K716" s="236"/>
      <c r="L716" s="314"/>
      <c r="M716" s="236"/>
      <c r="N716" s="237"/>
      <c r="O716" s="251"/>
      <c r="P716" s="251"/>
      <c r="Q716" s="251"/>
      <c r="R716" s="251"/>
    </row>
    <row r="717" ht="15.75" hidden="1" customHeight="1">
      <c r="A717" s="315"/>
      <c r="B717" s="233"/>
      <c r="C717" s="233"/>
      <c r="D717" s="233"/>
      <c r="E717" s="316"/>
      <c r="F717" s="233"/>
      <c r="G717" s="233"/>
      <c r="H717" s="317"/>
      <c r="I717" s="317"/>
      <c r="J717" s="233"/>
      <c r="K717" s="233"/>
      <c r="L717" s="316"/>
      <c r="M717" s="233"/>
      <c r="N717" s="234"/>
      <c r="O717" s="251"/>
      <c r="P717" s="251"/>
      <c r="Q717" s="251"/>
      <c r="R717" s="251"/>
    </row>
    <row r="718" ht="15.75" hidden="1" customHeight="1">
      <c r="A718" s="318"/>
      <c r="B718" s="236"/>
      <c r="C718" s="236"/>
      <c r="D718" s="236"/>
      <c r="E718" s="314"/>
      <c r="F718" s="236"/>
      <c r="G718" s="236"/>
      <c r="H718" s="313"/>
      <c r="I718" s="313"/>
      <c r="J718" s="236"/>
      <c r="K718" s="236"/>
      <c r="L718" s="314"/>
      <c r="M718" s="236"/>
      <c r="N718" s="237"/>
      <c r="O718" s="251"/>
      <c r="P718" s="251"/>
      <c r="Q718" s="251"/>
      <c r="R718" s="251"/>
    </row>
    <row r="719" ht="15.75" hidden="1" customHeight="1">
      <c r="A719" s="315"/>
      <c r="B719" s="233"/>
      <c r="C719" s="233"/>
      <c r="D719" s="233"/>
      <c r="E719" s="316"/>
      <c r="F719" s="233"/>
      <c r="G719" s="233"/>
      <c r="H719" s="317"/>
      <c r="I719" s="317"/>
      <c r="J719" s="233"/>
      <c r="K719" s="233"/>
      <c r="L719" s="316"/>
      <c r="M719" s="233"/>
      <c r="N719" s="234"/>
      <c r="O719" s="251"/>
      <c r="P719" s="251"/>
      <c r="Q719" s="251"/>
      <c r="R719" s="251"/>
    </row>
    <row r="720" ht="15.75" hidden="1" customHeight="1">
      <c r="A720" s="318"/>
      <c r="B720" s="236"/>
      <c r="C720" s="236"/>
      <c r="D720" s="236"/>
      <c r="E720" s="314"/>
      <c r="F720" s="236"/>
      <c r="G720" s="236"/>
      <c r="H720" s="313"/>
      <c r="I720" s="313"/>
      <c r="J720" s="236"/>
      <c r="K720" s="236"/>
      <c r="L720" s="314"/>
      <c r="M720" s="236"/>
      <c r="N720" s="237"/>
      <c r="O720" s="251"/>
      <c r="P720" s="251"/>
      <c r="Q720" s="251"/>
      <c r="R720" s="251"/>
    </row>
    <row r="721" ht="15.75" hidden="1" customHeight="1">
      <c r="A721" s="315"/>
      <c r="B721" s="233"/>
      <c r="C721" s="233"/>
      <c r="D721" s="233"/>
      <c r="E721" s="316"/>
      <c r="F721" s="233"/>
      <c r="G721" s="233"/>
      <c r="H721" s="317"/>
      <c r="I721" s="317"/>
      <c r="J721" s="233"/>
      <c r="K721" s="233"/>
      <c r="L721" s="316"/>
      <c r="M721" s="233"/>
      <c r="N721" s="234"/>
      <c r="O721" s="251"/>
      <c r="P721" s="251"/>
      <c r="Q721" s="251"/>
      <c r="R721" s="251"/>
    </row>
    <row r="722" ht="15.75" hidden="1" customHeight="1">
      <c r="A722" s="318"/>
      <c r="B722" s="236"/>
      <c r="C722" s="236"/>
      <c r="D722" s="236"/>
      <c r="E722" s="314"/>
      <c r="F722" s="236"/>
      <c r="G722" s="236"/>
      <c r="H722" s="313"/>
      <c r="I722" s="313"/>
      <c r="J722" s="236"/>
      <c r="K722" s="236"/>
      <c r="L722" s="314"/>
      <c r="M722" s="236"/>
      <c r="N722" s="237"/>
      <c r="O722" s="251"/>
      <c r="P722" s="251"/>
      <c r="Q722" s="251"/>
      <c r="R722" s="251"/>
    </row>
    <row r="723" ht="15.75" hidden="1" customHeight="1">
      <c r="A723" s="315"/>
      <c r="B723" s="233"/>
      <c r="C723" s="233"/>
      <c r="D723" s="233"/>
      <c r="E723" s="316"/>
      <c r="F723" s="233"/>
      <c r="G723" s="233"/>
      <c r="H723" s="317"/>
      <c r="I723" s="317"/>
      <c r="J723" s="233"/>
      <c r="K723" s="233"/>
      <c r="L723" s="316"/>
      <c r="M723" s="233"/>
      <c r="N723" s="234"/>
      <c r="O723" s="251"/>
      <c r="P723" s="251"/>
      <c r="Q723" s="251"/>
      <c r="R723" s="251"/>
    </row>
    <row r="724" ht="15.75" hidden="1" customHeight="1">
      <c r="A724" s="318"/>
      <c r="B724" s="236"/>
      <c r="C724" s="236"/>
      <c r="D724" s="236"/>
      <c r="E724" s="314"/>
      <c r="F724" s="236"/>
      <c r="G724" s="236"/>
      <c r="H724" s="313"/>
      <c r="I724" s="313"/>
      <c r="J724" s="236"/>
      <c r="K724" s="236"/>
      <c r="L724" s="314"/>
      <c r="M724" s="236"/>
      <c r="N724" s="237"/>
      <c r="O724" s="251"/>
      <c r="P724" s="251"/>
      <c r="Q724" s="251"/>
      <c r="R724" s="251"/>
    </row>
    <row r="725" ht="15.75" hidden="1" customHeight="1">
      <c r="A725" s="315"/>
      <c r="B725" s="233"/>
      <c r="C725" s="233"/>
      <c r="D725" s="233"/>
      <c r="E725" s="316"/>
      <c r="F725" s="233"/>
      <c r="G725" s="233"/>
      <c r="H725" s="317"/>
      <c r="I725" s="317"/>
      <c r="J725" s="233"/>
      <c r="K725" s="233"/>
      <c r="L725" s="316"/>
      <c r="M725" s="233"/>
      <c r="N725" s="234"/>
      <c r="O725" s="251"/>
      <c r="P725" s="251"/>
      <c r="Q725" s="251"/>
      <c r="R725" s="251"/>
    </row>
    <row r="726" ht="15.75" hidden="1" customHeight="1">
      <c r="A726" s="318"/>
      <c r="B726" s="236"/>
      <c r="C726" s="236"/>
      <c r="D726" s="236"/>
      <c r="E726" s="314"/>
      <c r="F726" s="236"/>
      <c r="G726" s="236"/>
      <c r="H726" s="313"/>
      <c r="I726" s="313"/>
      <c r="J726" s="236"/>
      <c r="K726" s="236"/>
      <c r="L726" s="314"/>
      <c r="M726" s="236"/>
      <c r="N726" s="237"/>
      <c r="O726" s="251"/>
      <c r="P726" s="251"/>
      <c r="Q726" s="251"/>
      <c r="R726" s="251"/>
    </row>
    <row r="727" ht="15.75" hidden="1" customHeight="1">
      <c r="A727" s="315"/>
      <c r="B727" s="233"/>
      <c r="C727" s="233"/>
      <c r="D727" s="233"/>
      <c r="E727" s="316"/>
      <c r="F727" s="233"/>
      <c r="G727" s="233"/>
      <c r="H727" s="317"/>
      <c r="I727" s="317"/>
      <c r="J727" s="233"/>
      <c r="K727" s="233"/>
      <c r="L727" s="316"/>
      <c r="M727" s="233"/>
      <c r="N727" s="234"/>
      <c r="O727" s="251"/>
      <c r="P727" s="251"/>
      <c r="Q727" s="251"/>
      <c r="R727" s="251"/>
    </row>
    <row r="728" ht="15.75" hidden="1" customHeight="1">
      <c r="A728" s="318"/>
      <c r="B728" s="236"/>
      <c r="C728" s="236"/>
      <c r="D728" s="236"/>
      <c r="E728" s="314"/>
      <c r="F728" s="236"/>
      <c r="G728" s="236"/>
      <c r="H728" s="313"/>
      <c r="I728" s="313"/>
      <c r="J728" s="236"/>
      <c r="K728" s="236"/>
      <c r="L728" s="314"/>
      <c r="M728" s="236"/>
      <c r="N728" s="237"/>
      <c r="O728" s="251"/>
      <c r="P728" s="251"/>
      <c r="Q728" s="251"/>
      <c r="R728" s="251"/>
    </row>
    <row r="729" ht="15.75" hidden="1" customHeight="1">
      <c r="A729" s="315"/>
      <c r="B729" s="233"/>
      <c r="C729" s="233"/>
      <c r="D729" s="233"/>
      <c r="E729" s="316"/>
      <c r="F729" s="233"/>
      <c r="G729" s="233"/>
      <c r="H729" s="317"/>
      <c r="I729" s="317"/>
      <c r="J729" s="233"/>
      <c r="K729" s="233"/>
      <c r="L729" s="316"/>
      <c r="M729" s="233"/>
      <c r="N729" s="234"/>
      <c r="O729" s="251"/>
      <c r="P729" s="251"/>
      <c r="Q729" s="251"/>
      <c r="R729" s="251"/>
    </row>
    <row r="730" ht="15.75" hidden="1" customHeight="1">
      <c r="A730" s="318"/>
      <c r="B730" s="236"/>
      <c r="C730" s="236"/>
      <c r="D730" s="236"/>
      <c r="E730" s="314"/>
      <c r="F730" s="236"/>
      <c r="G730" s="236"/>
      <c r="H730" s="313"/>
      <c r="I730" s="313"/>
      <c r="J730" s="236"/>
      <c r="K730" s="236"/>
      <c r="L730" s="314"/>
      <c r="M730" s="236"/>
      <c r="N730" s="237"/>
      <c r="O730" s="251"/>
      <c r="P730" s="251"/>
      <c r="Q730" s="251"/>
      <c r="R730" s="251"/>
    </row>
    <row r="731" ht="15.75" hidden="1" customHeight="1">
      <c r="A731" s="315"/>
      <c r="B731" s="233"/>
      <c r="C731" s="233"/>
      <c r="D731" s="233"/>
      <c r="E731" s="316"/>
      <c r="F731" s="233"/>
      <c r="G731" s="233"/>
      <c r="H731" s="317"/>
      <c r="I731" s="317"/>
      <c r="J731" s="233"/>
      <c r="K731" s="233"/>
      <c r="L731" s="316"/>
      <c r="M731" s="233"/>
      <c r="N731" s="234"/>
      <c r="O731" s="251"/>
      <c r="P731" s="251"/>
      <c r="Q731" s="251"/>
      <c r="R731" s="251"/>
    </row>
    <row r="732" ht="15.75" hidden="1" customHeight="1">
      <c r="A732" s="318"/>
      <c r="B732" s="236"/>
      <c r="C732" s="236"/>
      <c r="D732" s="236"/>
      <c r="E732" s="314"/>
      <c r="F732" s="236"/>
      <c r="G732" s="236"/>
      <c r="H732" s="313"/>
      <c r="I732" s="313"/>
      <c r="J732" s="236"/>
      <c r="K732" s="236"/>
      <c r="L732" s="314"/>
      <c r="M732" s="236"/>
      <c r="N732" s="237"/>
      <c r="O732" s="251"/>
      <c r="P732" s="251"/>
      <c r="Q732" s="251"/>
      <c r="R732" s="251"/>
    </row>
    <row r="733" ht="15.75" hidden="1" customHeight="1">
      <c r="A733" s="315"/>
      <c r="B733" s="233"/>
      <c r="C733" s="233"/>
      <c r="D733" s="233"/>
      <c r="E733" s="316"/>
      <c r="F733" s="233"/>
      <c r="G733" s="233"/>
      <c r="H733" s="317"/>
      <c r="I733" s="317"/>
      <c r="J733" s="233"/>
      <c r="K733" s="233"/>
      <c r="L733" s="316"/>
      <c r="M733" s="233"/>
      <c r="N733" s="234"/>
      <c r="O733" s="251"/>
      <c r="P733" s="251"/>
      <c r="Q733" s="251"/>
      <c r="R733" s="251"/>
    </row>
    <row r="734" ht="15.75" hidden="1" customHeight="1">
      <c r="A734" s="318"/>
      <c r="B734" s="236"/>
      <c r="C734" s="236"/>
      <c r="D734" s="236"/>
      <c r="E734" s="314"/>
      <c r="F734" s="236"/>
      <c r="G734" s="236"/>
      <c r="H734" s="313"/>
      <c r="I734" s="313"/>
      <c r="J734" s="236"/>
      <c r="K734" s="236"/>
      <c r="L734" s="314"/>
      <c r="M734" s="236"/>
      <c r="N734" s="237"/>
      <c r="O734" s="251"/>
      <c r="P734" s="251"/>
      <c r="Q734" s="251"/>
      <c r="R734" s="251"/>
    </row>
    <row r="735" ht="15.75" hidden="1" customHeight="1">
      <c r="A735" s="315"/>
      <c r="B735" s="233"/>
      <c r="C735" s="233"/>
      <c r="D735" s="233"/>
      <c r="E735" s="316"/>
      <c r="F735" s="233"/>
      <c r="G735" s="233"/>
      <c r="H735" s="317"/>
      <c r="I735" s="317"/>
      <c r="J735" s="233"/>
      <c r="K735" s="233"/>
      <c r="L735" s="316"/>
      <c r="M735" s="233"/>
      <c r="N735" s="234"/>
      <c r="O735" s="251"/>
      <c r="P735" s="251"/>
      <c r="Q735" s="251"/>
      <c r="R735" s="251"/>
    </row>
    <row r="736" ht="15.75" hidden="1" customHeight="1">
      <c r="A736" s="318"/>
      <c r="B736" s="236"/>
      <c r="C736" s="236"/>
      <c r="D736" s="236"/>
      <c r="E736" s="314"/>
      <c r="F736" s="236"/>
      <c r="G736" s="236"/>
      <c r="H736" s="313"/>
      <c r="I736" s="313"/>
      <c r="J736" s="236"/>
      <c r="K736" s="236"/>
      <c r="L736" s="314"/>
      <c r="M736" s="236"/>
      <c r="N736" s="237"/>
      <c r="O736" s="251"/>
      <c r="P736" s="251"/>
      <c r="Q736" s="251"/>
      <c r="R736" s="251"/>
    </row>
    <row r="737" ht="15.75" hidden="1" customHeight="1">
      <c r="A737" s="315"/>
      <c r="B737" s="233"/>
      <c r="C737" s="233"/>
      <c r="D737" s="233"/>
      <c r="E737" s="316"/>
      <c r="F737" s="233"/>
      <c r="G737" s="233"/>
      <c r="H737" s="317"/>
      <c r="I737" s="317"/>
      <c r="J737" s="233"/>
      <c r="K737" s="233"/>
      <c r="L737" s="316"/>
      <c r="M737" s="233"/>
      <c r="N737" s="234"/>
      <c r="O737" s="251"/>
      <c r="P737" s="251"/>
      <c r="Q737" s="251"/>
      <c r="R737" s="251"/>
    </row>
    <row r="738" ht="15.75" hidden="1" customHeight="1">
      <c r="A738" s="318"/>
      <c r="B738" s="236"/>
      <c r="C738" s="236"/>
      <c r="D738" s="236"/>
      <c r="E738" s="314"/>
      <c r="F738" s="236"/>
      <c r="G738" s="236"/>
      <c r="H738" s="313"/>
      <c r="I738" s="313"/>
      <c r="J738" s="236"/>
      <c r="K738" s="236"/>
      <c r="L738" s="314"/>
      <c r="M738" s="236"/>
      <c r="N738" s="237"/>
      <c r="O738" s="251"/>
      <c r="P738" s="251"/>
      <c r="Q738" s="251"/>
      <c r="R738" s="251"/>
    </row>
    <row r="739" ht="15.75" hidden="1" customHeight="1">
      <c r="A739" s="315"/>
      <c r="B739" s="233"/>
      <c r="C739" s="233"/>
      <c r="D739" s="233"/>
      <c r="E739" s="316"/>
      <c r="F739" s="233"/>
      <c r="G739" s="233"/>
      <c r="H739" s="317"/>
      <c r="I739" s="317"/>
      <c r="J739" s="233"/>
      <c r="K739" s="233"/>
      <c r="L739" s="316"/>
      <c r="M739" s="233"/>
      <c r="N739" s="234"/>
      <c r="O739" s="251"/>
      <c r="P739" s="251"/>
      <c r="Q739" s="251"/>
      <c r="R739" s="251"/>
    </row>
    <row r="740" ht="15.75" hidden="1" customHeight="1">
      <c r="A740" s="318"/>
      <c r="B740" s="236"/>
      <c r="C740" s="236"/>
      <c r="D740" s="236"/>
      <c r="E740" s="314"/>
      <c r="F740" s="236"/>
      <c r="G740" s="236"/>
      <c r="H740" s="313"/>
      <c r="I740" s="313"/>
      <c r="J740" s="236"/>
      <c r="K740" s="236"/>
      <c r="L740" s="314"/>
      <c r="M740" s="236"/>
      <c r="N740" s="237"/>
      <c r="O740" s="251"/>
      <c r="P740" s="251"/>
      <c r="Q740" s="251"/>
      <c r="R740" s="251"/>
    </row>
    <row r="741" ht="15.75" hidden="1" customHeight="1">
      <c r="A741" s="315"/>
      <c r="B741" s="233"/>
      <c r="C741" s="233"/>
      <c r="D741" s="233"/>
      <c r="E741" s="316"/>
      <c r="F741" s="233"/>
      <c r="G741" s="233"/>
      <c r="H741" s="317"/>
      <c r="I741" s="317"/>
      <c r="J741" s="233"/>
      <c r="K741" s="233"/>
      <c r="L741" s="316"/>
      <c r="M741" s="233"/>
      <c r="N741" s="234"/>
      <c r="O741" s="251"/>
      <c r="P741" s="251"/>
      <c r="Q741" s="251"/>
      <c r="R741" s="251"/>
    </row>
    <row r="742" ht="15.75" hidden="1" customHeight="1">
      <c r="A742" s="318"/>
      <c r="B742" s="236"/>
      <c r="C742" s="236"/>
      <c r="D742" s="236"/>
      <c r="E742" s="314"/>
      <c r="F742" s="236"/>
      <c r="G742" s="236"/>
      <c r="H742" s="313"/>
      <c r="I742" s="313"/>
      <c r="J742" s="236"/>
      <c r="K742" s="236"/>
      <c r="L742" s="314"/>
      <c r="M742" s="236"/>
      <c r="N742" s="237"/>
      <c r="O742" s="251"/>
      <c r="P742" s="251"/>
      <c r="Q742" s="251"/>
      <c r="R742" s="251"/>
    </row>
    <row r="743" ht="15.75" hidden="1" customHeight="1">
      <c r="A743" s="315"/>
      <c r="B743" s="233"/>
      <c r="C743" s="233"/>
      <c r="D743" s="233"/>
      <c r="E743" s="316"/>
      <c r="F743" s="233"/>
      <c r="G743" s="233"/>
      <c r="H743" s="317"/>
      <c r="I743" s="317"/>
      <c r="J743" s="233"/>
      <c r="K743" s="233"/>
      <c r="L743" s="316"/>
      <c r="M743" s="233"/>
      <c r="N743" s="234"/>
      <c r="O743" s="251"/>
      <c r="P743" s="251"/>
      <c r="Q743" s="251"/>
      <c r="R743" s="251"/>
    </row>
    <row r="744" ht="15.75" hidden="1" customHeight="1">
      <c r="A744" s="318"/>
      <c r="B744" s="236"/>
      <c r="C744" s="236"/>
      <c r="D744" s="236"/>
      <c r="E744" s="314"/>
      <c r="F744" s="236"/>
      <c r="G744" s="236"/>
      <c r="H744" s="313"/>
      <c r="I744" s="313"/>
      <c r="J744" s="236"/>
      <c r="K744" s="236"/>
      <c r="L744" s="314"/>
      <c r="M744" s="236"/>
      <c r="N744" s="237"/>
      <c r="O744" s="251"/>
      <c r="P744" s="251"/>
      <c r="Q744" s="251"/>
      <c r="R744" s="251"/>
    </row>
    <row r="745" ht="15.75" hidden="1" customHeight="1">
      <c r="A745" s="315"/>
      <c r="B745" s="233"/>
      <c r="C745" s="233"/>
      <c r="D745" s="233"/>
      <c r="E745" s="316"/>
      <c r="F745" s="233"/>
      <c r="G745" s="233"/>
      <c r="H745" s="317"/>
      <c r="I745" s="317"/>
      <c r="J745" s="233"/>
      <c r="K745" s="233"/>
      <c r="L745" s="316"/>
      <c r="M745" s="233"/>
      <c r="N745" s="234"/>
      <c r="O745" s="251"/>
      <c r="P745" s="251"/>
      <c r="Q745" s="251"/>
      <c r="R745" s="251"/>
    </row>
    <row r="746" ht="15.75" hidden="1" customHeight="1">
      <c r="A746" s="318"/>
      <c r="B746" s="236"/>
      <c r="C746" s="236"/>
      <c r="D746" s="236"/>
      <c r="E746" s="314"/>
      <c r="F746" s="236"/>
      <c r="G746" s="236"/>
      <c r="H746" s="313"/>
      <c r="I746" s="313"/>
      <c r="J746" s="236"/>
      <c r="K746" s="236"/>
      <c r="L746" s="314"/>
      <c r="M746" s="236"/>
      <c r="N746" s="237"/>
      <c r="O746" s="251"/>
      <c r="P746" s="251"/>
      <c r="Q746" s="251"/>
      <c r="R746" s="251"/>
    </row>
    <row r="747" ht="15.75" hidden="1" customHeight="1">
      <c r="A747" s="315"/>
      <c r="B747" s="233"/>
      <c r="C747" s="233"/>
      <c r="D747" s="233"/>
      <c r="E747" s="316"/>
      <c r="F747" s="233"/>
      <c r="G747" s="233"/>
      <c r="H747" s="317"/>
      <c r="I747" s="317"/>
      <c r="J747" s="233"/>
      <c r="K747" s="233"/>
      <c r="L747" s="316"/>
      <c r="M747" s="233"/>
      <c r="N747" s="234"/>
      <c r="O747" s="251"/>
      <c r="P747" s="251"/>
      <c r="Q747" s="251"/>
      <c r="R747" s="251"/>
    </row>
    <row r="748" ht="15.75" hidden="1" customHeight="1">
      <c r="A748" s="318"/>
      <c r="B748" s="236"/>
      <c r="C748" s="236"/>
      <c r="D748" s="236"/>
      <c r="E748" s="314"/>
      <c r="F748" s="236"/>
      <c r="G748" s="236"/>
      <c r="H748" s="313"/>
      <c r="I748" s="313"/>
      <c r="J748" s="236"/>
      <c r="K748" s="236"/>
      <c r="L748" s="314"/>
      <c r="M748" s="236"/>
      <c r="N748" s="237"/>
      <c r="O748" s="251"/>
      <c r="P748" s="251"/>
      <c r="Q748" s="251"/>
      <c r="R748" s="251"/>
    </row>
    <row r="749" ht="15.75" hidden="1" customHeight="1">
      <c r="A749" s="315"/>
      <c r="B749" s="233"/>
      <c r="C749" s="233"/>
      <c r="D749" s="233"/>
      <c r="E749" s="316"/>
      <c r="F749" s="233"/>
      <c r="G749" s="233"/>
      <c r="H749" s="317"/>
      <c r="I749" s="317"/>
      <c r="J749" s="233"/>
      <c r="K749" s="233"/>
      <c r="L749" s="316"/>
      <c r="M749" s="233"/>
      <c r="N749" s="234"/>
      <c r="O749" s="251"/>
      <c r="P749" s="251"/>
      <c r="Q749" s="251"/>
      <c r="R749" s="251"/>
    </row>
    <row r="750" ht="15.75" hidden="1" customHeight="1">
      <c r="A750" s="318"/>
      <c r="B750" s="236"/>
      <c r="C750" s="236"/>
      <c r="D750" s="236"/>
      <c r="E750" s="314"/>
      <c r="F750" s="236"/>
      <c r="G750" s="236"/>
      <c r="H750" s="313"/>
      <c r="I750" s="313"/>
      <c r="J750" s="236"/>
      <c r="K750" s="236"/>
      <c r="L750" s="314"/>
      <c r="M750" s="236"/>
      <c r="N750" s="237"/>
      <c r="O750" s="251"/>
      <c r="P750" s="251"/>
      <c r="Q750" s="251"/>
      <c r="R750" s="251"/>
    </row>
    <row r="751" ht="15.75" hidden="1" customHeight="1">
      <c r="A751" s="315"/>
      <c r="B751" s="233"/>
      <c r="C751" s="233"/>
      <c r="D751" s="233"/>
      <c r="E751" s="316"/>
      <c r="F751" s="233"/>
      <c r="G751" s="233"/>
      <c r="H751" s="317"/>
      <c r="I751" s="317"/>
      <c r="J751" s="233"/>
      <c r="K751" s="233"/>
      <c r="L751" s="316"/>
      <c r="M751" s="233"/>
      <c r="N751" s="234"/>
      <c r="O751" s="251"/>
      <c r="P751" s="251"/>
      <c r="Q751" s="251"/>
      <c r="R751" s="251"/>
    </row>
    <row r="752" ht="15.75" hidden="1" customHeight="1">
      <c r="A752" s="318"/>
      <c r="B752" s="236"/>
      <c r="C752" s="236"/>
      <c r="D752" s="236"/>
      <c r="E752" s="314"/>
      <c r="F752" s="236"/>
      <c r="G752" s="236"/>
      <c r="H752" s="313"/>
      <c r="I752" s="313"/>
      <c r="J752" s="236"/>
      <c r="K752" s="236"/>
      <c r="L752" s="314"/>
      <c r="M752" s="236"/>
      <c r="N752" s="237"/>
      <c r="O752" s="251"/>
      <c r="P752" s="251"/>
      <c r="Q752" s="251"/>
      <c r="R752" s="251"/>
    </row>
    <row r="753" ht="15.75" hidden="1" customHeight="1">
      <c r="A753" s="315"/>
      <c r="B753" s="233"/>
      <c r="C753" s="233"/>
      <c r="D753" s="233"/>
      <c r="E753" s="316"/>
      <c r="F753" s="233"/>
      <c r="G753" s="233"/>
      <c r="H753" s="317"/>
      <c r="I753" s="317"/>
      <c r="J753" s="233"/>
      <c r="K753" s="233"/>
      <c r="L753" s="316"/>
      <c r="M753" s="233"/>
      <c r="N753" s="234"/>
      <c r="O753" s="251"/>
      <c r="P753" s="251"/>
      <c r="Q753" s="251"/>
      <c r="R753" s="251"/>
    </row>
    <row r="754" ht="15.75" hidden="1" customHeight="1">
      <c r="A754" s="318"/>
      <c r="B754" s="236"/>
      <c r="C754" s="236"/>
      <c r="D754" s="236"/>
      <c r="E754" s="314"/>
      <c r="F754" s="236"/>
      <c r="G754" s="236"/>
      <c r="H754" s="313"/>
      <c r="I754" s="313"/>
      <c r="J754" s="236"/>
      <c r="K754" s="236"/>
      <c r="L754" s="314"/>
      <c r="M754" s="236"/>
      <c r="N754" s="237"/>
      <c r="O754" s="251"/>
      <c r="P754" s="251"/>
      <c r="Q754" s="251"/>
      <c r="R754" s="251"/>
    </row>
    <row r="755" ht="15.75" hidden="1" customHeight="1">
      <c r="A755" s="315"/>
      <c r="B755" s="233"/>
      <c r="C755" s="233"/>
      <c r="D755" s="233"/>
      <c r="E755" s="316"/>
      <c r="F755" s="233"/>
      <c r="G755" s="233"/>
      <c r="H755" s="317"/>
      <c r="I755" s="317"/>
      <c r="J755" s="233"/>
      <c r="K755" s="233"/>
      <c r="L755" s="316"/>
      <c r="M755" s="233"/>
      <c r="N755" s="234"/>
      <c r="O755" s="251"/>
      <c r="P755" s="251"/>
      <c r="Q755" s="251"/>
      <c r="R755" s="251"/>
    </row>
    <row r="756" ht="15.75" hidden="1" customHeight="1">
      <c r="A756" s="318"/>
      <c r="B756" s="236"/>
      <c r="C756" s="236"/>
      <c r="D756" s="236"/>
      <c r="E756" s="314"/>
      <c r="F756" s="236"/>
      <c r="G756" s="236"/>
      <c r="H756" s="313"/>
      <c r="I756" s="313"/>
      <c r="J756" s="236"/>
      <c r="K756" s="236"/>
      <c r="L756" s="314"/>
      <c r="M756" s="236"/>
      <c r="N756" s="237"/>
      <c r="O756" s="251"/>
      <c r="P756" s="251"/>
      <c r="Q756" s="251"/>
      <c r="R756" s="251"/>
    </row>
    <row r="757" ht="15.75" hidden="1" customHeight="1">
      <c r="A757" s="315"/>
      <c r="B757" s="233"/>
      <c r="C757" s="233"/>
      <c r="D757" s="233"/>
      <c r="E757" s="316"/>
      <c r="F757" s="233"/>
      <c r="G757" s="233"/>
      <c r="H757" s="317"/>
      <c r="I757" s="317"/>
      <c r="J757" s="233"/>
      <c r="K757" s="233"/>
      <c r="L757" s="316"/>
      <c r="M757" s="233"/>
      <c r="N757" s="234"/>
      <c r="O757" s="251"/>
      <c r="P757" s="251"/>
      <c r="Q757" s="251"/>
      <c r="R757" s="251"/>
    </row>
    <row r="758" ht="15.75" hidden="1" customHeight="1">
      <c r="A758" s="318"/>
      <c r="B758" s="236"/>
      <c r="C758" s="236"/>
      <c r="D758" s="236"/>
      <c r="E758" s="314"/>
      <c r="F758" s="236"/>
      <c r="G758" s="236"/>
      <c r="H758" s="313"/>
      <c r="I758" s="313"/>
      <c r="J758" s="236"/>
      <c r="K758" s="236"/>
      <c r="L758" s="314"/>
      <c r="M758" s="236"/>
      <c r="N758" s="237"/>
      <c r="O758" s="251"/>
      <c r="P758" s="251"/>
      <c r="Q758" s="251"/>
      <c r="R758" s="251"/>
    </row>
    <row r="759" ht="15.75" hidden="1" customHeight="1">
      <c r="A759" s="315"/>
      <c r="B759" s="233"/>
      <c r="C759" s="233"/>
      <c r="D759" s="233"/>
      <c r="E759" s="316"/>
      <c r="F759" s="233"/>
      <c r="G759" s="233"/>
      <c r="H759" s="317"/>
      <c r="I759" s="317"/>
      <c r="J759" s="233"/>
      <c r="K759" s="233"/>
      <c r="L759" s="316"/>
      <c r="M759" s="233"/>
      <c r="N759" s="234"/>
      <c r="O759" s="251"/>
      <c r="P759" s="251"/>
      <c r="Q759" s="251"/>
      <c r="R759" s="251"/>
    </row>
    <row r="760" ht="15.75" hidden="1" customHeight="1">
      <c r="A760" s="318"/>
      <c r="B760" s="236"/>
      <c r="C760" s="236"/>
      <c r="D760" s="236"/>
      <c r="E760" s="314"/>
      <c r="F760" s="236"/>
      <c r="G760" s="236"/>
      <c r="H760" s="313"/>
      <c r="I760" s="313"/>
      <c r="J760" s="236"/>
      <c r="K760" s="236"/>
      <c r="L760" s="314"/>
      <c r="M760" s="236"/>
      <c r="N760" s="237"/>
      <c r="O760" s="251"/>
      <c r="P760" s="251"/>
      <c r="Q760" s="251"/>
      <c r="R760" s="251"/>
    </row>
    <row r="761" ht="15.75" hidden="1" customHeight="1">
      <c r="A761" s="315"/>
      <c r="B761" s="233"/>
      <c r="C761" s="233"/>
      <c r="D761" s="233"/>
      <c r="E761" s="316"/>
      <c r="F761" s="233"/>
      <c r="G761" s="233"/>
      <c r="H761" s="317"/>
      <c r="I761" s="317"/>
      <c r="J761" s="233"/>
      <c r="K761" s="233"/>
      <c r="L761" s="316"/>
      <c r="M761" s="233"/>
      <c r="N761" s="234"/>
      <c r="O761" s="251"/>
      <c r="P761" s="251"/>
      <c r="Q761" s="251"/>
      <c r="R761" s="251"/>
    </row>
    <row r="762" ht="15.75" hidden="1" customHeight="1">
      <c r="A762" s="318"/>
      <c r="B762" s="236"/>
      <c r="C762" s="236"/>
      <c r="D762" s="236"/>
      <c r="E762" s="314"/>
      <c r="F762" s="236"/>
      <c r="G762" s="236"/>
      <c r="H762" s="313"/>
      <c r="I762" s="313"/>
      <c r="J762" s="236"/>
      <c r="K762" s="236"/>
      <c r="L762" s="314"/>
      <c r="M762" s="236"/>
      <c r="N762" s="237"/>
      <c r="O762" s="251"/>
      <c r="P762" s="251"/>
      <c r="Q762" s="251"/>
      <c r="R762" s="251"/>
    </row>
    <row r="763" ht="15.75" hidden="1" customHeight="1">
      <c r="A763" s="315"/>
      <c r="B763" s="233"/>
      <c r="C763" s="233"/>
      <c r="D763" s="233"/>
      <c r="E763" s="316"/>
      <c r="F763" s="233"/>
      <c r="G763" s="233"/>
      <c r="H763" s="317"/>
      <c r="I763" s="317"/>
      <c r="J763" s="233"/>
      <c r="K763" s="233"/>
      <c r="L763" s="316"/>
      <c r="M763" s="233"/>
      <c r="N763" s="234"/>
      <c r="O763" s="251"/>
      <c r="P763" s="251"/>
      <c r="Q763" s="251"/>
      <c r="R763" s="251"/>
    </row>
    <row r="764" ht="15.75" hidden="1" customHeight="1">
      <c r="A764" s="318"/>
      <c r="B764" s="236"/>
      <c r="C764" s="236"/>
      <c r="D764" s="236"/>
      <c r="E764" s="314"/>
      <c r="F764" s="236"/>
      <c r="G764" s="236"/>
      <c r="H764" s="313"/>
      <c r="I764" s="313"/>
      <c r="J764" s="236"/>
      <c r="K764" s="236"/>
      <c r="L764" s="314"/>
      <c r="M764" s="236"/>
      <c r="N764" s="237"/>
      <c r="O764" s="251"/>
      <c r="P764" s="251"/>
      <c r="Q764" s="251"/>
      <c r="R764" s="251"/>
    </row>
    <row r="765" ht="15.75" hidden="1" customHeight="1">
      <c r="A765" s="315"/>
      <c r="B765" s="233"/>
      <c r="C765" s="233"/>
      <c r="D765" s="233"/>
      <c r="E765" s="316"/>
      <c r="F765" s="233"/>
      <c r="G765" s="233"/>
      <c r="H765" s="317"/>
      <c r="I765" s="317"/>
      <c r="J765" s="233"/>
      <c r="K765" s="233"/>
      <c r="L765" s="316"/>
      <c r="M765" s="233"/>
      <c r="N765" s="234"/>
      <c r="O765" s="251"/>
      <c r="P765" s="251"/>
      <c r="Q765" s="251"/>
      <c r="R765" s="251"/>
    </row>
    <row r="766" ht="15.75" hidden="1" customHeight="1">
      <c r="A766" s="318"/>
      <c r="B766" s="236"/>
      <c r="C766" s="236"/>
      <c r="D766" s="236"/>
      <c r="E766" s="314"/>
      <c r="F766" s="236"/>
      <c r="G766" s="236"/>
      <c r="H766" s="313"/>
      <c r="I766" s="313"/>
      <c r="J766" s="236"/>
      <c r="K766" s="236"/>
      <c r="L766" s="314"/>
      <c r="M766" s="236"/>
      <c r="N766" s="237"/>
      <c r="O766" s="251"/>
      <c r="P766" s="251"/>
      <c r="Q766" s="251"/>
      <c r="R766" s="251"/>
    </row>
    <row r="767" ht="15.75" hidden="1" customHeight="1">
      <c r="A767" s="315"/>
      <c r="B767" s="233"/>
      <c r="C767" s="233"/>
      <c r="D767" s="233"/>
      <c r="E767" s="316"/>
      <c r="F767" s="233"/>
      <c r="G767" s="233"/>
      <c r="H767" s="317"/>
      <c r="I767" s="317"/>
      <c r="J767" s="233"/>
      <c r="K767" s="233"/>
      <c r="L767" s="316"/>
      <c r="M767" s="233"/>
      <c r="N767" s="234"/>
      <c r="O767" s="251"/>
      <c r="P767" s="251"/>
      <c r="Q767" s="251"/>
      <c r="R767" s="251"/>
    </row>
    <row r="768" ht="15.75" hidden="1" customHeight="1">
      <c r="A768" s="318"/>
      <c r="B768" s="236"/>
      <c r="C768" s="236"/>
      <c r="D768" s="236"/>
      <c r="E768" s="314"/>
      <c r="F768" s="236"/>
      <c r="G768" s="236"/>
      <c r="H768" s="313"/>
      <c r="I768" s="313"/>
      <c r="J768" s="236"/>
      <c r="K768" s="236"/>
      <c r="L768" s="314"/>
      <c r="M768" s="236"/>
      <c r="N768" s="237"/>
      <c r="O768" s="251"/>
      <c r="P768" s="251"/>
      <c r="Q768" s="251"/>
      <c r="R768" s="251"/>
    </row>
    <row r="769" ht="15.75" hidden="1" customHeight="1">
      <c r="A769" s="315"/>
      <c r="B769" s="233"/>
      <c r="C769" s="233"/>
      <c r="D769" s="233"/>
      <c r="E769" s="316"/>
      <c r="F769" s="233"/>
      <c r="G769" s="233"/>
      <c r="H769" s="317"/>
      <c r="I769" s="317"/>
      <c r="J769" s="233"/>
      <c r="K769" s="233"/>
      <c r="L769" s="316"/>
      <c r="M769" s="233"/>
      <c r="N769" s="234"/>
      <c r="O769" s="251"/>
      <c r="P769" s="251"/>
      <c r="Q769" s="251"/>
      <c r="R769" s="251"/>
    </row>
    <row r="770" ht="15.75" hidden="1" customHeight="1">
      <c r="A770" s="318"/>
      <c r="B770" s="236"/>
      <c r="C770" s="236"/>
      <c r="D770" s="236"/>
      <c r="E770" s="314"/>
      <c r="F770" s="236"/>
      <c r="G770" s="236"/>
      <c r="H770" s="313"/>
      <c r="I770" s="313"/>
      <c r="J770" s="236"/>
      <c r="K770" s="236"/>
      <c r="L770" s="314"/>
      <c r="M770" s="236"/>
      <c r="N770" s="237"/>
      <c r="O770" s="251"/>
      <c r="P770" s="251"/>
      <c r="Q770" s="251"/>
      <c r="R770" s="251"/>
    </row>
    <row r="771" ht="15.75" hidden="1" customHeight="1">
      <c r="A771" s="315"/>
      <c r="B771" s="233"/>
      <c r="C771" s="233"/>
      <c r="D771" s="233"/>
      <c r="E771" s="316"/>
      <c r="F771" s="233"/>
      <c r="G771" s="233"/>
      <c r="H771" s="317"/>
      <c r="I771" s="317"/>
      <c r="J771" s="233"/>
      <c r="K771" s="233"/>
      <c r="L771" s="316"/>
      <c r="M771" s="233"/>
      <c r="N771" s="234"/>
      <c r="O771" s="251"/>
      <c r="P771" s="251"/>
      <c r="Q771" s="251"/>
      <c r="R771" s="251"/>
    </row>
    <row r="772" ht="15.75" hidden="1" customHeight="1">
      <c r="A772" s="318"/>
      <c r="B772" s="236"/>
      <c r="C772" s="236"/>
      <c r="D772" s="236"/>
      <c r="E772" s="314"/>
      <c r="F772" s="236"/>
      <c r="G772" s="236"/>
      <c r="H772" s="313"/>
      <c r="I772" s="313"/>
      <c r="J772" s="236"/>
      <c r="K772" s="236"/>
      <c r="L772" s="314"/>
      <c r="M772" s="236"/>
      <c r="N772" s="237"/>
      <c r="O772" s="251"/>
      <c r="P772" s="251"/>
      <c r="Q772" s="251"/>
      <c r="R772" s="251"/>
    </row>
    <row r="773" ht="15.75" hidden="1" customHeight="1">
      <c r="A773" s="315"/>
      <c r="B773" s="233"/>
      <c r="C773" s="233"/>
      <c r="D773" s="233"/>
      <c r="E773" s="316"/>
      <c r="F773" s="233"/>
      <c r="G773" s="233"/>
      <c r="H773" s="317"/>
      <c r="I773" s="317"/>
      <c r="J773" s="233"/>
      <c r="K773" s="233"/>
      <c r="L773" s="316"/>
      <c r="M773" s="233"/>
      <c r="N773" s="234"/>
      <c r="O773" s="251"/>
      <c r="P773" s="251"/>
      <c r="Q773" s="251"/>
      <c r="R773" s="251"/>
    </row>
    <row r="774" ht="15.75" hidden="1" customHeight="1">
      <c r="A774" s="318"/>
      <c r="B774" s="236"/>
      <c r="C774" s="236"/>
      <c r="D774" s="236"/>
      <c r="E774" s="314"/>
      <c r="F774" s="236"/>
      <c r="G774" s="236"/>
      <c r="H774" s="313"/>
      <c r="I774" s="313"/>
      <c r="J774" s="236"/>
      <c r="K774" s="236"/>
      <c r="L774" s="314"/>
      <c r="M774" s="236"/>
      <c r="N774" s="237"/>
      <c r="O774" s="251"/>
      <c r="P774" s="251"/>
      <c r="Q774" s="251"/>
      <c r="R774" s="251"/>
    </row>
    <row r="775" ht="15.75" hidden="1" customHeight="1">
      <c r="A775" s="315"/>
      <c r="B775" s="233"/>
      <c r="C775" s="233"/>
      <c r="D775" s="233"/>
      <c r="E775" s="316"/>
      <c r="F775" s="233"/>
      <c r="G775" s="233"/>
      <c r="H775" s="317"/>
      <c r="I775" s="317"/>
      <c r="J775" s="233"/>
      <c r="K775" s="233"/>
      <c r="L775" s="316"/>
      <c r="M775" s="233"/>
      <c r="N775" s="234"/>
      <c r="O775" s="251"/>
      <c r="P775" s="251"/>
      <c r="Q775" s="251"/>
      <c r="R775" s="251"/>
    </row>
    <row r="776" ht="15.75" hidden="1" customHeight="1">
      <c r="A776" s="318"/>
      <c r="B776" s="236"/>
      <c r="C776" s="236"/>
      <c r="D776" s="236"/>
      <c r="E776" s="314"/>
      <c r="F776" s="236"/>
      <c r="G776" s="236"/>
      <c r="H776" s="313"/>
      <c r="I776" s="313"/>
      <c r="J776" s="236"/>
      <c r="K776" s="236"/>
      <c r="L776" s="314"/>
      <c r="M776" s="236"/>
      <c r="N776" s="237"/>
      <c r="O776" s="251"/>
      <c r="P776" s="251"/>
      <c r="Q776" s="251"/>
      <c r="R776" s="251"/>
    </row>
    <row r="777" ht="15.75" hidden="1" customHeight="1">
      <c r="A777" s="315"/>
      <c r="B777" s="233"/>
      <c r="C777" s="233"/>
      <c r="D777" s="233"/>
      <c r="E777" s="316"/>
      <c r="F777" s="233"/>
      <c r="G777" s="233"/>
      <c r="H777" s="317"/>
      <c r="I777" s="317"/>
      <c r="J777" s="233"/>
      <c r="K777" s="233"/>
      <c r="L777" s="316"/>
      <c r="M777" s="233"/>
      <c r="N777" s="234"/>
      <c r="O777" s="251"/>
      <c r="P777" s="251"/>
      <c r="Q777" s="251"/>
      <c r="R777" s="251"/>
    </row>
    <row r="778" ht="15.75" hidden="1" customHeight="1">
      <c r="A778" s="318"/>
      <c r="B778" s="236"/>
      <c r="C778" s="236"/>
      <c r="D778" s="236"/>
      <c r="E778" s="314"/>
      <c r="F778" s="236"/>
      <c r="G778" s="236"/>
      <c r="H778" s="313"/>
      <c r="I778" s="313"/>
      <c r="J778" s="236"/>
      <c r="K778" s="236"/>
      <c r="L778" s="314"/>
      <c r="M778" s="236"/>
      <c r="N778" s="237"/>
      <c r="O778" s="251"/>
      <c r="P778" s="251"/>
      <c r="Q778" s="251"/>
      <c r="R778" s="251"/>
    </row>
    <row r="779" ht="15.75" hidden="1" customHeight="1">
      <c r="A779" s="315"/>
      <c r="B779" s="233"/>
      <c r="C779" s="233"/>
      <c r="D779" s="233"/>
      <c r="E779" s="316"/>
      <c r="F779" s="233"/>
      <c r="G779" s="233"/>
      <c r="H779" s="317"/>
      <c r="I779" s="317"/>
      <c r="J779" s="233"/>
      <c r="K779" s="233"/>
      <c r="L779" s="316"/>
      <c r="M779" s="233"/>
      <c r="N779" s="234"/>
      <c r="O779" s="251"/>
      <c r="P779" s="251"/>
      <c r="Q779" s="251"/>
      <c r="R779" s="251"/>
    </row>
    <row r="780" ht="15.75" hidden="1" customHeight="1">
      <c r="A780" s="318"/>
      <c r="B780" s="236"/>
      <c r="C780" s="236"/>
      <c r="D780" s="236"/>
      <c r="E780" s="314"/>
      <c r="F780" s="236"/>
      <c r="G780" s="236"/>
      <c r="H780" s="313"/>
      <c r="I780" s="313"/>
      <c r="J780" s="236"/>
      <c r="K780" s="236"/>
      <c r="L780" s="314"/>
      <c r="M780" s="236"/>
      <c r="N780" s="237"/>
      <c r="O780" s="251"/>
      <c r="P780" s="251"/>
      <c r="Q780" s="251"/>
      <c r="R780" s="251"/>
    </row>
    <row r="781" ht="15.75" hidden="1" customHeight="1">
      <c r="A781" s="315"/>
      <c r="B781" s="233"/>
      <c r="C781" s="233"/>
      <c r="D781" s="233"/>
      <c r="E781" s="316"/>
      <c r="F781" s="233"/>
      <c r="G781" s="233"/>
      <c r="H781" s="317"/>
      <c r="I781" s="317"/>
      <c r="J781" s="233"/>
      <c r="K781" s="233"/>
      <c r="L781" s="316"/>
      <c r="M781" s="233"/>
      <c r="N781" s="234"/>
      <c r="O781" s="251"/>
      <c r="P781" s="251"/>
      <c r="Q781" s="251"/>
      <c r="R781" s="251"/>
    </row>
    <row r="782" ht="15.75" hidden="1" customHeight="1">
      <c r="A782" s="318"/>
      <c r="B782" s="236"/>
      <c r="C782" s="236"/>
      <c r="D782" s="236"/>
      <c r="E782" s="314"/>
      <c r="F782" s="236"/>
      <c r="G782" s="236"/>
      <c r="H782" s="313"/>
      <c r="I782" s="313"/>
      <c r="J782" s="236"/>
      <c r="K782" s="236"/>
      <c r="L782" s="314"/>
      <c r="M782" s="236"/>
      <c r="N782" s="237"/>
      <c r="O782" s="251"/>
      <c r="P782" s="251"/>
      <c r="Q782" s="251"/>
      <c r="R782" s="251"/>
    </row>
    <row r="783" ht="15.75" hidden="1" customHeight="1">
      <c r="A783" s="315"/>
      <c r="B783" s="233"/>
      <c r="C783" s="233"/>
      <c r="D783" s="233"/>
      <c r="E783" s="316"/>
      <c r="F783" s="233"/>
      <c r="G783" s="233"/>
      <c r="H783" s="317"/>
      <c r="I783" s="317"/>
      <c r="J783" s="233"/>
      <c r="K783" s="233"/>
      <c r="L783" s="316"/>
      <c r="M783" s="233"/>
      <c r="N783" s="234"/>
      <c r="O783" s="251"/>
      <c r="P783" s="251"/>
      <c r="Q783" s="251"/>
      <c r="R783" s="251"/>
    </row>
    <row r="784" ht="15.75" hidden="1" customHeight="1">
      <c r="A784" s="318"/>
      <c r="B784" s="236"/>
      <c r="C784" s="236"/>
      <c r="D784" s="236"/>
      <c r="E784" s="314"/>
      <c r="F784" s="236"/>
      <c r="G784" s="236"/>
      <c r="H784" s="313"/>
      <c r="I784" s="313"/>
      <c r="J784" s="236"/>
      <c r="K784" s="236"/>
      <c r="L784" s="314"/>
      <c r="M784" s="236"/>
      <c r="N784" s="237"/>
      <c r="O784" s="251"/>
      <c r="P784" s="251"/>
      <c r="Q784" s="251"/>
      <c r="R784" s="251"/>
    </row>
    <row r="785" ht="15.75" hidden="1" customHeight="1">
      <c r="A785" s="315"/>
      <c r="B785" s="233"/>
      <c r="C785" s="233"/>
      <c r="D785" s="233"/>
      <c r="E785" s="316"/>
      <c r="F785" s="233"/>
      <c r="G785" s="233"/>
      <c r="H785" s="317"/>
      <c r="I785" s="317"/>
      <c r="J785" s="233"/>
      <c r="K785" s="233"/>
      <c r="L785" s="316"/>
      <c r="M785" s="233"/>
      <c r="N785" s="234"/>
      <c r="O785" s="251"/>
      <c r="P785" s="251"/>
      <c r="Q785" s="251"/>
      <c r="R785" s="251"/>
    </row>
    <row r="786" ht="15.75" hidden="1" customHeight="1">
      <c r="A786" s="318"/>
      <c r="B786" s="236"/>
      <c r="C786" s="236"/>
      <c r="D786" s="236"/>
      <c r="E786" s="314"/>
      <c r="F786" s="236"/>
      <c r="G786" s="236"/>
      <c r="H786" s="313"/>
      <c r="I786" s="313"/>
      <c r="J786" s="236"/>
      <c r="K786" s="236"/>
      <c r="L786" s="314"/>
      <c r="M786" s="236"/>
      <c r="N786" s="237"/>
      <c r="O786" s="251"/>
      <c r="P786" s="251"/>
      <c r="Q786" s="251"/>
      <c r="R786" s="251"/>
    </row>
    <row r="787" ht="15.75" hidden="1" customHeight="1">
      <c r="A787" s="315"/>
      <c r="B787" s="233"/>
      <c r="C787" s="233"/>
      <c r="D787" s="233"/>
      <c r="E787" s="316"/>
      <c r="F787" s="233"/>
      <c r="G787" s="233"/>
      <c r="H787" s="317"/>
      <c r="I787" s="317"/>
      <c r="J787" s="233"/>
      <c r="K787" s="233"/>
      <c r="L787" s="316"/>
      <c r="M787" s="233"/>
      <c r="N787" s="234"/>
      <c r="O787" s="251"/>
      <c r="P787" s="251"/>
      <c r="Q787" s="251"/>
      <c r="R787" s="251"/>
    </row>
    <row r="788" ht="15.75" hidden="1" customHeight="1">
      <c r="A788" s="318"/>
      <c r="B788" s="236"/>
      <c r="C788" s="236"/>
      <c r="D788" s="236"/>
      <c r="E788" s="314"/>
      <c r="F788" s="236"/>
      <c r="G788" s="236"/>
      <c r="H788" s="313"/>
      <c r="I788" s="313"/>
      <c r="J788" s="236"/>
      <c r="K788" s="236"/>
      <c r="L788" s="314"/>
      <c r="M788" s="236"/>
      <c r="N788" s="237"/>
      <c r="O788" s="251"/>
      <c r="P788" s="251"/>
      <c r="Q788" s="251"/>
      <c r="R788" s="251"/>
    </row>
    <row r="789" ht="15.75" hidden="1" customHeight="1">
      <c r="A789" s="315"/>
      <c r="B789" s="233"/>
      <c r="C789" s="233"/>
      <c r="D789" s="233"/>
      <c r="E789" s="316"/>
      <c r="F789" s="233"/>
      <c r="G789" s="233"/>
      <c r="H789" s="317"/>
      <c r="I789" s="317"/>
      <c r="J789" s="233"/>
      <c r="K789" s="233"/>
      <c r="L789" s="316"/>
      <c r="M789" s="233"/>
      <c r="N789" s="234"/>
      <c r="O789" s="251"/>
      <c r="P789" s="251"/>
      <c r="Q789" s="251"/>
      <c r="R789" s="251"/>
    </row>
    <row r="790" ht="15.75" hidden="1" customHeight="1">
      <c r="A790" s="318"/>
      <c r="B790" s="236"/>
      <c r="C790" s="236"/>
      <c r="D790" s="236"/>
      <c r="E790" s="314"/>
      <c r="F790" s="236"/>
      <c r="G790" s="236"/>
      <c r="H790" s="313"/>
      <c r="I790" s="313"/>
      <c r="J790" s="236"/>
      <c r="K790" s="236"/>
      <c r="L790" s="314"/>
      <c r="M790" s="236"/>
      <c r="N790" s="237"/>
      <c r="O790" s="251"/>
      <c r="P790" s="251"/>
      <c r="Q790" s="251"/>
      <c r="R790" s="251"/>
    </row>
    <row r="791" ht="15.75" hidden="1" customHeight="1">
      <c r="A791" s="315"/>
      <c r="B791" s="233"/>
      <c r="C791" s="233"/>
      <c r="D791" s="233"/>
      <c r="E791" s="316"/>
      <c r="F791" s="233"/>
      <c r="G791" s="233"/>
      <c r="H791" s="317"/>
      <c r="I791" s="317"/>
      <c r="J791" s="233"/>
      <c r="K791" s="233"/>
      <c r="L791" s="316"/>
      <c r="M791" s="233"/>
      <c r="N791" s="234"/>
      <c r="O791" s="251"/>
      <c r="P791" s="251"/>
      <c r="Q791" s="251"/>
      <c r="R791" s="251"/>
    </row>
    <row r="792" ht="15.75" hidden="1" customHeight="1">
      <c r="A792" s="318"/>
      <c r="B792" s="236"/>
      <c r="C792" s="236"/>
      <c r="D792" s="236"/>
      <c r="E792" s="314"/>
      <c r="F792" s="236"/>
      <c r="G792" s="236"/>
      <c r="H792" s="313"/>
      <c r="I792" s="313"/>
      <c r="J792" s="236"/>
      <c r="K792" s="236"/>
      <c r="L792" s="314"/>
      <c r="M792" s="236"/>
      <c r="N792" s="237"/>
      <c r="O792" s="251"/>
      <c r="P792" s="251"/>
      <c r="Q792" s="251"/>
      <c r="R792" s="251"/>
    </row>
    <row r="793" ht="15.75" hidden="1" customHeight="1">
      <c r="A793" s="315"/>
      <c r="B793" s="233"/>
      <c r="C793" s="233"/>
      <c r="D793" s="233"/>
      <c r="E793" s="316"/>
      <c r="F793" s="233"/>
      <c r="G793" s="233"/>
      <c r="H793" s="317"/>
      <c r="I793" s="317"/>
      <c r="J793" s="233"/>
      <c r="K793" s="233"/>
      <c r="L793" s="316"/>
      <c r="M793" s="233"/>
      <c r="N793" s="234"/>
      <c r="O793" s="251"/>
      <c r="P793" s="251"/>
      <c r="Q793" s="251"/>
      <c r="R793" s="251"/>
    </row>
    <row r="794" ht="15.75" hidden="1" customHeight="1">
      <c r="A794" s="318"/>
      <c r="B794" s="236"/>
      <c r="C794" s="236"/>
      <c r="D794" s="236"/>
      <c r="E794" s="314"/>
      <c r="F794" s="236"/>
      <c r="G794" s="236"/>
      <c r="H794" s="313"/>
      <c r="I794" s="313"/>
      <c r="J794" s="236"/>
      <c r="K794" s="236"/>
      <c r="L794" s="314"/>
      <c r="M794" s="236"/>
      <c r="N794" s="237"/>
      <c r="O794" s="251"/>
      <c r="P794" s="251"/>
      <c r="Q794" s="251"/>
      <c r="R794" s="251"/>
    </row>
    <row r="795" ht="15.75" hidden="1" customHeight="1">
      <c r="A795" s="315"/>
      <c r="B795" s="233"/>
      <c r="C795" s="233"/>
      <c r="D795" s="233"/>
      <c r="E795" s="316"/>
      <c r="F795" s="233"/>
      <c r="G795" s="233"/>
      <c r="H795" s="317"/>
      <c r="I795" s="317"/>
      <c r="J795" s="233"/>
      <c r="K795" s="233"/>
      <c r="L795" s="316"/>
      <c r="M795" s="233"/>
      <c r="N795" s="234"/>
      <c r="O795" s="251"/>
      <c r="P795" s="251"/>
      <c r="Q795" s="251"/>
      <c r="R795" s="251"/>
    </row>
    <row r="796" ht="15.75" hidden="1" customHeight="1">
      <c r="A796" s="318"/>
      <c r="B796" s="236"/>
      <c r="C796" s="236"/>
      <c r="D796" s="236"/>
      <c r="E796" s="314"/>
      <c r="F796" s="236"/>
      <c r="G796" s="236"/>
      <c r="H796" s="313"/>
      <c r="I796" s="313"/>
      <c r="J796" s="236"/>
      <c r="K796" s="236"/>
      <c r="L796" s="314"/>
      <c r="M796" s="236"/>
      <c r="N796" s="237"/>
      <c r="O796" s="251"/>
      <c r="P796" s="251"/>
      <c r="Q796" s="251"/>
      <c r="R796" s="251"/>
    </row>
    <row r="797" ht="15.75" hidden="1" customHeight="1">
      <c r="A797" s="315"/>
      <c r="B797" s="233"/>
      <c r="C797" s="233"/>
      <c r="D797" s="233"/>
      <c r="E797" s="316"/>
      <c r="F797" s="233"/>
      <c r="G797" s="233"/>
      <c r="H797" s="317"/>
      <c r="I797" s="317"/>
      <c r="J797" s="233"/>
      <c r="K797" s="233"/>
      <c r="L797" s="316"/>
      <c r="M797" s="233"/>
      <c r="N797" s="234"/>
      <c r="O797" s="251"/>
      <c r="P797" s="251"/>
      <c r="Q797" s="251"/>
      <c r="R797" s="251"/>
    </row>
    <row r="798" ht="15.75" hidden="1" customHeight="1">
      <c r="A798" s="318"/>
      <c r="B798" s="236"/>
      <c r="C798" s="236"/>
      <c r="D798" s="236"/>
      <c r="E798" s="314"/>
      <c r="F798" s="236"/>
      <c r="G798" s="236"/>
      <c r="H798" s="313"/>
      <c r="I798" s="313"/>
      <c r="J798" s="236"/>
      <c r="K798" s="236"/>
      <c r="L798" s="314"/>
      <c r="M798" s="236"/>
      <c r="N798" s="237"/>
      <c r="O798" s="251"/>
      <c r="P798" s="251"/>
      <c r="Q798" s="251"/>
      <c r="R798" s="251"/>
    </row>
    <row r="799" ht="15.75" hidden="1" customHeight="1">
      <c r="A799" s="315"/>
      <c r="B799" s="233"/>
      <c r="C799" s="233"/>
      <c r="D799" s="233"/>
      <c r="E799" s="316"/>
      <c r="F799" s="233"/>
      <c r="G799" s="233"/>
      <c r="H799" s="317"/>
      <c r="I799" s="317"/>
      <c r="J799" s="233"/>
      <c r="K799" s="233"/>
      <c r="L799" s="316"/>
      <c r="M799" s="233"/>
      <c r="N799" s="234"/>
      <c r="O799" s="251"/>
      <c r="P799" s="251"/>
      <c r="Q799" s="251"/>
      <c r="R799" s="251"/>
    </row>
    <row r="800" ht="15.75" hidden="1" customHeight="1">
      <c r="A800" s="318"/>
      <c r="B800" s="236"/>
      <c r="C800" s="236"/>
      <c r="D800" s="236"/>
      <c r="E800" s="314"/>
      <c r="F800" s="236"/>
      <c r="G800" s="236"/>
      <c r="H800" s="313"/>
      <c r="I800" s="313"/>
      <c r="J800" s="236"/>
      <c r="K800" s="236"/>
      <c r="L800" s="314"/>
      <c r="M800" s="236"/>
      <c r="N800" s="237"/>
      <c r="O800" s="251"/>
      <c r="P800" s="251"/>
      <c r="Q800" s="251"/>
      <c r="R800" s="251"/>
    </row>
    <row r="801" ht="15.75" hidden="1" customHeight="1">
      <c r="A801" s="315"/>
      <c r="B801" s="233"/>
      <c r="C801" s="233"/>
      <c r="D801" s="233"/>
      <c r="E801" s="316"/>
      <c r="F801" s="233"/>
      <c r="G801" s="233"/>
      <c r="H801" s="317"/>
      <c r="I801" s="317"/>
      <c r="J801" s="233"/>
      <c r="K801" s="233"/>
      <c r="L801" s="316"/>
      <c r="M801" s="233"/>
      <c r="N801" s="234"/>
      <c r="O801" s="251"/>
      <c r="P801" s="251"/>
      <c r="Q801" s="251"/>
      <c r="R801" s="251"/>
    </row>
    <row r="802" ht="15.75" hidden="1" customHeight="1">
      <c r="A802" s="318"/>
      <c r="B802" s="236"/>
      <c r="C802" s="236"/>
      <c r="D802" s="236"/>
      <c r="E802" s="314"/>
      <c r="F802" s="236"/>
      <c r="G802" s="236"/>
      <c r="H802" s="313"/>
      <c r="I802" s="313"/>
      <c r="J802" s="236"/>
      <c r="K802" s="236"/>
      <c r="L802" s="314"/>
      <c r="M802" s="236"/>
      <c r="N802" s="237"/>
      <c r="O802" s="251"/>
      <c r="P802" s="251"/>
      <c r="Q802" s="251"/>
      <c r="R802" s="251"/>
    </row>
    <row r="803" ht="15.75" hidden="1" customHeight="1">
      <c r="A803" s="315"/>
      <c r="B803" s="233"/>
      <c r="C803" s="233"/>
      <c r="D803" s="233"/>
      <c r="E803" s="316"/>
      <c r="F803" s="233"/>
      <c r="G803" s="233"/>
      <c r="H803" s="317"/>
      <c r="I803" s="317"/>
      <c r="J803" s="233"/>
      <c r="K803" s="233"/>
      <c r="L803" s="316"/>
      <c r="M803" s="233"/>
      <c r="N803" s="234"/>
      <c r="O803" s="251"/>
      <c r="P803" s="251"/>
      <c r="Q803" s="251"/>
      <c r="R803" s="251"/>
    </row>
    <row r="804" ht="15.75" hidden="1" customHeight="1">
      <c r="A804" s="318"/>
      <c r="B804" s="236"/>
      <c r="C804" s="236"/>
      <c r="D804" s="236"/>
      <c r="E804" s="314"/>
      <c r="F804" s="236"/>
      <c r="G804" s="236"/>
      <c r="H804" s="313"/>
      <c r="I804" s="313"/>
      <c r="J804" s="236"/>
      <c r="K804" s="236"/>
      <c r="L804" s="314"/>
      <c r="M804" s="236"/>
      <c r="N804" s="237"/>
      <c r="O804" s="251"/>
      <c r="P804" s="251"/>
      <c r="Q804" s="251"/>
      <c r="R804" s="251"/>
    </row>
    <row r="805" ht="15.75" hidden="1" customHeight="1">
      <c r="A805" s="315"/>
      <c r="B805" s="233"/>
      <c r="C805" s="233"/>
      <c r="D805" s="233"/>
      <c r="E805" s="316"/>
      <c r="F805" s="233"/>
      <c r="G805" s="233"/>
      <c r="H805" s="317"/>
      <c r="I805" s="317"/>
      <c r="J805" s="233"/>
      <c r="K805" s="233"/>
      <c r="L805" s="316"/>
      <c r="M805" s="233"/>
      <c r="N805" s="234"/>
      <c r="O805" s="251"/>
      <c r="P805" s="251"/>
      <c r="Q805" s="251"/>
      <c r="R805" s="251"/>
    </row>
    <row r="806" ht="15.75" hidden="1" customHeight="1">
      <c r="A806" s="318"/>
      <c r="B806" s="236"/>
      <c r="C806" s="236"/>
      <c r="D806" s="236"/>
      <c r="E806" s="314"/>
      <c r="F806" s="236"/>
      <c r="G806" s="236"/>
      <c r="H806" s="313"/>
      <c r="I806" s="313"/>
      <c r="J806" s="236"/>
      <c r="K806" s="236"/>
      <c r="L806" s="314"/>
      <c r="M806" s="236"/>
      <c r="N806" s="237"/>
      <c r="O806" s="251"/>
      <c r="P806" s="251"/>
      <c r="Q806" s="251"/>
      <c r="R806" s="251"/>
    </row>
    <row r="807" ht="15.75" hidden="1" customHeight="1">
      <c r="A807" s="315"/>
      <c r="B807" s="233"/>
      <c r="C807" s="233"/>
      <c r="D807" s="233"/>
      <c r="E807" s="316"/>
      <c r="F807" s="233"/>
      <c r="G807" s="233"/>
      <c r="H807" s="317"/>
      <c r="I807" s="317"/>
      <c r="J807" s="233"/>
      <c r="K807" s="233"/>
      <c r="L807" s="316"/>
      <c r="M807" s="233"/>
      <c r="N807" s="234"/>
      <c r="O807" s="251"/>
      <c r="P807" s="251"/>
      <c r="Q807" s="251"/>
      <c r="R807" s="251"/>
    </row>
    <row r="808" ht="15.75" hidden="1" customHeight="1">
      <c r="A808" s="318"/>
      <c r="B808" s="236"/>
      <c r="C808" s="236"/>
      <c r="D808" s="236"/>
      <c r="E808" s="314"/>
      <c r="F808" s="236"/>
      <c r="G808" s="236"/>
      <c r="H808" s="313"/>
      <c r="I808" s="313"/>
      <c r="J808" s="236"/>
      <c r="K808" s="236"/>
      <c r="L808" s="314"/>
      <c r="M808" s="236"/>
      <c r="N808" s="237"/>
      <c r="O808" s="251"/>
      <c r="P808" s="251"/>
      <c r="Q808" s="251"/>
      <c r="R808" s="251"/>
    </row>
    <row r="809" ht="15.75" hidden="1" customHeight="1">
      <c r="A809" s="315"/>
      <c r="B809" s="233"/>
      <c r="C809" s="233"/>
      <c r="D809" s="233"/>
      <c r="E809" s="316"/>
      <c r="F809" s="233"/>
      <c r="G809" s="233"/>
      <c r="H809" s="317"/>
      <c r="I809" s="317"/>
      <c r="J809" s="233"/>
      <c r="K809" s="233"/>
      <c r="L809" s="316"/>
      <c r="M809" s="233"/>
      <c r="N809" s="234"/>
      <c r="O809" s="251"/>
      <c r="P809" s="251"/>
      <c r="Q809" s="251"/>
      <c r="R809" s="251"/>
    </row>
    <row r="810" ht="15.75" hidden="1" customHeight="1">
      <c r="A810" s="318"/>
      <c r="B810" s="236"/>
      <c r="C810" s="236"/>
      <c r="D810" s="236"/>
      <c r="E810" s="314"/>
      <c r="F810" s="236"/>
      <c r="G810" s="236"/>
      <c r="H810" s="313"/>
      <c r="I810" s="313"/>
      <c r="J810" s="236"/>
      <c r="K810" s="236"/>
      <c r="L810" s="314"/>
      <c r="M810" s="236"/>
      <c r="N810" s="237"/>
      <c r="O810" s="251"/>
      <c r="P810" s="251"/>
      <c r="Q810" s="251"/>
      <c r="R810" s="251"/>
    </row>
    <row r="811" ht="15.75" hidden="1" customHeight="1">
      <c r="A811" s="315"/>
      <c r="B811" s="233"/>
      <c r="C811" s="233"/>
      <c r="D811" s="233"/>
      <c r="E811" s="316"/>
      <c r="F811" s="233"/>
      <c r="G811" s="233"/>
      <c r="H811" s="317"/>
      <c r="I811" s="317"/>
      <c r="J811" s="233"/>
      <c r="K811" s="233"/>
      <c r="L811" s="316"/>
      <c r="M811" s="233"/>
      <c r="N811" s="234"/>
      <c r="O811" s="251"/>
      <c r="P811" s="251"/>
      <c r="Q811" s="251"/>
      <c r="R811" s="251"/>
    </row>
    <row r="812" ht="15.75" hidden="1" customHeight="1">
      <c r="A812" s="318"/>
      <c r="B812" s="236"/>
      <c r="C812" s="236"/>
      <c r="D812" s="236"/>
      <c r="E812" s="314"/>
      <c r="F812" s="236"/>
      <c r="G812" s="236"/>
      <c r="H812" s="313"/>
      <c r="I812" s="313"/>
      <c r="J812" s="236"/>
      <c r="K812" s="236"/>
      <c r="L812" s="314"/>
      <c r="M812" s="236"/>
      <c r="N812" s="237"/>
      <c r="O812" s="251"/>
      <c r="P812" s="251"/>
      <c r="Q812" s="251"/>
      <c r="R812" s="251"/>
    </row>
    <row r="813" ht="15.75" hidden="1" customHeight="1">
      <c r="A813" s="315"/>
      <c r="B813" s="233"/>
      <c r="C813" s="233"/>
      <c r="D813" s="233"/>
      <c r="E813" s="316"/>
      <c r="F813" s="233"/>
      <c r="G813" s="233"/>
      <c r="H813" s="317"/>
      <c r="I813" s="317"/>
      <c r="J813" s="233"/>
      <c r="K813" s="233"/>
      <c r="L813" s="316"/>
      <c r="M813" s="233"/>
      <c r="N813" s="234"/>
      <c r="O813" s="251"/>
      <c r="P813" s="251"/>
      <c r="Q813" s="251"/>
      <c r="R813" s="251"/>
    </row>
    <row r="814" ht="15.75" hidden="1" customHeight="1">
      <c r="A814" s="318"/>
      <c r="B814" s="236"/>
      <c r="C814" s="236"/>
      <c r="D814" s="236"/>
      <c r="E814" s="314"/>
      <c r="F814" s="236"/>
      <c r="G814" s="236"/>
      <c r="H814" s="313"/>
      <c r="I814" s="313"/>
      <c r="J814" s="236"/>
      <c r="K814" s="236"/>
      <c r="L814" s="314"/>
      <c r="M814" s="236"/>
      <c r="N814" s="237"/>
      <c r="O814" s="251"/>
      <c r="P814" s="251"/>
      <c r="Q814" s="251"/>
      <c r="R814" s="251"/>
    </row>
    <row r="815" ht="15.75" hidden="1" customHeight="1">
      <c r="A815" s="315"/>
      <c r="B815" s="233"/>
      <c r="C815" s="233"/>
      <c r="D815" s="233"/>
      <c r="E815" s="316"/>
      <c r="F815" s="233"/>
      <c r="G815" s="233"/>
      <c r="H815" s="317"/>
      <c r="I815" s="317"/>
      <c r="J815" s="233"/>
      <c r="K815" s="233"/>
      <c r="L815" s="316"/>
      <c r="M815" s="233"/>
      <c r="N815" s="234"/>
      <c r="O815" s="251"/>
      <c r="P815" s="251"/>
      <c r="Q815" s="251"/>
      <c r="R815" s="251"/>
    </row>
    <row r="816" ht="15.75" hidden="1" customHeight="1">
      <c r="A816" s="318"/>
      <c r="B816" s="236"/>
      <c r="C816" s="236"/>
      <c r="D816" s="236"/>
      <c r="E816" s="314"/>
      <c r="F816" s="236"/>
      <c r="G816" s="236"/>
      <c r="H816" s="313"/>
      <c r="I816" s="313"/>
      <c r="J816" s="236"/>
      <c r="K816" s="236"/>
      <c r="L816" s="314"/>
      <c r="M816" s="236"/>
      <c r="N816" s="237"/>
      <c r="O816" s="251"/>
      <c r="P816" s="251"/>
      <c r="Q816" s="251"/>
      <c r="R816" s="251"/>
    </row>
    <row r="817" ht="15.75" hidden="1" customHeight="1">
      <c r="A817" s="315"/>
      <c r="B817" s="233"/>
      <c r="C817" s="233"/>
      <c r="D817" s="233"/>
      <c r="E817" s="316"/>
      <c r="F817" s="233"/>
      <c r="G817" s="233"/>
      <c r="H817" s="317"/>
      <c r="I817" s="317"/>
      <c r="J817" s="233"/>
      <c r="K817" s="233"/>
      <c r="L817" s="316"/>
      <c r="M817" s="233"/>
      <c r="N817" s="234"/>
      <c r="O817" s="251"/>
      <c r="P817" s="251"/>
      <c r="Q817" s="251"/>
      <c r="R817" s="251"/>
    </row>
    <row r="818" ht="15.75" hidden="1" customHeight="1">
      <c r="A818" s="318"/>
      <c r="B818" s="236"/>
      <c r="C818" s="236"/>
      <c r="D818" s="236"/>
      <c r="E818" s="314"/>
      <c r="F818" s="236"/>
      <c r="G818" s="236"/>
      <c r="H818" s="313"/>
      <c r="I818" s="313"/>
      <c r="J818" s="236"/>
      <c r="K818" s="236"/>
      <c r="L818" s="314"/>
      <c r="M818" s="236"/>
      <c r="N818" s="237"/>
      <c r="O818" s="251"/>
      <c r="P818" s="251"/>
      <c r="Q818" s="251"/>
      <c r="R818" s="251"/>
    </row>
    <row r="819" ht="15.75" hidden="1" customHeight="1">
      <c r="A819" s="315"/>
      <c r="B819" s="233"/>
      <c r="C819" s="233"/>
      <c r="D819" s="233"/>
      <c r="E819" s="316"/>
      <c r="F819" s="233"/>
      <c r="G819" s="233"/>
      <c r="H819" s="317"/>
      <c r="I819" s="317"/>
      <c r="J819" s="233"/>
      <c r="K819" s="233"/>
      <c r="L819" s="316"/>
      <c r="M819" s="233"/>
      <c r="N819" s="234"/>
      <c r="O819" s="251"/>
      <c r="P819" s="251"/>
      <c r="Q819" s="251"/>
      <c r="R819" s="251"/>
    </row>
    <row r="820" ht="15.75" hidden="1" customHeight="1">
      <c r="A820" s="318"/>
      <c r="B820" s="236"/>
      <c r="C820" s="236"/>
      <c r="D820" s="236"/>
      <c r="E820" s="314"/>
      <c r="F820" s="236"/>
      <c r="G820" s="236"/>
      <c r="H820" s="313"/>
      <c r="I820" s="313"/>
      <c r="J820" s="236"/>
      <c r="K820" s="236"/>
      <c r="L820" s="314"/>
      <c r="M820" s="236"/>
      <c r="N820" s="237"/>
      <c r="O820" s="251"/>
      <c r="P820" s="251"/>
      <c r="Q820" s="251"/>
      <c r="R820" s="251"/>
    </row>
    <row r="821" ht="15.75" hidden="1" customHeight="1">
      <c r="A821" s="315"/>
      <c r="B821" s="233"/>
      <c r="C821" s="233"/>
      <c r="D821" s="233"/>
      <c r="E821" s="316"/>
      <c r="F821" s="233"/>
      <c r="G821" s="233"/>
      <c r="H821" s="317"/>
      <c r="I821" s="317"/>
      <c r="J821" s="233"/>
      <c r="K821" s="233"/>
      <c r="L821" s="316"/>
      <c r="M821" s="233"/>
      <c r="N821" s="234"/>
      <c r="O821" s="251"/>
      <c r="P821" s="251"/>
      <c r="Q821" s="251"/>
      <c r="R821" s="251"/>
    </row>
    <row r="822" ht="15.75" hidden="1" customHeight="1">
      <c r="A822" s="318"/>
      <c r="B822" s="236"/>
      <c r="C822" s="236"/>
      <c r="D822" s="236"/>
      <c r="E822" s="314"/>
      <c r="F822" s="236"/>
      <c r="G822" s="236"/>
      <c r="H822" s="313"/>
      <c r="I822" s="313"/>
      <c r="J822" s="236"/>
      <c r="K822" s="236"/>
      <c r="L822" s="314"/>
      <c r="M822" s="236"/>
      <c r="N822" s="237"/>
      <c r="O822" s="251"/>
      <c r="P822" s="251"/>
      <c r="Q822" s="251"/>
      <c r="R822" s="251"/>
    </row>
    <row r="823" ht="15.75" hidden="1" customHeight="1">
      <c r="A823" s="315"/>
      <c r="B823" s="233"/>
      <c r="C823" s="233"/>
      <c r="D823" s="233"/>
      <c r="E823" s="316"/>
      <c r="F823" s="233"/>
      <c r="G823" s="233"/>
      <c r="H823" s="317"/>
      <c r="I823" s="317"/>
      <c r="J823" s="233"/>
      <c r="K823" s="233"/>
      <c r="L823" s="316"/>
      <c r="M823" s="233"/>
      <c r="N823" s="234"/>
      <c r="O823" s="251"/>
      <c r="P823" s="251"/>
      <c r="Q823" s="251"/>
      <c r="R823" s="251"/>
    </row>
    <row r="824" ht="15.75" hidden="1" customHeight="1">
      <c r="A824" s="318"/>
      <c r="B824" s="236"/>
      <c r="C824" s="236"/>
      <c r="D824" s="236"/>
      <c r="E824" s="314"/>
      <c r="F824" s="236"/>
      <c r="G824" s="236"/>
      <c r="H824" s="313"/>
      <c r="I824" s="313"/>
      <c r="J824" s="236"/>
      <c r="K824" s="236"/>
      <c r="L824" s="314"/>
      <c r="M824" s="236"/>
      <c r="N824" s="237"/>
      <c r="O824" s="251"/>
      <c r="P824" s="251"/>
      <c r="Q824" s="251"/>
      <c r="R824" s="251"/>
    </row>
    <row r="825" ht="15.75" hidden="1" customHeight="1">
      <c r="A825" s="315"/>
      <c r="B825" s="233"/>
      <c r="C825" s="233"/>
      <c r="D825" s="233"/>
      <c r="E825" s="316"/>
      <c r="F825" s="233"/>
      <c r="G825" s="233"/>
      <c r="H825" s="317"/>
      <c r="I825" s="317"/>
      <c r="J825" s="233"/>
      <c r="K825" s="233"/>
      <c r="L825" s="316"/>
      <c r="M825" s="233"/>
      <c r="N825" s="234"/>
      <c r="O825" s="251"/>
      <c r="P825" s="251"/>
      <c r="Q825" s="251"/>
      <c r="R825" s="251"/>
    </row>
    <row r="826" ht="15.75" hidden="1" customHeight="1">
      <c r="A826" s="318"/>
      <c r="B826" s="236"/>
      <c r="C826" s="236"/>
      <c r="D826" s="236"/>
      <c r="E826" s="314"/>
      <c r="F826" s="236"/>
      <c r="G826" s="236"/>
      <c r="H826" s="313"/>
      <c r="I826" s="313"/>
      <c r="J826" s="236"/>
      <c r="K826" s="236"/>
      <c r="L826" s="314"/>
      <c r="M826" s="236"/>
      <c r="N826" s="237"/>
      <c r="O826" s="251"/>
      <c r="P826" s="251"/>
      <c r="Q826" s="251"/>
      <c r="R826" s="251"/>
    </row>
    <row r="827" ht="15.75" hidden="1" customHeight="1">
      <c r="A827" s="315"/>
      <c r="B827" s="233"/>
      <c r="C827" s="233"/>
      <c r="D827" s="233"/>
      <c r="E827" s="316"/>
      <c r="F827" s="233"/>
      <c r="G827" s="233"/>
      <c r="H827" s="317"/>
      <c r="I827" s="317"/>
      <c r="J827" s="233"/>
      <c r="K827" s="233"/>
      <c r="L827" s="316"/>
      <c r="M827" s="233"/>
      <c r="N827" s="234"/>
      <c r="O827" s="251"/>
      <c r="P827" s="251"/>
      <c r="Q827" s="251"/>
      <c r="R827" s="251"/>
    </row>
    <row r="828" ht="15.75" hidden="1" customHeight="1">
      <c r="A828" s="318"/>
      <c r="B828" s="236"/>
      <c r="C828" s="236"/>
      <c r="D828" s="236"/>
      <c r="E828" s="314"/>
      <c r="F828" s="236"/>
      <c r="G828" s="236"/>
      <c r="H828" s="313"/>
      <c r="I828" s="313"/>
      <c r="J828" s="236"/>
      <c r="K828" s="236"/>
      <c r="L828" s="314"/>
      <c r="M828" s="236"/>
      <c r="N828" s="237"/>
      <c r="O828" s="251"/>
      <c r="P828" s="251"/>
      <c r="Q828" s="251"/>
      <c r="R828" s="251"/>
    </row>
    <row r="829" ht="15.75" hidden="1" customHeight="1">
      <c r="A829" s="315"/>
      <c r="B829" s="233"/>
      <c r="C829" s="233"/>
      <c r="D829" s="233"/>
      <c r="E829" s="316"/>
      <c r="F829" s="233"/>
      <c r="G829" s="233"/>
      <c r="H829" s="317"/>
      <c r="I829" s="317"/>
      <c r="J829" s="233"/>
      <c r="K829" s="233"/>
      <c r="L829" s="316"/>
      <c r="M829" s="233"/>
      <c r="N829" s="234"/>
      <c r="O829" s="251"/>
      <c r="P829" s="251"/>
      <c r="Q829" s="251"/>
      <c r="R829" s="251"/>
    </row>
    <row r="830" ht="15.75" hidden="1" customHeight="1">
      <c r="A830" s="318"/>
      <c r="B830" s="236"/>
      <c r="C830" s="236"/>
      <c r="D830" s="236"/>
      <c r="E830" s="314"/>
      <c r="F830" s="236"/>
      <c r="G830" s="236"/>
      <c r="H830" s="313"/>
      <c r="I830" s="313"/>
      <c r="J830" s="236"/>
      <c r="K830" s="236"/>
      <c r="L830" s="314"/>
      <c r="M830" s="236"/>
      <c r="N830" s="237"/>
      <c r="O830" s="251"/>
      <c r="P830" s="251"/>
      <c r="Q830" s="251"/>
      <c r="R830" s="251"/>
    </row>
    <row r="831" ht="15.75" hidden="1" customHeight="1">
      <c r="A831" s="315"/>
      <c r="B831" s="233"/>
      <c r="C831" s="233"/>
      <c r="D831" s="233"/>
      <c r="E831" s="316"/>
      <c r="F831" s="233"/>
      <c r="G831" s="233"/>
      <c r="H831" s="317"/>
      <c r="I831" s="317"/>
      <c r="J831" s="233"/>
      <c r="K831" s="233"/>
      <c r="L831" s="316"/>
      <c r="M831" s="233"/>
      <c r="N831" s="234"/>
      <c r="O831" s="251"/>
      <c r="P831" s="251"/>
      <c r="Q831" s="251"/>
      <c r="R831" s="251"/>
    </row>
    <row r="832" ht="15.75" hidden="1" customHeight="1">
      <c r="A832" s="318"/>
      <c r="B832" s="236"/>
      <c r="C832" s="236"/>
      <c r="D832" s="236"/>
      <c r="E832" s="314"/>
      <c r="F832" s="236"/>
      <c r="G832" s="236"/>
      <c r="H832" s="313"/>
      <c r="I832" s="313"/>
      <c r="J832" s="236"/>
      <c r="K832" s="236"/>
      <c r="L832" s="314"/>
      <c r="M832" s="236"/>
      <c r="N832" s="237"/>
      <c r="O832" s="251"/>
      <c r="P832" s="251"/>
      <c r="Q832" s="251"/>
      <c r="R832" s="251"/>
    </row>
    <row r="833" ht="15.75" hidden="1" customHeight="1">
      <c r="A833" s="315"/>
      <c r="B833" s="233"/>
      <c r="C833" s="233"/>
      <c r="D833" s="233"/>
      <c r="E833" s="316"/>
      <c r="F833" s="233"/>
      <c r="G833" s="233"/>
      <c r="H833" s="317"/>
      <c r="I833" s="317"/>
      <c r="J833" s="233"/>
      <c r="K833" s="233"/>
      <c r="L833" s="316"/>
      <c r="M833" s="233"/>
      <c r="N833" s="234"/>
      <c r="O833" s="251"/>
      <c r="P833" s="251"/>
      <c r="Q833" s="251"/>
      <c r="R833" s="251"/>
    </row>
    <row r="834" ht="15.75" hidden="1" customHeight="1">
      <c r="A834" s="318"/>
      <c r="B834" s="236"/>
      <c r="C834" s="236"/>
      <c r="D834" s="236"/>
      <c r="E834" s="314"/>
      <c r="F834" s="236"/>
      <c r="G834" s="236"/>
      <c r="H834" s="313"/>
      <c r="I834" s="313"/>
      <c r="J834" s="236"/>
      <c r="K834" s="236"/>
      <c r="L834" s="314"/>
      <c r="M834" s="236"/>
      <c r="N834" s="237"/>
      <c r="O834" s="251"/>
      <c r="P834" s="251"/>
      <c r="Q834" s="251"/>
      <c r="R834" s="251"/>
    </row>
    <row r="835" ht="15.75" hidden="1" customHeight="1">
      <c r="A835" s="315"/>
      <c r="B835" s="233"/>
      <c r="C835" s="233"/>
      <c r="D835" s="233"/>
      <c r="E835" s="316"/>
      <c r="F835" s="233"/>
      <c r="G835" s="233"/>
      <c r="H835" s="317"/>
      <c r="I835" s="317"/>
      <c r="J835" s="233"/>
      <c r="K835" s="233"/>
      <c r="L835" s="316"/>
      <c r="M835" s="233"/>
      <c r="N835" s="234"/>
      <c r="O835" s="251"/>
      <c r="P835" s="251"/>
      <c r="Q835" s="251"/>
      <c r="R835" s="251"/>
    </row>
    <row r="836" ht="15.75" hidden="1" customHeight="1">
      <c r="A836" s="318"/>
      <c r="B836" s="236"/>
      <c r="C836" s="236"/>
      <c r="D836" s="236"/>
      <c r="E836" s="314"/>
      <c r="F836" s="236"/>
      <c r="G836" s="236"/>
      <c r="H836" s="313"/>
      <c r="I836" s="313"/>
      <c r="J836" s="236"/>
      <c r="K836" s="236"/>
      <c r="L836" s="314"/>
      <c r="M836" s="236"/>
      <c r="N836" s="237"/>
      <c r="O836" s="251"/>
      <c r="P836" s="251"/>
      <c r="Q836" s="251"/>
      <c r="R836" s="251"/>
    </row>
    <row r="837" ht="15.75" hidden="1" customHeight="1">
      <c r="A837" s="315"/>
      <c r="B837" s="233"/>
      <c r="C837" s="233"/>
      <c r="D837" s="233"/>
      <c r="E837" s="316"/>
      <c r="F837" s="233"/>
      <c r="G837" s="233"/>
      <c r="H837" s="317"/>
      <c r="I837" s="317"/>
      <c r="J837" s="233"/>
      <c r="K837" s="233"/>
      <c r="L837" s="316"/>
      <c r="M837" s="233"/>
      <c r="N837" s="234"/>
      <c r="O837" s="251"/>
      <c r="P837" s="251"/>
      <c r="Q837" s="251"/>
      <c r="R837" s="251"/>
    </row>
    <row r="838" ht="15.75" hidden="1" customHeight="1">
      <c r="A838" s="318"/>
      <c r="B838" s="236"/>
      <c r="C838" s="236"/>
      <c r="D838" s="236"/>
      <c r="E838" s="314"/>
      <c r="F838" s="236"/>
      <c r="G838" s="236"/>
      <c r="H838" s="313"/>
      <c r="I838" s="313"/>
      <c r="J838" s="236"/>
      <c r="K838" s="236"/>
      <c r="L838" s="314"/>
      <c r="M838" s="236"/>
      <c r="N838" s="237"/>
      <c r="O838" s="251"/>
      <c r="P838" s="251"/>
      <c r="Q838" s="251"/>
      <c r="R838" s="251"/>
    </row>
    <row r="839" ht="15.75" hidden="1" customHeight="1">
      <c r="A839" s="315"/>
      <c r="B839" s="233"/>
      <c r="C839" s="233"/>
      <c r="D839" s="233"/>
      <c r="E839" s="316"/>
      <c r="F839" s="233"/>
      <c r="G839" s="233"/>
      <c r="H839" s="317"/>
      <c r="I839" s="317"/>
      <c r="J839" s="233"/>
      <c r="K839" s="233"/>
      <c r="L839" s="316"/>
      <c r="M839" s="233"/>
      <c r="N839" s="234"/>
      <c r="O839" s="251"/>
      <c r="P839" s="251"/>
      <c r="Q839" s="251"/>
      <c r="R839" s="251"/>
    </row>
    <row r="840" ht="15.75" hidden="1" customHeight="1">
      <c r="A840" s="318"/>
      <c r="B840" s="236"/>
      <c r="C840" s="236"/>
      <c r="D840" s="236"/>
      <c r="E840" s="314"/>
      <c r="F840" s="236"/>
      <c r="G840" s="236"/>
      <c r="H840" s="313"/>
      <c r="I840" s="313"/>
      <c r="J840" s="236"/>
      <c r="K840" s="236"/>
      <c r="L840" s="314"/>
      <c r="M840" s="236"/>
      <c r="N840" s="237"/>
      <c r="O840" s="251"/>
      <c r="P840" s="251"/>
      <c r="Q840" s="251"/>
      <c r="R840" s="251"/>
    </row>
    <row r="841" ht="15.75" hidden="1" customHeight="1">
      <c r="A841" s="315"/>
      <c r="B841" s="233"/>
      <c r="C841" s="233"/>
      <c r="D841" s="233"/>
      <c r="E841" s="316"/>
      <c r="F841" s="233"/>
      <c r="G841" s="233"/>
      <c r="H841" s="317"/>
      <c r="I841" s="317"/>
      <c r="J841" s="233"/>
      <c r="K841" s="233"/>
      <c r="L841" s="316"/>
      <c r="M841" s="233"/>
      <c r="N841" s="234"/>
      <c r="O841" s="251"/>
      <c r="P841" s="251"/>
      <c r="Q841" s="251"/>
      <c r="R841" s="251"/>
    </row>
    <row r="842" ht="15.75" hidden="1" customHeight="1">
      <c r="A842" s="318"/>
      <c r="B842" s="236"/>
      <c r="C842" s="236"/>
      <c r="D842" s="236"/>
      <c r="E842" s="314"/>
      <c r="F842" s="236"/>
      <c r="G842" s="236"/>
      <c r="H842" s="313"/>
      <c r="I842" s="313"/>
      <c r="J842" s="236"/>
      <c r="K842" s="236"/>
      <c r="L842" s="314"/>
      <c r="M842" s="236"/>
      <c r="N842" s="237"/>
      <c r="O842" s="251"/>
      <c r="P842" s="251"/>
      <c r="Q842" s="251"/>
      <c r="R842" s="251"/>
    </row>
    <row r="843" ht="15.75" hidden="1" customHeight="1">
      <c r="A843" s="315"/>
      <c r="B843" s="233"/>
      <c r="C843" s="233"/>
      <c r="D843" s="233"/>
      <c r="E843" s="316"/>
      <c r="F843" s="233"/>
      <c r="G843" s="233"/>
      <c r="H843" s="317"/>
      <c r="I843" s="317"/>
      <c r="J843" s="233"/>
      <c r="K843" s="233"/>
      <c r="L843" s="316"/>
      <c r="M843" s="233"/>
      <c r="N843" s="234"/>
      <c r="O843" s="251"/>
      <c r="P843" s="251"/>
      <c r="Q843" s="251"/>
      <c r="R843" s="251"/>
    </row>
    <row r="844" ht="15.75" hidden="1" customHeight="1">
      <c r="A844" s="318"/>
      <c r="B844" s="236"/>
      <c r="C844" s="236"/>
      <c r="D844" s="236"/>
      <c r="E844" s="314"/>
      <c r="F844" s="236"/>
      <c r="G844" s="236"/>
      <c r="H844" s="313"/>
      <c r="I844" s="313"/>
      <c r="J844" s="236"/>
      <c r="K844" s="236"/>
      <c r="L844" s="314"/>
      <c r="M844" s="236"/>
      <c r="N844" s="237"/>
      <c r="O844" s="251"/>
      <c r="P844" s="251"/>
      <c r="Q844" s="251"/>
      <c r="R844" s="251"/>
    </row>
    <row r="845" ht="15.75" hidden="1" customHeight="1">
      <c r="A845" s="315"/>
      <c r="B845" s="233"/>
      <c r="C845" s="233"/>
      <c r="D845" s="233"/>
      <c r="E845" s="316"/>
      <c r="F845" s="233"/>
      <c r="G845" s="233"/>
      <c r="H845" s="317"/>
      <c r="I845" s="317"/>
      <c r="J845" s="233"/>
      <c r="K845" s="233"/>
      <c r="L845" s="316"/>
      <c r="M845" s="233"/>
      <c r="N845" s="234"/>
      <c r="O845" s="251"/>
      <c r="P845" s="251"/>
      <c r="Q845" s="251"/>
      <c r="R845" s="251"/>
    </row>
    <row r="846" ht="15.75" hidden="1" customHeight="1">
      <c r="A846" s="318"/>
      <c r="B846" s="236"/>
      <c r="C846" s="236"/>
      <c r="D846" s="236"/>
      <c r="E846" s="314"/>
      <c r="F846" s="236"/>
      <c r="G846" s="236"/>
      <c r="H846" s="313"/>
      <c r="I846" s="313"/>
      <c r="J846" s="236"/>
      <c r="K846" s="236"/>
      <c r="L846" s="314"/>
      <c r="M846" s="236"/>
      <c r="N846" s="237"/>
      <c r="O846" s="251"/>
      <c r="P846" s="251"/>
      <c r="Q846" s="251"/>
      <c r="R846" s="251"/>
    </row>
    <row r="847" ht="15.75" hidden="1" customHeight="1">
      <c r="A847" s="315"/>
      <c r="B847" s="233"/>
      <c r="C847" s="233"/>
      <c r="D847" s="233"/>
      <c r="E847" s="316"/>
      <c r="F847" s="233"/>
      <c r="G847" s="233"/>
      <c r="H847" s="317"/>
      <c r="I847" s="317"/>
      <c r="J847" s="233"/>
      <c r="K847" s="233"/>
      <c r="L847" s="316"/>
      <c r="M847" s="233"/>
      <c r="N847" s="234"/>
      <c r="O847" s="251"/>
      <c r="P847" s="251"/>
      <c r="Q847" s="251"/>
      <c r="R847" s="251"/>
    </row>
    <row r="848" ht="15.75" hidden="1" customHeight="1">
      <c r="A848" s="318"/>
      <c r="B848" s="236"/>
      <c r="C848" s="236"/>
      <c r="D848" s="236"/>
      <c r="E848" s="314"/>
      <c r="F848" s="236"/>
      <c r="G848" s="236"/>
      <c r="H848" s="313"/>
      <c r="I848" s="313"/>
      <c r="J848" s="236"/>
      <c r="K848" s="236"/>
      <c r="L848" s="314"/>
      <c r="M848" s="236"/>
      <c r="N848" s="237"/>
      <c r="O848" s="251"/>
      <c r="P848" s="251"/>
      <c r="Q848" s="251"/>
      <c r="R848" s="251"/>
    </row>
    <row r="849" ht="15.75" hidden="1" customHeight="1">
      <c r="A849" s="315"/>
      <c r="B849" s="233"/>
      <c r="C849" s="233"/>
      <c r="D849" s="233"/>
      <c r="E849" s="316"/>
      <c r="F849" s="233"/>
      <c r="G849" s="233"/>
      <c r="H849" s="317"/>
      <c r="I849" s="317"/>
      <c r="J849" s="233"/>
      <c r="K849" s="233"/>
      <c r="L849" s="316"/>
      <c r="M849" s="233"/>
      <c r="N849" s="234"/>
      <c r="O849" s="251"/>
      <c r="P849" s="251"/>
      <c r="Q849" s="251"/>
      <c r="R849" s="251"/>
    </row>
    <row r="850" ht="15.75" hidden="1" customHeight="1">
      <c r="A850" s="318"/>
      <c r="B850" s="236"/>
      <c r="C850" s="236"/>
      <c r="D850" s="236"/>
      <c r="E850" s="314"/>
      <c r="F850" s="236"/>
      <c r="G850" s="236"/>
      <c r="H850" s="313"/>
      <c r="I850" s="313"/>
      <c r="J850" s="236"/>
      <c r="K850" s="236"/>
      <c r="L850" s="314"/>
      <c r="M850" s="236"/>
      <c r="N850" s="237"/>
      <c r="O850" s="251"/>
      <c r="P850" s="251"/>
      <c r="Q850" s="251"/>
      <c r="R850" s="251"/>
    </row>
    <row r="851" ht="15.75" hidden="1" customHeight="1">
      <c r="A851" s="315"/>
      <c r="B851" s="233"/>
      <c r="C851" s="233"/>
      <c r="D851" s="233"/>
      <c r="E851" s="316"/>
      <c r="F851" s="233"/>
      <c r="G851" s="233"/>
      <c r="H851" s="317"/>
      <c r="I851" s="317"/>
      <c r="J851" s="233"/>
      <c r="K851" s="233"/>
      <c r="L851" s="316"/>
      <c r="M851" s="233"/>
      <c r="N851" s="234"/>
      <c r="O851" s="251"/>
      <c r="P851" s="251"/>
      <c r="Q851" s="251"/>
      <c r="R851" s="251"/>
    </row>
    <row r="852" ht="15.75" hidden="1" customHeight="1">
      <c r="A852" s="318"/>
      <c r="B852" s="236"/>
      <c r="C852" s="236"/>
      <c r="D852" s="236"/>
      <c r="E852" s="314"/>
      <c r="F852" s="236"/>
      <c r="G852" s="236"/>
      <c r="H852" s="313"/>
      <c r="I852" s="313"/>
      <c r="J852" s="236"/>
      <c r="K852" s="236"/>
      <c r="L852" s="314"/>
      <c r="M852" s="236"/>
      <c r="N852" s="237"/>
      <c r="O852" s="251"/>
      <c r="P852" s="251"/>
      <c r="Q852" s="251"/>
      <c r="R852" s="251"/>
    </row>
    <row r="853" ht="15.75" hidden="1" customHeight="1">
      <c r="A853" s="315"/>
      <c r="B853" s="233"/>
      <c r="C853" s="233"/>
      <c r="D853" s="233"/>
      <c r="E853" s="316"/>
      <c r="F853" s="233"/>
      <c r="G853" s="233"/>
      <c r="H853" s="317"/>
      <c r="I853" s="317"/>
      <c r="J853" s="233"/>
      <c r="K853" s="233"/>
      <c r="L853" s="316"/>
      <c r="M853" s="233"/>
      <c r="N853" s="234"/>
      <c r="O853" s="251"/>
      <c r="P853" s="251"/>
      <c r="Q853" s="251"/>
      <c r="R853" s="251"/>
    </row>
    <row r="854" ht="15.75" hidden="1" customHeight="1">
      <c r="A854" s="318"/>
      <c r="B854" s="236"/>
      <c r="C854" s="236"/>
      <c r="D854" s="236"/>
      <c r="E854" s="314"/>
      <c r="F854" s="236"/>
      <c r="G854" s="236"/>
      <c r="H854" s="313"/>
      <c r="I854" s="313"/>
      <c r="J854" s="236"/>
      <c r="K854" s="236"/>
      <c r="L854" s="314"/>
      <c r="M854" s="236"/>
      <c r="N854" s="237"/>
      <c r="O854" s="251"/>
      <c r="P854" s="251"/>
      <c r="Q854" s="251"/>
      <c r="R854" s="251"/>
    </row>
    <row r="855" ht="15.75" hidden="1" customHeight="1">
      <c r="A855" s="315"/>
      <c r="B855" s="233"/>
      <c r="C855" s="233"/>
      <c r="D855" s="233"/>
      <c r="E855" s="316"/>
      <c r="F855" s="233"/>
      <c r="G855" s="233"/>
      <c r="H855" s="317"/>
      <c r="I855" s="317"/>
      <c r="J855" s="233"/>
      <c r="K855" s="233"/>
      <c r="L855" s="316"/>
      <c r="M855" s="233"/>
      <c r="N855" s="234"/>
      <c r="O855" s="251"/>
      <c r="P855" s="251"/>
      <c r="Q855" s="251"/>
      <c r="R855" s="251"/>
    </row>
    <row r="856" ht="15.75" hidden="1" customHeight="1">
      <c r="A856" s="318"/>
      <c r="B856" s="236"/>
      <c r="C856" s="236"/>
      <c r="D856" s="236"/>
      <c r="E856" s="314"/>
      <c r="F856" s="236"/>
      <c r="G856" s="236"/>
      <c r="H856" s="313"/>
      <c r="I856" s="313"/>
      <c r="J856" s="236"/>
      <c r="K856" s="236"/>
      <c r="L856" s="314"/>
      <c r="M856" s="236"/>
      <c r="N856" s="237"/>
      <c r="O856" s="251"/>
      <c r="P856" s="251"/>
      <c r="Q856" s="251"/>
      <c r="R856" s="251"/>
    </row>
    <row r="857" ht="15.75" hidden="1" customHeight="1">
      <c r="A857" s="315"/>
      <c r="B857" s="233"/>
      <c r="C857" s="233"/>
      <c r="D857" s="233"/>
      <c r="E857" s="316"/>
      <c r="F857" s="233"/>
      <c r="G857" s="233"/>
      <c r="H857" s="317"/>
      <c r="I857" s="317"/>
      <c r="J857" s="233"/>
      <c r="K857" s="233"/>
      <c r="L857" s="316"/>
      <c r="M857" s="233"/>
      <c r="N857" s="234"/>
      <c r="O857" s="251"/>
      <c r="P857" s="251"/>
      <c r="Q857" s="251"/>
      <c r="R857" s="251"/>
    </row>
    <row r="858" ht="15.75" hidden="1" customHeight="1">
      <c r="A858" s="318"/>
      <c r="B858" s="236"/>
      <c r="C858" s="236"/>
      <c r="D858" s="236"/>
      <c r="E858" s="314"/>
      <c r="F858" s="236"/>
      <c r="G858" s="236"/>
      <c r="H858" s="313"/>
      <c r="I858" s="313"/>
      <c r="J858" s="236"/>
      <c r="K858" s="236"/>
      <c r="L858" s="314"/>
      <c r="M858" s="236"/>
      <c r="N858" s="237"/>
      <c r="O858" s="251"/>
      <c r="P858" s="251"/>
      <c r="Q858" s="251"/>
      <c r="R858" s="251"/>
    </row>
    <row r="859" ht="15.75" hidden="1" customHeight="1">
      <c r="A859" s="315"/>
      <c r="B859" s="233"/>
      <c r="C859" s="233"/>
      <c r="D859" s="233"/>
      <c r="E859" s="316"/>
      <c r="F859" s="233"/>
      <c r="G859" s="233"/>
      <c r="H859" s="317"/>
      <c r="I859" s="317"/>
      <c r="J859" s="233"/>
      <c r="K859" s="233"/>
      <c r="L859" s="316"/>
      <c r="M859" s="233"/>
      <c r="N859" s="234"/>
      <c r="O859" s="251"/>
      <c r="P859" s="251"/>
      <c r="Q859" s="251"/>
      <c r="R859" s="251"/>
    </row>
    <row r="860" ht="15.75" hidden="1" customHeight="1">
      <c r="A860" s="318"/>
      <c r="B860" s="236"/>
      <c r="C860" s="236"/>
      <c r="D860" s="236"/>
      <c r="E860" s="314"/>
      <c r="F860" s="236"/>
      <c r="G860" s="236"/>
      <c r="H860" s="313"/>
      <c r="I860" s="313"/>
      <c r="J860" s="236"/>
      <c r="K860" s="236"/>
      <c r="L860" s="314"/>
      <c r="M860" s="236"/>
      <c r="N860" s="237"/>
      <c r="O860" s="251"/>
      <c r="P860" s="251"/>
      <c r="Q860" s="251"/>
      <c r="R860" s="251"/>
    </row>
    <row r="861" ht="15.75" hidden="1" customHeight="1">
      <c r="A861" s="315"/>
      <c r="B861" s="233"/>
      <c r="C861" s="233"/>
      <c r="D861" s="233"/>
      <c r="E861" s="316"/>
      <c r="F861" s="233"/>
      <c r="G861" s="233"/>
      <c r="H861" s="317"/>
      <c r="I861" s="317"/>
      <c r="J861" s="233"/>
      <c r="K861" s="233"/>
      <c r="L861" s="316"/>
      <c r="M861" s="233"/>
      <c r="N861" s="234"/>
      <c r="O861" s="251"/>
      <c r="P861" s="251"/>
      <c r="Q861" s="251"/>
      <c r="R861" s="251"/>
    </row>
    <row r="862" ht="15.75" hidden="1" customHeight="1">
      <c r="A862" s="318"/>
      <c r="B862" s="236"/>
      <c r="C862" s="236"/>
      <c r="D862" s="236"/>
      <c r="E862" s="314"/>
      <c r="F862" s="236"/>
      <c r="G862" s="236"/>
      <c r="H862" s="313"/>
      <c r="I862" s="313"/>
      <c r="J862" s="236"/>
      <c r="K862" s="236"/>
      <c r="L862" s="314"/>
      <c r="M862" s="236"/>
      <c r="N862" s="237"/>
      <c r="O862" s="251"/>
      <c r="P862" s="251"/>
      <c r="Q862" s="251"/>
      <c r="R862" s="251"/>
    </row>
    <row r="863" ht="15.75" hidden="1" customHeight="1">
      <c r="A863" s="315"/>
      <c r="B863" s="233"/>
      <c r="C863" s="233"/>
      <c r="D863" s="233"/>
      <c r="E863" s="316"/>
      <c r="F863" s="233"/>
      <c r="G863" s="233"/>
      <c r="H863" s="317"/>
      <c r="I863" s="317"/>
      <c r="J863" s="233"/>
      <c r="K863" s="233"/>
      <c r="L863" s="316"/>
      <c r="M863" s="233"/>
      <c r="N863" s="234"/>
      <c r="O863" s="251"/>
      <c r="P863" s="251"/>
      <c r="Q863" s="251"/>
      <c r="R863" s="251"/>
    </row>
    <row r="864" ht="15.75" hidden="1" customHeight="1">
      <c r="A864" s="318"/>
      <c r="B864" s="236"/>
      <c r="C864" s="236"/>
      <c r="D864" s="236"/>
      <c r="E864" s="314"/>
      <c r="F864" s="236"/>
      <c r="G864" s="236"/>
      <c r="H864" s="313"/>
      <c r="I864" s="313"/>
      <c r="J864" s="236"/>
      <c r="K864" s="236"/>
      <c r="L864" s="314"/>
      <c r="M864" s="236"/>
      <c r="N864" s="237"/>
      <c r="O864" s="251"/>
      <c r="P864" s="251"/>
      <c r="Q864" s="251"/>
      <c r="R864" s="251"/>
    </row>
    <row r="865" ht="15.75" hidden="1" customHeight="1">
      <c r="A865" s="315"/>
      <c r="B865" s="233"/>
      <c r="C865" s="233"/>
      <c r="D865" s="233"/>
      <c r="E865" s="316"/>
      <c r="F865" s="233"/>
      <c r="G865" s="233"/>
      <c r="H865" s="317"/>
      <c r="I865" s="317"/>
      <c r="J865" s="233"/>
      <c r="K865" s="233"/>
      <c r="L865" s="316"/>
      <c r="M865" s="233"/>
      <c r="N865" s="234"/>
      <c r="O865" s="251"/>
      <c r="P865" s="251"/>
      <c r="Q865" s="251"/>
      <c r="R865" s="251"/>
    </row>
    <row r="866" ht="15.75" hidden="1" customHeight="1">
      <c r="A866" s="318"/>
      <c r="B866" s="236"/>
      <c r="C866" s="236"/>
      <c r="D866" s="236"/>
      <c r="E866" s="314"/>
      <c r="F866" s="236"/>
      <c r="G866" s="236"/>
      <c r="H866" s="313"/>
      <c r="I866" s="313"/>
      <c r="J866" s="236"/>
      <c r="K866" s="236"/>
      <c r="L866" s="314"/>
      <c r="M866" s="236"/>
      <c r="N866" s="237"/>
      <c r="O866" s="251"/>
      <c r="P866" s="251"/>
      <c r="Q866" s="251"/>
      <c r="R866" s="251"/>
    </row>
    <row r="867" ht="15.75" hidden="1" customHeight="1">
      <c r="A867" s="315"/>
      <c r="B867" s="233"/>
      <c r="C867" s="233"/>
      <c r="D867" s="233"/>
      <c r="E867" s="316"/>
      <c r="F867" s="233"/>
      <c r="G867" s="233"/>
      <c r="H867" s="317"/>
      <c r="I867" s="317"/>
      <c r="J867" s="233"/>
      <c r="K867" s="233"/>
      <c r="L867" s="316"/>
      <c r="M867" s="233"/>
      <c r="N867" s="234"/>
      <c r="O867" s="251"/>
      <c r="P867" s="251"/>
      <c r="Q867" s="251"/>
      <c r="R867" s="251"/>
    </row>
    <row r="868" ht="15.75" hidden="1" customHeight="1">
      <c r="A868" s="318"/>
      <c r="B868" s="236"/>
      <c r="C868" s="236"/>
      <c r="D868" s="236"/>
      <c r="E868" s="314"/>
      <c r="F868" s="236"/>
      <c r="G868" s="236"/>
      <c r="H868" s="313"/>
      <c r="I868" s="313"/>
      <c r="J868" s="236"/>
      <c r="K868" s="236"/>
      <c r="L868" s="314"/>
      <c r="M868" s="236"/>
      <c r="N868" s="237"/>
      <c r="O868" s="251"/>
      <c r="P868" s="251"/>
      <c r="Q868" s="251"/>
      <c r="R868" s="251"/>
    </row>
    <row r="869" ht="15.75" hidden="1" customHeight="1">
      <c r="A869" s="315"/>
      <c r="B869" s="233"/>
      <c r="C869" s="233"/>
      <c r="D869" s="233"/>
      <c r="E869" s="316"/>
      <c r="F869" s="233"/>
      <c r="G869" s="233"/>
      <c r="H869" s="317"/>
      <c r="I869" s="317"/>
      <c r="J869" s="233"/>
      <c r="K869" s="233"/>
      <c r="L869" s="316"/>
      <c r="M869" s="233"/>
      <c r="N869" s="234"/>
      <c r="O869" s="251"/>
      <c r="P869" s="251"/>
      <c r="Q869" s="251"/>
      <c r="R869" s="251"/>
    </row>
    <row r="870" ht="15.75" hidden="1" customHeight="1">
      <c r="A870" s="318"/>
      <c r="B870" s="236"/>
      <c r="C870" s="236"/>
      <c r="D870" s="236"/>
      <c r="E870" s="314"/>
      <c r="F870" s="236"/>
      <c r="G870" s="236"/>
      <c r="H870" s="313"/>
      <c r="I870" s="313"/>
      <c r="J870" s="236"/>
      <c r="K870" s="236"/>
      <c r="L870" s="314"/>
      <c r="M870" s="236"/>
      <c r="N870" s="237"/>
      <c r="O870" s="251"/>
      <c r="P870" s="251"/>
      <c r="Q870" s="251"/>
      <c r="R870" s="251"/>
    </row>
    <row r="871" ht="15.75" hidden="1" customHeight="1">
      <c r="A871" s="315"/>
      <c r="B871" s="233"/>
      <c r="C871" s="233"/>
      <c r="D871" s="233"/>
      <c r="E871" s="316"/>
      <c r="F871" s="233"/>
      <c r="G871" s="233"/>
      <c r="H871" s="317"/>
      <c r="I871" s="317"/>
      <c r="J871" s="233"/>
      <c r="K871" s="233"/>
      <c r="L871" s="316"/>
      <c r="M871" s="233"/>
      <c r="N871" s="234"/>
      <c r="O871" s="251"/>
      <c r="P871" s="251"/>
      <c r="Q871" s="251"/>
      <c r="R871" s="251"/>
    </row>
    <row r="872" ht="15.75" hidden="1" customHeight="1">
      <c r="A872" s="318"/>
      <c r="B872" s="236"/>
      <c r="C872" s="236"/>
      <c r="D872" s="236"/>
      <c r="E872" s="314"/>
      <c r="F872" s="236"/>
      <c r="G872" s="236"/>
      <c r="H872" s="313"/>
      <c r="I872" s="313"/>
      <c r="J872" s="236"/>
      <c r="K872" s="236"/>
      <c r="L872" s="314"/>
      <c r="M872" s="236"/>
      <c r="N872" s="237"/>
      <c r="O872" s="251"/>
      <c r="P872" s="251"/>
      <c r="Q872" s="251"/>
      <c r="R872" s="251"/>
    </row>
    <row r="873" ht="15.75" hidden="1" customHeight="1">
      <c r="A873" s="315"/>
      <c r="B873" s="233"/>
      <c r="C873" s="233"/>
      <c r="D873" s="233"/>
      <c r="E873" s="316"/>
      <c r="F873" s="233"/>
      <c r="G873" s="233"/>
      <c r="H873" s="317"/>
      <c r="I873" s="317"/>
      <c r="J873" s="233"/>
      <c r="K873" s="233"/>
      <c r="L873" s="316"/>
      <c r="M873" s="233"/>
      <c r="N873" s="234"/>
      <c r="O873" s="251"/>
      <c r="P873" s="251"/>
      <c r="Q873" s="251"/>
      <c r="R873" s="251"/>
    </row>
    <row r="874" ht="15.75" hidden="1" customHeight="1">
      <c r="A874" s="318"/>
      <c r="B874" s="236"/>
      <c r="C874" s="236"/>
      <c r="D874" s="236"/>
      <c r="E874" s="314"/>
      <c r="F874" s="236"/>
      <c r="G874" s="236"/>
      <c r="H874" s="313"/>
      <c r="I874" s="313"/>
      <c r="J874" s="236"/>
      <c r="K874" s="236"/>
      <c r="L874" s="314"/>
      <c r="M874" s="236"/>
      <c r="N874" s="237"/>
      <c r="O874" s="251"/>
      <c r="P874" s="251"/>
      <c r="Q874" s="251"/>
      <c r="R874" s="251"/>
    </row>
    <row r="875" ht="15.75" hidden="1" customHeight="1">
      <c r="A875" s="315"/>
      <c r="B875" s="233"/>
      <c r="C875" s="233"/>
      <c r="D875" s="233"/>
      <c r="E875" s="316"/>
      <c r="F875" s="233"/>
      <c r="G875" s="233"/>
      <c r="H875" s="317"/>
      <c r="I875" s="317"/>
      <c r="J875" s="233"/>
      <c r="K875" s="233"/>
      <c r="L875" s="316"/>
      <c r="M875" s="233"/>
      <c r="N875" s="234"/>
      <c r="O875" s="251"/>
      <c r="P875" s="251"/>
      <c r="Q875" s="251"/>
      <c r="R875" s="251"/>
    </row>
    <row r="876" ht="15.75" hidden="1" customHeight="1">
      <c r="A876" s="318"/>
      <c r="B876" s="236"/>
      <c r="C876" s="236"/>
      <c r="D876" s="236"/>
      <c r="E876" s="314"/>
      <c r="F876" s="236"/>
      <c r="G876" s="236"/>
      <c r="H876" s="313"/>
      <c r="I876" s="313"/>
      <c r="J876" s="236"/>
      <c r="K876" s="236"/>
      <c r="L876" s="314"/>
      <c r="M876" s="236"/>
      <c r="N876" s="237"/>
      <c r="O876" s="251"/>
      <c r="P876" s="251"/>
      <c r="Q876" s="251"/>
      <c r="R876" s="251"/>
    </row>
    <row r="877" ht="15.75" hidden="1" customHeight="1">
      <c r="A877" s="315"/>
      <c r="B877" s="233"/>
      <c r="C877" s="233"/>
      <c r="D877" s="233"/>
      <c r="E877" s="316"/>
      <c r="F877" s="233"/>
      <c r="G877" s="233"/>
      <c r="H877" s="317"/>
      <c r="I877" s="317"/>
      <c r="J877" s="233"/>
      <c r="K877" s="233"/>
      <c r="L877" s="316"/>
      <c r="M877" s="233"/>
      <c r="N877" s="234"/>
      <c r="O877" s="251"/>
      <c r="P877" s="251"/>
      <c r="Q877" s="251"/>
      <c r="R877" s="251"/>
    </row>
    <row r="878" ht="15.75" hidden="1" customHeight="1">
      <c r="A878" s="318"/>
      <c r="B878" s="236"/>
      <c r="C878" s="236"/>
      <c r="D878" s="236"/>
      <c r="E878" s="314"/>
      <c r="F878" s="236"/>
      <c r="G878" s="236"/>
      <c r="H878" s="313"/>
      <c r="I878" s="313"/>
      <c r="J878" s="236"/>
      <c r="K878" s="236"/>
      <c r="L878" s="314"/>
      <c r="M878" s="236"/>
      <c r="N878" s="237"/>
      <c r="O878" s="251"/>
      <c r="P878" s="251"/>
      <c r="Q878" s="251"/>
      <c r="R878" s="251"/>
    </row>
    <row r="879" ht="15.75" hidden="1" customHeight="1">
      <c r="A879" s="315"/>
      <c r="B879" s="233"/>
      <c r="C879" s="233"/>
      <c r="D879" s="233"/>
      <c r="E879" s="316"/>
      <c r="F879" s="233"/>
      <c r="G879" s="233"/>
      <c r="H879" s="317"/>
      <c r="I879" s="317"/>
      <c r="J879" s="233"/>
      <c r="K879" s="233"/>
      <c r="L879" s="316"/>
      <c r="M879" s="233"/>
      <c r="N879" s="234"/>
      <c r="O879" s="251"/>
      <c r="P879" s="251"/>
      <c r="Q879" s="251"/>
      <c r="R879" s="251"/>
    </row>
    <row r="880" ht="15.75" hidden="1" customHeight="1">
      <c r="A880" s="318"/>
      <c r="B880" s="236"/>
      <c r="C880" s="236"/>
      <c r="D880" s="236"/>
      <c r="E880" s="314"/>
      <c r="F880" s="236"/>
      <c r="G880" s="236"/>
      <c r="H880" s="313"/>
      <c r="I880" s="313"/>
      <c r="J880" s="236"/>
      <c r="K880" s="236"/>
      <c r="L880" s="314"/>
      <c r="M880" s="236"/>
      <c r="N880" s="237"/>
      <c r="O880" s="251"/>
      <c r="P880" s="251"/>
      <c r="Q880" s="251"/>
      <c r="R880" s="251"/>
    </row>
    <row r="881" ht="15.75" hidden="1" customHeight="1">
      <c r="A881" s="315"/>
      <c r="B881" s="233"/>
      <c r="C881" s="233"/>
      <c r="D881" s="233"/>
      <c r="E881" s="316"/>
      <c r="F881" s="233"/>
      <c r="G881" s="233"/>
      <c r="H881" s="317"/>
      <c r="I881" s="317"/>
      <c r="J881" s="233"/>
      <c r="K881" s="233"/>
      <c r="L881" s="316"/>
      <c r="M881" s="233"/>
      <c r="N881" s="234"/>
      <c r="O881" s="251"/>
      <c r="P881" s="251"/>
      <c r="Q881" s="251"/>
      <c r="R881" s="251"/>
    </row>
    <row r="882" ht="15.75" hidden="1" customHeight="1">
      <c r="A882" s="318"/>
      <c r="B882" s="236"/>
      <c r="C882" s="236"/>
      <c r="D882" s="236"/>
      <c r="E882" s="314"/>
      <c r="F882" s="236"/>
      <c r="G882" s="236"/>
      <c r="H882" s="313"/>
      <c r="I882" s="313"/>
      <c r="J882" s="236"/>
      <c r="K882" s="236"/>
      <c r="L882" s="314"/>
      <c r="M882" s="236"/>
      <c r="N882" s="237"/>
      <c r="O882" s="251"/>
      <c r="P882" s="251"/>
      <c r="Q882" s="251"/>
      <c r="R882" s="251"/>
    </row>
    <row r="883" ht="15.75" hidden="1" customHeight="1">
      <c r="A883" s="315"/>
      <c r="B883" s="233"/>
      <c r="C883" s="233"/>
      <c r="D883" s="233"/>
      <c r="E883" s="316"/>
      <c r="F883" s="233"/>
      <c r="G883" s="233"/>
      <c r="H883" s="317"/>
      <c r="I883" s="317"/>
      <c r="J883" s="233"/>
      <c r="K883" s="233"/>
      <c r="L883" s="316"/>
      <c r="M883" s="233"/>
      <c r="N883" s="234"/>
      <c r="O883" s="251"/>
      <c r="P883" s="251"/>
      <c r="Q883" s="251"/>
      <c r="R883" s="251"/>
    </row>
    <row r="884" ht="15.75" hidden="1" customHeight="1">
      <c r="A884" s="318"/>
      <c r="B884" s="236"/>
      <c r="C884" s="236"/>
      <c r="D884" s="236"/>
      <c r="E884" s="314"/>
      <c r="F884" s="236"/>
      <c r="G884" s="236"/>
      <c r="H884" s="313"/>
      <c r="I884" s="313"/>
      <c r="J884" s="236"/>
      <c r="K884" s="236"/>
      <c r="L884" s="314"/>
      <c r="M884" s="236"/>
      <c r="N884" s="237"/>
      <c r="O884" s="251"/>
      <c r="P884" s="251"/>
      <c r="Q884" s="251"/>
      <c r="R884" s="251"/>
    </row>
    <row r="885" ht="15.75" hidden="1" customHeight="1">
      <c r="A885" s="315"/>
      <c r="B885" s="233"/>
      <c r="C885" s="233"/>
      <c r="D885" s="233"/>
      <c r="E885" s="316"/>
      <c r="F885" s="233"/>
      <c r="G885" s="233"/>
      <c r="H885" s="317"/>
      <c r="I885" s="317"/>
      <c r="J885" s="233"/>
      <c r="K885" s="233"/>
      <c r="L885" s="316"/>
      <c r="M885" s="233"/>
      <c r="N885" s="234"/>
      <c r="O885" s="251"/>
      <c r="P885" s="251"/>
      <c r="Q885" s="251"/>
      <c r="R885" s="251"/>
    </row>
    <row r="886" ht="15.75" hidden="1" customHeight="1">
      <c r="A886" s="318"/>
      <c r="B886" s="236"/>
      <c r="C886" s="236"/>
      <c r="D886" s="236"/>
      <c r="E886" s="314"/>
      <c r="F886" s="236"/>
      <c r="G886" s="236"/>
      <c r="H886" s="313"/>
      <c r="I886" s="313"/>
      <c r="J886" s="236"/>
      <c r="K886" s="236"/>
      <c r="L886" s="314"/>
      <c r="M886" s="236"/>
      <c r="N886" s="237"/>
      <c r="O886" s="251"/>
      <c r="P886" s="251"/>
      <c r="Q886" s="251"/>
      <c r="R886" s="251"/>
    </row>
    <row r="887" ht="15.75" hidden="1" customHeight="1">
      <c r="A887" s="315"/>
      <c r="B887" s="233"/>
      <c r="C887" s="233"/>
      <c r="D887" s="233"/>
      <c r="E887" s="316"/>
      <c r="F887" s="233"/>
      <c r="G887" s="233"/>
      <c r="H887" s="317"/>
      <c r="I887" s="317"/>
      <c r="J887" s="233"/>
      <c r="K887" s="233"/>
      <c r="L887" s="316"/>
      <c r="M887" s="233"/>
      <c r="N887" s="234"/>
      <c r="O887" s="251"/>
      <c r="P887" s="251"/>
      <c r="Q887" s="251"/>
      <c r="R887" s="251"/>
    </row>
    <row r="888" ht="15.75" hidden="1" customHeight="1">
      <c r="A888" s="318"/>
      <c r="B888" s="236"/>
      <c r="C888" s="236"/>
      <c r="D888" s="236"/>
      <c r="E888" s="314"/>
      <c r="F888" s="236"/>
      <c r="G888" s="236"/>
      <c r="H888" s="313"/>
      <c r="I888" s="313"/>
      <c r="J888" s="236"/>
      <c r="K888" s="236"/>
      <c r="L888" s="314"/>
      <c r="M888" s="236"/>
      <c r="N888" s="237"/>
      <c r="O888" s="251"/>
      <c r="P888" s="251"/>
      <c r="Q888" s="251"/>
      <c r="R888" s="251"/>
    </row>
    <row r="889" ht="15.75" hidden="1" customHeight="1">
      <c r="A889" s="315"/>
      <c r="B889" s="233"/>
      <c r="C889" s="233"/>
      <c r="D889" s="233"/>
      <c r="E889" s="316"/>
      <c r="F889" s="233"/>
      <c r="G889" s="233"/>
      <c r="H889" s="317"/>
      <c r="I889" s="317"/>
      <c r="J889" s="233"/>
      <c r="K889" s="233"/>
      <c r="L889" s="316"/>
      <c r="M889" s="233"/>
      <c r="N889" s="234"/>
      <c r="O889" s="251"/>
      <c r="P889" s="251"/>
      <c r="Q889" s="251"/>
      <c r="R889" s="251"/>
    </row>
    <row r="890" ht="15.75" hidden="1" customHeight="1">
      <c r="A890" s="318"/>
      <c r="B890" s="236"/>
      <c r="C890" s="236"/>
      <c r="D890" s="236"/>
      <c r="E890" s="314"/>
      <c r="F890" s="236"/>
      <c r="G890" s="236"/>
      <c r="H890" s="313"/>
      <c r="I890" s="313"/>
      <c r="J890" s="236"/>
      <c r="K890" s="236"/>
      <c r="L890" s="314"/>
      <c r="M890" s="236"/>
      <c r="N890" s="237"/>
      <c r="O890" s="251"/>
      <c r="P890" s="251"/>
      <c r="Q890" s="251"/>
      <c r="R890" s="251"/>
    </row>
    <row r="891" ht="15.75" hidden="1" customHeight="1">
      <c r="A891" s="315"/>
      <c r="B891" s="233"/>
      <c r="C891" s="233"/>
      <c r="D891" s="233"/>
      <c r="E891" s="316"/>
      <c r="F891" s="233"/>
      <c r="G891" s="233"/>
      <c r="H891" s="317"/>
      <c r="I891" s="317"/>
      <c r="J891" s="233"/>
      <c r="K891" s="233"/>
      <c r="L891" s="316"/>
      <c r="M891" s="233"/>
      <c r="N891" s="234"/>
      <c r="O891" s="251"/>
      <c r="P891" s="251"/>
      <c r="Q891" s="251"/>
      <c r="R891" s="251"/>
    </row>
    <row r="892" ht="15.75" hidden="1" customHeight="1">
      <c r="A892" s="318"/>
      <c r="B892" s="236"/>
      <c r="C892" s="236"/>
      <c r="D892" s="236"/>
      <c r="E892" s="314"/>
      <c r="F892" s="236"/>
      <c r="G892" s="236"/>
      <c r="H892" s="313"/>
      <c r="I892" s="313"/>
      <c r="J892" s="236"/>
      <c r="K892" s="236"/>
      <c r="L892" s="314"/>
      <c r="M892" s="236"/>
      <c r="N892" s="237"/>
      <c r="O892" s="251"/>
      <c r="P892" s="251"/>
      <c r="Q892" s="251"/>
      <c r="R892" s="251"/>
    </row>
    <row r="893" ht="15.75" hidden="1" customHeight="1">
      <c r="A893" s="315"/>
      <c r="B893" s="233"/>
      <c r="C893" s="233"/>
      <c r="D893" s="233"/>
      <c r="E893" s="316"/>
      <c r="F893" s="233"/>
      <c r="G893" s="233"/>
      <c r="H893" s="317"/>
      <c r="I893" s="317"/>
      <c r="J893" s="233"/>
      <c r="K893" s="233"/>
      <c r="L893" s="316"/>
      <c r="M893" s="233"/>
      <c r="N893" s="234"/>
      <c r="O893" s="251"/>
      <c r="P893" s="251"/>
      <c r="Q893" s="251"/>
      <c r="R893" s="251"/>
    </row>
    <row r="894" ht="15.75" hidden="1" customHeight="1">
      <c r="A894" s="318"/>
      <c r="B894" s="236"/>
      <c r="C894" s="236"/>
      <c r="D894" s="236"/>
      <c r="E894" s="314"/>
      <c r="F894" s="236"/>
      <c r="G894" s="236"/>
      <c r="H894" s="313"/>
      <c r="I894" s="313"/>
      <c r="J894" s="236"/>
      <c r="K894" s="236"/>
      <c r="L894" s="314"/>
      <c r="M894" s="236"/>
      <c r="N894" s="237"/>
      <c r="O894" s="251"/>
      <c r="P894" s="251"/>
      <c r="Q894" s="251"/>
      <c r="R894" s="251"/>
    </row>
    <row r="895" ht="15.75" hidden="1" customHeight="1">
      <c r="A895" s="315"/>
      <c r="B895" s="233"/>
      <c r="C895" s="233"/>
      <c r="D895" s="233"/>
      <c r="E895" s="316"/>
      <c r="F895" s="233"/>
      <c r="G895" s="233"/>
      <c r="H895" s="317"/>
      <c r="I895" s="317"/>
      <c r="J895" s="233"/>
      <c r="K895" s="233"/>
      <c r="L895" s="316"/>
      <c r="M895" s="233"/>
      <c r="N895" s="234"/>
      <c r="O895" s="251"/>
      <c r="P895" s="251"/>
      <c r="Q895" s="251"/>
      <c r="R895" s="251"/>
    </row>
    <row r="896" ht="15.75" hidden="1" customHeight="1">
      <c r="A896" s="318"/>
      <c r="B896" s="236"/>
      <c r="C896" s="236"/>
      <c r="D896" s="236"/>
      <c r="E896" s="314"/>
      <c r="F896" s="236"/>
      <c r="G896" s="236"/>
      <c r="H896" s="313"/>
      <c r="I896" s="313"/>
      <c r="J896" s="236"/>
      <c r="K896" s="236"/>
      <c r="L896" s="314"/>
      <c r="M896" s="236"/>
      <c r="N896" s="237"/>
      <c r="O896" s="251"/>
      <c r="P896" s="251"/>
      <c r="Q896" s="251"/>
      <c r="R896" s="251"/>
    </row>
    <row r="897" ht="15.75" hidden="1" customHeight="1">
      <c r="A897" s="315"/>
      <c r="B897" s="233"/>
      <c r="C897" s="233"/>
      <c r="D897" s="233"/>
      <c r="E897" s="316"/>
      <c r="F897" s="233"/>
      <c r="G897" s="233"/>
      <c r="H897" s="317"/>
      <c r="I897" s="317"/>
      <c r="J897" s="233"/>
      <c r="K897" s="233"/>
      <c r="L897" s="316"/>
      <c r="M897" s="233"/>
      <c r="N897" s="234"/>
      <c r="O897" s="251"/>
      <c r="P897" s="251"/>
      <c r="Q897" s="251"/>
      <c r="R897" s="251"/>
    </row>
    <row r="898" ht="15.75" hidden="1" customHeight="1">
      <c r="A898" s="318"/>
      <c r="B898" s="236"/>
      <c r="C898" s="236"/>
      <c r="D898" s="236"/>
      <c r="E898" s="314"/>
      <c r="F898" s="236"/>
      <c r="G898" s="236"/>
      <c r="H898" s="313"/>
      <c r="I898" s="313"/>
      <c r="J898" s="236"/>
      <c r="K898" s="236"/>
      <c r="L898" s="314"/>
      <c r="M898" s="236"/>
      <c r="N898" s="237"/>
      <c r="O898" s="251"/>
      <c r="P898" s="251"/>
      <c r="Q898" s="251"/>
      <c r="R898" s="251"/>
    </row>
    <row r="899" ht="15.75" hidden="1" customHeight="1">
      <c r="A899" s="315"/>
      <c r="B899" s="233"/>
      <c r="C899" s="233"/>
      <c r="D899" s="233"/>
      <c r="E899" s="316"/>
      <c r="F899" s="233"/>
      <c r="G899" s="233"/>
      <c r="H899" s="317"/>
      <c r="I899" s="317"/>
      <c r="J899" s="233"/>
      <c r="K899" s="233"/>
      <c r="L899" s="316"/>
      <c r="M899" s="233"/>
      <c r="N899" s="234"/>
      <c r="O899" s="251"/>
      <c r="P899" s="251"/>
      <c r="Q899" s="251"/>
      <c r="R899" s="251"/>
    </row>
    <row r="900" ht="15.75" hidden="1" customHeight="1">
      <c r="A900" s="318"/>
      <c r="B900" s="236"/>
      <c r="C900" s="236"/>
      <c r="D900" s="236"/>
      <c r="E900" s="314"/>
      <c r="F900" s="236"/>
      <c r="G900" s="236"/>
      <c r="H900" s="313"/>
      <c r="I900" s="313"/>
      <c r="J900" s="236"/>
      <c r="K900" s="236"/>
      <c r="L900" s="314"/>
      <c r="M900" s="236"/>
      <c r="N900" s="237"/>
      <c r="O900" s="251"/>
      <c r="P900" s="251"/>
      <c r="Q900" s="251"/>
      <c r="R900" s="251"/>
    </row>
    <row r="901" ht="15.75" hidden="1" customHeight="1">
      <c r="A901" s="315"/>
      <c r="B901" s="233"/>
      <c r="C901" s="233"/>
      <c r="D901" s="233"/>
      <c r="E901" s="316"/>
      <c r="F901" s="233"/>
      <c r="G901" s="233"/>
      <c r="H901" s="317"/>
      <c r="I901" s="317"/>
      <c r="J901" s="233"/>
      <c r="K901" s="233"/>
      <c r="L901" s="316"/>
      <c r="M901" s="233"/>
      <c r="N901" s="234"/>
      <c r="O901" s="251"/>
      <c r="P901" s="251"/>
      <c r="Q901" s="251"/>
      <c r="R901" s="251"/>
    </row>
    <row r="902" ht="15.75" hidden="1" customHeight="1">
      <c r="A902" s="318"/>
      <c r="B902" s="236"/>
      <c r="C902" s="236"/>
      <c r="D902" s="236"/>
      <c r="E902" s="314"/>
      <c r="F902" s="236"/>
      <c r="G902" s="236"/>
      <c r="H902" s="313"/>
      <c r="I902" s="313"/>
      <c r="J902" s="236"/>
      <c r="K902" s="236"/>
      <c r="L902" s="314"/>
      <c r="M902" s="236"/>
      <c r="N902" s="237"/>
      <c r="O902" s="251"/>
      <c r="P902" s="251"/>
      <c r="Q902" s="251"/>
      <c r="R902" s="251"/>
    </row>
    <row r="903" ht="15.75" hidden="1" customHeight="1">
      <c r="A903" s="315"/>
      <c r="B903" s="233"/>
      <c r="C903" s="233"/>
      <c r="D903" s="233"/>
      <c r="E903" s="316"/>
      <c r="F903" s="233"/>
      <c r="G903" s="233"/>
      <c r="H903" s="317"/>
      <c r="I903" s="317"/>
      <c r="J903" s="233"/>
      <c r="K903" s="233"/>
      <c r="L903" s="316"/>
      <c r="M903" s="233"/>
      <c r="N903" s="234"/>
      <c r="O903" s="251"/>
      <c r="P903" s="251"/>
      <c r="Q903" s="251"/>
      <c r="R903" s="251"/>
    </row>
    <row r="904" ht="15.75" hidden="1" customHeight="1">
      <c r="A904" s="318"/>
      <c r="B904" s="236"/>
      <c r="C904" s="236"/>
      <c r="D904" s="236"/>
      <c r="E904" s="314"/>
      <c r="F904" s="236"/>
      <c r="G904" s="236"/>
      <c r="H904" s="313"/>
      <c r="I904" s="313"/>
      <c r="J904" s="236"/>
      <c r="K904" s="236"/>
      <c r="L904" s="314"/>
      <c r="M904" s="236"/>
      <c r="N904" s="237"/>
      <c r="O904" s="251"/>
      <c r="P904" s="251"/>
      <c r="Q904" s="251"/>
      <c r="R904" s="251"/>
    </row>
    <row r="905" ht="15.75" hidden="1" customHeight="1">
      <c r="A905" s="315"/>
      <c r="B905" s="233"/>
      <c r="C905" s="233"/>
      <c r="D905" s="233"/>
      <c r="E905" s="316"/>
      <c r="F905" s="233"/>
      <c r="G905" s="233"/>
      <c r="H905" s="317"/>
      <c r="I905" s="317"/>
      <c r="J905" s="233"/>
      <c r="K905" s="233"/>
      <c r="L905" s="316"/>
      <c r="M905" s="233"/>
      <c r="N905" s="234"/>
      <c r="O905" s="251"/>
      <c r="P905" s="251"/>
      <c r="Q905" s="251"/>
      <c r="R905" s="251"/>
    </row>
    <row r="906" ht="15.75" hidden="1" customHeight="1">
      <c r="A906" s="318"/>
      <c r="B906" s="236"/>
      <c r="C906" s="236"/>
      <c r="D906" s="236"/>
      <c r="E906" s="314"/>
      <c r="F906" s="236"/>
      <c r="G906" s="236"/>
      <c r="H906" s="313"/>
      <c r="I906" s="313"/>
      <c r="J906" s="236"/>
      <c r="K906" s="236"/>
      <c r="L906" s="314"/>
      <c r="M906" s="236"/>
      <c r="N906" s="237"/>
      <c r="O906" s="251"/>
      <c r="P906" s="251"/>
      <c r="Q906" s="251"/>
      <c r="R906" s="251"/>
    </row>
    <row r="907" ht="15.75" hidden="1" customHeight="1">
      <c r="A907" s="315"/>
      <c r="B907" s="233"/>
      <c r="C907" s="233"/>
      <c r="D907" s="233"/>
      <c r="E907" s="316"/>
      <c r="F907" s="233"/>
      <c r="G907" s="233"/>
      <c r="H907" s="317"/>
      <c r="I907" s="317"/>
      <c r="J907" s="233"/>
      <c r="K907" s="233"/>
      <c r="L907" s="316"/>
      <c r="M907" s="233"/>
      <c r="N907" s="234"/>
      <c r="O907" s="251"/>
      <c r="P907" s="251"/>
      <c r="Q907" s="251"/>
      <c r="R907" s="251"/>
    </row>
    <row r="908" ht="15.75" hidden="1" customHeight="1">
      <c r="A908" s="318"/>
      <c r="B908" s="236"/>
      <c r="C908" s="236"/>
      <c r="D908" s="236"/>
      <c r="E908" s="314"/>
      <c r="F908" s="236"/>
      <c r="G908" s="236"/>
      <c r="H908" s="313"/>
      <c r="I908" s="313"/>
      <c r="J908" s="236"/>
      <c r="K908" s="236"/>
      <c r="L908" s="314"/>
      <c r="M908" s="236"/>
      <c r="N908" s="237"/>
      <c r="O908" s="251"/>
      <c r="P908" s="251"/>
      <c r="Q908" s="251"/>
      <c r="R908" s="251"/>
    </row>
    <row r="909" ht="15.75" hidden="1" customHeight="1">
      <c r="A909" s="315"/>
      <c r="B909" s="233"/>
      <c r="C909" s="233"/>
      <c r="D909" s="233"/>
      <c r="E909" s="316"/>
      <c r="F909" s="233"/>
      <c r="G909" s="233"/>
      <c r="H909" s="317"/>
      <c r="I909" s="317"/>
      <c r="J909" s="233"/>
      <c r="K909" s="233"/>
      <c r="L909" s="316"/>
      <c r="M909" s="233"/>
      <c r="N909" s="234"/>
      <c r="O909" s="251"/>
      <c r="P909" s="251"/>
      <c r="Q909" s="251"/>
      <c r="R909" s="251"/>
    </row>
    <row r="910" ht="15.75" hidden="1" customHeight="1">
      <c r="A910" s="318"/>
      <c r="B910" s="236"/>
      <c r="C910" s="236"/>
      <c r="D910" s="236"/>
      <c r="E910" s="314"/>
      <c r="F910" s="236"/>
      <c r="G910" s="236"/>
      <c r="H910" s="313"/>
      <c r="I910" s="313"/>
      <c r="J910" s="236"/>
      <c r="K910" s="236"/>
      <c r="L910" s="314"/>
      <c r="M910" s="236"/>
      <c r="N910" s="237"/>
      <c r="O910" s="251"/>
      <c r="P910" s="251"/>
      <c r="Q910" s="251"/>
      <c r="R910" s="251"/>
    </row>
    <row r="911" ht="15.75" hidden="1" customHeight="1">
      <c r="A911" s="315"/>
      <c r="B911" s="233"/>
      <c r="C911" s="233"/>
      <c r="D911" s="233"/>
      <c r="E911" s="316"/>
      <c r="F911" s="233"/>
      <c r="G911" s="233"/>
      <c r="H911" s="317"/>
      <c r="I911" s="317"/>
      <c r="J911" s="233"/>
      <c r="K911" s="233"/>
      <c r="L911" s="316"/>
      <c r="M911" s="233"/>
      <c r="N911" s="234"/>
      <c r="O911" s="251"/>
      <c r="P911" s="251"/>
      <c r="Q911" s="251"/>
      <c r="R911" s="251"/>
    </row>
    <row r="912" ht="15.75" hidden="1" customHeight="1">
      <c r="A912" s="318"/>
      <c r="B912" s="236"/>
      <c r="C912" s="236"/>
      <c r="D912" s="236"/>
      <c r="E912" s="314"/>
      <c r="F912" s="236"/>
      <c r="G912" s="236"/>
      <c r="H912" s="313"/>
      <c r="I912" s="313"/>
      <c r="J912" s="236"/>
      <c r="K912" s="236"/>
      <c r="L912" s="314"/>
      <c r="M912" s="236"/>
      <c r="N912" s="237"/>
      <c r="O912" s="251"/>
      <c r="P912" s="251"/>
      <c r="Q912" s="251"/>
      <c r="R912" s="251"/>
    </row>
    <row r="913" ht="15.75" hidden="1" customHeight="1">
      <c r="A913" s="315"/>
      <c r="B913" s="233"/>
      <c r="C913" s="233"/>
      <c r="D913" s="233"/>
      <c r="E913" s="316"/>
      <c r="F913" s="233"/>
      <c r="G913" s="233"/>
      <c r="H913" s="317"/>
      <c r="I913" s="317"/>
      <c r="J913" s="233"/>
      <c r="K913" s="233"/>
      <c r="L913" s="316"/>
      <c r="M913" s="233"/>
      <c r="N913" s="234"/>
      <c r="O913" s="251"/>
      <c r="P913" s="251"/>
      <c r="Q913" s="251"/>
      <c r="R913" s="251"/>
    </row>
    <row r="914" ht="15.75" hidden="1" customHeight="1">
      <c r="A914" s="318"/>
      <c r="B914" s="236"/>
      <c r="C914" s="236"/>
      <c r="D914" s="236"/>
      <c r="E914" s="314"/>
      <c r="F914" s="236"/>
      <c r="G914" s="236"/>
      <c r="H914" s="313"/>
      <c r="I914" s="313"/>
      <c r="J914" s="236"/>
      <c r="K914" s="236"/>
      <c r="L914" s="314"/>
      <c r="M914" s="236"/>
      <c r="N914" s="237"/>
      <c r="O914" s="251"/>
      <c r="P914" s="251"/>
      <c r="Q914" s="251"/>
      <c r="R914" s="251"/>
    </row>
    <row r="915" ht="15.75" hidden="1" customHeight="1">
      <c r="A915" s="315"/>
      <c r="B915" s="233"/>
      <c r="C915" s="233"/>
      <c r="D915" s="233"/>
      <c r="E915" s="316"/>
      <c r="F915" s="233"/>
      <c r="G915" s="233"/>
      <c r="H915" s="317"/>
      <c r="I915" s="317"/>
      <c r="J915" s="233"/>
      <c r="K915" s="233"/>
      <c r="L915" s="316"/>
      <c r="M915" s="233"/>
      <c r="N915" s="234"/>
      <c r="O915" s="251"/>
      <c r="P915" s="251"/>
      <c r="Q915" s="251"/>
      <c r="R915" s="251"/>
    </row>
    <row r="916" ht="15.75" hidden="1" customHeight="1">
      <c r="A916" s="318"/>
      <c r="B916" s="236"/>
      <c r="C916" s="236"/>
      <c r="D916" s="236"/>
      <c r="E916" s="314"/>
      <c r="F916" s="236"/>
      <c r="G916" s="236"/>
      <c r="H916" s="313"/>
      <c r="I916" s="313"/>
      <c r="J916" s="236"/>
      <c r="K916" s="236"/>
      <c r="L916" s="314"/>
      <c r="M916" s="236"/>
      <c r="N916" s="237"/>
      <c r="O916" s="251"/>
      <c r="P916" s="251"/>
      <c r="Q916" s="251"/>
      <c r="R916" s="251"/>
    </row>
    <row r="917" ht="15.75" hidden="1" customHeight="1">
      <c r="A917" s="315"/>
      <c r="B917" s="233"/>
      <c r="C917" s="233"/>
      <c r="D917" s="233"/>
      <c r="E917" s="316"/>
      <c r="F917" s="233"/>
      <c r="G917" s="233"/>
      <c r="H917" s="317"/>
      <c r="I917" s="317"/>
      <c r="J917" s="233"/>
      <c r="K917" s="233"/>
      <c r="L917" s="316"/>
      <c r="M917" s="233"/>
      <c r="N917" s="234"/>
      <c r="O917" s="251"/>
      <c r="P917" s="251"/>
      <c r="Q917" s="251"/>
      <c r="R917" s="251"/>
    </row>
    <row r="918" ht="15.75" hidden="1" customHeight="1">
      <c r="A918" s="318"/>
      <c r="B918" s="236"/>
      <c r="C918" s="236"/>
      <c r="D918" s="236"/>
      <c r="E918" s="314"/>
      <c r="F918" s="236"/>
      <c r="G918" s="236"/>
      <c r="H918" s="313"/>
      <c r="I918" s="313"/>
      <c r="J918" s="236"/>
      <c r="K918" s="236"/>
      <c r="L918" s="314"/>
      <c r="M918" s="236"/>
      <c r="N918" s="237"/>
      <c r="O918" s="251"/>
      <c r="P918" s="251"/>
      <c r="Q918" s="251"/>
      <c r="R918" s="251"/>
    </row>
    <row r="919" ht="15.75" hidden="1" customHeight="1">
      <c r="A919" s="315"/>
      <c r="B919" s="233"/>
      <c r="C919" s="233"/>
      <c r="D919" s="233"/>
      <c r="E919" s="316"/>
      <c r="F919" s="233"/>
      <c r="G919" s="233"/>
      <c r="H919" s="317"/>
      <c r="I919" s="317"/>
      <c r="J919" s="233"/>
      <c r="K919" s="233"/>
      <c r="L919" s="316"/>
      <c r="M919" s="233"/>
      <c r="N919" s="234"/>
      <c r="O919" s="251"/>
      <c r="P919" s="251"/>
      <c r="Q919" s="251"/>
      <c r="R919" s="251"/>
    </row>
    <row r="920" ht="15.75" hidden="1" customHeight="1">
      <c r="A920" s="318"/>
      <c r="B920" s="236"/>
      <c r="C920" s="236"/>
      <c r="D920" s="236"/>
      <c r="E920" s="314"/>
      <c r="F920" s="236"/>
      <c r="G920" s="236"/>
      <c r="H920" s="313"/>
      <c r="I920" s="313"/>
      <c r="J920" s="236"/>
      <c r="K920" s="236"/>
      <c r="L920" s="314"/>
      <c r="M920" s="236"/>
      <c r="N920" s="237"/>
      <c r="O920" s="251"/>
      <c r="P920" s="251"/>
      <c r="Q920" s="251"/>
      <c r="R920" s="251"/>
    </row>
    <row r="921" ht="15.75" hidden="1" customHeight="1">
      <c r="A921" s="315"/>
      <c r="B921" s="233"/>
      <c r="C921" s="233"/>
      <c r="D921" s="233"/>
      <c r="E921" s="316"/>
      <c r="F921" s="233"/>
      <c r="G921" s="233"/>
      <c r="H921" s="317"/>
      <c r="I921" s="317"/>
      <c r="J921" s="233"/>
      <c r="K921" s="233"/>
      <c r="L921" s="316"/>
      <c r="M921" s="233"/>
      <c r="N921" s="234"/>
      <c r="O921" s="251"/>
      <c r="P921" s="251"/>
      <c r="Q921" s="251"/>
      <c r="R921" s="251"/>
    </row>
    <row r="922" ht="15.75" hidden="1" customHeight="1">
      <c r="A922" s="318"/>
      <c r="B922" s="236"/>
      <c r="C922" s="236"/>
      <c r="D922" s="236"/>
      <c r="E922" s="314"/>
      <c r="F922" s="236"/>
      <c r="G922" s="236"/>
      <c r="H922" s="313"/>
      <c r="I922" s="313"/>
      <c r="J922" s="236"/>
      <c r="K922" s="236"/>
      <c r="L922" s="314"/>
      <c r="M922" s="236"/>
      <c r="N922" s="237"/>
      <c r="O922" s="251"/>
      <c r="P922" s="251"/>
      <c r="Q922" s="251"/>
      <c r="R922" s="251"/>
    </row>
    <row r="923" ht="15.75" hidden="1" customHeight="1">
      <c r="A923" s="315"/>
      <c r="B923" s="233"/>
      <c r="C923" s="233"/>
      <c r="D923" s="233"/>
      <c r="E923" s="316"/>
      <c r="F923" s="233"/>
      <c r="G923" s="233"/>
      <c r="H923" s="317"/>
      <c r="I923" s="317"/>
      <c r="J923" s="233"/>
      <c r="K923" s="233"/>
      <c r="L923" s="316"/>
      <c r="M923" s="233"/>
      <c r="N923" s="234"/>
      <c r="O923" s="251"/>
      <c r="P923" s="251"/>
      <c r="Q923" s="251"/>
      <c r="R923" s="251"/>
    </row>
    <row r="924" ht="15.75" hidden="1" customHeight="1">
      <c r="A924" s="318"/>
      <c r="B924" s="236"/>
      <c r="C924" s="236"/>
      <c r="D924" s="236"/>
      <c r="E924" s="314"/>
      <c r="F924" s="236"/>
      <c r="G924" s="236"/>
      <c r="H924" s="313"/>
      <c r="I924" s="313"/>
      <c r="J924" s="236"/>
      <c r="K924" s="236"/>
      <c r="L924" s="314"/>
      <c r="M924" s="236"/>
      <c r="N924" s="237"/>
      <c r="O924" s="251"/>
      <c r="P924" s="251"/>
      <c r="Q924" s="251"/>
      <c r="R924" s="251"/>
    </row>
    <row r="925" ht="15.75" hidden="1" customHeight="1">
      <c r="A925" s="315"/>
      <c r="B925" s="233"/>
      <c r="C925" s="233"/>
      <c r="D925" s="233"/>
      <c r="E925" s="316"/>
      <c r="F925" s="233"/>
      <c r="G925" s="233"/>
      <c r="H925" s="317"/>
      <c r="I925" s="317"/>
      <c r="J925" s="233"/>
      <c r="K925" s="233"/>
      <c r="L925" s="316"/>
      <c r="M925" s="233"/>
      <c r="N925" s="234"/>
      <c r="O925" s="251"/>
      <c r="P925" s="251"/>
      <c r="Q925" s="251"/>
      <c r="R925" s="251"/>
    </row>
    <row r="926" ht="15.75" hidden="1" customHeight="1">
      <c r="A926" s="318"/>
      <c r="B926" s="236"/>
      <c r="C926" s="236"/>
      <c r="D926" s="236"/>
      <c r="E926" s="314"/>
      <c r="F926" s="236"/>
      <c r="G926" s="236"/>
      <c r="H926" s="313"/>
      <c r="I926" s="313"/>
      <c r="J926" s="236"/>
      <c r="K926" s="236"/>
      <c r="L926" s="314"/>
      <c r="M926" s="236"/>
      <c r="N926" s="237"/>
      <c r="O926" s="251"/>
      <c r="P926" s="251"/>
      <c r="Q926" s="251"/>
      <c r="R926" s="251"/>
    </row>
    <row r="927" ht="15.75" hidden="1" customHeight="1">
      <c r="A927" s="315"/>
      <c r="B927" s="233"/>
      <c r="C927" s="233"/>
      <c r="D927" s="233"/>
      <c r="E927" s="316"/>
      <c r="F927" s="233"/>
      <c r="G927" s="233"/>
      <c r="H927" s="317"/>
      <c r="I927" s="317"/>
      <c r="J927" s="233"/>
      <c r="K927" s="233"/>
      <c r="L927" s="316"/>
      <c r="M927" s="233"/>
      <c r="N927" s="234"/>
      <c r="O927" s="251"/>
      <c r="P927" s="251"/>
      <c r="Q927" s="251"/>
      <c r="R927" s="251"/>
    </row>
    <row r="928" ht="15.75" hidden="1" customHeight="1">
      <c r="A928" s="318"/>
      <c r="B928" s="236"/>
      <c r="C928" s="236"/>
      <c r="D928" s="236"/>
      <c r="E928" s="314"/>
      <c r="F928" s="236"/>
      <c r="G928" s="236"/>
      <c r="H928" s="313"/>
      <c r="I928" s="313"/>
      <c r="J928" s="236"/>
      <c r="K928" s="236"/>
      <c r="L928" s="314"/>
      <c r="M928" s="236"/>
      <c r="N928" s="237"/>
      <c r="O928" s="251"/>
      <c r="P928" s="251"/>
      <c r="Q928" s="251"/>
      <c r="R928" s="251"/>
    </row>
    <row r="929" ht="15.75" hidden="1" customHeight="1">
      <c r="A929" s="315"/>
      <c r="B929" s="233"/>
      <c r="C929" s="233"/>
      <c r="D929" s="233"/>
      <c r="E929" s="316"/>
      <c r="F929" s="233"/>
      <c r="G929" s="233"/>
      <c r="H929" s="317"/>
      <c r="I929" s="317"/>
      <c r="J929" s="233"/>
      <c r="K929" s="233"/>
      <c r="L929" s="316"/>
      <c r="M929" s="233"/>
      <c r="N929" s="234"/>
      <c r="O929" s="251"/>
      <c r="P929" s="251"/>
      <c r="Q929" s="251"/>
      <c r="R929" s="251"/>
    </row>
    <row r="930" ht="15.75" hidden="1" customHeight="1">
      <c r="A930" s="318"/>
      <c r="B930" s="236"/>
      <c r="C930" s="236"/>
      <c r="D930" s="236"/>
      <c r="E930" s="314"/>
      <c r="F930" s="236"/>
      <c r="G930" s="236"/>
      <c r="H930" s="313"/>
      <c r="I930" s="313"/>
      <c r="J930" s="236"/>
      <c r="K930" s="236"/>
      <c r="L930" s="314"/>
      <c r="M930" s="236"/>
      <c r="N930" s="237"/>
      <c r="O930" s="251"/>
      <c r="P930" s="251"/>
      <c r="Q930" s="251"/>
      <c r="R930" s="251"/>
    </row>
    <row r="931" ht="15.75" hidden="1" customHeight="1">
      <c r="A931" s="315"/>
      <c r="B931" s="233"/>
      <c r="C931" s="233"/>
      <c r="D931" s="233"/>
      <c r="E931" s="316"/>
      <c r="F931" s="233"/>
      <c r="G931" s="233"/>
      <c r="H931" s="317"/>
      <c r="I931" s="317"/>
      <c r="J931" s="233"/>
      <c r="K931" s="233"/>
      <c r="L931" s="316"/>
      <c r="M931" s="233"/>
      <c r="N931" s="234"/>
      <c r="O931" s="251"/>
      <c r="P931" s="251"/>
      <c r="Q931" s="251"/>
      <c r="R931" s="251"/>
    </row>
    <row r="932" ht="15.75" hidden="1" customHeight="1">
      <c r="A932" s="318"/>
      <c r="B932" s="236"/>
      <c r="C932" s="236"/>
      <c r="D932" s="236"/>
      <c r="E932" s="314"/>
      <c r="F932" s="236"/>
      <c r="G932" s="236"/>
      <c r="H932" s="313"/>
      <c r="I932" s="313"/>
      <c r="J932" s="236"/>
      <c r="K932" s="236"/>
      <c r="L932" s="314"/>
      <c r="M932" s="236"/>
      <c r="N932" s="237"/>
      <c r="O932" s="251"/>
      <c r="P932" s="251"/>
      <c r="Q932" s="251"/>
      <c r="R932" s="251"/>
    </row>
    <row r="933" ht="15.75" hidden="1" customHeight="1">
      <c r="A933" s="315"/>
      <c r="B933" s="233"/>
      <c r="C933" s="233"/>
      <c r="D933" s="233"/>
      <c r="E933" s="316"/>
      <c r="F933" s="233"/>
      <c r="G933" s="233"/>
      <c r="H933" s="317"/>
      <c r="I933" s="317"/>
      <c r="J933" s="233"/>
      <c r="K933" s="233"/>
      <c r="L933" s="316"/>
      <c r="M933" s="233"/>
      <c r="N933" s="234"/>
      <c r="O933" s="251"/>
      <c r="P933" s="251"/>
      <c r="Q933" s="251"/>
      <c r="R933" s="251"/>
    </row>
    <row r="934" ht="15.75" hidden="1" customHeight="1">
      <c r="A934" s="318"/>
      <c r="B934" s="236"/>
      <c r="C934" s="236"/>
      <c r="D934" s="236"/>
      <c r="E934" s="314"/>
      <c r="F934" s="236"/>
      <c r="G934" s="236"/>
      <c r="H934" s="313"/>
      <c r="I934" s="313"/>
      <c r="J934" s="236"/>
      <c r="K934" s="236"/>
      <c r="L934" s="314"/>
      <c r="M934" s="236"/>
      <c r="N934" s="237"/>
      <c r="O934" s="251"/>
      <c r="P934" s="251"/>
      <c r="Q934" s="251"/>
      <c r="R934" s="251"/>
    </row>
    <row r="935" ht="15.75" hidden="1" customHeight="1">
      <c r="A935" s="315"/>
      <c r="B935" s="233"/>
      <c r="C935" s="233"/>
      <c r="D935" s="233"/>
      <c r="E935" s="316"/>
      <c r="F935" s="233"/>
      <c r="G935" s="233"/>
      <c r="H935" s="317"/>
      <c r="I935" s="317"/>
      <c r="J935" s="233"/>
      <c r="K935" s="233"/>
      <c r="L935" s="316"/>
      <c r="M935" s="233"/>
      <c r="N935" s="234"/>
      <c r="O935" s="251"/>
      <c r="P935" s="251"/>
      <c r="Q935" s="251"/>
      <c r="R935" s="251"/>
    </row>
    <row r="936" ht="15.75" hidden="1" customHeight="1">
      <c r="A936" s="318"/>
      <c r="B936" s="236"/>
      <c r="C936" s="236"/>
      <c r="D936" s="236"/>
      <c r="E936" s="314"/>
      <c r="F936" s="236"/>
      <c r="G936" s="236"/>
      <c r="H936" s="313"/>
      <c r="I936" s="313"/>
      <c r="J936" s="236"/>
      <c r="K936" s="236"/>
      <c r="L936" s="314"/>
      <c r="M936" s="236"/>
      <c r="N936" s="237"/>
      <c r="O936" s="251"/>
      <c r="P936" s="251"/>
      <c r="Q936" s="251"/>
      <c r="R936" s="251"/>
    </row>
    <row r="937" ht="15.75" hidden="1" customHeight="1">
      <c r="A937" s="315"/>
      <c r="B937" s="233"/>
      <c r="C937" s="233"/>
      <c r="D937" s="233"/>
      <c r="E937" s="316"/>
      <c r="F937" s="233"/>
      <c r="G937" s="233"/>
      <c r="H937" s="317"/>
      <c r="I937" s="317"/>
      <c r="J937" s="233"/>
      <c r="K937" s="233"/>
      <c r="L937" s="316"/>
      <c r="M937" s="233"/>
      <c r="N937" s="234"/>
      <c r="O937" s="251"/>
      <c r="P937" s="251"/>
      <c r="Q937" s="251"/>
      <c r="R937" s="251"/>
    </row>
    <row r="938" ht="15.75" hidden="1" customHeight="1">
      <c r="A938" s="318"/>
      <c r="B938" s="236"/>
      <c r="C938" s="236"/>
      <c r="D938" s="236"/>
      <c r="E938" s="314"/>
      <c r="F938" s="236"/>
      <c r="G938" s="236"/>
      <c r="H938" s="313"/>
      <c r="I938" s="313"/>
      <c r="J938" s="236"/>
      <c r="K938" s="236"/>
      <c r="L938" s="314"/>
      <c r="M938" s="236"/>
      <c r="N938" s="237"/>
      <c r="O938" s="251"/>
      <c r="P938" s="251"/>
      <c r="Q938" s="251"/>
      <c r="R938" s="251"/>
    </row>
    <row r="939" ht="15.75" hidden="1" customHeight="1">
      <c r="A939" s="315"/>
      <c r="B939" s="233"/>
      <c r="C939" s="233"/>
      <c r="D939" s="233"/>
      <c r="E939" s="316"/>
      <c r="F939" s="233"/>
      <c r="G939" s="233"/>
      <c r="H939" s="317"/>
      <c r="I939" s="317"/>
      <c r="J939" s="233"/>
      <c r="K939" s="233"/>
      <c r="L939" s="316"/>
      <c r="M939" s="233"/>
      <c r="N939" s="234"/>
      <c r="O939" s="251"/>
      <c r="P939" s="251"/>
      <c r="Q939" s="251"/>
      <c r="R939" s="251"/>
    </row>
    <row r="940" ht="15.75" hidden="1" customHeight="1">
      <c r="A940" s="318"/>
      <c r="B940" s="236"/>
      <c r="C940" s="236"/>
      <c r="D940" s="236"/>
      <c r="E940" s="314"/>
      <c r="F940" s="236"/>
      <c r="G940" s="236"/>
      <c r="H940" s="313"/>
      <c r="I940" s="313"/>
      <c r="J940" s="236"/>
      <c r="K940" s="236"/>
      <c r="L940" s="314"/>
      <c r="M940" s="236"/>
      <c r="N940" s="237"/>
      <c r="O940" s="251"/>
      <c r="P940" s="251"/>
      <c r="Q940" s="251"/>
      <c r="R940" s="251"/>
    </row>
    <row r="941" ht="15.75" hidden="1" customHeight="1">
      <c r="A941" s="315"/>
      <c r="B941" s="233"/>
      <c r="C941" s="233"/>
      <c r="D941" s="233"/>
      <c r="E941" s="316"/>
      <c r="F941" s="233"/>
      <c r="G941" s="233"/>
      <c r="H941" s="317"/>
      <c r="I941" s="317"/>
      <c r="J941" s="233"/>
      <c r="K941" s="233"/>
      <c r="L941" s="316"/>
      <c r="M941" s="233"/>
      <c r="N941" s="234"/>
      <c r="O941" s="251"/>
      <c r="P941" s="251"/>
      <c r="Q941" s="251"/>
      <c r="R941" s="251"/>
    </row>
    <row r="942" ht="15.75" hidden="1" customHeight="1">
      <c r="A942" s="318"/>
      <c r="B942" s="236"/>
      <c r="C942" s="236"/>
      <c r="D942" s="236"/>
      <c r="E942" s="314"/>
      <c r="F942" s="236"/>
      <c r="G942" s="236"/>
      <c r="H942" s="313"/>
      <c r="I942" s="313"/>
      <c r="J942" s="236"/>
      <c r="K942" s="236"/>
      <c r="L942" s="314"/>
      <c r="M942" s="236"/>
      <c r="N942" s="237"/>
      <c r="O942" s="251"/>
      <c r="P942" s="251"/>
      <c r="Q942" s="251"/>
      <c r="R942" s="251"/>
    </row>
    <row r="943" ht="15.75" hidden="1" customHeight="1">
      <c r="A943" s="315"/>
      <c r="B943" s="233"/>
      <c r="C943" s="233"/>
      <c r="D943" s="233"/>
      <c r="E943" s="316"/>
      <c r="F943" s="233"/>
      <c r="G943" s="233"/>
      <c r="H943" s="317"/>
      <c r="I943" s="317"/>
      <c r="J943" s="233"/>
      <c r="K943" s="233"/>
      <c r="L943" s="316"/>
      <c r="M943" s="233"/>
      <c r="N943" s="234"/>
      <c r="O943" s="251"/>
      <c r="P943" s="251"/>
      <c r="Q943" s="251"/>
      <c r="R943" s="251"/>
    </row>
    <row r="944" ht="15.75" hidden="1" customHeight="1">
      <c r="A944" s="318"/>
      <c r="B944" s="236"/>
      <c r="C944" s="236"/>
      <c r="D944" s="236"/>
      <c r="E944" s="314"/>
      <c r="F944" s="236"/>
      <c r="G944" s="236"/>
      <c r="H944" s="313"/>
      <c r="I944" s="313"/>
      <c r="J944" s="236"/>
      <c r="K944" s="236"/>
      <c r="L944" s="314"/>
      <c r="M944" s="236"/>
      <c r="N944" s="237"/>
      <c r="O944" s="251"/>
      <c r="P944" s="251"/>
      <c r="Q944" s="251"/>
      <c r="R944" s="251"/>
    </row>
    <row r="945" ht="15.75" hidden="1" customHeight="1">
      <c r="A945" s="315"/>
      <c r="B945" s="233"/>
      <c r="C945" s="233"/>
      <c r="D945" s="233"/>
      <c r="E945" s="316"/>
      <c r="F945" s="233"/>
      <c r="G945" s="233"/>
      <c r="H945" s="317"/>
      <c r="I945" s="317"/>
      <c r="J945" s="233"/>
      <c r="K945" s="233"/>
      <c r="L945" s="316"/>
      <c r="M945" s="233"/>
      <c r="N945" s="234"/>
      <c r="O945" s="251"/>
      <c r="P945" s="251"/>
      <c r="Q945" s="251"/>
      <c r="R945" s="251"/>
    </row>
    <row r="946" ht="15.75" hidden="1" customHeight="1">
      <c r="A946" s="318"/>
      <c r="B946" s="236"/>
      <c r="C946" s="236"/>
      <c r="D946" s="236"/>
      <c r="E946" s="314"/>
      <c r="F946" s="236"/>
      <c r="G946" s="236"/>
      <c r="H946" s="313"/>
      <c r="I946" s="313"/>
      <c r="J946" s="236"/>
      <c r="K946" s="236"/>
      <c r="L946" s="314"/>
      <c r="M946" s="236"/>
      <c r="N946" s="237"/>
      <c r="O946" s="251"/>
      <c r="P946" s="251"/>
      <c r="Q946" s="251"/>
      <c r="R946" s="251"/>
    </row>
    <row r="947" ht="15.75" hidden="1" customHeight="1">
      <c r="A947" s="315"/>
      <c r="B947" s="233"/>
      <c r="C947" s="233"/>
      <c r="D947" s="233"/>
      <c r="E947" s="316"/>
      <c r="F947" s="233"/>
      <c r="G947" s="233"/>
      <c r="H947" s="317"/>
      <c r="I947" s="317"/>
      <c r="J947" s="233"/>
      <c r="K947" s="233"/>
      <c r="L947" s="316"/>
      <c r="M947" s="233"/>
      <c r="N947" s="234"/>
      <c r="O947" s="251"/>
      <c r="P947" s="251"/>
      <c r="Q947" s="251"/>
      <c r="R947" s="251"/>
    </row>
    <row r="948" ht="15.75" hidden="1" customHeight="1">
      <c r="A948" s="318"/>
      <c r="B948" s="236"/>
      <c r="C948" s="236"/>
      <c r="D948" s="236"/>
      <c r="E948" s="314"/>
      <c r="F948" s="236"/>
      <c r="G948" s="236"/>
      <c r="H948" s="313"/>
      <c r="I948" s="313"/>
      <c r="J948" s="236"/>
      <c r="K948" s="236"/>
      <c r="L948" s="314"/>
      <c r="M948" s="236"/>
      <c r="N948" s="237"/>
      <c r="O948" s="251"/>
      <c r="P948" s="251"/>
      <c r="Q948" s="251"/>
      <c r="R948" s="251"/>
    </row>
    <row r="949" ht="15.75" hidden="1" customHeight="1">
      <c r="A949" s="315"/>
      <c r="B949" s="233"/>
      <c r="C949" s="233"/>
      <c r="D949" s="233"/>
      <c r="E949" s="316"/>
      <c r="F949" s="233"/>
      <c r="G949" s="233"/>
      <c r="H949" s="317"/>
      <c r="I949" s="317"/>
      <c r="J949" s="233"/>
      <c r="K949" s="233"/>
      <c r="L949" s="316"/>
      <c r="M949" s="233"/>
      <c r="N949" s="234"/>
      <c r="O949" s="251"/>
      <c r="P949" s="251"/>
      <c r="Q949" s="251"/>
      <c r="R949" s="251"/>
    </row>
    <row r="950" ht="15.75" hidden="1" customHeight="1">
      <c r="A950" s="318"/>
      <c r="B950" s="236"/>
      <c r="C950" s="236"/>
      <c r="D950" s="236"/>
      <c r="E950" s="314"/>
      <c r="F950" s="236"/>
      <c r="G950" s="236"/>
      <c r="H950" s="313"/>
      <c r="I950" s="313"/>
      <c r="J950" s="236"/>
      <c r="K950" s="236"/>
      <c r="L950" s="314"/>
      <c r="M950" s="236"/>
      <c r="N950" s="237"/>
      <c r="O950" s="251"/>
      <c r="P950" s="251"/>
      <c r="Q950" s="251"/>
      <c r="R950" s="251"/>
    </row>
    <row r="951" ht="15.75" hidden="1" customHeight="1">
      <c r="A951" s="315"/>
      <c r="B951" s="233"/>
      <c r="C951" s="233"/>
      <c r="D951" s="233"/>
      <c r="E951" s="316"/>
      <c r="F951" s="233"/>
      <c r="G951" s="233"/>
      <c r="H951" s="317"/>
      <c r="I951" s="317"/>
      <c r="J951" s="233"/>
      <c r="K951" s="233"/>
      <c r="L951" s="316"/>
      <c r="M951" s="233"/>
      <c r="N951" s="234"/>
      <c r="O951" s="251"/>
      <c r="P951" s="251"/>
      <c r="Q951" s="251"/>
      <c r="R951" s="251"/>
    </row>
    <row r="952" ht="15.75" hidden="1" customHeight="1">
      <c r="A952" s="318"/>
      <c r="B952" s="236"/>
      <c r="C952" s="236"/>
      <c r="D952" s="236"/>
      <c r="E952" s="314"/>
      <c r="F952" s="236"/>
      <c r="G952" s="236"/>
      <c r="H952" s="313"/>
      <c r="I952" s="313"/>
      <c r="J952" s="236"/>
      <c r="K952" s="236"/>
      <c r="L952" s="314"/>
      <c r="M952" s="236"/>
      <c r="N952" s="237"/>
      <c r="O952" s="251"/>
      <c r="P952" s="251"/>
      <c r="Q952" s="251"/>
      <c r="R952" s="251"/>
    </row>
    <row r="953" ht="15.75" hidden="1" customHeight="1">
      <c r="A953" s="315"/>
      <c r="B953" s="233"/>
      <c r="C953" s="233"/>
      <c r="D953" s="233"/>
      <c r="E953" s="316"/>
      <c r="F953" s="233"/>
      <c r="G953" s="233"/>
      <c r="H953" s="317"/>
      <c r="I953" s="317"/>
      <c r="J953" s="233"/>
      <c r="K953" s="233"/>
      <c r="L953" s="316"/>
      <c r="M953" s="233"/>
      <c r="N953" s="234"/>
      <c r="O953" s="251"/>
      <c r="P953" s="251"/>
      <c r="Q953" s="251"/>
      <c r="R953" s="251"/>
    </row>
    <row r="954" ht="15.75" hidden="1" customHeight="1">
      <c r="A954" s="318"/>
      <c r="B954" s="236"/>
      <c r="C954" s="236"/>
      <c r="D954" s="236"/>
      <c r="E954" s="314"/>
      <c r="F954" s="236"/>
      <c r="G954" s="236"/>
      <c r="H954" s="313"/>
      <c r="I954" s="313"/>
      <c r="J954" s="236"/>
      <c r="K954" s="236"/>
      <c r="L954" s="314"/>
      <c r="M954" s="236"/>
      <c r="N954" s="237"/>
      <c r="O954" s="251"/>
      <c r="P954" s="251"/>
      <c r="Q954" s="251"/>
      <c r="R954" s="251"/>
    </row>
    <row r="955" ht="15.75" hidden="1" customHeight="1">
      <c r="A955" s="315"/>
      <c r="B955" s="233"/>
      <c r="C955" s="233"/>
      <c r="D955" s="233"/>
      <c r="E955" s="316"/>
      <c r="F955" s="233"/>
      <c r="G955" s="233"/>
      <c r="H955" s="317"/>
      <c r="I955" s="317"/>
      <c r="J955" s="233"/>
      <c r="K955" s="233"/>
      <c r="L955" s="316"/>
      <c r="M955" s="233"/>
      <c r="N955" s="234"/>
      <c r="O955" s="251"/>
      <c r="P955" s="251"/>
      <c r="Q955" s="251"/>
      <c r="R955" s="251"/>
    </row>
    <row r="956" ht="15.75" hidden="1" customHeight="1">
      <c r="A956" s="318"/>
      <c r="B956" s="236"/>
      <c r="C956" s="236"/>
      <c r="D956" s="236"/>
      <c r="E956" s="314"/>
      <c r="F956" s="236"/>
      <c r="G956" s="236"/>
      <c r="H956" s="313"/>
      <c r="I956" s="313"/>
      <c r="J956" s="236"/>
      <c r="K956" s="236"/>
      <c r="L956" s="314"/>
      <c r="M956" s="236"/>
      <c r="N956" s="237"/>
      <c r="O956" s="251"/>
      <c r="P956" s="251"/>
      <c r="Q956" s="251"/>
      <c r="R956" s="251"/>
    </row>
    <row r="957" ht="15.75" hidden="1" customHeight="1">
      <c r="A957" s="315"/>
      <c r="B957" s="233"/>
      <c r="C957" s="233"/>
      <c r="D957" s="233"/>
      <c r="E957" s="316"/>
      <c r="F957" s="233"/>
      <c r="G957" s="233"/>
      <c r="H957" s="317"/>
      <c r="I957" s="317"/>
      <c r="J957" s="233"/>
      <c r="K957" s="233"/>
      <c r="L957" s="316"/>
      <c r="M957" s="233"/>
      <c r="N957" s="234"/>
      <c r="O957" s="251"/>
      <c r="P957" s="251"/>
      <c r="Q957" s="251"/>
      <c r="R957" s="251"/>
    </row>
    <row r="958" ht="15.75" hidden="1" customHeight="1">
      <c r="A958" s="318"/>
      <c r="B958" s="236"/>
      <c r="C958" s="236"/>
      <c r="D958" s="236"/>
      <c r="E958" s="314"/>
      <c r="F958" s="236"/>
      <c r="G958" s="236"/>
      <c r="H958" s="313"/>
      <c r="I958" s="313"/>
      <c r="J958" s="236"/>
      <c r="K958" s="236"/>
      <c r="L958" s="314"/>
      <c r="M958" s="236"/>
      <c r="N958" s="237"/>
      <c r="O958" s="251"/>
      <c r="P958" s="251"/>
      <c r="Q958" s="251"/>
      <c r="R958" s="251"/>
    </row>
    <row r="959" ht="15.75" hidden="1" customHeight="1">
      <c r="A959" s="315"/>
      <c r="B959" s="233"/>
      <c r="C959" s="233"/>
      <c r="D959" s="233"/>
      <c r="E959" s="316"/>
      <c r="F959" s="233"/>
      <c r="G959" s="233"/>
      <c r="H959" s="317"/>
      <c r="I959" s="317"/>
      <c r="J959" s="233"/>
      <c r="K959" s="233"/>
      <c r="L959" s="316"/>
      <c r="M959" s="233"/>
      <c r="N959" s="234"/>
      <c r="O959" s="251"/>
      <c r="P959" s="251"/>
      <c r="Q959" s="251"/>
      <c r="R959" s="251"/>
    </row>
    <row r="960" ht="15.75" hidden="1" customHeight="1">
      <c r="A960" s="318"/>
      <c r="B960" s="236"/>
      <c r="C960" s="236"/>
      <c r="D960" s="236"/>
      <c r="E960" s="314"/>
      <c r="F960" s="236"/>
      <c r="G960" s="236"/>
      <c r="H960" s="313"/>
      <c r="I960" s="313"/>
      <c r="J960" s="236"/>
      <c r="K960" s="236"/>
      <c r="L960" s="314"/>
      <c r="M960" s="236"/>
      <c r="N960" s="237"/>
      <c r="O960" s="251"/>
      <c r="P960" s="251"/>
      <c r="Q960" s="251"/>
      <c r="R960" s="251"/>
    </row>
    <row r="961" ht="15.75" hidden="1" customHeight="1">
      <c r="A961" s="315"/>
      <c r="B961" s="233"/>
      <c r="C961" s="233"/>
      <c r="D961" s="233"/>
      <c r="E961" s="316"/>
      <c r="F961" s="233"/>
      <c r="G961" s="233"/>
      <c r="H961" s="317"/>
      <c r="I961" s="317"/>
      <c r="J961" s="233"/>
      <c r="K961" s="233"/>
      <c r="L961" s="316"/>
      <c r="M961" s="233"/>
      <c r="N961" s="234"/>
      <c r="O961" s="251"/>
      <c r="P961" s="251"/>
      <c r="Q961" s="251"/>
      <c r="R961" s="251"/>
    </row>
    <row r="962" ht="15.75" hidden="1" customHeight="1">
      <c r="A962" s="318"/>
      <c r="B962" s="236"/>
      <c r="C962" s="236"/>
      <c r="D962" s="236"/>
      <c r="E962" s="314"/>
      <c r="F962" s="236"/>
      <c r="G962" s="236"/>
      <c r="H962" s="313"/>
      <c r="I962" s="313"/>
      <c r="J962" s="236"/>
      <c r="K962" s="236"/>
      <c r="L962" s="314"/>
      <c r="M962" s="236"/>
      <c r="N962" s="237"/>
      <c r="O962" s="251"/>
      <c r="P962" s="251"/>
      <c r="Q962" s="251"/>
      <c r="R962" s="251"/>
    </row>
    <row r="963" ht="15.75" hidden="1" customHeight="1">
      <c r="A963" s="315"/>
      <c r="B963" s="233"/>
      <c r="C963" s="233"/>
      <c r="D963" s="233"/>
      <c r="E963" s="316"/>
      <c r="F963" s="233"/>
      <c r="G963" s="233"/>
      <c r="H963" s="317"/>
      <c r="I963" s="317"/>
      <c r="J963" s="233"/>
      <c r="K963" s="233"/>
      <c r="L963" s="316"/>
      <c r="M963" s="233"/>
      <c r="N963" s="234"/>
      <c r="O963" s="251"/>
      <c r="P963" s="251"/>
      <c r="Q963" s="251"/>
      <c r="R963" s="251"/>
    </row>
    <row r="964" ht="15.75" hidden="1" customHeight="1">
      <c r="A964" s="318"/>
      <c r="B964" s="236"/>
      <c r="C964" s="236"/>
      <c r="D964" s="236"/>
      <c r="E964" s="314"/>
      <c r="F964" s="236"/>
      <c r="G964" s="236"/>
      <c r="H964" s="313"/>
      <c r="I964" s="313"/>
      <c r="J964" s="236"/>
      <c r="K964" s="236"/>
      <c r="L964" s="314"/>
      <c r="M964" s="236"/>
      <c r="N964" s="237"/>
      <c r="O964" s="251"/>
      <c r="P964" s="251"/>
      <c r="Q964" s="251"/>
      <c r="R964" s="251"/>
    </row>
    <row r="965" ht="15.75" hidden="1" customHeight="1">
      <c r="A965" s="315"/>
      <c r="B965" s="233"/>
      <c r="C965" s="233"/>
      <c r="D965" s="233"/>
      <c r="E965" s="316"/>
      <c r="F965" s="233"/>
      <c r="G965" s="233"/>
      <c r="H965" s="317"/>
      <c r="I965" s="317"/>
      <c r="J965" s="233"/>
      <c r="K965" s="233"/>
      <c r="L965" s="316"/>
      <c r="M965" s="233"/>
      <c r="N965" s="234"/>
      <c r="O965" s="251"/>
      <c r="P965" s="251"/>
      <c r="Q965" s="251"/>
      <c r="R965" s="251"/>
    </row>
    <row r="966" ht="15.75" hidden="1" customHeight="1">
      <c r="A966" s="318"/>
      <c r="B966" s="236"/>
      <c r="C966" s="236"/>
      <c r="D966" s="236"/>
      <c r="E966" s="314"/>
      <c r="F966" s="236"/>
      <c r="G966" s="236"/>
      <c r="H966" s="313"/>
      <c r="I966" s="313"/>
      <c r="J966" s="236"/>
      <c r="K966" s="236"/>
      <c r="L966" s="314"/>
      <c r="M966" s="236"/>
      <c r="N966" s="237"/>
      <c r="O966" s="251"/>
      <c r="P966" s="251"/>
      <c r="Q966" s="251"/>
      <c r="R966" s="251"/>
    </row>
    <row r="967" ht="15.75" hidden="1" customHeight="1">
      <c r="A967" s="315"/>
      <c r="B967" s="233"/>
      <c r="C967" s="233"/>
      <c r="D967" s="233"/>
      <c r="E967" s="316"/>
      <c r="F967" s="233"/>
      <c r="G967" s="233"/>
      <c r="H967" s="317"/>
      <c r="I967" s="317"/>
      <c r="J967" s="233"/>
      <c r="K967" s="233"/>
      <c r="L967" s="316"/>
      <c r="M967" s="233"/>
      <c r="N967" s="234"/>
      <c r="O967" s="251"/>
      <c r="P967" s="251"/>
      <c r="Q967" s="251"/>
      <c r="R967" s="251"/>
    </row>
    <row r="968" ht="15.75" hidden="1" customHeight="1">
      <c r="A968" s="318"/>
      <c r="B968" s="236"/>
      <c r="C968" s="236"/>
      <c r="D968" s="236"/>
      <c r="E968" s="314"/>
      <c r="F968" s="236"/>
      <c r="G968" s="236"/>
      <c r="H968" s="313"/>
      <c r="I968" s="313"/>
      <c r="J968" s="236"/>
      <c r="K968" s="236"/>
      <c r="L968" s="314"/>
      <c r="M968" s="236"/>
      <c r="N968" s="237"/>
      <c r="O968" s="251"/>
      <c r="P968" s="251"/>
      <c r="Q968" s="251"/>
      <c r="R968" s="251"/>
    </row>
    <row r="969" ht="15.75" hidden="1" customHeight="1">
      <c r="A969" s="315"/>
      <c r="B969" s="233"/>
      <c r="C969" s="233"/>
      <c r="D969" s="233"/>
      <c r="E969" s="316"/>
      <c r="F969" s="233"/>
      <c r="G969" s="233"/>
      <c r="H969" s="317"/>
      <c r="I969" s="317"/>
      <c r="J969" s="233"/>
      <c r="K969" s="233"/>
      <c r="L969" s="316"/>
      <c r="M969" s="233"/>
      <c r="N969" s="234"/>
      <c r="O969" s="251"/>
      <c r="P969" s="251"/>
      <c r="Q969" s="251"/>
      <c r="R969" s="251"/>
    </row>
    <row r="970" ht="15.75" hidden="1" customHeight="1">
      <c r="A970" s="318"/>
      <c r="B970" s="236"/>
      <c r="C970" s="236"/>
      <c r="D970" s="236"/>
      <c r="E970" s="314"/>
      <c r="F970" s="236"/>
      <c r="G970" s="236"/>
      <c r="H970" s="313"/>
      <c r="I970" s="313"/>
      <c r="J970" s="236"/>
      <c r="K970" s="236"/>
      <c r="L970" s="314"/>
      <c r="M970" s="236"/>
      <c r="N970" s="237"/>
      <c r="O970" s="251"/>
      <c r="P970" s="251"/>
      <c r="Q970" s="251"/>
      <c r="R970" s="251"/>
    </row>
    <row r="971" ht="15.75" hidden="1" customHeight="1">
      <c r="A971" s="315"/>
      <c r="B971" s="233"/>
      <c r="C971" s="233"/>
      <c r="D971" s="233"/>
      <c r="E971" s="316"/>
      <c r="F971" s="233"/>
      <c r="G971" s="233"/>
      <c r="H971" s="317"/>
      <c r="I971" s="317"/>
      <c r="J971" s="233"/>
      <c r="K971" s="233"/>
      <c r="L971" s="316"/>
      <c r="M971" s="233"/>
      <c r="N971" s="234"/>
      <c r="O971" s="251"/>
      <c r="P971" s="251"/>
      <c r="Q971" s="251"/>
      <c r="R971" s="251"/>
    </row>
    <row r="972" ht="15.75" hidden="1" customHeight="1">
      <c r="A972" s="318"/>
      <c r="B972" s="236"/>
      <c r="C972" s="236"/>
      <c r="D972" s="236"/>
      <c r="E972" s="314"/>
      <c r="F972" s="236"/>
      <c r="G972" s="236"/>
      <c r="H972" s="313"/>
      <c r="I972" s="313"/>
      <c r="J972" s="236"/>
      <c r="K972" s="236"/>
      <c r="L972" s="314"/>
      <c r="M972" s="236"/>
      <c r="N972" s="237"/>
      <c r="O972" s="251"/>
      <c r="P972" s="251"/>
      <c r="Q972" s="251"/>
      <c r="R972" s="251"/>
    </row>
    <row r="973" ht="15.75" hidden="1" customHeight="1">
      <c r="A973" s="315"/>
      <c r="B973" s="233"/>
      <c r="C973" s="233"/>
      <c r="D973" s="233"/>
      <c r="E973" s="316"/>
      <c r="F973" s="233"/>
      <c r="G973" s="233"/>
      <c r="H973" s="317"/>
      <c r="I973" s="317"/>
      <c r="J973" s="233"/>
      <c r="K973" s="233"/>
      <c r="L973" s="316"/>
      <c r="M973" s="233"/>
      <c r="N973" s="234"/>
      <c r="O973" s="251"/>
      <c r="P973" s="251"/>
      <c r="Q973" s="251"/>
      <c r="R973" s="251"/>
    </row>
    <row r="974" ht="15.75" hidden="1" customHeight="1">
      <c r="A974" s="318"/>
      <c r="B974" s="236"/>
      <c r="C974" s="236"/>
      <c r="D974" s="236"/>
      <c r="E974" s="314"/>
      <c r="F974" s="236"/>
      <c r="G974" s="236"/>
      <c r="H974" s="313"/>
      <c r="I974" s="313"/>
      <c r="J974" s="236"/>
      <c r="K974" s="236"/>
      <c r="L974" s="314"/>
      <c r="M974" s="236"/>
      <c r="N974" s="237"/>
      <c r="O974" s="251"/>
      <c r="P974" s="251"/>
      <c r="Q974" s="251"/>
      <c r="R974" s="251"/>
    </row>
    <row r="975" ht="15.75" hidden="1" customHeight="1">
      <c r="A975" s="315"/>
      <c r="B975" s="233"/>
      <c r="C975" s="233"/>
      <c r="D975" s="233"/>
      <c r="E975" s="316"/>
      <c r="F975" s="233"/>
      <c r="G975" s="233"/>
      <c r="H975" s="317"/>
      <c r="I975" s="317"/>
      <c r="J975" s="233"/>
      <c r="K975" s="233"/>
      <c r="L975" s="316"/>
      <c r="M975" s="233"/>
      <c r="N975" s="234"/>
      <c r="O975" s="251"/>
      <c r="P975" s="251"/>
      <c r="Q975" s="251"/>
      <c r="R975" s="251"/>
    </row>
    <row r="976" ht="15.75" hidden="1" customHeight="1">
      <c r="A976" s="318"/>
      <c r="B976" s="236"/>
      <c r="C976" s="236"/>
      <c r="D976" s="236"/>
      <c r="E976" s="314"/>
      <c r="F976" s="236"/>
      <c r="G976" s="236"/>
      <c r="H976" s="313"/>
      <c r="I976" s="313"/>
      <c r="J976" s="236"/>
      <c r="K976" s="236"/>
      <c r="L976" s="314"/>
      <c r="M976" s="236"/>
      <c r="N976" s="237"/>
      <c r="O976" s="251"/>
      <c r="P976" s="251"/>
      <c r="Q976" s="251"/>
      <c r="R976" s="251"/>
    </row>
    <row r="977" ht="15.75" hidden="1" customHeight="1">
      <c r="A977" s="315"/>
      <c r="B977" s="233"/>
      <c r="C977" s="233"/>
      <c r="D977" s="233"/>
      <c r="E977" s="316"/>
      <c r="F977" s="233"/>
      <c r="G977" s="233"/>
      <c r="H977" s="317"/>
      <c r="I977" s="317"/>
      <c r="J977" s="233"/>
      <c r="K977" s="233"/>
      <c r="L977" s="316"/>
      <c r="M977" s="233"/>
      <c r="N977" s="234"/>
      <c r="O977" s="251"/>
      <c r="P977" s="251"/>
      <c r="Q977" s="251"/>
      <c r="R977" s="251"/>
    </row>
    <row r="978" ht="15.75" hidden="1" customHeight="1">
      <c r="A978" s="318"/>
      <c r="B978" s="236"/>
      <c r="C978" s="236"/>
      <c r="D978" s="236"/>
      <c r="E978" s="314"/>
      <c r="F978" s="236"/>
      <c r="G978" s="236"/>
      <c r="H978" s="313"/>
      <c r="I978" s="313"/>
      <c r="J978" s="236"/>
      <c r="K978" s="236"/>
      <c r="L978" s="314"/>
      <c r="M978" s="236"/>
      <c r="N978" s="237"/>
      <c r="O978" s="251"/>
      <c r="P978" s="251"/>
      <c r="Q978" s="251"/>
      <c r="R978" s="251"/>
    </row>
    <row r="979" ht="15.75" hidden="1" customHeight="1">
      <c r="A979" s="315"/>
      <c r="B979" s="233"/>
      <c r="C979" s="233"/>
      <c r="D979" s="233"/>
      <c r="E979" s="316"/>
      <c r="F979" s="233"/>
      <c r="G979" s="233"/>
      <c r="H979" s="317"/>
      <c r="I979" s="317"/>
      <c r="J979" s="233"/>
      <c r="K979" s="233"/>
      <c r="L979" s="316"/>
      <c r="M979" s="233"/>
      <c r="N979" s="234"/>
      <c r="O979" s="251"/>
      <c r="P979" s="251"/>
      <c r="Q979" s="251"/>
      <c r="R979" s="251"/>
    </row>
    <row r="980" ht="15.75" hidden="1" customHeight="1">
      <c r="A980" s="318"/>
      <c r="B980" s="236"/>
      <c r="C980" s="236"/>
      <c r="D980" s="236"/>
      <c r="E980" s="314"/>
      <c r="F980" s="236"/>
      <c r="G980" s="236"/>
      <c r="H980" s="313"/>
      <c r="I980" s="313"/>
      <c r="J980" s="236"/>
      <c r="K980" s="236"/>
      <c r="L980" s="314"/>
      <c r="M980" s="236"/>
      <c r="N980" s="237"/>
      <c r="O980" s="251"/>
      <c r="P980" s="251"/>
      <c r="Q980" s="251"/>
      <c r="R980" s="251"/>
    </row>
    <row r="981" ht="15.75" hidden="1" customHeight="1">
      <c r="A981" s="315"/>
      <c r="B981" s="233"/>
      <c r="C981" s="233"/>
      <c r="D981" s="233"/>
      <c r="E981" s="316"/>
      <c r="F981" s="233"/>
      <c r="G981" s="233"/>
      <c r="H981" s="317"/>
      <c r="I981" s="317"/>
      <c r="J981" s="233"/>
      <c r="K981" s="233"/>
      <c r="L981" s="316"/>
      <c r="M981" s="233"/>
      <c r="N981" s="234"/>
      <c r="O981" s="251"/>
      <c r="P981" s="251"/>
      <c r="Q981" s="251"/>
      <c r="R981" s="251"/>
    </row>
    <row r="982" ht="15.75" hidden="1" customHeight="1">
      <c r="A982" s="318"/>
      <c r="B982" s="236"/>
      <c r="C982" s="236"/>
      <c r="D982" s="236"/>
      <c r="E982" s="314"/>
      <c r="F982" s="236"/>
      <c r="G982" s="236"/>
      <c r="H982" s="313"/>
      <c r="I982" s="313"/>
      <c r="J982" s="236"/>
      <c r="K982" s="236"/>
      <c r="L982" s="314"/>
      <c r="M982" s="236"/>
      <c r="N982" s="237"/>
      <c r="O982" s="251"/>
      <c r="P982" s="251"/>
      <c r="Q982" s="251"/>
      <c r="R982" s="251"/>
    </row>
    <row r="983" ht="15.75" hidden="1" customHeight="1">
      <c r="A983" s="315"/>
      <c r="B983" s="233"/>
      <c r="C983" s="233"/>
      <c r="D983" s="233"/>
      <c r="E983" s="316"/>
      <c r="F983" s="233"/>
      <c r="G983" s="233"/>
      <c r="H983" s="317"/>
      <c r="I983" s="317"/>
      <c r="J983" s="233"/>
      <c r="K983" s="233"/>
      <c r="L983" s="316"/>
      <c r="M983" s="233"/>
      <c r="N983" s="234"/>
      <c r="O983" s="251"/>
      <c r="P983" s="251"/>
      <c r="Q983" s="251"/>
      <c r="R983" s="251"/>
    </row>
    <row r="984" ht="15.75" hidden="1" customHeight="1">
      <c r="A984" s="318"/>
      <c r="B984" s="236"/>
      <c r="C984" s="236"/>
      <c r="D984" s="236"/>
      <c r="E984" s="314"/>
      <c r="F984" s="236"/>
      <c r="G984" s="236"/>
      <c r="H984" s="313"/>
      <c r="I984" s="313"/>
      <c r="J984" s="236"/>
      <c r="K984" s="236"/>
      <c r="L984" s="314"/>
      <c r="M984" s="236"/>
      <c r="N984" s="237"/>
      <c r="O984" s="251"/>
      <c r="P984" s="251"/>
      <c r="Q984" s="251"/>
      <c r="R984" s="251"/>
    </row>
    <row r="985" ht="15.75" hidden="1" customHeight="1">
      <c r="A985" s="315"/>
      <c r="B985" s="233"/>
      <c r="C985" s="233"/>
      <c r="D985" s="233"/>
      <c r="E985" s="316"/>
      <c r="F985" s="233"/>
      <c r="G985" s="233"/>
      <c r="H985" s="317"/>
      <c r="I985" s="317"/>
      <c r="J985" s="233"/>
      <c r="K985" s="233"/>
      <c r="L985" s="316"/>
      <c r="M985" s="233"/>
      <c r="N985" s="234"/>
      <c r="O985" s="251"/>
      <c r="P985" s="251"/>
      <c r="Q985" s="251"/>
      <c r="R985" s="251"/>
    </row>
    <row r="986" ht="15.75" hidden="1" customHeight="1">
      <c r="A986" s="318"/>
      <c r="B986" s="236"/>
      <c r="C986" s="236"/>
      <c r="D986" s="236"/>
      <c r="E986" s="314"/>
      <c r="F986" s="236"/>
      <c r="G986" s="236"/>
      <c r="H986" s="313"/>
      <c r="I986" s="313"/>
      <c r="J986" s="236"/>
      <c r="K986" s="236"/>
      <c r="L986" s="314"/>
      <c r="M986" s="236"/>
      <c r="N986" s="237"/>
      <c r="O986" s="251"/>
      <c r="P986" s="251"/>
      <c r="Q986" s="251"/>
      <c r="R986" s="251"/>
    </row>
    <row r="987" ht="15.75" hidden="1" customHeight="1">
      <c r="A987" s="315"/>
      <c r="B987" s="233"/>
      <c r="C987" s="233"/>
      <c r="D987" s="233"/>
      <c r="E987" s="316"/>
      <c r="F987" s="233"/>
      <c r="G987" s="233"/>
      <c r="H987" s="317"/>
      <c r="I987" s="317"/>
      <c r="J987" s="233"/>
      <c r="K987" s="233"/>
      <c r="L987" s="316"/>
      <c r="M987" s="233"/>
      <c r="N987" s="234"/>
      <c r="O987" s="251"/>
      <c r="P987" s="251"/>
      <c r="Q987" s="251"/>
      <c r="R987" s="251"/>
    </row>
    <row r="988" ht="15.75" hidden="1" customHeight="1">
      <c r="A988" s="318"/>
      <c r="B988" s="236"/>
      <c r="C988" s="236"/>
      <c r="D988" s="236"/>
      <c r="E988" s="314"/>
      <c r="F988" s="236"/>
      <c r="G988" s="236"/>
      <c r="H988" s="313"/>
      <c r="I988" s="313"/>
      <c r="J988" s="236"/>
      <c r="K988" s="236"/>
      <c r="L988" s="314"/>
      <c r="M988" s="236"/>
      <c r="N988" s="237"/>
      <c r="O988" s="251"/>
      <c r="P988" s="251"/>
      <c r="Q988" s="251"/>
      <c r="R988" s="251"/>
    </row>
    <row r="989" ht="15.75" hidden="1" customHeight="1">
      <c r="A989" s="315"/>
      <c r="B989" s="233"/>
      <c r="C989" s="233"/>
      <c r="D989" s="233"/>
      <c r="E989" s="316"/>
      <c r="F989" s="233"/>
      <c r="G989" s="233"/>
      <c r="H989" s="317"/>
      <c r="I989" s="317"/>
      <c r="J989" s="233"/>
      <c r="K989" s="233"/>
      <c r="L989" s="316"/>
      <c r="M989" s="233"/>
      <c r="N989" s="234"/>
      <c r="O989" s="251"/>
      <c r="P989" s="251"/>
      <c r="Q989" s="251"/>
      <c r="R989" s="251"/>
    </row>
    <row r="990" ht="15.75" hidden="1" customHeight="1">
      <c r="A990" s="318"/>
      <c r="B990" s="236"/>
      <c r="C990" s="236"/>
      <c r="D990" s="236"/>
      <c r="E990" s="314"/>
      <c r="F990" s="236"/>
      <c r="G990" s="236"/>
      <c r="H990" s="313"/>
      <c r="I990" s="313"/>
      <c r="J990" s="236"/>
      <c r="K990" s="236"/>
      <c r="L990" s="314"/>
      <c r="M990" s="236"/>
      <c r="N990" s="237"/>
      <c r="O990" s="251"/>
      <c r="P990" s="251"/>
      <c r="Q990" s="251"/>
      <c r="R990" s="251"/>
    </row>
    <row r="991" ht="15.75" hidden="1" customHeight="1">
      <c r="A991" s="315"/>
      <c r="B991" s="233"/>
      <c r="C991" s="233"/>
      <c r="D991" s="233"/>
      <c r="E991" s="316"/>
      <c r="F991" s="233"/>
      <c r="G991" s="233"/>
      <c r="H991" s="317"/>
      <c r="I991" s="317"/>
      <c r="J991" s="233"/>
      <c r="K991" s="233"/>
      <c r="L991" s="316"/>
      <c r="M991" s="233"/>
      <c r="N991" s="234"/>
      <c r="O991" s="251"/>
      <c r="P991" s="251"/>
      <c r="Q991" s="251"/>
      <c r="R991" s="251"/>
    </row>
    <row r="992" ht="15.75" hidden="1" customHeight="1">
      <c r="A992" s="318"/>
      <c r="B992" s="236"/>
      <c r="C992" s="236"/>
      <c r="D992" s="236"/>
      <c r="E992" s="314"/>
      <c r="F992" s="236"/>
      <c r="G992" s="236"/>
      <c r="H992" s="313"/>
      <c r="I992" s="313"/>
      <c r="J992" s="236"/>
      <c r="K992" s="236"/>
      <c r="L992" s="314"/>
      <c r="M992" s="236"/>
      <c r="N992" s="237"/>
      <c r="O992" s="251"/>
      <c r="P992" s="251"/>
      <c r="Q992" s="251"/>
      <c r="R992" s="251"/>
    </row>
    <row r="993" ht="15.75" hidden="1" customHeight="1">
      <c r="A993" s="315"/>
      <c r="B993" s="233"/>
      <c r="C993" s="233"/>
      <c r="D993" s="233"/>
      <c r="E993" s="316"/>
      <c r="F993" s="233"/>
      <c r="G993" s="233"/>
      <c r="H993" s="317"/>
      <c r="I993" s="317"/>
      <c r="J993" s="233"/>
      <c r="K993" s="233"/>
      <c r="L993" s="316"/>
      <c r="M993" s="233"/>
      <c r="N993" s="234"/>
      <c r="O993" s="251"/>
      <c r="P993" s="251"/>
      <c r="Q993" s="251"/>
      <c r="R993" s="251"/>
    </row>
    <row r="994" ht="15.75" hidden="1" customHeight="1">
      <c r="A994" s="318"/>
      <c r="B994" s="236"/>
      <c r="C994" s="236"/>
      <c r="D994" s="236"/>
      <c r="E994" s="314"/>
      <c r="F994" s="236"/>
      <c r="G994" s="236"/>
      <c r="H994" s="313"/>
      <c r="I994" s="313"/>
      <c r="J994" s="236"/>
      <c r="K994" s="236"/>
      <c r="L994" s="314"/>
      <c r="M994" s="236"/>
      <c r="N994" s="237"/>
      <c r="O994" s="251"/>
      <c r="P994" s="251"/>
      <c r="Q994" s="251"/>
      <c r="R994" s="251"/>
    </row>
    <row r="995" ht="15.75" hidden="1" customHeight="1">
      <c r="A995" s="315"/>
      <c r="B995" s="233"/>
      <c r="C995" s="233"/>
      <c r="D995" s="233"/>
      <c r="E995" s="316"/>
      <c r="F995" s="233"/>
      <c r="G995" s="233"/>
      <c r="H995" s="317"/>
      <c r="I995" s="317"/>
      <c r="J995" s="233"/>
      <c r="K995" s="233"/>
      <c r="L995" s="316"/>
      <c r="M995" s="233"/>
      <c r="N995" s="234"/>
      <c r="O995" s="251"/>
      <c r="P995" s="251"/>
      <c r="Q995" s="251"/>
      <c r="R995" s="251"/>
    </row>
    <row r="996" ht="15.75" hidden="1" customHeight="1">
      <c r="A996" s="318"/>
      <c r="B996" s="236"/>
      <c r="C996" s="236"/>
      <c r="D996" s="236"/>
      <c r="E996" s="314"/>
      <c r="F996" s="236"/>
      <c r="G996" s="236"/>
      <c r="H996" s="313"/>
      <c r="I996" s="313"/>
      <c r="J996" s="236"/>
      <c r="K996" s="236"/>
      <c r="L996" s="314"/>
      <c r="M996" s="236"/>
      <c r="N996" s="237"/>
      <c r="O996" s="251"/>
      <c r="P996" s="251"/>
      <c r="Q996" s="251"/>
      <c r="R996" s="251"/>
    </row>
    <row r="997" ht="15.75" hidden="1" customHeight="1">
      <c r="A997" s="315"/>
      <c r="B997" s="233"/>
      <c r="C997" s="233"/>
      <c r="D997" s="233"/>
      <c r="E997" s="316"/>
      <c r="F997" s="233"/>
      <c r="G997" s="233"/>
      <c r="H997" s="317"/>
      <c r="I997" s="317"/>
      <c r="J997" s="233"/>
      <c r="K997" s="233"/>
      <c r="L997" s="316"/>
      <c r="M997" s="233"/>
      <c r="N997" s="234"/>
      <c r="O997" s="251"/>
      <c r="P997" s="251"/>
      <c r="Q997" s="251"/>
      <c r="R997" s="251"/>
    </row>
    <row r="998" ht="15.75" hidden="1" customHeight="1">
      <c r="A998" s="318"/>
      <c r="B998" s="236"/>
      <c r="C998" s="236"/>
      <c r="D998" s="236"/>
      <c r="E998" s="314"/>
      <c r="F998" s="236"/>
      <c r="G998" s="236"/>
      <c r="H998" s="313"/>
      <c r="I998" s="313"/>
      <c r="J998" s="236"/>
      <c r="K998" s="236"/>
      <c r="L998" s="314"/>
      <c r="M998" s="236"/>
      <c r="N998" s="237"/>
      <c r="O998" s="251"/>
      <c r="P998" s="251"/>
      <c r="Q998" s="251"/>
      <c r="R998" s="251"/>
    </row>
    <row r="999" ht="15.75" hidden="1" customHeight="1">
      <c r="A999" s="315"/>
      <c r="B999" s="233"/>
      <c r="C999" s="233"/>
      <c r="D999" s="233"/>
      <c r="E999" s="316"/>
      <c r="F999" s="233"/>
      <c r="G999" s="233"/>
      <c r="H999" s="317"/>
      <c r="I999" s="317"/>
      <c r="J999" s="233"/>
      <c r="K999" s="233"/>
      <c r="L999" s="316"/>
      <c r="M999" s="233"/>
      <c r="N999" s="234"/>
      <c r="O999" s="251"/>
      <c r="P999" s="251"/>
      <c r="Q999" s="251"/>
      <c r="R999" s="251"/>
    </row>
    <row r="1000" ht="15.75" hidden="1" customHeight="1">
      <c r="A1000" s="318"/>
      <c r="B1000" s="236"/>
      <c r="C1000" s="236"/>
      <c r="D1000" s="236"/>
      <c r="E1000" s="314"/>
      <c r="F1000" s="236"/>
      <c r="G1000" s="236"/>
      <c r="H1000" s="313"/>
      <c r="I1000" s="313"/>
      <c r="J1000" s="236"/>
      <c r="K1000" s="236"/>
      <c r="L1000" s="314"/>
      <c r="M1000" s="236"/>
      <c r="N1000" s="237"/>
      <c r="O1000" s="251"/>
      <c r="P1000" s="251"/>
      <c r="Q1000" s="251"/>
      <c r="R1000" s="251"/>
    </row>
    <row r="1001" ht="15.75" hidden="1" customHeight="1">
      <c r="A1001" s="315"/>
      <c r="B1001" s="233"/>
      <c r="C1001" s="233"/>
      <c r="D1001" s="233"/>
      <c r="E1001" s="316"/>
      <c r="F1001" s="233"/>
      <c r="G1001" s="233"/>
      <c r="H1001" s="317"/>
      <c r="I1001" s="317"/>
      <c r="J1001" s="233"/>
      <c r="K1001" s="233"/>
      <c r="L1001" s="316"/>
      <c r="M1001" s="233"/>
      <c r="N1001" s="234"/>
      <c r="O1001" s="251"/>
      <c r="P1001" s="251"/>
      <c r="Q1001" s="251"/>
      <c r="R1001" s="251"/>
    </row>
    <row r="1002" ht="15.75" hidden="1" customHeight="1">
      <c r="A1002" s="318"/>
      <c r="B1002" s="236"/>
      <c r="C1002" s="236"/>
      <c r="D1002" s="236"/>
      <c r="E1002" s="314"/>
      <c r="F1002" s="236"/>
      <c r="G1002" s="236"/>
      <c r="H1002" s="313"/>
      <c r="I1002" s="313"/>
      <c r="J1002" s="236"/>
      <c r="K1002" s="236"/>
      <c r="L1002" s="314"/>
      <c r="M1002" s="236"/>
      <c r="N1002" s="237"/>
      <c r="O1002" s="251"/>
      <c r="P1002" s="251"/>
      <c r="Q1002" s="251"/>
      <c r="R1002" s="251"/>
    </row>
    <row r="1003" ht="15.75" hidden="1" customHeight="1">
      <c r="A1003" s="315"/>
      <c r="B1003" s="233"/>
      <c r="C1003" s="233"/>
      <c r="D1003" s="233"/>
      <c r="E1003" s="316"/>
      <c r="F1003" s="233"/>
      <c r="G1003" s="233"/>
      <c r="H1003" s="317"/>
      <c r="I1003" s="317"/>
      <c r="J1003" s="233"/>
      <c r="K1003" s="233"/>
      <c r="L1003" s="316"/>
      <c r="M1003" s="233"/>
      <c r="N1003" s="234"/>
      <c r="O1003" s="251"/>
      <c r="P1003" s="251"/>
      <c r="Q1003" s="251"/>
      <c r="R1003" s="251"/>
    </row>
    <row r="1004" ht="15.75" hidden="1" customHeight="1">
      <c r="A1004" s="318"/>
      <c r="B1004" s="236"/>
      <c r="C1004" s="236"/>
      <c r="D1004" s="236"/>
      <c r="E1004" s="314"/>
      <c r="F1004" s="236"/>
      <c r="G1004" s="236"/>
      <c r="H1004" s="313"/>
      <c r="I1004" s="313"/>
      <c r="J1004" s="236"/>
      <c r="K1004" s="236"/>
      <c r="L1004" s="314"/>
      <c r="M1004" s="236"/>
      <c r="N1004" s="237"/>
      <c r="O1004" s="251"/>
      <c r="P1004" s="251"/>
      <c r="Q1004" s="251"/>
      <c r="R1004" s="251"/>
    </row>
    <row r="1005" ht="15.75" hidden="1" customHeight="1">
      <c r="A1005" s="315"/>
      <c r="B1005" s="233"/>
      <c r="C1005" s="233"/>
      <c r="D1005" s="233"/>
      <c r="E1005" s="316"/>
      <c r="F1005" s="233"/>
      <c r="G1005" s="233"/>
      <c r="H1005" s="317"/>
      <c r="I1005" s="317"/>
      <c r="J1005" s="233"/>
      <c r="K1005" s="233"/>
      <c r="L1005" s="316"/>
      <c r="M1005" s="233"/>
      <c r="N1005" s="234"/>
      <c r="O1005" s="251"/>
      <c r="P1005" s="251"/>
      <c r="Q1005" s="251"/>
      <c r="R1005" s="251"/>
    </row>
    <row r="1006" ht="15.75" hidden="1" customHeight="1">
      <c r="A1006" s="318"/>
      <c r="B1006" s="236"/>
      <c r="C1006" s="236"/>
      <c r="D1006" s="236"/>
      <c r="E1006" s="314"/>
      <c r="F1006" s="236"/>
      <c r="G1006" s="236"/>
      <c r="H1006" s="313"/>
      <c r="I1006" s="313"/>
      <c r="J1006" s="236"/>
      <c r="K1006" s="236"/>
      <c r="L1006" s="314"/>
      <c r="M1006" s="236"/>
      <c r="N1006" s="237"/>
      <c r="O1006" s="251"/>
      <c r="P1006" s="251"/>
      <c r="Q1006" s="251"/>
      <c r="R1006" s="251"/>
    </row>
    <row r="1007" ht="15.75" hidden="1" customHeight="1">
      <c r="A1007" s="315"/>
      <c r="B1007" s="233"/>
      <c r="C1007" s="233"/>
      <c r="D1007" s="233"/>
      <c r="E1007" s="316"/>
      <c r="F1007" s="233"/>
      <c r="G1007" s="233"/>
      <c r="H1007" s="317"/>
      <c r="I1007" s="317"/>
      <c r="J1007" s="233"/>
      <c r="K1007" s="233"/>
      <c r="L1007" s="316"/>
      <c r="M1007" s="233"/>
      <c r="N1007" s="234"/>
      <c r="O1007" s="251"/>
      <c r="P1007" s="251"/>
      <c r="Q1007" s="251"/>
      <c r="R1007" s="251"/>
    </row>
    <row r="1008" ht="15.75" hidden="1" customHeight="1">
      <c r="A1008" s="318"/>
      <c r="B1008" s="236"/>
      <c r="C1008" s="236"/>
      <c r="D1008" s="236"/>
      <c r="E1008" s="314"/>
      <c r="F1008" s="236"/>
      <c r="G1008" s="236"/>
      <c r="H1008" s="313"/>
      <c r="I1008" s="313"/>
      <c r="J1008" s="236"/>
      <c r="K1008" s="236"/>
      <c r="L1008" s="314"/>
      <c r="M1008" s="236"/>
      <c r="N1008" s="237"/>
      <c r="O1008" s="251"/>
      <c r="P1008" s="251"/>
      <c r="Q1008" s="251"/>
      <c r="R1008" s="251"/>
    </row>
    <row r="1009" ht="15.75" hidden="1" customHeight="1">
      <c r="A1009" s="315"/>
      <c r="B1009" s="233"/>
      <c r="C1009" s="233"/>
      <c r="D1009" s="233"/>
      <c r="E1009" s="316"/>
      <c r="F1009" s="233"/>
      <c r="G1009" s="233"/>
      <c r="H1009" s="317"/>
      <c r="I1009" s="317"/>
      <c r="J1009" s="233"/>
      <c r="K1009" s="233"/>
      <c r="L1009" s="316"/>
      <c r="M1009" s="233"/>
      <c r="N1009" s="234"/>
      <c r="O1009" s="251"/>
      <c r="P1009" s="251"/>
      <c r="Q1009" s="251"/>
      <c r="R1009" s="251"/>
    </row>
    <row r="1010" ht="15.75" hidden="1" customHeight="1">
      <c r="A1010" s="318"/>
      <c r="B1010" s="236"/>
      <c r="C1010" s="236"/>
      <c r="D1010" s="236"/>
      <c r="E1010" s="314"/>
      <c r="F1010" s="236"/>
      <c r="G1010" s="236"/>
      <c r="H1010" s="313"/>
      <c r="I1010" s="313"/>
      <c r="J1010" s="236"/>
      <c r="K1010" s="236"/>
      <c r="L1010" s="314"/>
      <c r="M1010" s="236"/>
      <c r="N1010" s="237"/>
      <c r="O1010" s="251"/>
      <c r="P1010" s="251"/>
      <c r="Q1010" s="251"/>
      <c r="R1010" s="251"/>
    </row>
    <row r="1011" ht="15.75" hidden="1" customHeight="1">
      <c r="A1011" s="315"/>
      <c r="B1011" s="233"/>
      <c r="C1011" s="233"/>
      <c r="D1011" s="233"/>
      <c r="E1011" s="316"/>
      <c r="F1011" s="233"/>
      <c r="G1011" s="233"/>
      <c r="H1011" s="317"/>
      <c r="I1011" s="317"/>
      <c r="J1011" s="233"/>
      <c r="K1011" s="233"/>
      <c r="L1011" s="316"/>
      <c r="M1011" s="233"/>
      <c r="N1011" s="234"/>
      <c r="O1011" s="251"/>
      <c r="P1011" s="251"/>
      <c r="Q1011" s="251"/>
      <c r="R1011" s="251"/>
    </row>
    <row r="1012" ht="15.75" hidden="1" customHeight="1">
      <c r="A1012" s="318"/>
      <c r="B1012" s="236"/>
      <c r="C1012" s="236"/>
      <c r="D1012" s="236"/>
      <c r="E1012" s="314"/>
      <c r="F1012" s="236"/>
      <c r="G1012" s="236"/>
      <c r="H1012" s="313"/>
      <c r="I1012" s="313"/>
      <c r="J1012" s="236"/>
      <c r="K1012" s="236"/>
      <c r="L1012" s="314"/>
      <c r="M1012" s="236"/>
      <c r="N1012" s="237"/>
      <c r="O1012" s="251"/>
      <c r="P1012" s="251"/>
      <c r="Q1012" s="251"/>
      <c r="R1012" s="251"/>
    </row>
    <row r="1013" ht="15.75" hidden="1" customHeight="1">
      <c r="A1013" s="315"/>
      <c r="B1013" s="233"/>
      <c r="C1013" s="233"/>
      <c r="D1013" s="233"/>
      <c r="E1013" s="316"/>
      <c r="F1013" s="233"/>
      <c r="G1013" s="233"/>
      <c r="H1013" s="317"/>
      <c r="I1013" s="317"/>
      <c r="J1013" s="233"/>
      <c r="K1013" s="233"/>
      <c r="L1013" s="316"/>
      <c r="M1013" s="233"/>
      <c r="N1013" s="234"/>
      <c r="O1013" s="251"/>
      <c r="P1013" s="251"/>
      <c r="Q1013" s="251"/>
      <c r="R1013" s="251"/>
    </row>
    <row r="1014" ht="15.75" hidden="1" customHeight="1">
      <c r="A1014" s="318"/>
      <c r="B1014" s="236"/>
      <c r="C1014" s="236"/>
      <c r="D1014" s="236"/>
      <c r="E1014" s="314"/>
      <c r="F1014" s="236"/>
      <c r="G1014" s="236"/>
      <c r="H1014" s="313"/>
      <c r="I1014" s="313"/>
      <c r="J1014" s="236"/>
      <c r="K1014" s="236"/>
      <c r="L1014" s="314"/>
      <c r="M1014" s="236"/>
      <c r="N1014" s="237"/>
      <c r="O1014" s="251"/>
      <c r="P1014" s="251"/>
      <c r="Q1014" s="251"/>
      <c r="R1014" s="251"/>
    </row>
    <row r="1015" ht="15.75" hidden="1" customHeight="1">
      <c r="A1015" s="315"/>
      <c r="B1015" s="233"/>
      <c r="C1015" s="233"/>
      <c r="D1015" s="233"/>
      <c r="E1015" s="316"/>
      <c r="F1015" s="233"/>
      <c r="G1015" s="233"/>
      <c r="H1015" s="317"/>
      <c r="I1015" s="317"/>
      <c r="J1015" s="233"/>
      <c r="K1015" s="233"/>
      <c r="L1015" s="316"/>
      <c r="M1015" s="233"/>
      <c r="N1015" s="234"/>
      <c r="O1015" s="251"/>
      <c r="P1015" s="251"/>
      <c r="Q1015" s="251"/>
      <c r="R1015" s="251"/>
    </row>
    <row r="1016" ht="15.75" hidden="1" customHeight="1">
      <c r="A1016" s="318"/>
      <c r="B1016" s="236"/>
      <c r="C1016" s="236"/>
      <c r="D1016" s="236"/>
      <c r="E1016" s="314"/>
      <c r="F1016" s="236"/>
      <c r="G1016" s="236"/>
      <c r="H1016" s="313"/>
      <c r="I1016" s="313"/>
      <c r="J1016" s="236"/>
      <c r="K1016" s="236"/>
      <c r="L1016" s="314"/>
      <c r="M1016" s="236"/>
      <c r="N1016" s="237"/>
      <c r="O1016" s="251"/>
      <c r="P1016" s="251"/>
      <c r="Q1016" s="251"/>
      <c r="R1016" s="251"/>
    </row>
    <row r="1017" ht="15.75" hidden="1" customHeight="1">
      <c r="A1017" s="315"/>
      <c r="B1017" s="233"/>
      <c r="C1017" s="233"/>
      <c r="D1017" s="233"/>
      <c r="E1017" s="316"/>
      <c r="F1017" s="233"/>
      <c r="G1017" s="233"/>
      <c r="H1017" s="317"/>
      <c r="I1017" s="317"/>
      <c r="J1017" s="233"/>
      <c r="K1017" s="233"/>
      <c r="L1017" s="316"/>
      <c r="M1017" s="233"/>
      <c r="N1017" s="234"/>
      <c r="O1017" s="251"/>
      <c r="P1017" s="251"/>
      <c r="Q1017" s="251"/>
      <c r="R1017" s="251"/>
    </row>
    <row r="1018" ht="15.75" hidden="1" customHeight="1">
      <c r="A1018" s="318"/>
      <c r="B1018" s="236"/>
      <c r="C1018" s="236"/>
      <c r="D1018" s="236"/>
      <c r="E1018" s="314"/>
      <c r="F1018" s="236"/>
      <c r="G1018" s="236"/>
      <c r="H1018" s="313"/>
      <c r="I1018" s="313"/>
      <c r="J1018" s="236"/>
      <c r="K1018" s="236"/>
      <c r="L1018" s="314"/>
      <c r="M1018" s="236"/>
      <c r="N1018" s="237"/>
      <c r="O1018" s="251"/>
      <c r="P1018" s="251"/>
      <c r="Q1018" s="251"/>
      <c r="R1018" s="251"/>
    </row>
    <row r="1019" ht="15.75" hidden="1" customHeight="1">
      <c r="A1019" s="315"/>
      <c r="B1019" s="233"/>
      <c r="C1019" s="233"/>
      <c r="D1019" s="233"/>
      <c r="E1019" s="316"/>
      <c r="F1019" s="233"/>
      <c r="G1019" s="233"/>
      <c r="H1019" s="317"/>
      <c r="I1019" s="317"/>
      <c r="J1019" s="233"/>
      <c r="K1019" s="233"/>
      <c r="L1019" s="316"/>
      <c r="M1019" s="233"/>
      <c r="N1019" s="234"/>
      <c r="O1019" s="251"/>
      <c r="P1019" s="251"/>
      <c r="Q1019" s="251"/>
      <c r="R1019" s="251"/>
    </row>
    <row r="1020" ht="15.75" hidden="1" customHeight="1">
      <c r="A1020" s="318"/>
      <c r="B1020" s="236"/>
      <c r="C1020" s="236"/>
      <c r="D1020" s="236"/>
      <c r="E1020" s="314"/>
      <c r="F1020" s="236"/>
      <c r="G1020" s="236"/>
      <c r="H1020" s="313"/>
      <c r="I1020" s="313"/>
      <c r="J1020" s="236"/>
      <c r="K1020" s="236"/>
      <c r="L1020" s="314"/>
      <c r="M1020" s="236"/>
      <c r="N1020" s="237"/>
      <c r="O1020" s="251"/>
      <c r="P1020" s="251"/>
      <c r="Q1020" s="251"/>
      <c r="R1020" s="251"/>
    </row>
    <row r="1021" ht="15.75" hidden="1" customHeight="1">
      <c r="A1021" s="315"/>
      <c r="B1021" s="233"/>
      <c r="C1021" s="233"/>
      <c r="D1021" s="233"/>
      <c r="E1021" s="316"/>
      <c r="F1021" s="233"/>
      <c r="G1021" s="233"/>
      <c r="H1021" s="317"/>
      <c r="I1021" s="317"/>
      <c r="J1021" s="233"/>
      <c r="K1021" s="233"/>
      <c r="L1021" s="316"/>
      <c r="M1021" s="233"/>
      <c r="N1021" s="234"/>
      <c r="O1021" s="251"/>
      <c r="P1021" s="251"/>
      <c r="Q1021" s="251"/>
      <c r="R1021" s="251"/>
    </row>
    <row r="1022" ht="15.75" hidden="1" customHeight="1">
      <c r="A1022" s="318"/>
      <c r="B1022" s="236"/>
      <c r="C1022" s="236"/>
      <c r="D1022" s="236"/>
      <c r="E1022" s="314"/>
      <c r="F1022" s="236"/>
      <c r="G1022" s="236"/>
      <c r="H1022" s="313"/>
      <c r="I1022" s="313"/>
      <c r="J1022" s="236"/>
      <c r="K1022" s="236"/>
      <c r="L1022" s="314"/>
      <c r="M1022" s="236"/>
      <c r="N1022" s="237"/>
      <c r="O1022" s="251"/>
      <c r="P1022" s="251"/>
      <c r="Q1022" s="251"/>
      <c r="R1022" s="251"/>
    </row>
    <row r="1023" ht="15.75" hidden="1" customHeight="1">
      <c r="A1023" s="315"/>
      <c r="B1023" s="233"/>
      <c r="C1023" s="233"/>
      <c r="D1023" s="233"/>
      <c r="E1023" s="316"/>
      <c r="F1023" s="233"/>
      <c r="G1023" s="233"/>
      <c r="H1023" s="317"/>
      <c r="I1023" s="317"/>
      <c r="J1023" s="233"/>
      <c r="K1023" s="233"/>
      <c r="L1023" s="316"/>
      <c r="M1023" s="233"/>
      <c r="N1023" s="234"/>
      <c r="O1023" s="251"/>
      <c r="P1023" s="251"/>
      <c r="Q1023" s="251"/>
      <c r="R1023" s="251"/>
    </row>
    <row r="1024" ht="15.75" hidden="1" customHeight="1">
      <c r="A1024" s="318"/>
      <c r="B1024" s="236"/>
      <c r="C1024" s="236"/>
      <c r="D1024" s="236"/>
      <c r="E1024" s="314"/>
      <c r="F1024" s="236"/>
      <c r="G1024" s="236"/>
      <c r="H1024" s="313"/>
      <c r="I1024" s="313"/>
      <c r="J1024" s="236"/>
      <c r="K1024" s="236"/>
      <c r="L1024" s="314"/>
      <c r="M1024" s="236"/>
      <c r="N1024" s="237"/>
      <c r="O1024" s="251"/>
      <c r="P1024" s="251"/>
      <c r="Q1024" s="251"/>
      <c r="R1024" s="251"/>
    </row>
    <row r="1025" ht="15.75" hidden="1" customHeight="1">
      <c r="A1025" s="315"/>
      <c r="B1025" s="233"/>
      <c r="C1025" s="233"/>
      <c r="D1025" s="233"/>
      <c r="E1025" s="316"/>
      <c r="F1025" s="233"/>
      <c r="G1025" s="233"/>
      <c r="H1025" s="317"/>
      <c r="I1025" s="317"/>
      <c r="J1025" s="233"/>
      <c r="K1025" s="233"/>
      <c r="L1025" s="316"/>
      <c r="M1025" s="233"/>
      <c r="N1025" s="234"/>
      <c r="O1025" s="251"/>
      <c r="P1025" s="251"/>
      <c r="Q1025" s="251"/>
      <c r="R1025" s="251"/>
    </row>
    <row r="1026" ht="15.75" hidden="1" customHeight="1">
      <c r="A1026" s="318"/>
      <c r="B1026" s="236"/>
      <c r="C1026" s="236"/>
      <c r="D1026" s="236"/>
      <c r="E1026" s="314"/>
      <c r="F1026" s="236"/>
      <c r="G1026" s="236"/>
      <c r="H1026" s="313"/>
      <c r="I1026" s="313"/>
      <c r="J1026" s="236"/>
      <c r="K1026" s="236"/>
      <c r="L1026" s="314"/>
      <c r="M1026" s="236"/>
      <c r="N1026" s="237"/>
      <c r="O1026" s="251"/>
      <c r="P1026" s="251"/>
      <c r="Q1026" s="251"/>
      <c r="R1026" s="251"/>
    </row>
    <row r="1027" ht="15.75" hidden="1" customHeight="1">
      <c r="A1027" s="315"/>
      <c r="B1027" s="233"/>
      <c r="C1027" s="233"/>
      <c r="D1027" s="233"/>
      <c r="E1027" s="316"/>
      <c r="F1027" s="233"/>
      <c r="G1027" s="233"/>
      <c r="H1027" s="317"/>
      <c r="I1027" s="317"/>
      <c r="J1027" s="233"/>
      <c r="K1027" s="233"/>
      <c r="L1027" s="316"/>
      <c r="M1027" s="233"/>
      <c r="N1027" s="234"/>
      <c r="O1027" s="251"/>
      <c r="P1027" s="251"/>
      <c r="Q1027" s="251"/>
      <c r="R1027" s="251"/>
    </row>
    <row r="1028" ht="15.75" hidden="1" customHeight="1">
      <c r="A1028" s="318"/>
      <c r="B1028" s="236"/>
      <c r="C1028" s="236"/>
      <c r="D1028" s="236"/>
      <c r="E1028" s="314"/>
      <c r="F1028" s="236"/>
      <c r="G1028" s="236"/>
      <c r="H1028" s="313"/>
      <c r="I1028" s="313"/>
      <c r="J1028" s="236"/>
      <c r="K1028" s="236"/>
      <c r="L1028" s="314"/>
      <c r="M1028" s="236"/>
      <c r="N1028" s="237"/>
      <c r="O1028" s="251"/>
      <c r="P1028" s="251"/>
      <c r="Q1028" s="251"/>
      <c r="R1028" s="251"/>
    </row>
    <row r="1029" ht="15.75" hidden="1" customHeight="1">
      <c r="A1029" s="315"/>
      <c r="B1029" s="233"/>
      <c r="C1029" s="233"/>
      <c r="D1029" s="233"/>
      <c r="E1029" s="316"/>
      <c r="F1029" s="233"/>
      <c r="G1029" s="233"/>
      <c r="H1029" s="317"/>
      <c r="I1029" s="317"/>
      <c r="J1029" s="233"/>
      <c r="K1029" s="233"/>
      <c r="L1029" s="316"/>
      <c r="M1029" s="233"/>
      <c r="N1029" s="234"/>
      <c r="O1029" s="251"/>
      <c r="P1029" s="251"/>
      <c r="Q1029" s="251"/>
      <c r="R1029" s="251"/>
    </row>
    <row r="1030" ht="15.75" hidden="1" customHeight="1">
      <c r="A1030" s="318"/>
      <c r="B1030" s="236"/>
      <c r="C1030" s="236"/>
      <c r="D1030" s="236"/>
      <c r="E1030" s="314"/>
      <c r="F1030" s="236"/>
      <c r="G1030" s="236"/>
      <c r="H1030" s="313"/>
      <c r="I1030" s="313"/>
      <c r="J1030" s="236"/>
      <c r="K1030" s="236"/>
      <c r="L1030" s="314"/>
      <c r="M1030" s="236"/>
      <c r="N1030" s="237"/>
      <c r="O1030" s="251"/>
      <c r="P1030" s="251"/>
      <c r="Q1030" s="251"/>
      <c r="R1030" s="251"/>
    </row>
    <row r="1031" ht="15.75" hidden="1" customHeight="1">
      <c r="A1031" s="315"/>
      <c r="B1031" s="233"/>
      <c r="C1031" s="233"/>
      <c r="D1031" s="233"/>
      <c r="E1031" s="316"/>
      <c r="F1031" s="233"/>
      <c r="G1031" s="233"/>
      <c r="H1031" s="317"/>
      <c r="I1031" s="317"/>
      <c r="J1031" s="233"/>
      <c r="K1031" s="233"/>
      <c r="L1031" s="316"/>
      <c r="M1031" s="233"/>
      <c r="N1031" s="234"/>
      <c r="O1031" s="251"/>
      <c r="P1031" s="251"/>
      <c r="Q1031" s="251"/>
      <c r="R1031" s="251"/>
    </row>
    <row r="1032" ht="15.75" hidden="1" customHeight="1">
      <c r="A1032" s="318"/>
      <c r="B1032" s="236"/>
      <c r="C1032" s="236"/>
      <c r="D1032" s="236"/>
      <c r="E1032" s="314"/>
      <c r="F1032" s="236"/>
      <c r="G1032" s="236"/>
      <c r="H1032" s="313"/>
      <c r="I1032" s="313"/>
      <c r="J1032" s="236"/>
      <c r="K1032" s="236"/>
      <c r="L1032" s="314"/>
      <c r="M1032" s="236"/>
      <c r="N1032" s="237"/>
      <c r="O1032" s="251"/>
      <c r="P1032" s="251"/>
      <c r="Q1032" s="251"/>
      <c r="R1032" s="251"/>
    </row>
    <row r="1033" ht="15.75" hidden="1" customHeight="1">
      <c r="A1033" s="315"/>
      <c r="B1033" s="233"/>
      <c r="C1033" s="233"/>
      <c r="D1033" s="233"/>
      <c r="E1033" s="316"/>
      <c r="F1033" s="233"/>
      <c r="G1033" s="233"/>
      <c r="H1033" s="317"/>
      <c r="I1033" s="317"/>
      <c r="J1033" s="233"/>
      <c r="K1033" s="233"/>
      <c r="L1033" s="316"/>
      <c r="M1033" s="233"/>
      <c r="N1033" s="234"/>
      <c r="O1033" s="251"/>
      <c r="P1033" s="251"/>
      <c r="Q1033" s="251"/>
      <c r="R1033" s="251"/>
    </row>
    <row r="1034" ht="15.75" hidden="1" customHeight="1">
      <c r="A1034" s="318"/>
      <c r="B1034" s="236"/>
      <c r="C1034" s="236"/>
      <c r="D1034" s="236"/>
      <c r="E1034" s="314"/>
      <c r="F1034" s="236"/>
      <c r="G1034" s="236"/>
      <c r="H1034" s="313"/>
      <c r="I1034" s="313"/>
      <c r="J1034" s="236"/>
      <c r="K1034" s="236"/>
      <c r="L1034" s="314"/>
      <c r="M1034" s="236"/>
      <c r="N1034" s="237"/>
      <c r="O1034" s="251"/>
      <c r="P1034" s="251"/>
      <c r="Q1034" s="251"/>
      <c r="R1034" s="251"/>
    </row>
    <row r="1035" ht="15.75" hidden="1" customHeight="1">
      <c r="A1035" s="315"/>
      <c r="B1035" s="233"/>
      <c r="C1035" s="233"/>
      <c r="D1035" s="233"/>
      <c r="E1035" s="316"/>
      <c r="F1035" s="233"/>
      <c r="G1035" s="233"/>
      <c r="H1035" s="317"/>
      <c r="I1035" s="317"/>
      <c r="J1035" s="233"/>
      <c r="K1035" s="233"/>
      <c r="L1035" s="316"/>
      <c r="M1035" s="233"/>
      <c r="N1035" s="234"/>
      <c r="O1035" s="251"/>
      <c r="P1035" s="251"/>
      <c r="Q1035" s="251"/>
      <c r="R1035" s="251"/>
    </row>
    <row r="1036" ht="15.75" hidden="1" customHeight="1">
      <c r="A1036" s="318"/>
      <c r="B1036" s="236"/>
      <c r="C1036" s="236"/>
      <c r="D1036" s="236"/>
      <c r="E1036" s="314"/>
      <c r="F1036" s="236"/>
      <c r="G1036" s="236"/>
      <c r="H1036" s="313"/>
      <c r="I1036" s="313"/>
      <c r="J1036" s="236"/>
      <c r="K1036" s="236"/>
      <c r="L1036" s="314"/>
      <c r="M1036" s="236"/>
      <c r="N1036" s="237"/>
      <c r="O1036" s="251"/>
      <c r="P1036" s="251"/>
      <c r="Q1036" s="251"/>
      <c r="R1036" s="251"/>
    </row>
    <row r="1037" ht="15.75" hidden="1" customHeight="1">
      <c r="A1037" s="315"/>
      <c r="B1037" s="233"/>
      <c r="C1037" s="233"/>
      <c r="D1037" s="233"/>
      <c r="E1037" s="316"/>
      <c r="F1037" s="233"/>
      <c r="G1037" s="233"/>
      <c r="H1037" s="317"/>
      <c r="I1037" s="317"/>
      <c r="J1037" s="233"/>
      <c r="K1037" s="233"/>
      <c r="L1037" s="316"/>
      <c r="M1037" s="233"/>
      <c r="N1037" s="234"/>
      <c r="O1037" s="251"/>
      <c r="P1037" s="251"/>
      <c r="Q1037" s="251"/>
      <c r="R1037" s="251"/>
    </row>
    <row r="1038" ht="15.75" hidden="1" customHeight="1">
      <c r="A1038" s="318"/>
      <c r="B1038" s="236"/>
      <c r="C1038" s="236"/>
      <c r="D1038" s="236"/>
      <c r="E1038" s="314"/>
      <c r="F1038" s="236"/>
      <c r="G1038" s="236"/>
      <c r="H1038" s="313"/>
      <c r="I1038" s="313"/>
      <c r="J1038" s="236"/>
      <c r="K1038" s="236"/>
      <c r="L1038" s="314"/>
      <c r="M1038" s="236"/>
      <c r="N1038" s="237"/>
      <c r="O1038" s="251"/>
      <c r="P1038" s="251"/>
      <c r="Q1038" s="251"/>
      <c r="R1038" s="251"/>
    </row>
    <row r="1039" ht="15.75" hidden="1" customHeight="1">
      <c r="A1039" s="315"/>
      <c r="B1039" s="233"/>
      <c r="C1039" s="233"/>
      <c r="D1039" s="233"/>
      <c r="E1039" s="316"/>
      <c r="F1039" s="233"/>
      <c r="G1039" s="233"/>
      <c r="H1039" s="317"/>
      <c r="I1039" s="317"/>
      <c r="J1039" s="233"/>
      <c r="K1039" s="233"/>
      <c r="L1039" s="316"/>
      <c r="M1039" s="233"/>
      <c r="N1039" s="234"/>
      <c r="O1039" s="251"/>
      <c r="P1039" s="251"/>
      <c r="Q1039" s="251"/>
      <c r="R1039" s="251"/>
    </row>
    <row r="1040" ht="15.75" hidden="1" customHeight="1">
      <c r="A1040" s="318"/>
      <c r="B1040" s="236"/>
      <c r="C1040" s="236"/>
      <c r="D1040" s="236"/>
      <c r="E1040" s="314"/>
      <c r="F1040" s="236"/>
      <c r="G1040" s="236"/>
      <c r="H1040" s="313"/>
      <c r="I1040" s="313"/>
      <c r="J1040" s="236"/>
      <c r="K1040" s="236"/>
      <c r="L1040" s="314"/>
      <c r="M1040" s="236"/>
      <c r="N1040" s="237"/>
      <c r="O1040" s="251"/>
      <c r="P1040" s="251"/>
      <c r="Q1040" s="251"/>
      <c r="R1040" s="251"/>
    </row>
    <row r="1041" ht="15.75" hidden="1" customHeight="1">
      <c r="A1041" s="315"/>
      <c r="B1041" s="233"/>
      <c r="C1041" s="233"/>
      <c r="D1041" s="233"/>
      <c r="E1041" s="316"/>
      <c r="F1041" s="233"/>
      <c r="G1041" s="233"/>
      <c r="H1041" s="317"/>
      <c r="I1041" s="317"/>
      <c r="J1041" s="233"/>
      <c r="K1041" s="233"/>
      <c r="L1041" s="316"/>
      <c r="M1041" s="233"/>
      <c r="N1041" s="234"/>
      <c r="O1041" s="251"/>
      <c r="P1041" s="251"/>
      <c r="Q1041" s="251"/>
      <c r="R1041" s="251"/>
    </row>
    <row r="1042" ht="15.75" hidden="1" customHeight="1">
      <c r="A1042" s="318"/>
      <c r="B1042" s="236"/>
      <c r="C1042" s="236"/>
      <c r="D1042" s="236"/>
      <c r="E1042" s="314"/>
      <c r="F1042" s="236"/>
      <c r="G1042" s="236"/>
      <c r="H1042" s="313"/>
      <c r="I1042" s="313"/>
      <c r="J1042" s="236"/>
      <c r="K1042" s="236"/>
      <c r="L1042" s="314"/>
      <c r="M1042" s="236"/>
      <c r="N1042" s="237"/>
      <c r="O1042" s="251"/>
      <c r="P1042" s="251"/>
      <c r="Q1042" s="251"/>
      <c r="R1042" s="251"/>
    </row>
    <row r="1043" ht="15.75" hidden="1" customHeight="1">
      <c r="A1043" s="315"/>
      <c r="B1043" s="233"/>
      <c r="C1043" s="233"/>
      <c r="D1043" s="233"/>
      <c r="E1043" s="316"/>
      <c r="F1043" s="233"/>
      <c r="G1043" s="233"/>
      <c r="H1043" s="317"/>
      <c r="I1043" s="317"/>
      <c r="J1043" s="233"/>
      <c r="K1043" s="233"/>
      <c r="L1043" s="316"/>
      <c r="M1043" s="233"/>
      <c r="N1043" s="234"/>
      <c r="O1043" s="251"/>
      <c r="P1043" s="251"/>
      <c r="Q1043" s="251"/>
      <c r="R1043" s="251"/>
    </row>
    <row r="1044" ht="15.75" hidden="1" customHeight="1">
      <c r="A1044" s="318"/>
      <c r="B1044" s="236"/>
      <c r="C1044" s="236"/>
      <c r="D1044" s="236"/>
      <c r="E1044" s="314"/>
      <c r="F1044" s="236"/>
      <c r="G1044" s="236"/>
      <c r="H1044" s="313"/>
      <c r="I1044" s="313"/>
      <c r="J1044" s="236"/>
      <c r="K1044" s="236"/>
      <c r="L1044" s="314"/>
      <c r="M1044" s="236"/>
      <c r="N1044" s="237"/>
      <c r="O1044" s="251"/>
      <c r="P1044" s="251"/>
      <c r="Q1044" s="251"/>
      <c r="R1044" s="251"/>
    </row>
    <row r="1045" ht="15.75" hidden="1" customHeight="1">
      <c r="A1045" s="315"/>
      <c r="B1045" s="233"/>
      <c r="C1045" s="233"/>
      <c r="D1045" s="233"/>
      <c r="E1045" s="316"/>
      <c r="F1045" s="233"/>
      <c r="G1045" s="233"/>
      <c r="H1045" s="317"/>
      <c r="I1045" s="317"/>
      <c r="J1045" s="233"/>
      <c r="K1045" s="233"/>
      <c r="L1045" s="316"/>
      <c r="M1045" s="233"/>
      <c r="N1045" s="234"/>
      <c r="O1045" s="251"/>
      <c r="P1045" s="251"/>
      <c r="Q1045" s="251"/>
      <c r="R1045" s="251"/>
    </row>
    <row r="1046" ht="15.75" hidden="1" customHeight="1">
      <c r="A1046" s="318"/>
      <c r="B1046" s="236"/>
      <c r="C1046" s="236"/>
      <c r="D1046" s="236"/>
      <c r="E1046" s="314"/>
      <c r="F1046" s="236"/>
      <c r="G1046" s="236"/>
      <c r="H1046" s="313"/>
      <c r="I1046" s="313"/>
      <c r="J1046" s="236"/>
      <c r="K1046" s="236"/>
      <c r="L1046" s="314"/>
      <c r="M1046" s="236"/>
      <c r="N1046" s="237"/>
      <c r="O1046" s="251"/>
      <c r="P1046" s="251"/>
      <c r="Q1046" s="251"/>
      <c r="R1046" s="251"/>
    </row>
    <row r="1047" ht="15.75" hidden="1" customHeight="1">
      <c r="A1047" s="315"/>
      <c r="B1047" s="233"/>
      <c r="C1047" s="233"/>
      <c r="D1047" s="233"/>
      <c r="E1047" s="316"/>
      <c r="F1047" s="233"/>
      <c r="G1047" s="233"/>
      <c r="H1047" s="317"/>
      <c r="I1047" s="317"/>
      <c r="J1047" s="233"/>
      <c r="K1047" s="233"/>
      <c r="L1047" s="316"/>
      <c r="M1047" s="233"/>
      <c r="N1047" s="234"/>
      <c r="O1047" s="251"/>
      <c r="P1047" s="251"/>
      <c r="Q1047" s="251"/>
      <c r="R1047" s="251"/>
    </row>
    <row r="1048" ht="15.75" hidden="1" customHeight="1">
      <c r="A1048" s="318"/>
      <c r="B1048" s="236"/>
      <c r="C1048" s="236"/>
      <c r="D1048" s="236"/>
      <c r="E1048" s="314"/>
      <c r="F1048" s="236"/>
      <c r="G1048" s="236"/>
      <c r="H1048" s="313"/>
      <c r="I1048" s="313"/>
      <c r="J1048" s="236"/>
      <c r="K1048" s="236"/>
      <c r="L1048" s="314"/>
      <c r="M1048" s="236"/>
      <c r="N1048" s="237"/>
      <c r="O1048" s="251"/>
      <c r="P1048" s="251"/>
      <c r="Q1048" s="251"/>
      <c r="R1048" s="251"/>
    </row>
    <row r="1049" ht="15.75" hidden="1" customHeight="1">
      <c r="A1049" s="315"/>
      <c r="B1049" s="233"/>
      <c r="C1049" s="233"/>
      <c r="D1049" s="233"/>
      <c r="E1049" s="316"/>
      <c r="F1049" s="233"/>
      <c r="G1049" s="233"/>
      <c r="H1049" s="317"/>
      <c r="I1049" s="317"/>
      <c r="J1049" s="233"/>
      <c r="K1049" s="233"/>
      <c r="L1049" s="316"/>
      <c r="M1049" s="233"/>
      <c r="N1049" s="234"/>
      <c r="O1049" s="251"/>
      <c r="P1049" s="251"/>
      <c r="Q1049" s="251"/>
      <c r="R1049" s="251"/>
    </row>
    <row r="1050" ht="15.75" hidden="1" customHeight="1">
      <c r="A1050" s="318"/>
      <c r="B1050" s="236"/>
      <c r="C1050" s="236"/>
      <c r="D1050" s="236"/>
      <c r="E1050" s="314"/>
      <c r="F1050" s="236"/>
      <c r="G1050" s="236"/>
      <c r="H1050" s="313"/>
      <c r="I1050" s="313"/>
      <c r="J1050" s="236"/>
      <c r="K1050" s="236"/>
      <c r="L1050" s="314"/>
      <c r="M1050" s="236"/>
      <c r="N1050" s="237"/>
      <c r="O1050" s="251"/>
      <c r="P1050" s="251"/>
      <c r="Q1050" s="251"/>
      <c r="R1050" s="251"/>
    </row>
    <row r="1051" ht="15.75" hidden="1" customHeight="1">
      <c r="A1051" s="315"/>
      <c r="B1051" s="233"/>
      <c r="C1051" s="233"/>
      <c r="D1051" s="233"/>
      <c r="E1051" s="316"/>
      <c r="F1051" s="233"/>
      <c r="G1051" s="233"/>
      <c r="H1051" s="317"/>
      <c r="I1051" s="317"/>
      <c r="J1051" s="233"/>
      <c r="K1051" s="233"/>
      <c r="L1051" s="316"/>
      <c r="M1051" s="233"/>
      <c r="N1051" s="234"/>
      <c r="O1051" s="251"/>
      <c r="P1051" s="251"/>
      <c r="Q1051" s="251"/>
      <c r="R1051" s="251"/>
    </row>
    <row r="1052" ht="15.75" hidden="1" customHeight="1">
      <c r="A1052" s="318"/>
      <c r="B1052" s="236"/>
      <c r="C1052" s="236"/>
      <c r="D1052" s="236"/>
      <c r="E1052" s="314"/>
      <c r="F1052" s="236"/>
      <c r="G1052" s="236"/>
      <c r="H1052" s="313"/>
      <c r="I1052" s="313"/>
      <c r="J1052" s="236"/>
      <c r="K1052" s="236"/>
      <c r="L1052" s="314"/>
      <c r="M1052" s="236"/>
      <c r="N1052" s="237"/>
      <c r="O1052" s="251"/>
      <c r="P1052" s="251"/>
      <c r="Q1052" s="251"/>
      <c r="R1052" s="251"/>
    </row>
    <row r="1053" ht="15.75" hidden="1" customHeight="1">
      <c r="A1053" s="315"/>
      <c r="B1053" s="233"/>
      <c r="C1053" s="233"/>
      <c r="D1053" s="233"/>
      <c r="E1053" s="316"/>
      <c r="F1053" s="233"/>
      <c r="G1053" s="233"/>
      <c r="H1053" s="317"/>
      <c r="I1053" s="317"/>
      <c r="J1053" s="233"/>
      <c r="K1053" s="233"/>
      <c r="L1053" s="316"/>
      <c r="M1053" s="233"/>
      <c r="N1053" s="234"/>
      <c r="O1053" s="251"/>
      <c r="P1053" s="251"/>
      <c r="Q1053" s="251"/>
      <c r="R1053" s="251"/>
    </row>
    <row r="1054" ht="15.75" hidden="1" customHeight="1">
      <c r="A1054" s="318"/>
      <c r="B1054" s="236"/>
      <c r="C1054" s="236"/>
      <c r="D1054" s="236"/>
      <c r="E1054" s="314"/>
      <c r="F1054" s="236"/>
      <c r="G1054" s="236"/>
      <c r="H1054" s="313"/>
      <c r="I1054" s="313"/>
      <c r="J1054" s="236"/>
      <c r="K1054" s="236"/>
      <c r="L1054" s="314"/>
      <c r="M1054" s="236"/>
      <c r="N1054" s="237"/>
      <c r="O1054" s="251"/>
      <c r="P1054" s="251"/>
      <c r="Q1054" s="251"/>
      <c r="R1054" s="251"/>
    </row>
    <row r="1055" ht="15.75" hidden="1" customHeight="1">
      <c r="A1055" s="315"/>
      <c r="B1055" s="233"/>
      <c r="C1055" s="233"/>
      <c r="D1055" s="233"/>
      <c r="E1055" s="316"/>
      <c r="F1055" s="233"/>
      <c r="G1055" s="233"/>
      <c r="H1055" s="317"/>
      <c r="I1055" s="317"/>
      <c r="J1055" s="233"/>
      <c r="K1055" s="233"/>
      <c r="L1055" s="316"/>
      <c r="M1055" s="233"/>
      <c r="N1055" s="234"/>
      <c r="O1055" s="251"/>
      <c r="P1055" s="251"/>
      <c r="Q1055" s="251"/>
      <c r="R1055" s="251"/>
    </row>
    <row r="1056" ht="15.75" hidden="1" customHeight="1">
      <c r="A1056" s="318"/>
      <c r="B1056" s="236"/>
      <c r="C1056" s="236"/>
      <c r="D1056" s="236"/>
      <c r="E1056" s="314"/>
      <c r="F1056" s="236"/>
      <c r="G1056" s="236"/>
      <c r="H1056" s="313"/>
      <c r="I1056" s="313"/>
      <c r="J1056" s="236"/>
      <c r="K1056" s="236"/>
      <c r="L1056" s="314"/>
      <c r="M1056" s="236"/>
      <c r="N1056" s="237"/>
      <c r="O1056" s="251"/>
      <c r="P1056" s="251"/>
      <c r="Q1056" s="251"/>
      <c r="R1056" s="251"/>
    </row>
    <row r="1057" ht="15.75" hidden="1" customHeight="1">
      <c r="A1057" s="315"/>
      <c r="B1057" s="233"/>
      <c r="C1057" s="233"/>
      <c r="D1057" s="233"/>
      <c r="E1057" s="316"/>
      <c r="F1057" s="233"/>
      <c r="G1057" s="233"/>
      <c r="H1057" s="317"/>
      <c r="I1057" s="317"/>
      <c r="J1057" s="233"/>
      <c r="K1057" s="233"/>
      <c r="L1057" s="316"/>
      <c r="M1057" s="233"/>
      <c r="N1057" s="234"/>
      <c r="O1057" s="251"/>
      <c r="P1057" s="251"/>
      <c r="Q1057" s="251"/>
      <c r="R1057" s="251"/>
    </row>
    <row r="1058" ht="15.75" hidden="1" customHeight="1">
      <c r="A1058" s="318"/>
      <c r="B1058" s="236"/>
      <c r="C1058" s="236"/>
      <c r="D1058" s="236"/>
      <c r="E1058" s="314"/>
      <c r="F1058" s="236"/>
      <c r="G1058" s="236"/>
      <c r="H1058" s="313"/>
      <c r="I1058" s="313"/>
      <c r="J1058" s="236"/>
      <c r="K1058" s="236"/>
      <c r="L1058" s="314"/>
      <c r="M1058" s="236"/>
      <c r="N1058" s="237"/>
      <c r="O1058" s="251"/>
      <c r="P1058" s="251"/>
      <c r="Q1058" s="251"/>
      <c r="R1058" s="251"/>
    </row>
    <row r="1059" ht="15.75" hidden="1" customHeight="1">
      <c r="A1059" s="315"/>
      <c r="B1059" s="233"/>
      <c r="C1059" s="233"/>
      <c r="D1059" s="233"/>
      <c r="E1059" s="316"/>
      <c r="F1059" s="233"/>
      <c r="G1059" s="233"/>
      <c r="H1059" s="317"/>
      <c r="I1059" s="317"/>
      <c r="J1059" s="233"/>
      <c r="K1059" s="233"/>
      <c r="L1059" s="316"/>
      <c r="M1059" s="233"/>
      <c r="N1059" s="234"/>
      <c r="O1059" s="251"/>
      <c r="P1059" s="251"/>
      <c r="Q1059" s="251"/>
      <c r="R1059" s="251"/>
    </row>
    <row r="1060" ht="15.75" hidden="1" customHeight="1">
      <c r="A1060" s="318"/>
      <c r="B1060" s="236"/>
      <c r="C1060" s="236"/>
      <c r="D1060" s="236"/>
      <c r="E1060" s="314"/>
      <c r="F1060" s="236"/>
      <c r="G1060" s="236"/>
      <c r="H1060" s="313"/>
      <c r="I1060" s="313"/>
      <c r="J1060" s="236"/>
      <c r="K1060" s="236"/>
      <c r="L1060" s="314"/>
      <c r="M1060" s="236"/>
      <c r="N1060" s="237"/>
      <c r="O1060" s="251"/>
      <c r="P1060" s="251"/>
      <c r="Q1060" s="251"/>
      <c r="R1060" s="251"/>
    </row>
    <row r="1061" ht="15.75" hidden="1" customHeight="1">
      <c r="A1061" s="315"/>
      <c r="B1061" s="233"/>
      <c r="C1061" s="233"/>
      <c r="D1061" s="233"/>
      <c r="E1061" s="316"/>
      <c r="F1061" s="233"/>
      <c r="G1061" s="233"/>
      <c r="H1061" s="317"/>
      <c r="I1061" s="317"/>
      <c r="J1061" s="233"/>
      <c r="K1061" s="233"/>
      <c r="L1061" s="316"/>
      <c r="M1061" s="233"/>
      <c r="N1061" s="234"/>
      <c r="O1061" s="251"/>
      <c r="P1061" s="251"/>
      <c r="Q1061" s="251"/>
      <c r="R1061" s="251"/>
    </row>
    <row r="1062" ht="15.75" hidden="1" customHeight="1">
      <c r="A1062" s="318"/>
      <c r="B1062" s="236"/>
      <c r="C1062" s="236"/>
      <c r="D1062" s="236"/>
      <c r="E1062" s="314"/>
      <c r="F1062" s="236"/>
      <c r="G1062" s="236"/>
      <c r="H1062" s="313"/>
      <c r="I1062" s="313"/>
      <c r="J1062" s="236"/>
      <c r="K1062" s="236"/>
      <c r="L1062" s="314"/>
      <c r="M1062" s="236"/>
      <c r="N1062" s="237"/>
      <c r="O1062" s="251"/>
      <c r="P1062" s="251"/>
      <c r="Q1062" s="251"/>
      <c r="R1062" s="251"/>
    </row>
    <row r="1063" ht="15.75" hidden="1" customHeight="1">
      <c r="A1063" s="315"/>
      <c r="B1063" s="233"/>
      <c r="C1063" s="233"/>
      <c r="D1063" s="233"/>
      <c r="E1063" s="316"/>
      <c r="F1063" s="233"/>
      <c r="G1063" s="233"/>
      <c r="H1063" s="317"/>
      <c r="I1063" s="317"/>
      <c r="J1063" s="233"/>
      <c r="K1063" s="233"/>
      <c r="L1063" s="316"/>
      <c r="M1063" s="233"/>
      <c r="N1063" s="234"/>
      <c r="O1063" s="251"/>
      <c r="P1063" s="251"/>
      <c r="Q1063" s="251"/>
      <c r="R1063" s="251"/>
    </row>
    <row r="1064" ht="15.75" hidden="1" customHeight="1">
      <c r="A1064" s="318"/>
      <c r="B1064" s="236"/>
      <c r="C1064" s="236"/>
      <c r="D1064" s="236"/>
      <c r="E1064" s="314"/>
      <c r="F1064" s="236"/>
      <c r="G1064" s="236"/>
      <c r="H1064" s="313"/>
      <c r="I1064" s="313"/>
      <c r="J1064" s="236"/>
      <c r="K1064" s="236"/>
      <c r="L1064" s="314"/>
      <c r="M1064" s="236"/>
      <c r="N1064" s="237"/>
      <c r="O1064" s="251"/>
      <c r="P1064" s="251"/>
      <c r="Q1064" s="251"/>
      <c r="R1064" s="251"/>
    </row>
    <row r="1065" ht="15.75" hidden="1" customHeight="1">
      <c r="A1065" s="315"/>
      <c r="B1065" s="233"/>
      <c r="C1065" s="233"/>
      <c r="D1065" s="233"/>
      <c r="E1065" s="316"/>
      <c r="F1065" s="233"/>
      <c r="G1065" s="233"/>
      <c r="H1065" s="317"/>
      <c r="I1065" s="317"/>
      <c r="J1065" s="233"/>
      <c r="K1065" s="233"/>
      <c r="L1065" s="316"/>
      <c r="M1065" s="233"/>
      <c r="N1065" s="234"/>
      <c r="O1065" s="251"/>
      <c r="P1065" s="251"/>
      <c r="Q1065" s="251"/>
      <c r="R1065" s="251"/>
    </row>
    <row r="1066" ht="15.75" hidden="1" customHeight="1">
      <c r="A1066" s="318"/>
      <c r="B1066" s="236"/>
      <c r="C1066" s="236"/>
      <c r="D1066" s="236"/>
      <c r="E1066" s="314"/>
      <c r="F1066" s="236"/>
      <c r="G1066" s="236"/>
      <c r="H1066" s="313"/>
      <c r="I1066" s="313"/>
      <c r="J1066" s="236"/>
      <c r="K1066" s="236"/>
      <c r="L1066" s="314"/>
      <c r="M1066" s="236"/>
      <c r="N1066" s="237"/>
      <c r="O1066" s="251"/>
      <c r="P1066" s="251"/>
      <c r="Q1066" s="251"/>
      <c r="R1066" s="251"/>
    </row>
    <row r="1067" ht="15.75" hidden="1" customHeight="1">
      <c r="A1067" s="315"/>
      <c r="B1067" s="233"/>
      <c r="C1067" s="233"/>
      <c r="D1067" s="233"/>
      <c r="E1067" s="316"/>
      <c r="F1067" s="233"/>
      <c r="G1067" s="233"/>
      <c r="H1067" s="317"/>
      <c r="I1067" s="317"/>
      <c r="J1067" s="233"/>
      <c r="K1067" s="233"/>
      <c r="L1067" s="316"/>
      <c r="M1067" s="233"/>
      <c r="N1067" s="234"/>
      <c r="O1067" s="251"/>
      <c r="P1067" s="251"/>
      <c r="Q1067" s="251"/>
      <c r="R1067" s="251"/>
    </row>
    <row r="1068" ht="15.75" hidden="1" customHeight="1">
      <c r="A1068" s="318"/>
      <c r="B1068" s="236"/>
      <c r="C1068" s="236"/>
      <c r="D1068" s="236"/>
      <c r="E1068" s="314"/>
      <c r="F1068" s="236"/>
      <c r="G1068" s="236"/>
      <c r="H1068" s="313"/>
      <c r="I1068" s="313"/>
      <c r="J1068" s="236"/>
      <c r="K1068" s="236"/>
      <c r="L1068" s="314"/>
      <c r="M1068" s="236"/>
      <c r="N1068" s="237"/>
      <c r="O1068" s="251"/>
      <c r="P1068" s="251"/>
      <c r="Q1068" s="251"/>
      <c r="R1068" s="251"/>
    </row>
    <row r="1069" ht="15.75" hidden="1" customHeight="1">
      <c r="A1069" s="315"/>
      <c r="B1069" s="233"/>
      <c r="C1069" s="233"/>
      <c r="D1069" s="233"/>
      <c r="E1069" s="316"/>
      <c r="F1069" s="233"/>
      <c r="G1069" s="233"/>
      <c r="H1069" s="317"/>
      <c r="I1069" s="317"/>
      <c r="J1069" s="233"/>
      <c r="K1069" s="233"/>
      <c r="L1069" s="316"/>
      <c r="M1069" s="233"/>
      <c r="N1069" s="234"/>
      <c r="O1069" s="251"/>
      <c r="P1069" s="251"/>
      <c r="Q1069" s="251"/>
      <c r="R1069" s="251"/>
    </row>
    <row r="1070" ht="15.75" hidden="1" customHeight="1">
      <c r="A1070" s="318"/>
      <c r="B1070" s="236"/>
      <c r="C1070" s="236"/>
      <c r="D1070" s="236"/>
      <c r="E1070" s="314"/>
      <c r="F1070" s="236"/>
      <c r="G1070" s="236"/>
      <c r="H1070" s="313"/>
      <c r="I1070" s="313"/>
      <c r="J1070" s="236"/>
      <c r="K1070" s="236"/>
      <c r="L1070" s="314"/>
      <c r="M1070" s="236"/>
      <c r="N1070" s="237"/>
      <c r="O1070" s="251"/>
      <c r="P1070" s="251"/>
      <c r="Q1070" s="251"/>
      <c r="R1070" s="251"/>
    </row>
    <row r="1071" ht="15.75" hidden="1" customHeight="1">
      <c r="A1071" s="315"/>
      <c r="B1071" s="233"/>
      <c r="C1071" s="233"/>
      <c r="D1071" s="233"/>
      <c r="E1071" s="316"/>
      <c r="F1071" s="233"/>
      <c r="G1071" s="233"/>
      <c r="H1071" s="317"/>
      <c r="I1071" s="317"/>
      <c r="J1071" s="233"/>
      <c r="K1071" s="233"/>
      <c r="L1071" s="316"/>
      <c r="M1071" s="233"/>
      <c r="N1071" s="234"/>
      <c r="O1071" s="251"/>
      <c r="P1071" s="251"/>
      <c r="Q1071" s="251"/>
      <c r="R1071" s="251"/>
    </row>
    <row r="1072" ht="15.75" hidden="1" customHeight="1">
      <c r="A1072" s="318"/>
      <c r="B1072" s="236"/>
      <c r="C1072" s="236"/>
      <c r="D1072" s="236"/>
      <c r="E1072" s="314"/>
      <c r="F1072" s="236"/>
      <c r="G1072" s="236"/>
      <c r="H1072" s="313"/>
      <c r="I1072" s="313"/>
      <c r="J1072" s="236"/>
      <c r="K1072" s="236"/>
      <c r="L1072" s="314"/>
      <c r="M1072" s="236"/>
      <c r="N1072" s="237"/>
      <c r="O1072" s="251"/>
      <c r="P1072" s="251"/>
      <c r="Q1072" s="251"/>
      <c r="R1072" s="251"/>
    </row>
    <row r="1073" ht="15.75" hidden="1" customHeight="1">
      <c r="A1073" s="315"/>
      <c r="B1073" s="233"/>
      <c r="C1073" s="233"/>
      <c r="D1073" s="233"/>
      <c r="E1073" s="316"/>
      <c r="F1073" s="233"/>
      <c r="G1073" s="233"/>
      <c r="H1073" s="317"/>
      <c r="I1073" s="317"/>
      <c r="J1073" s="233"/>
      <c r="K1073" s="233"/>
      <c r="L1073" s="316"/>
      <c r="M1073" s="233"/>
      <c r="N1073" s="234"/>
      <c r="O1073" s="251"/>
      <c r="P1073" s="251"/>
      <c r="Q1073" s="251"/>
      <c r="R1073" s="251"/>
    </row>
    <row r="1074" ht="15.75" hidden="1" customHeight="1">
      <c r="A1074" s="318"/>
      <c r="B1074" s="236"/>
      <c r="C1074" s="236"/>
      <c r="D1074" s="236"/>
      <c r="E1074" s="314"/>
      <c r="F1074" s="236"/>
      <c r="G1074" s="236"/>
      <c r="H1074" s="313"/>
      <c r="I1074" s="313"/>
      <c r="J1074" s="236"/>
      <c r="K1074" s="236"/>
      <c r="L1074" s="314"/>
      <c r="M1074" s="236"/>
      <c r="N1074" s="237"/>
      <c r="O1074" s="251"/>
      <c r="P1074" s="251"/>
      <c r="Q1074" s="251"/>
      <c r="R1074" s="251"/>
    </row>
    <row r="1075" ht="15.75" hidden="1" customHeight="1">
      <c r="A1075" s="315"/>
      <c r="B1075" s="233"/>
      <c r="C1075" s="233"/>
      <c r="D1075" s="233"/>
      <c r="E1075" s="316"/>
      <c r="F1075" s="233"/>
      <c r="G1075" s="233"/>
      <c r="H1075" s="317"/>
      <c r="I1075" s="317"/>
      <c r="J1075" s="233"/>
      <c r="K1075" s="233"/>
      <c r="L1075" s="316"/>
      <c r="M1075" s="233"/>
      <c r="N1075" s="234"/>
      <c r="O1075" s="251"/>
      <c r="P1075" s="251"/>
      <c r="Q1075" s="251"/>
      <c r="R1075" s="251"/>
    </row>
    <row r="1076" ht="15.75" hidden="1" customHeight="1">
      <c r="A1076" s="318"/>
      <c r="B1076" s="236"/>
      <c r="C1076" s="236"/>
      <c r="D1076" s="236"/>
      <c r="E1076" s="314"/>
      <c r="F1076" s="236"/>
      <c r="G1076" s="236"/>
      <c r="H1076" s="313"/>
      <c r="I1076" s="313"/>
      <c r="J1076" s="236"/>
      <c r="K1076" s="236"/>
      <c r="L1076" s="314"/>
      <c r="M1076" s="236"/>
      <c r="N1076" s="237"/>
      <c r="O1076" s="251"/>
      <c r="P1076" s="251"/>
      <c r="Q1076" s="251"/>
      <c r="R1076" s="251"/>
    </row>
    <row r="1077" ht="15.75" hidden="1" customHeight="1">
      <c r="A1077" s="315"/>
      <c r="B1077" s="233"/>
      <c r="C1077" s="233"/>
      <c r="D1077" s="233"/>
      <c r="E1077" s="316"/>
      <c r="F1077" s="233"/>
      <c r="G1077" s="233"/>
      <c r="H1077" s="317"/>
      <c r="I1077" s="317"/>
      <c r="J1077" s="233"/>
      <c r="K1077" s="233"/>
      <c r="L1077" s="316"/>
      <c r="M1077" s="233"/>
      <c r="N1077" s="234"/>
      <c r="O1077" s="251"/>
      <c r="P1077" s="251"/>
      <c r="Q1077" s="251"/>
      <c r="R1077" s="251"/>
    </row>
    <row r="1078" ht="15.75" hidden="1" customHeight="1">
      <c r="A1078" s="318"/>
      <c r="B1078" s="236"/>
      <c r="C1078" s="236"/>
      <c r="D1078" s="236"/>
      <c r="E1078" s="314"/>
      <c r="F1078" s="236"/>
      <c r="G1078" s="236"/>
      <c r="H1078" s="313"/>
      <c r="I1078" s="313"/>
      <c r="J1078" s="236"/>
      <c r="K1078" s="236"/>
      <c r="L1078" s="314"/>
      <c r="M1078" s="236"/>
      <c r="N1078" s="237"/>
      <c r="O1078" s="251"/>
      <c r="P1078" s="251"/>
      <c r="Q1078" s="251"/>
      <c r="R1078" s="251"/>
    </row>
    <row r="1079" ht="15.75" hidden="1" customHeight="1">
      <c r="A1079" s="315"/>
      <c r="B1079" s="233"/>
      <c r="C1079" s="233"/>
      <c r="D1079" s="233"/>
      <c r="E1079" s="316"/>
      <c r="F1079" s="233"/>
      <c r="G1079" s="233"/>
      <c r="H1079" s="317"/>
      <c r="I1079" s="317"/>
      <c r="J1079" s="233"/>
      <c r="K1079" s="233"/>
      <c r="L1079" s="316"/>
      <c r="M1079" s="233"/>
      <c r="N1079" s="234"/>
      <c r="O1079" s="251"/>
      <c r="P1079" s="251"/>
      <c r="Q1079" s="251"/>
      <c r="R1079" s="251"/>
    </row>
    <row r="1080" ht="15.75" hidden="1" customHeight="1">
      <c r="A1080" s="318"/>
      <c r="B1080" s="236"/>
      <c r="C1080" s="236"/>
      <c r="D1080" s="236"/>
      <c r="E1080" s="314"/>
      <c r="F1080" s="236"/>
      <c r="G1080" s="236"/>
      <c r="H1080" s="313"/>
      <c r="I1080" s="313"/>
      <c r="J1080" s="236"/>
      <c r="K1080" s="236"/>
      <c r="L1080" s="314"/>
      <c r="M1080" s="236"/>
      <c r="N1080" s="237"/>
      <c r="O1080" s="251"/>
      <c r="P1080" s="251"/>
      <c r="Q1080" s="251"/>
      <c r="R1080" s="251"/>
    </row>
    <row r="1081" ht="15.75" hidden="1" customHeight="1">
      <c r="A1081" s="315"/>
      <c r="B1081" s="233"/>
      <c r="C1081" s="233"/>
      <c r="D1081" s="233"/>
      <c r="E1081" s="316"/>
      <c r="F1081" s="233"/>
      <c r="G1081" s="233"/>
      <c r="H1081" s="317"/>
      <c r="I1081" s="317"/>
      <c r="J1081" s="233"/>
      <c r="K1081" s="233"/>
      <c r="L1081" s="316"/>
      <c r="M1081" s="233"/>
      <c r="N1081" s="234"/>
      <c r="O1081" s="251"/>
      <c r="P1081" s="251"/>
      <c r="Q1081" s="251"/>
      <c r="R1081" s="251"/>
    </row>
    <row r="1082" ht="15.75" hidden="1" customHeight="1">
      <c r="A1082" s="318"/>
      <c r="B1082" s="236"/>
      <c r="C1082" s="236"/>
      <c r="D1082" s="236"/>
      <c r="E1082" s="314"/>
      <c r="F1082" s="236"/>
      <c r="G1082" s="236"/>
      <c r="H1082" s="313"/>
      <c r="I1082" s="313"/>
      <c r="J1082" s="236"/>
      <c r="K1082" s="236"/>
      <c r="L1082" s="314"/>
      <c r="M1082" s="236"/>
      <c r="N1082" s="237"/>
      <c r="O1082" s="251"/>
      <c r="P1082" s="251"/>
      <c r="Q1082" s="251"/>
      <c r="R1082" s="251"/>
    </row>
    <row r="1083" ht="15.75" hidden="1" customHeight="1">
      <c r="A1083" s="315"/>
      <c r="B1083" s="233"/>
      <c r="C1083" s="233"/>
      <c r="D1083" s="233"/>
      <c r="E1083" s="316"/>
      <c r="F1083" s="233"/>
      <c r="G1083" s="233"/>
      <c r="H1083" s="317"/>
      <c r="I1083" s="317"/>
      <c r="J1083" s="233"/>
      <c r="K1083" s="233"/>
      <c r="L1083" s="316"/>
      <c r="M1083" s="233"/>
      <c r="N1083" s="234"/>
      <c r="O1083" s="251"/>
      <c r="P1083" s="251"/>
      <c r="Q1083" s="251"/>
      <c r="R1083" s="251"/>
    </row>
    <row r="1084" ht="15.75" hidden="1" customHeight="1">
      <c r="A1084" s="318"/>
      <c r="B1084" s="236"/>
      <c r="C1084" s="236"/>
      <c r="D1084" s="236"/>
      <c r="E1084" s="314"/>
      <c r="F1084" s="236"/>
      <c r="G1084" s="236"/>
      <c r="H1084" s="313"/>
      <c r="I1084" s="313"/>
      <c r="J1084" s="236"/>
      <c r="K1084" s="236"/>
      <c r="L1084" s="314"/>
      <c r="M1084" s="236"/>
      <c r="N1084" s="237"/>
      <c r="O1084" s="251"/>
      <c r="P1084" s="251"/>
      <c r="Q1084" s="251"/>
      <c r="R1084" s="251"/>
    </row>
    <row r="1085" ht="15.75" hidden="1" customHeight="1">
      <c r="A1085" s="315"/>
      <c r="B1085" s="233"/>
      <c r="C1085" s="233"/>
      <c r="D1085" s="233"/>
      <c r="E1085" s="316"/>
      <c r="F1085" s="233"/>
      <c r="G1085" s="233"/>
      <c r="H1085" s="317"/>
      <c r="I1085" s="317"/>
      <c r="J1085" s="233"/>
      <c r="K1085" s="233"/>
      <c r="L1085" s="316"/>
      <c r="M1085" s="233"/>
      <c r="N1085" s="234"/>
      <c r="O1085" s="251"/>
      <c r="P1085" s="251"/>
      <c r="Q1085" s="251"/>
      <c r="R1085" s="251"/>
    </row>
    <row r="1086" ht="15.75" hidden="1" customHeight="1">
      <c r="A1086" s="318"/>
      <c r="B1086" s="236"/>
      <c r="C1086" s="236"/>
      <c r="D1086" s="236"/>
      <c r="E1086" s="314"/>
      <c r="F1086" s="236"/>
      <c r="G1086" s="236"/>
      <c r="H1086" s="313"/>
      <c r="I1086" s="313"/>
      <c r="J1086" s="236"/>
      <c r="K1086" s="236"/>
      <c r="L1086" s="314"/>
      <c r="M1086" s="236"/>
      <c r="N1086" s="237"/>
      <c r="O1086" s="251"/>
      <c r="P1086" s="251"/>
      <c r="Q1086" s="251"/>
      <c r="R1086" s="251"/>
    </row>
    <row r="1087" ht="15.75" hidden="1" customHeight="1">
      <c r="A1087" s="315"/>
      <c r="B1087" s="233"/>
      <c r="C1087" s="233"/>
      <c r="D1087" s="233"/>
      <c r="E1087" s="316"/>
      <c r="F1087" s="233"/>
      <c r="G1087" s="233"/>
      <c r="H1087" s="317"/>
      <c r="I1087" s="317"/>
      <c r="J1087" s="233"/>
      <c r="K1087" s="233"/>
      <c r="L1087" s="316"/>
      <c r="M1087" s="233"/>
      <c r="N1087" s="234"/>
      <c r="O1087" s="251"/>
      <c r="P1087" s="251"/>
      <c r="Q1087" s="251"/>
      <c r="R1087" s="251"/>
    </row>
    <row r="1088" ht="15.75" hidden="1" customHeight="1">
      <c r="A1088" s="318"/>
      <c r="B1088" s="236"/>
      <c r="C1088" s="236"/>
      <c r="D1088" s="236"/>
      <c r="E1088" s="314"/>
      <c r="F1088" s="236"/>
      <c r="G1088" s="236"/>
      <c r="H1088" s="313"/>
      <c r="I1088" s="313"/>
      <c r="J1088" s="236"/>
      <c r="K1088" s="236"/>
      <c r="L1088" s="314"/>
      <c r="M1088" s="236"/>
      <c r="N1088" s="237"/>
      <c r="O1088" s="251"/>
      <c r="P1088" s="251"/>
      <c r="Q1088" s="251"/>
      <c r="R1088" s="251"/>
    </row>
    <row r="1089" ht="15.75" hidden="1" customHeight="1">
      <c r="A1089" s="315"/>
      <c r="B1089" s="233"/>
      <c r="C1089" s="233"/>
      <c r="D1089" s="233"/>
      <c r="E1089" s="316"/>
      <c r="F1089" s="233"/>
      <c r="G1089" s="233"/>
      <c r="H1089" s="317"/>
      <c r="I1089" s="317"/>
      <c r="J1089" s="233"/>
      <c r="K1089" s="233"/>
      <c r="L1089" s="316"/>
      <c r="M1089" s="233"/>
      <c r="N1089" s="234"/>
      <c r="O1089" s="251"/>
      <c r="P1089" s="251"/>
      <c r="Q1089" s="251"/>
      <c r="R1089" s="251"/>
    </row>
    <row r="1090" ht="15.75" hidden="1" customHeight="1">
      <c r="A1090" s="318"/>
      <c r="B1090" s="236"/>
      <c r="C1090" s="236"/>
      <c r="D1090" s="236"/>
      <c r="E1090" s="314"/>
      <c r="F1090" s="236"/>
      <c r="G1090" s="236"/>
      <c r="H1090" s="313"/>
      <c r="I1090" s="313"/>
      <c r="J1090" s="236"/>
      <c r="K1090" s="236"/>
      <c r="L1090" s="314"/>
      <c r="M1090" s="236"/>
      <c r="N1090" s="237"/>
      <c r="O1090" s="251"/>
      <c r="P1090" s="251"/>
      <c r="Q1090" s="251"/>
      <c r="R1090" s="251"/>
    </row>
    <row r="1091" ht="15.75" hidden="1" customHeight="1">
      <c r="A1091" s="315"/>
      <c r="B1091" s="233"/>
      <c r="C1091" s="233"/>
      <c r="D1091" s="233"/>
      <c r="E1091" s="316"/>
      <c r="F1091" s="233"/>
      <c r="G1091" s="233"/>
      <c r="H1091" s="317"/>
      <c r="I1091" s="317"/>
      <c r="J1091" s="233"/>
      <c r="K1091" s="233"/>
      <c r="L1091" s="316"/>
      <c r="M1091" s="233"/>
      <c r="N1091" s="234"/>
      <c r="O1091" s="251"/>
      <c r="P1091" s="251"/>
      <c r="Q1091" s="251"/>
      <c r="R1091" s="251"/>
    </row>
    <row r="1092" ht="15.75" hidden="1" customHeight="1">
      <c r="A1092" s="319"/>
      <c r="B1092" s="240"/>
      <c r="C1092" s="240"/>
      <c r="D1092" s="240"/>
      <c r="E1092" s="320"/>
      <c r="F1092" s="240"/>
      <c r="G1092" s="240"/>
      <c r="H1092" s="321"/>
      <c r="I1092" s="321"/>
      <c r="J1092" s="240"/>
      <c r="K1092" s="240"/>
      <c r="L1092" s="320"/>
      <c r="M1092" s="240"/>
      <c r="N1092" s="241"/>
      <c r="O1092" s="251"/>
      <c r="P1092" s="251"/>
      <c r="Q1092" s="251"/>
      <c r="R1092" s="251"/>
    </row>
  </sheetData>
  <conditionalFormatting sqref="M3:M163">
    <cfRule type="expression" dxfId="4" priority="1">
      <formula>K3&lt;M3</formula>
    </cfRule>
  </conditionalFormatting>
  <conditionalFormatting sqref="M1:M2">
    <cfRule type="notContainsBlanks" dxfId="5" priority="2">
      <formula>LEN(TRIM(M1))&gt;0</formula>
    </cfRule>
  </conditionalFormatting>
  <dataValidations>
    <dataValidation type="custom" allowBlank="1" showDropDown="1" sqref="E2:E1092 H2:I1092 L2:L1092">
      <formula1>AND(ISNUMBER(E2),(NOT(OR(NOT(ISERROR(DATEVALUE(E2))), AND(ISNUMBER(E2), LEFT(CELL("format", E2))="D")))))</formula1>
    </dataValidation>
  </dataValidations>
  <hyperlinks>
    <hyperlink r:id="rId1" ref="B313"/>
  </hyperlink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29"/>
    <col customWidth="1" min="2" max="2" width="14.14"/>
    <col customWidth="1" min="3" max="3" width="24.14"/>
    <col customWidth="1" min="4" max="4" width="19.57"/>
    <col customWidth="1" min="5" max="5" width="12.57"/>
    <col customWidth="1" min="6" max="6" width="17.29"/>
    <col customWidth="1" min="7" max="26" width="8.71"/>
  </cols>
  <sheetData>
    <row r="1">
      <c r="A1" s="322" t="s">
        <v>0</v>
      </c>
      <c r="B1" s="322" t="s">
        <v>14</v>
      </c>
      <c r="C1" s="322" t="s">
        <v>873</v>
      </c>
      <c r="D1" s="322" t="s">
        <v>874</v>
      </c>
      <c r="E1" s="322" t="s">
        <v>875</v>
      </c>
      <c r="F1" s="322" t="s">
        <v>876</v>
      </c>
    </row>
    <row r="2">
      <c r="A2" s="7"/>
    </row>
    <row r="6">
      <c r="D6" s="13"/>
    </row>
    <row r="7">
      <c r="D7" s="13"/>
    </row>
    <row r="8">
      <c r="D8" s="13"/>
    </row>
    <row r="9">
      <c r="D9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17.43"/>
    <col customWidth="1" min="3" max="3" width="17.0"/>
    <col customWidth="1" min="4" max="4" width="15.29"/>
    <col customWidth="1" min="5" max="5" width="19.0"/>
    <col customWidth="1" min="9" max="9" width="17.86"/>
  </cols>
  <sheetData>
    <row r="1">
      <c r="D1" s="324" t="s">
        <v>880</v>
      </c>
      <c r="E1" s="325"/>
      <c r="F1" s="323" t="s">
        <v>877</v>
      </c>
      <c r="G1" s="323" t="s">
        <v>881</v>
      </c>
    </row>
    <row r="2">
      <c r="D2" s="323">
        <f t="shared" ref="D2:D4" si="1">C2/B2</f>
        <v>7103.903514</v>
      </c>
      <c r="E2" s="325"/>
      <c r="F2" s="326" t="s">
        <v>883</v>
      </c>
      <c r="G2" s="327">
        <v>472884.0</v>
      </c>
    </row>
    <row r="3">
      <c r="D3" s="323">
        <f t="shared" si="1"/>
        <v>8254.986739</v>
      </c>
      <c r="E3" s="325"/>
      <c r="F3" s="326" t="s">
        <v>882</v>
      </c>
      <c r="G3" s="327">
        <v>484492.0</v>
      </c>
    </row>
    <row r="4">
      <c r="D4" s="323">
        <f t="shared" si="1"/>
        <v>8397.836913</v>
      </c>
      <c r="E4" s="325"/>
      <c r="F4" s="326" t="s">
        <v>884</v>
      </c>
      <c r="G4" s="327">
        <v>57300.0</v>
      </c>
    </row>
    <row r="5">
      <c r="D5" s="323"/>
      <c r="E5" s="325"/>
      <c r="F5" s="328"/>
      <c r="G5" s="327">
        <v>0.0</v>
      </c>
    </row>
    <row r="6">
      <c r="A6" s="323"/>
      <c r="B6" s="323"/>
      <c r="C6" s="323"/>
      <c r="D6" s="323"/>
      <c r="E6" s="323"/>
      <c r="F6" s="323" t="s">
        <v>886</v>
      </c>
      <c r="G6" s="327">
        <v>1014676.0</v>
      </c>
    </row>
    <row r="7">
      <c r="A7" s="323"/>
      <c r="B7" s="323"/>
      <c r="C7" s="323"/>
      <c r="D7" s="323"/>
      <c r="E7" s="323"/>
      <c r="F7" s="323"/>
      <c r="G7" s="323"/>
    </row>
    <row r="8">
      <c r="A8" s="323"/>
      <c r="B8" s="323"/>
      <c r="C8" s="323"/>
      <c r="D8" s="323"/>
      <c r="E8" s="323"/>
      <c r="F8" s="323"/>
      <c r="G8" s="323"/>
    </row>
    <row r="9">
      <c r="A9" s="323"/>
      <c r="B9" s="323"/>
      <c r="C9" s="323"/>
      <c r="D9" s="323"/>
      <c r="E9" s="323"/>
      <c r="F9" s="323"/>
      <c r="G9" s="323"/>
    </row>
    <row r="10">
      <c r="A10" s="323"/>
      <c r="B10" s="323"/>
      <c r="C10" s="323"/>
      <c r="D10" s="323"/>
    </row>
    <row r="11">
      <c r="A11" s="323"/>
      <c r="B11" s="323"/>
      <c r="C11" s="323"/>
      <c r="D11" s="323"/>
    </row>
    <row r="12">
      <c r="A12" s="323"/>
      <c r="B12" s="323"/>
      <c r="C12" s="323"/>
      <c r="D12" s="323"/>
    </row>
    <row r="13">
      <c r="A13" s="323"/>
      <c r="B13" s="323"/>
      <c r="C13" s="323"/>
      <c r="D13" s="323"/>
    </row>
    <row r="14">
      <c r="A14" s="323"/>
      <c r="B14" s="323"/>
      <c r="C14" s="323"/>
      <c r="D14" s="323"/>
    </row>
    <row r="15">
      <c r="A15" s="323"/>
      <c r="B15" s="323"/>
      <c r="C15" s="323"/>
      <c r="D15" s="323"/>
      <c r="E15" s="329"/>
      <c r="F15" s="329"/>
      <c r="G15" s="329"/>
      <c r="H15" s="329"/>
      <c r="I15" s="329"/>
    </row>
    <row r="16">
      <c r="A16" s="323"/>
      <c r="B16" s="323"/>
      <c r="C16" s="323"/>
      <c r="D16" s="323"/>
      <c r="E16" s="329"/>
      <c r="F16" s="329"/>
      <c r="G16" s="329"/>
      <c r="H16" s="329"/>
      <c r="I16" s="329"/>
    </row>
    <row r="17">
      <c r="A17" s="323"/>
      <c r="B17" s="323"/>
      <c r="C17" s="323"/>
      <c r="D17" s="323"/>
      <c r="E17" s="329"/>
      <c r="F17" s="329"/>
      <c r="G17" s="329"/>
      <c r="H17" s="329"/>
      <c r="I17" s="329"/>
    </row>
    <row r="18">
      <c r="A18" s="323"/>
      <c r="B18" s="323"/>
      <c r="C18" s="323"/>
      <c r="D18" s="323"/>
      <c r="E18" s="329"/>
      <c r="F18" s="329"/>
      <c r="G18" s="329"/>
      <c r="H18" s="329"/>
      <c r="I18" s="329"/>
    </row>
    <row r="19">
      <c r="A19" s="323"/>
      <c r="B19" s="323"/>
      <c r="C19" s="323"/>
      <c r="D19" s="323"/>
      <c r="E19" s="329"/>
      <c r="F19" s="329"/>
      <c r="G19" s="329"/>
      <c r="H19" s="329"/>
      <c r="I19" s="329"/>
    </row>
    <row r="20">
      <c r="A20" s="323"/>
      <c r="B20" s="323"/>
      <c r="C20" s="323"/>
      <c r="D20" s="323"/>
      <c r="E20" s="329"/>
      <c r="F20" s="329"/>
      <c r="G20" s="329"/>
      <c r="H20" s="329"/>
      <c r="I20" s="329"/>
    </row>
    <row r="21">
      <c r="A21" s="323"/>
      <c r="B21" s="323"/>
      <c r="C21" s="323"/>
      <c r="D21" s="323"/>
      <c r="E21" s="329"/>
      <c r="F21" s="329"/>
      <c r="G21" s="329"/>
      <c r="H21" s="329"/>
      <c r="I21" s="329"/>
    </row>
    <row r="22">
      <c r="A22" s="323"/>
      <c r="B22" s="323"/>
      <c r="C22" s="323"/>
      <c r="D22" s="323"/>
      <c r="E22" s="329"/>
      <c r="F22" s="329"/>
      <c r="G22" s="329"/>
      <c r="H22" s="329"/>
      <c r="I22" s="329"/>
    </row>
    <row r="23">
      <c r="A23" s="323"/>
      <c r="B23" s="323"/>
      <c r="C23" s="323"/>
      <c r="D23" s="323" t="str">
        <f t="shared" ref="D23:D34" si="2">IF(AND(ISNUMBER(C23), ISNUMBER(B23)), C23/B23, "")</f>
        <v/>
      </c>
      <c r="E23" s="329"/>
      <c r="F23" s="329"/>
      <c r="G23" s="329"/>
      <c r="H23" s="329"/>
      <c r="I23" s="329"/>
    </row>
    <row r="24">
      <c r="A24" s="323"/>
      <c r="B24" s="323"/>
      <c r="C24" s="323"/>
      <c r="D24" s="323" t="str">
        <f t="shared" si="2"/>
        <v/>
      </c>
      <c r="E24" s="329"/>
      <c r="F24" s="329"/>
      <c r="G24" s="329"/>
      <c r="H24" s="329"/>
      <c r="I24" s="329"/>
    </row>
    <row r="25">
      <c r="A25" s="323"/>
      <c r="B25" s="323"/>
      <c r="C25" s="323"/>
      <c r="D25" s="323" t="str">
        <f t="shared" si="2"/>
        <v/>
      </c>
      <c r="E25" s="329"/>
      <c r="F25" s="329"/>
      <c r="G25" s="329"/>
      <c r="H25" s="329"/>
      <c r="I25" s="329"/>
    </row>
    <row r="26">
      <c r="A26" s="323"/>
      <c r="B26" s="323"/>
      <c r="C26" s="323"/>
      <c r="D26" s="323" t="str">
        <f t="shared" si="2"/>
        <v/>
      </c>
      <c r="E26" s="329"/>
      <c r="F26" s="329"/>
      <c r="G26" s="329"/>
      <c r="H26" s="329"/>
      <c r="I26" s="329"/>
    </row>
    <row r="27">
      <c r="A27" s="323"/>
      <c r="B27" s="323"/>
      <c r="C27" s="323"/>
      <c r="D27" s="323" t="str">
        <f t="shared" si="2"/>
        <v/>
      </c>
    </row>
    <row r="28">
      <c r="A28" s="323"/>
      <c r="B28" s="323"/>
      <c r="C28" s="323"/>
      <c r="D28" s="323" t="str">
        <f t="shared" si="2"/>
        <v/>
      </c>
    </row>
    <row r="29">
      <c r="A29" s="323"/>
      <c r="B29" s="323"/>
      <c r="C29" s="323"/>
      <c r="D29" s="323" t="str">
        <f t="shared" si="2"/>
        <v/>
      </c>
    </row>
    <row r="30">
      <c r="A30" s="323"/>
      <c r="B30" s="323"/>
      <c r="C30" s="323"/>
      <c r="D30" s="323" t="str">
        <f t="shared" si="2"/>
        <v/>
      </c>
    </row>
    <row r="31">
      <c r="A31" s="323"/>
      <c r="B31" s="323"/>
      <c r="C31" s="323"/>
      <c r="D31" s="323" t="str">
        <f t="shared" si="2"/>
        <v/>
      </c>
    </row>
    <row r="32">
      <c r="A32" s="323"/>
      <c r="B32" s="323"/>
      <c r="C32" s="323"/>
      <c r="D32" s="323" t="str">
        <f t="shared" si="2"/>
        <v/>
      </c>
    </row>
    <row r="33">
      <c r="A33" s="323"/>
      <c r="B33" s="323"/>
      <c r="C33" s="323"/>
      <c r="D33" s="323" t="str">
        <f t="shared" si="2"/>
        <v/>
      </c>
    </row>
    <row r="34">
      <c r="A34" s="323"/>
      <c r="B34" s="323"/>
      <c r="C34" s="323"/>
      <c r="D34" s="323" t="str">
        <f t="shared" si="2"/>
        <v/>
      </c>
    </row>
    <row r="35">
      <c r="A35" s="323"/>
      <c r="B35" s="323"/>
      <c r="C35" s="323"/>
      <c r="D35" s="323"/>
    </row>
    <row r="36">
      <c r="A36" s="323"/>
      <c r="B36" s="323"/>
      <c r="C36" s="323"/>
      <c r="D36" s="323"/>
    </row>
    <row r="37">
      <c r="A37" s="323"/>
      <c r="B37" s="323"/>
      <c r="C37" s="323"/>
      <c r="D37" s="323"/>
    </row>
    <row r="38">
      <c r="A38" s="323"/>
      <c r="B38" s="323"/>
      <c r="C38" s="323"/>
      <c r="D38" s="323"/>
    </row>
    <row r="39">
      <c r="A39" s="323"/>
      <c r="B39" s="323"/>
      <c r="C39" s="323"/>
      <c r="D39" s="323"/>
    </row>
    <row r="40">
      <c r="A40" s="323"/>
      <c r="B40" s="323"/>
      <c r="C40" s="323"/>
      <c r="D40" s="323"/>
    </row>
    <row r="41">
      <c r="A41" s="323"/>
      <c r="B41" s="323"/>
      <c r="C41" s="323"/>
      <c r="D41" s="323"/>
    </row>
    <row r="42">
      <c r="A42" s="323"/>
      <c r="B42" s="323"/>
      <c r="C42" s="323"/>
      <c r="D42" s="323"/>
    </row>
    <row r="43">
      <c r="A43" s="323"/>
      <c r="B43" s="323"/>
      <c r="C43" s="323"/>
      <c r="D43" s="323"/>
    </row>
    <row r="44">
      <c r="A44" s="323"/>
      <c r="B44" s="323"/>
      <c r="C44" s="323"/>
      <c r="D44" s="323"/>
    </row>
    <row r="45">
      <c r="A45" s="323"/>
      <c r="B45" s="323"/>
      <c r="C45" s="323"/>
      <c r="D45" s="323"/>
    </row>
    <row r="46">
      <c r="A46" s="323"/>
      <c r="B46" s="323"/>
      <c r="C46" s="323"/>
      <c r="D46" s="323"/>
    </row>
    <row r="47">
      <c r="A47" s="323"/>
      <c r="B47" s="323"/>
      <c r="C47" s="323"/>
      <c r="D47" s="323"/>
    </row>
    <row r="48">
      <c r="A48" s="323"/>
      <c r="B48" s="323"/>
      <c r="C48" s="323"/>
      <c r="D48" s="323"/>
    </row>
    <row r="49">
      <c r="A49" s="323"/>
      <c r="B49" s="323"/>
      <c r="C49" s="323"/>
      <c r="D49" s="323"/>
    </row>
    <row r="50">
      <c r="A50" s="323"/>
      <c r="B50" s="323"/>
      <c r="C50" s="323"/>
      <c r="D50" s="323"/>
    </row>
    <row r="51">
      <c r="A51" s="323"/>
      <c r="B51" s="323"/>
      <c r="C51" s="323"/>
      <c r="D51" s="323"/>
    </row>
    <row r="52">
      <c r="A52" s="323"/>
      <c r="B52" s="323"/>
      <c r="C52" s="323"/>
      <c r="D52" s="323"/>
    </row>
    <row r="53">
      <c r="A53" s="323"/>
      <c r="B53" s="323"/>
      <c r="C53" s="323"/>
      <c r="D53" s="323"/>
    </row>
    <row r="54">
      <c r="A54" s="323"/>
      <c r="B54" s="323"/>
      <c r="C54" s="323"/>
      <c r="D54" s="323"/>
    </row>
    <row r="55">
      <c r="A55" s="323"/>
      <c r="B55" s="323"/>
      <c r="C55" s="323"/>
      <c r="D55" s="323"/>
    </row>
    <row r="56">
      <c r="A56" s="323"/>
      <c r="B56" s="323"/>
      <c r="C56" s="323"/>
      <c r="D56" s="323"/>
    </row>
    <row r="57">
      <c r="A57" s="323"/>
      <c r="B57" s="323"/>
      <c r="C57" s="323"/>
      <c r="D57" s="323"/>
    </row>
    <row r="58">
      <c r="A58" s="323"/>
      <c r="B58" s="323"/>
      <c r="C58" s="323"/>
      <c r="D58" s="323"/>
    </row>
    <row r="59">
      <c r="A59" s="323"/>
      <c r="B59" s="323"/>
      <c r="C59" s="323"/>
      <c r="D59" s="323"/>
    </row>
    <row r="60">
      <c r="A60" s="323"/>
      <c r="B60" s="323"/>
      <c r="C60" s="323"/>
      <c r="D60" s="323"/>
    </row>
    <row r="61">
      <c r="A61" s="323"/>
      <c r="B61" s="323"/>
      <c r="C61" s="323"/>
      <c r="D61" s="323"/>
    </row>
    <row r="62">
      <c r="A62" s="323"/>
      <c r="B62" s="323"/>
      <c r="C62" s="323"/>
      <c r="D62" s="323"/>
    </row>
    <row r="63">
      <c r="A63" s="323"/>
      <c r="B63" s="323"/>
      <c r="C63" s="323"/>
      <c r="D63" s="323"/>
    </row>
    <row r="64">
      <c r="A64" s="323"/>
      <c r="B64" s="323"/>
      <c r="C64" s="323"/>
      <c r="D64" s="323"/>
    </row>
    <row r="65">
      <c r="A65" s="323"/>
      <c r="B65" s="323"/>
      <c r="C65" s="323"/>
      <c r="D65" s="323"/>
    </row>
    <row r="66">
      <c r="A66" s="323"/>
      <c r="B66" s="323"/>
      <c r="C66" s="323"/>
      <c r="D66" s="323"/>
    </row>
    <row r="67">
      <c r="A67" s="323"/>
      <c r="B67" s="323"/>
      <c r="C67" s="323"/>
      <c r="D67" s="323"/>
    </row>
    <row r="68">
      <c r="A68" s="323"/>
      <c r="B68" s="323"/>
      <c r="C68" s="323"/>
      <c r="D68" s="323"/>
    </row>
    <row r="69">
      <c r="A69" s="323"/>
      <c r="B69" s="323"/>
      <c r="C69" s="323"/>
      <c r="D69" s="323"/>
    </row>
    <row r="70">
      <c r="A70" s="323"/>
      <c r="B70" s="323"/>
      <c r="C70" s="323"/>
      <c r="D70" s="323"/>
    </row>
    <row r="71">
      <c r="A71" s="323"/>
      <c r="B71" s="323"/>
      <c r="C71" s="323"/>
      <c r="D71" s="323"/>
    </row>
    <row r="72">
      <c r="A72" s="323"/>
      <c r="B72" s="323"/>
      <c r="C72" s="323"/>
      <c r="D72" s="323"/>
    </row>
    <row r="73">
      <c r="A73" s="323"/>
      <c r="B73" s="323"/>
      <c r="C73" s="323"/>
      <c r="D73" s="323"/>
    </row>
    <row r="74">
      <c r="A74" s="323"/>
      <c r="B74" s="323"/>
      <c r="C74" s="323"/>
      <c r="D74" s="323"/>
    </row>
    <row r="75">
      <c r="A75" s="323"/>
      <c r="B75" s="323"/>
      <c r="C75" s="323"/>
      <c r="D75" s="323"/>
    </row>
    <row r="76">
      <c r="A76" s="323"/>
      <c r="B76" s="323"/>
      <c r="C76" s="323"/>
      <c r="D76" s="323"/>
    </row>
    <row r="77">
      <c r="A77" s="323"/>
      <c r="B77" s="323"/>
      <c r="C77" s="323"/>
      <c r="D77" s="323"/>
    </row>
    <row r="78">
      <c r="A78" s="323"/>
      <c r="B78" s="323"/>
      <c r="C78" s="323"/>
      <c r="D78" s="323"/>
    </row>
    <row r="79">
      <c r="A79" s="323"/>
      <c r="B79" s="323"/>
      <c r="C79" s="323"/>
      <c r="D79" s="323"/>
    </row>
  </sheetData>
  <autoFilter ref="$A$1:$C$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71"/>
    <col customWidth="1" min="2" max="2" width="25.71"/>
    <col customWidth="1" min="3" max="3" width="14.0"/>
    <col customWidth="1" min="4" max="4" width="22.71"/>
    <col customWidth="1" min="5" max="5" width="14.29"/>
    <col customWidth="1" min="6" max="6" width="19.29"/>
    <col customWidth="1" min="7" max="7" width="15.29"/>
    <col customWidth="1" min="8" max="8" width="10.86"/>
    <col customWidth="1" min="9" max="26" width="8.71"/>
  </cols>
  <sheetData>
    <row r="1">
      <c r="A1" s="330" t="s">
        <v>0</v>
      </c>
      <c r="B1" s="331" t="s">
        <v>14</v>
      </c>
      <c r="C1" s="331" t="s">
        <v>15</v>
      </c>
      <c r="D1" s="331" t="s">
        <v>887</v>
      </c>
      <c r="E1" s="331" t="s">
        <v>19</v>
      </c>
      <c r="F1" s="331" t="s">
        <v>20</v>
      </c>
      <c r="G1" s="332" t="s">
        <v>888</v>
      </c>
    </row>
    <row r="2">
      <c r="A2" s="333">
        <v>45786.0</v>
      </c>
      <c r="B2" s="108" t="s">
        <v>889</v>
      </c>
      <c r="C2" s="108">
        <v>1.0</v>
      </c>
      <c r="D2" s="334">
        <v>54700.0</v>
      </c>
      <c r="E2" s="335">
        <f t="shared" ref="E2:E17" si="1">IF(AND(ISNUMBER(C2), ISNUMBER(D2)), C2*D2, "")</f>
        <v>54700</v>
      </c>
      <c r="F2" s="108" t="s">
        <v>11</v>
      </c>
      <c r="G2" s="336">
        <f t="shared" ref="G2:G17" si="2">IF(A2="", "", SUMIF(A:A, A2, E:E))</f>
        <v>85400</v>
      </c>
    </row>
    <row r="3">
      <c r="A3" s="337">
        <v>45786.0</v>
      </c>
      <c r="B3" s="108" t="s">
        <v>890</v>
      </c>
      <c r="C3" s="108">
        <v>1.0</v>
      </c>
      <c r="D3" s="334">
        <v>30700.0</v>
      </c>
      <c r="E3" s="335">
        <f t="shared" si="1"/>
        <v>30700</v>
      </c>
      <c r="F3" s="108" t="s">
        <v>11</v>
      </c>
      <c r="G3" s="336">
        <f t="shared" si="2"/>
        <v>85400</v>
      </c>
    </row>
    <row r="4">
      <c r="A4" s="338">
        <v>45790.0</v>
      </c>
      <c r="B4" s="99" t="s">
        <v>891</v>
      </c>
      <c r="C4" s="99">
        <v>1.0</v>
      </c>
      <c r="D4" s="339">
        <v>59000.0</v>
      </c>
      <c r="E4" s="340">
        <f t="shared" si="1"/>
        <v>59000</v>
      </c>
      <c r="F4" s="99" t="s">
        <v>892</v>
      </c>
      <c r="G4" s="341">
        <f t="shared" si="2"/>
        <v>240851</v>
      </c>
    </row>
    <row r="5">
      <c r="A5" s="342">
        <v>45790.0</v>
      </c>
      <c r="B5" s="98" t="s">
        <v>893</v>
      </c>
      <c r="C5" s="98">
        <v>1.0</v>
      </c>
      <c r="D5" s="343">
        <v>181851.0</v>
      </c>
      <c r="E5" s="344">
        <f t="shared" si="1"/>
        <v>181851</v>
      </c>
      <c r="F5" s="98" t="s">
        <v>11</v>
      </c>
      <c r="G5" s="345">
        <f t="shared" si="2"/>
        <v>240851</v>
      </c>
    </row>
    <row r="6">
      <c r="A6" s="338">
        <v>45795.0</v>
      </c>
      <c r="B6" s="99" t="s">
        <v>894</v>
      </c>
      <c r="C6" s="99">
        <v>1.0</v>
      </c>
      <c r="D6" s="339">
        <v>13614.0</v>
      </c>
      <c r="E6" s="340">
        <f t="shared" si="1"/>
        <v>13614</v>
      </c>
      <c r="F6" s="99" t="s">
        <v>892</v>
      </c>
      <c r="G6" s="341">
        <f t="shared" si="2"/>
        <v>13614</v>
      </c>
      <c r="H6" s="346">
        <f t="shared" ref="H6:H17" si="3">IF(AND(ISNUMBER(A6), E6&gt;0), 1, "")</f>
        <v>1</v>
      </c>
    </row>
    <row r="7">
      <c r="A7" s="342">
        <v>45798.0</v>
      </c>
      <c r="B7" s="98" t="s">
        <v>895</v>
      </c>
      <c r="C7" s="98">
        <v>1.0</v>
      </c>
      <c r="D7" s="343">
        <v>103200.0</v>
      </c>
      <c r="E7" s="344">
        <f t="shared" si="1"/>
        <v>103200</v>
      </c>
      <c r="F7" s="98" t="s">
        <v>11</v>
      </c>
      <c r="G7" s="345">
        <f t="shared" si="2"/>
        <v>103200</v>
      </c>
      <c r="H7" s="346">
        <f t="shared" si="3"/>
        <v>1</v>
      </c>
    </row>
    <row r="8">
      <c r="A8" s="338">
        <v>45806.0</v>
      </c>
      <c r="B8" s="99" t="s">
        <v>896</v>
      </c>
      <c r="C8" s="99">
        <v>1.0</v>
      </c>
      <c r="D8" s="339">
        <v>29819.0</v>
      </c>
      <c r="E8" s="340">
        <f t="shared" si="1"/>
        <v>29819</v>
      </c>
      <c r="F8" s="99" t="s">
        <v>892</v>
      </c>
      <c r="G8" s="341">
        <f t="shared" si="2"/>
        <v>29819</v>
      </c>
      <c r="H8" s="346">
        <f t="shared" si="3"/>
        <v>1</v>
      </c>
    </row>
    <row r="9">
      <c r="A9" s="337">
        <v>45815.0</v>
      </c>
      <c r="B9" s="108" t="s">
        <v>896</v>
      </c>
      <c r="C9" s="108">
        <v>1.0</v>
      </c>
      <c r="D9" s="334">
        <v>19000.0</v>
      </c>
      <c r="E9" s="335">
        <f t="shared" si="1"/>
        <v>19000</v>
      </c>
      <c r="F9" s="108" t="s">
        <v>892</v>
      </c>
      <c r="G9" s="336">
        <f t="shared" si="2"/>
        <v>142500</v>
      </c>
      <c r="H9" s="346">
        <f t="shared" si="3"/>
        <v>1</v>
      </c>
    </row>
    <row r="10">
      <c r="A10" s="337">
        <v>45815.0</v>
      </c>
      <c r="B10" s="108" t="s">
        <v>897</v>
      </c>
      <c r="C10" s="108">
        <v>1.0</v>
      </c>
      <c r="D10" s="334">
        <v>7500.0</v>
      </c>
      <c r="E10" s="335">
        <f t="shared" si="1"/>
        <v>7500</v>
      </c>
      <c r="F10" s="108" t="s">
        <v>11</v>
      </c>
      <c r="G10" s="336">
        <f t="shared" si="2"/>
        <v>142500</v>
      </c>
      <c r="H10" s="346">
        <f t="shared" si="3"/>
        <v>1</v>
      </c>
    </row>
    <row r="11">
      <c r="A11" s="337">
        <v>45815.0</v>
      </c>
      <c r="B11" s="108" t="s">
        <v>898</v>
      </c>
      <c r="C11" s="108">
        <v>1.0</v>
      </c>
      <c r="D11" s="334">
        <v>45000.0</v>
      </c>
      <c r="E11" s="335">
        <f t="shared" si="1"/>
        <v>45000</v>
      </c>
      <c r="F11" s="108" t="s">
        <v>11</v>
      </c>
      <c r="G11" s="336">
        <f t="shared" si="2"/>
        <v>142500</v>
      </c>
      <c r="H11" s="346">
        <f t="shared" si="3"/>
        <v>1</v>
      </c>
    </row>
    <row r="12">
      <c r="A12" s="337">
        <v>45815.0</v>
      </c>
      <c r="B12" s="108" t="s">
        <v>899</v>
      </c>
      <c r="C12" s="108">
        <v>1.0</v>
      </c>
      <c r="D12" s="334">
        <v>71000.0</v>
      </c>
      <c r="E12" s="335">
        <f t="shared" si="1"/>
        <v>71000</v>
      </c>
      <c r="F12" s="108" t="s">
        <v>892</v>
      </c>
      <c r="G12" s="336">
        <f t="shared" si="2"/>
        <v>142500</v>
      </c>
      <c r="H12" s="346">
        <f t="shared" si="3"/>
        <v>1</v>
      </c>
    </row>
    <row r="13">
      <c r="A13" s="337">
        <v>45818.0</v>
      </c>
      <c r="B13" s="108" t="s">
        <v>900</v>
      </c>
      <c r="C13" s="108">
        <v>1.0</v>
      </c>
      <c r="D13" s="334">
        <v>14700.0</v>
      </c>
      <c r="E13" s="335">
        <f t="shared" si="1"/>
        <v>14700</v>
      </c>
      <c r="F13" s="108" t="s">
        <v>11</v>
      </c>
      <c r="G13" s="336">
        <f t="shared" si="2"/>
        <v>83812</v>
      </c>
      <c r="H13" s="346">
        <f t="shared" si="3"/>
        <v>1</v>
      </c>
    </row>
    <row r="14">
      <c r="A14" s="337">
        <v>45818.0</v>
      </c>
      <c r="B14" s="108" t="s">
        <v>901</v>
      </c>
      <c r="C14" s="108">
        <v>1.0</v>
      </c>
      <c r="D14" s="334">
        <v>69112.0</v>
      </c>
      <c r="E14" s="335">
        <f t="shared" si="1"/>
        <v>69112</v>
      </c>
      <c r="F14" s="108" t="s">
        <v>11</v>
      </c>
      <c r="G14" s="336">
        <f t="shared" si="2"/>
        <v>83812</v>
      </c>
      <c r="H14" s="346">
        <f t="shared" si="3"/>
        <v>1</v>
      </c>
    </row>
    <row r="15">
      <c r="A15" s="337">
        <v>45819.0</v>
      </c>
      <c r="B15" s="108" t="s">
        <v>902</v>
      </c>
      <c r="C15" s="108">
        <v>1.0</v>
      </c>
      <c r="D15" s="334">
        <v>40000.0</v>
      </c>
      <c r="E15" s="335">
        <f t="shared" si="1"/>
        <v>40000</v>
      </c>
      <c r="F15" s="108" t="s">
        <v>892</v>
      </c>
      <c r="G15" s="336">
        <f t="shared" si="2"/>
        <v>40000</v>
      </c>
      <c r="H15" s="346">
        <f t="shared" si="3"/>
        <v>1</v>
      </c>
    </row>
    <row r="16">
      <c r="A16" s="337">
        <v>45820.0</v>
      </c>
      <c r="B16" s="99" t="s">
        <v>903</v>
      </c>
      <c r="C16" s="99">
        <v>1.0</v>
      </c>
      <c r="D16" s="339">
        <v>6990.0</v>
      </c>
      <c r="E16" s="340">
        <f t="shared" si="1"/>
        <v>6990</v>
      </c>
      <c r="F16" s="99" t="s">
        <v>3</v>
      </c>
      <c r="G16" s="341">
        <f t="shared" si="2"/>
        <v>6990</v>
      </c>
      <c r="H16" s="346">
        <f t="shared" si="3"/>
        <v>1</v>
      </c>
    </row>
    <row r="17">
      <c r="A17" s="342">
        <v>45821.0</v>
      </c>
      <c r="B17" s="98" t="s">
        <v>904</v>
      </c>
      <c r="C17" s="98">
        <v>1.0</v>
      </c>
      <c r="D17" s="343">
        <v>21800.0</v>
      </c>
      <c r="E17" s="344">
        <f t="shared" si="1"/>
        <v>21800</v>
      </c>
      <c r="F17" s="98" t="s">
        <v>11</v>
      </c>
      <c r="G17" s="345">
        <f t="shared" si="2"/>
        <v>21800</v>
      </c>
      <c r="H17" s="346">
        <f t="shared" si="3"/>
        <v>1</v>
      </c>
    </row>
    <row r="18">
      <c r="A18" s="338">
        <v>45852.0</v>
      </c>
      <c r="B18" s="99" t="s">
        <v>905</v>
      </c>
      <c r="C18" s="99">
        <v>1.0</v>
      </c>
      <c r="D18" s="339">
        <v>2000.0</v>
      </c>
      <c r="E18" s="339">
        <v>2000.0</v>
      </c>
      <c r="F18" s="99" t="s">
        <v>3</v>
      </c>
      <c r="G18" s="347">
        <v>2000.0</v>
      </c>
    </row>
    <row r="19">
      <c r="A19" s="342">
        <v>45826.0</v>
      </c>
      <c r="B19" s="98" t="s">
        <v>906</v>
      </c>
      <c r="C19" s="98">
        <v>1.0</v>
      </c>
      <c r="D19" s="343">
        <v>143000.0</v>
      </c>
      <c r="E19" s="344">
        <f t="shared" ref="E19:E25" si="4">IF(AND(ISNUMBER(C19), ISNUMBER(D19)), C19*D19, "")</f>
        <v>143000</v>
      </c>
      <c r="F19" s="98" t="s">
        <v>11</v>
      </c>
      <c r="G19" s="345">
        <f t="shared" ref="G19:G26" si="5">IF(A19="", "", SUMIF(A:A, A19, E:E))</f>
        <v>143000</v>
      </c>
      <c r="H19" s="346">
        <f>IF(AND(ISNUMBER(A19), E19&gt;0), 1, "")</f>
        <v>1</v>
      </c>
    </row>
    <row r="20">
      <c r="A20" s="338">
        <v>45829.0</v>
      </c>
      <c r="B20" s="99" t="s">
        <v>907</v>
      </c>
      <c r="C20" s="99">
        <v>1.0</v>
      </c>
      <c r="D20" s="339">
        <v>22700.0</v>
      </c>
      <c r="E20" s="340">
        <f t="shared" si="4"/>
        <v>22700</v>
      </c>
      <c r="F20" s="99" t="s">
        <v>11</v>
      </c>
      <c r="G20" s="341">
        <f t="shared" si="5"/>
        <v>22700</v>
      </c>
    </row>
    <row r="21" ht="15.75" customHeight="1">
      <c r="A21" s="342">
        <v>45831.0</v>
      </c>
      <c r="B21" s="98" t="s">
        <v>908</v>
      </c>
      <c r="C21" s="98">
        <v>1.0</v>
      </c>
      <c r="D21" s="343">
        <v>7790.0</v>
      </c>
      <c r="E21" s="344">
        <f t="shared" si="4"/>
        <v>7790</v>
      </c>
      <c r="F21" s="98" t="s">
        <v>11</v>
      </c>
      <c r="G21" s="345">
        <f t="shared" si="5"/>
        <v>23690</v>
      </c>
    </row>
    <row r="22" ht="15.75" customHeight="1">
      <c r="A22" s="338">
        <v>45831.0</v>
      </c>
      <c r="B22" s="99" t="s">
        <v>908</v>
      </c>
      <c r="C22" s="99">
        <v>1.0</v>
      </c>
      <c r="D22" s="339">
        <v>9300.0</v>
      </c>
      <c r="E22" s="340">
        <f t="shared" si="4"/>
        <v>9300</v>
      </c>
      <c r="F22" s="99" t="s">
        <v>11</v>
      </c>
      <c r="G22" s="341">
        <f t="shared" si="5"/>
        <v>23690</v>
      </c>
      <c r="H22" s="346">
        <f t="shared" ref="H22:H25" si="6">IF(AND(ISNUMBER(A20), E20&gt;0), 1, "")</f>
        <v>1</v>
      </c>
    </row>
    <row r="23" ht="15.75" customHeight="1">
      <c r="A23" s="342">
        <v>45831.0</v>
      </c>
      <c r="B23" s="98" t="s">
        <v>908</v>
      </c>
      <c r="C23" s="98">
        <v>1.0</v>
      </c>
      <c r="D23" s="343">
        <v>6600.0</v>
      </c>
      <c r="E23" s="344">
        <f t="shared" si="4"/>
        <v>6600</v>
      </c>
      <c r="F23" s="98" t="s">
        <v>11</v>
      </c>
      <c r="G23" s="345">
        <f t="shared" si="5"/>
        <v>23690</v>
      </c>
      <c r="H23" s="346">
        <f t="shared" si="6"/>
        <v>1</v>
      </c>
    </row>
    <row r="24" ht="15.75" customHeight="1">
      <c r="A24" s="338">
        <v>45840.0</v>
      </c>
      <c r="B24" s="99" t="s">
        <v>905</v>
      </c>
      <c r="C24" s="99">
        <v>1.0</v>
      </c>
      <c r="D24" s="339">
        <v>5000.0</v>
      </c>
      <c r="E24" s="340">
        <f t="shared" si="4"/>
        <v>5000</v>
      </c>
      <c r="F24" s="99" t="s">
        <v>3</v>
      </c>
      <c r="G24" s="341">
        <f t="shared" si="5"/>
        <v>5000</v>
      </c>
      <c r="H24" s="346">
        <f t="shared" si="6"/>
        <v>1</v>
      </c>
    </row>
    <row r="25" ht="15.75" customHeight="1">
      <c r="A25" s="342">
        <v>45845.0</v>
      </c>
      <c r="B25" s="98" t="s">
        <v>909</v>
      </c>
      <c r="C25" s="98">
        <v>1.0</v>
      </c>
      <c r="D25" s="343">
        <v>1000.0</v>
      </c>
      <c r="E25" s="344">
        <f t="shared" si="4"/>
        <v>1000</v>
      </c>
      <c r="F25" s="98" t="s">
        <v>3</v>
      </c>
      <c r="G25" s="345">
        <f t="shared" si="5"/>
        <v>1000</v>
      </c>
      <c r="H25" s="346">
        <f t="shared" si="6"/>
        <v>1</v>
      </c>
    </row>
    <row r="26" ht="15.75" customHeight="1">
      <c r="A26" s="338">
        <v>45857.0</v>
      </c>
      <c r="B26" s="99" t="s">
        <v>905</v>
      </c>
      <c r="C26" s="99">
        <v>1.0</v>
      </c>
      <c r="D26" s="339">
        <v>6000.0</v>
      </c>
      <c r="E26" s="339">
        <v>6000.0</v>
      </c>
      <c r="F26" s="99" t="s">
        <v>3</v>
      </c>
      <c r="G26" s="341">
        <f t="shared" si="5"/>
        <v>6000</v>
      </c>
    </row>
    <row r="27" ht="15.75" customHeight="1">
      <c r="A27" s="342">
        <v>45864.0</v>
      </c>
      <c r="B27" s="98" t="s">
        <v>910</v>
      </c>
      <c r="C27" s="98">
        <v>1.0</v>
      </c>
      <c r="D27" s="343">
        <v>26000.0</v>
      </c>
      <c r="E27" s="343">
        <v>26000.0</v>
      </c>
      <c r="F27" s="98" t="s">
        <v>11</v>
      </c>
      <c r="G27" s="348">
        <v>26000.0</v>
      </c>
    </row>
    <row r="28" ht="15.75" customHeight="1">
      <c r="A28" s="338">
        <v>45866.0</v>
      </c>
      <c r="B28" s="99" t="s">
        <v>905</v>
      </c>
      <c r="C28" s="99">
        <v>1.0</v>
      </c>
      <c r="D28" s="339">
        <v>9500.0</v>
      </c>
      <c r="E28" s="339">
        <v>9500.0</v>
      </c>
      <c r="F28" s="99" t="s">
        <v>3</v>
      </c>
      <c r="G28" s="347">
        <v>9500.0</v>
      </c>
    </row>
    <row r="29" ht="15.75" customHeight="1">
      <c r="A29" s="342">
        <v>45868.0</v>
      </c>
      <c r="B29" s="98" t="s">
        <v>891</v>
      </c>
      <c r="C29" s="98">
        <v>1.0</v>
      </c>
      <c r="D29" s="343">
        <v>7800.0</v>
      </c>
      <c r="E29" s="343">
        <v>7800.0</v>
      </c>
      <c r="F29" s="98" t="s">
        <v>3</v>
      </c>
      <c r="G29" s="348">
        <v>7800.0</v>
      </c>
    </row>
    <row r="30" ht="15.75" customHeight="1">
      <c r="A30" s="338"/>
      <c r="B30" s="99"/>
      <c r="C30" s="99"/>
      <c r="D30" s="339"/>
      <c r="E30" s="339"/>
      <c r="F30" s="99"/>
      <c r="G30" s="347"/>
      <c r="H30" s="346" t="str">
        <f>IF(AND(ISNUMBER(A30), E30&gt;0), 1, "")</f>
        <v/>
      </c>
    </row>
    <row r="31" ht="15.75" customHeight="1">
      <c r="A31" s="342"/>
      <c r="B31" s="98"/>
      <c r="C31" s="98"/>
      <c r="D31" s="343"/>
      <c r="E31" s="344"/>
      <c r="F31" s="98"/>
      <c r="G31" s="345"/>
    </row>
    <row r="32" ht="15.75" customHeight="1">
      <c r="A32" s="338"/>
      <c r="B32" s="99"/>
      <c r="C32" s="99"/>
      <c r="D32" s="339"/>
      <c r="E32" s="340"/>
      <c r="F32" s="99"/>
      <c r="G32" s="341"/>
    </row>
    <row r="33" ht="15.75" customHeight="1">
      <c r="A33" s="342"/>
      <c r="B33" s="98"/>
      <c r="C33" s="98"/>
      <c r="D33" s="343"/>
      <c r="E33" s="344"/>
      <c r="F33" s="98"/>
      <c r="G33" s="345"/>
      <c r="H33" s="346" t="str">
        <f>IF(AND(ISNUMBER(A33), E33&gt;0), 1, "")</f>
        <v/>
      </c>
    </row>
    <row r="34" ht="15.75" customHeight="1">
      <c r="A34" s="338"/>
      <c r="B34" s="99"/>
      <c r="C34" s="99"/>
      <c r="D34" s="339"/>
      <c r="E34" s="340"/>
      <c r="F34" s="99"/>
      <c r="G34" s="341"/>
    </row>
    <row r="35" ht="15.75" customHeight="1">
      <c r="A35" s="342"/>
      <c r="B35" s="98"/>
      <c r="C35" s="98"/>
      <c r="D35" s="343"/>
      <c r="E35" s="344"/>
      <c r="F35" s="98"/>
      <c r="G35" s="345"/>
    </row>
    <row r="36" ht="15.75" customHeight="1">
      <c r="A36" s="338"/>
      <c r="B36" s="99"/>
      <c r="C36" s="99"/>
      <c r="D36" s="339"/>
      <c r="E36" s="340"/>
      <c r="F36" s="99"/>
      <c r="G36" s="341"/>
    </row>
    <row r="37" ht="15.75" customHeight="1">
      <c r="A37" s="342"/>
      <c r="B37" s="98"/>
      <c r="C37" s="98"/>
      <c r="D37" s="343"/>
      <c r="E37" s="344"/>
      <c r="F37" s="98"/>
      <c r="G37" s="345"/>
    </row>
    <row r="38" ht="15.75" customHeight="1">
      <c r="A38" s="349"/>
      <c r="B38" s="236"/>
      <c r="C38" s="236"/>
      <c r="D38" s="340"/>
      <c r="E38" s="340" t="str">
        <f t="shared" ref="E38:E70" si="7">IF(AND(ISNUMBER(C38), ISNUMBER(D38)), C38*D38, "")</f>
        <v/>
      </c>
      <c r="F38" s="236"/>
      <c r="G38" s="341"/>
    </row>
    <row r="39" ht="15.75" customHeight="1">
      <c r="A39" s="350"/>
      <c r="B39" s="233"/>
      <c r="C39" s="233"/>
      <c r="D39" s="344"/>
      <c r="E39" s="344" t="str">
        <f t="shared" si="7"/>
        <v/>
      </c>
      <c r="F39" s="233"/>
      <c r="G39" s="345"/>
    </row>
    <row r="40" ht="15.75" customHeight="1">
      <c r="A40" s="349"/>
      <c r="B40" s="236"/>
      <c r="C40" s="236"/>
      <c r="D40" s="340"/>
      <c r="E40" s="340" t="str">
        <f t="shared" si="7"/>
        <v/>
      </c>
      <c r="F40" s="236"/>
      <c r="G40" s="341"/>
    </row>
    <row r="41" ht="15.75" customHeight="1">
      <c r="A41" s="350"/>
      <c r="B41" s="233"/>
      <c r="C41" s="233"/>
      <c r="D41" s="344"/>
      <c r="E41" s="344" t="str">
        <f t="shared" si="7"/>
        <v/>
      </c>
      <c r="F41" s="233"/>
      <c r="G41" s="345"/>
    </row>
    <row r="42" ht="15.75" customHeight="1">
      <c r="A42" s="349"/>
      <c r="B42" s="236"/>
      <c r="C42" s="236"/>
      <c r="D42" s="340"/>
      <c r="E42" s="340" t="str">
        <f t="shared" si="7"/>
        <v/>
      </c>
      <c r="F42" s="236"/>
      <c r="G42" s="341"/>
    </row>
    <row r="43" ht="15.75" customHeight="1">
      <c r="A43" s="350"/>
      <c r="B43" s="233"/>
      <c r="C43" s="233"/>
      <c r="D43" s="344"/>
      <c r="E43" s="344" t="str">
        <f t="shared" si="7"/>
        <v/>
      </c>
      <c r="F43" s="233"/>
      <c r="G43" s="345"/>
    </row>
    <row r="44" ht="15.75" customHeight="1">
      <c r="A44" s="349"/>
      <c r="B44" s="236"/>
      <c r="C44" s="236"/>
      <c r="D44" s="340"/>
      <c r="E44" s="340" t="str">
        <f t="shared" si="7"/>
        <v/>
      </c>
      <c r="F44" s="236"/>
      <c r="G44" s="341"/>
    </row>
    <row r="45" ht="15.75" customHeight="1">
      <c r="A45" s="350"/>
      <c r="B45" s="233"/>
      <c r="C45" s="233"/>
      <c r="D45" s="344"/>
      <c r="E45" s="344" t="str">
        <f t="shared" si="7"/>
        <v/>
      </c>
      <c r="F45" s="233"/>
      <c r="G45" s="345"/>
    </row>
    <row r="46" ht="15.75" customHeight="1">
      <c r="A46" s="349"/>
      <c r="B46" s="236"/>
      <c r="C46" s="236"/>
      <c r="D46" s="340"/>
      <c r="E46" s="340" t="str">
        <f t="shared" si="7"/>
        <v/>
      </c>
      <c r="F46" s="236"/>
      <c r="G46" s="341"/>
    </row>
    <row r="47" ht="15.75" customHeight="1">
      <c r="A47" s="350"/>
      <c r="B47" s="233"/>
      <c r="C47" s="233"/>
      <c r="D47" s="344"/>
      <c r="E47" s="344" t="str">
        <f t="shared" si="7"/>
        <v/>
      </c>
      <c r="F47" s="233"/>
      <c r="G47" s="345"/>
    </row>
    <row r="48" ht="15.75" customHeight="1">
      <c r="A48" s="349"/>
      <c r="B48" s="236"/>
      <c r="C48" s="236"/>
      <c r="D48" s="340"/>
      <c r="E48" s="340" t="str">
        <f t="shared" si="7"/>
        <v/>
      </c>
      <c r="F48" s="236"/>
      <c r="G48" s="351"/>
    </row>
    <row r="49" ht="15.75" customHeight="1">
      <c r="A49" s="350"/>
      <c r="B49" s="233"/>
      <c r="C49" s="233"/>
      <c r="D49" s="344"/>
      <c r="E49" s="344" t="str">
        <f t="shared" si="7"/>
        <v/>
      </c>
      <c r="F49" s="233"/>
      <c r="G49" s="352"/>
    </row>
    <row r="50" ht="15.75" customHeight="1">
      <c r="A50" s="349"/>
      <c r="B50" s="236"/>
      <c r="C50" s="236"/>
      <c r="D50" s="340"/>
      <c r="E50" s="340" t="str">
        <f t="shared" si="7"/>
        <v/>
      </c>
      <c r="F50" s="236"/>
      <c r="G50" s="351"/>
    </row>
    <row r="51" ht="15.75" customHeight="1">
      <c r="A51" s="350"/>
      <c r="B51" s="233"/>
      <c r="C51" s="233"/>
      <c r="D51" s="344"/>
      <c r="E51" s="344" t="str">
        <f t="shared" si="7"/>
        <v/>
      </c>
      <c r="F51" s="233"/>
      <c r="G51" s="352"/>
    </row>
    <row r="52" ht="15.75" customHeight="1">
      <c r="A52" s="349"/>
      <c r="B52" s="236"/>
      <c r="C52" s="236"/>
      <c r="D52" s="340"/>
      <c r="E52" s="340" t="str">
        <f t="shared" si="7"/>
        <v/>
      </c>
      <c r="F52" s="236"/>
      <c r="G52" s="351"/>
    </row>
    <row r="53" ht="15.75" customHeight="1">
      <c r="A53" s="350"/>
      <c r="B53" s="233"/>
      <c r="C53" s="233"/>
      <c r="D53" s="344"/>
      <c r="E53" s="344" t="str">
        <f t="shared" si="7"/>
        <v/>
      </c>
      <c r="F53" s="233"/>
      <c r="G53" s="352"/>
    </row>
    <row r="54" ht="15.75" customHeight="1">
      <c r="A54" s="349"/>
      <c r="B54" s="236"/>
      <c r="C54" s="236"/>
      <c r="D54" s="340"/>
      <c r="E54" s="340" t="str">
        <f t="shared" si="7"/>
        <v/>
      </c>
      <c r="F54" s="236"/>
      <c r="G54" s="351"/>
    </row>
    <row r="55" ht="15.75" customHeight="1">
      <c r="A55" s="350"/>
      <c r="B55" s="233"/>
      <c r="C55" s="233"/>
      <c r="D55" s="344"/>
      <c r="E55" s="344" t="str">
        <f t="shared" si="7"/>
        <v/>
      </c>
      <c r="F55" s="233"/>
      <c r="G55" s="352"/>
    </row>
    <row r="56" ht="15.75" customHeight="1">
      <c r="A56" s="349"/>
      <c r="B56" s="236"/>
      <c r="C56" s="236"/>
      <c r="D56" s="340"/>
      <c r="E56" s="340" t="str">
        <f t="shared" si="7"/>
        <v/>
      </c>
      <c r="F56" s="236"/>
      <c r="G56" s="351"/>
    </row>
    <row r="57" ht="15.75" customHeight="1">
      <c r="A57" s="350"/>
      <c r="B57" s="233"/>
      <c r="C57" s="233"/>
      <c r="D57" s="344"/>
      <c r="E57" s="344" t="str">
        <f t="shared" si="7"/>
        <v/>
      </c>
      <c r="F57" s="233"/>
      <c r="G57" s="352"/>
    </row>
    <row r="58" ht="15.75" customHeight="1">
      <c r="A58" s="349"/>
      <c r="B58" s="236"/>
      <c r="C58" s="236"/>
      <c r="D58" s="340"/>
      <c r="E58" s="340" t="str">
        <f t="shared" si="7"/>
        <v/>
      </c>
      <c r="F58" s="236"/>
      <c r="G58" s="351"/>
    </row>
    <row r="59" ht="15.75" customHeight="1">
      <c r="A59" s="350"/>
      <c r="B59" s="233"/>
      <c r="C59" s="233"/>
      <c r="D59" s="344"/>
      <c r="E59" s="344" t="str">
        <f t="shared" si="7"/>
        <v/>
      </c>
      <c r="F59" s="233"/>
      <c r="G59" s="352"/>
    </row>
    <row r="60" ht="15.75" customHeight="1">
      <c r="A60" s="349"/>
      <c r="B60" s="236"/>
      <c r="C60" s="236"/>
      <c r="D60" s="340"/>
      <c r="E60" s="340" t="str">
        <f t="shared" si="7"/>
        <v/>
      </c>
      <c r="F60" s="236"/>
      <c r="G60" s="351"/>
    </row>
    <row r="61" ht="15.75" customHeight="1">
      <c r="A61" s="350"/>
      <c r="B61" s="233"/>
      <c r="C61" s="233"/>
      <c r="D61" s="344"/>
      <c r="E61" s="344" t="str">
        <f t="shared" si="7"/>
        <v/>
      </c>
      <c r="F61" s="233"/>
      <c r="G61" s="352"/>
    </row>
    <row r="62" ht="15.75" customHeight="1">
      <c r="A62" s="349"/>
      <c r="B62" s="236"/>
      <c r="C62" s="236"/>
      <c r="D62" s="340"/>
      <c r="E62" s="340" t="str">
        <f t="shared" si="7"/>
        <v/>
      </c>
      <c r="F62" s="236"/>
      <c r="G62" s="351"/>
    </row>
    <row r="63" ht="15.75" customHeight="1">
      <c r="A63" s="350"/>
      <c r="B63" s="233"/>
      <c r="C63" s="233"/>
      <c r="D63" s="344"/>
      <c r="E63" s="344" t="str">
        <f t="shared" si="7"/>
        <v/>
      </c>
      <c r="F63" s="233"/>
      <c r="G63" s="352"/>
    </row>
    <row r="64" ht="15.75" customHeight="1">
      <c r="A64" s="349"/>
      <c r="B64" s="236"/>
      <c r="C64" s="236"/>
      <c r="D64" s="340"/>
      <c r="E64" s="340" t="str">
        <f t="shared" si="7"/>
        <v/>
      </c>
      <c r="F64" s="236"/>
      <c r="G64" s="351"/>
    </row>
    <row r="65" ht="15.75" customHeight="1">
      <c r="A65" s="350"/>
      <c r="B65" s="233"/>
      <c r="C65" s="233"/>
      <c r="D65" s="344"/>
      <c r="E65" s="344" t="str">
        <f t="shared" si="7"/>
        <v/>
      </c>
      <c r="F65" s="233"/>
      <c r="G65" s="352"/>
    </row>
    <row r="66" ht="15.75" customHeight="1">
      <c r="A66" s="349"/>
      <c r="B66" s="236"/>
      <c r="C66" s="236"/>
      <c r="D66" s="340"/>
      <c r="E66" s="340" t="str">
        <f t="shared" si="7"/>
        <v/>
      </c>
      <c r="F66" s="236"/>
      <c r="G66" s="351"/>
    </row>
    <row r="67" ht="15.75" customHeight="1">
      <c r="A67" s="350"/>
      <c r="B67" s="233"/>
      <c r="C67" s="233"/>
      <c r="D67" s="344"/>
      <c r="E67" s="344" t="str">
        <f t="shared" si="7"/>
        <v/>
      </c>
      <c r="F67" s="233"/>
      <c r="G67" s="352"/>
    </row>
    <row r="68" ht="15.75" customHeight="1">
      <c r="A68" s="349"/>
      <c r="B68" s="236"/>
      <c r="C68" s="236"/>
      <c r="D68" s="340"/>
      <c r="E68" s="340" t="str">
        <f t="shared" si="7"/>
        <v/>
      </c>
      <c r="F68" s="236"/>
      <c r="G68" s="351"/>
    </row>
    <row r="69" ht="15.75" customHeight="1">
      <c r="A69" s="350"/>
      <c r="B69" s="233"/>
      <c r="C69" s="233"/>
      <c r="D69" s="344"/>
      <c r="E69" s="344" t="str">
        <f t="shared" si="7"/>
        <v/>
      </c>
      <c r="F69" s="233"/>
      <c r="G69" s="352"/>
    </row>
    <row r="70" ht="15.75" customHeight="1">
      <c r="A70" s="349"/>
      <c r="B70" s="236"/>
      <c r="C70" s="236"/>
      <c r="D70" s="340"/>
      <c r="E70" s="340" t="str">
        <f t="shared" si="7"/>
        <v/>
      </c>
      <c r="F70" s="236"/>
      <c r="G70" s="351"/>
    </row>
    <row r="71" ht="15.75" customHeight="1">
      <c r="A71" s="350"/>
      <c r="B71" s="233"/>
      <c r="C71" s="233"/>
      <c r="D71" s="344"/>
      <c r="E71" s="344"/>
      <c r="F71" s="233"/>
      <c r="G71" s="352"/>
    </row>
    <row r="72" ht="15.75" customHeight="1">
      <c r="A72" s="349"/>
      <c r="B72" s="236"/>
      <c r="C72" s="236"/>
      <c r="D72" s="340"/>
      <c r="E72" s="340"/>
      <c r="F72" s="236"/>
      <c r="G72" s="351"/>
    </row>
    <row r="73" ht="15.75" customHeight="1">
      <c r="A73" s="350"/>
      <c r="B73" s="233"/>
      <c r="C73" s="233"/>
      <c r="D73" s="344"/>
      <c r="E73" s="344"/>
      <c r="F73" s="233"/>
      <c r="G73" s="352"/>
    </row>
    <row r="74" ht="15.75" customHeight="1">
      <c r="A74" s="349"/>
      <c r="B74" s="236"/>
      <c r="C74" s="236"/>
      <c r="D74" s="340"/>
      <c r="E74" s="340"/>
      <c r="F74" s="236"/>
      <c r="G74" s="351"/>
    </row>
    <row r="75" ht="15.75" customHeight="1">
      <c r="A75" s="350"/>
      <c r="B75" s="233"/>
      <c r="C75" s="233"/>
      <c r="D75" s="344"/>
      <c r="E75" s="344"/>
      <c r="F75" s="233"/>
      <c r="G75" s="352"/>
    </row>
    <row r="76" ht="15.75" customHeight="1">
      <c r="A76" s="349"/>
      <c r="B76" s="236"/>
      <c r="C76" s="236"/>
      <c r="D76" s="340"/>
      <c r="E76" s="340"/>
      <c r="F76" s="236"/>
      <c r="G76" s="351"/>
    </row>
    <row r="77" ht="15.75" customHeight="1">
      <c r="A77" s="350"/>
      <c r="B77" s="233"/>
      <c r="C77" s="233"/>
      <c r="D77" s="344"/>
      <c r="E77" s="344"/>
      <c r="F77" s="233"/>
      <c r="G77" s="352"/>
    </row>
    <row r="78" ht="15.75" customHeight="1">
      <c r="A78" s="349"/>
      <c r="B78" s="236"/>
      <c r="C78" s="236"/>
      <c r="D78" s="340"/>
      <c r="E78" s="340"/>
      <c r="F78" s="236"/>
      <c r="G78" s="351"/>
    </row>
    <row r="79" ht="15.75" customHeight="1">
      <c r="A79" s="350"/>
      <c r="B79" s="233"/>
      <c r="C79" s="233"/>
      <c r="D79" s="344"/>
      <c r="E79" s="344"/>
      <c r="F79" s="233"/>
      <c r="G79" s="352"/>
    </row>
    <row r="80" ht="15.75" customHeight="1">
      <c r="A80" s="349"/>
      <c r="B80" s="236"/>
      <c r="C80" s="236"/>
      <c r="D80" s="340"/>
      <c r="E80" s="340"/>
      <c r="F80" s="236"/>
      <c r="G80" s="351"/>
    </row>
    <row r="81" ht="15.75" customHeight="1">
      <c r="A81" s="350"/>
      <c r="B81" s="233"/>
      <c r="C81" s="233"/>
      <c r="D81" s="344"/>
      <c r="E81" s="344"/>
      <c r="F81" s="233"/>
      <c r="G81" s="352"/>
    </row>
    <row r="82" ht="15.75" customHeight="1">
      <c r="A82" s="349"/>
      <c r="B82" s="236"/>
      <c r="C82" s="236"/>
      <c r="D82" s="340"/>
      <c r="E82" s="340"/>
      <c r="F82" s="236"/>
      <c r="G82" s="351"/>
    </row>
    <row r="83" ht="15.75" customHeight="1">
      <c r="A83" s="350"/>
      <c r="B83" s="233"/>
      <c r="C83" s="233"/>
      <c r="D83" s="344"/>
      <c r="E83" s="344"/>
      <c r="F83" s="233"/>
      <c r="G83" s="352"/>
    </row>
    <row r="84" ht="15.75" customHeight="1">
      <c r="A84" s="349"/>
      <c r="B84" s="236"/>
      <c r="C84" s="236"/>
      <c r="D84" s="340"/>
      <c r="E84" s="340"/>
      <c r="F84" s="236"/>
      <c r="G84" s="351"/>
    </row>
    <row r="85" ht="15.75" customHeight="1">
      <c r="A85" s="350"/>
      <c r="B85" s="233"/>
      <c r="C85" s="233"/>
      <c r="D85" s="344"/>
      <c r="E85" s="344"/>
      <c r="F85" s="233"/>
      <c r="G85" s="345"/>
    </row>
    <row r="86" ht="15.75" customHeight="1">
      <c r="A86" s="349"/>
      <c r="B86" s="236"/>
      <c r="C86" s="236"/>
      <c r="D86" s="340"/>
      <c r="E86" s="340"/>
      <c r="F86" s="236"/>
      <c r="G86" s="341"/>
    </row>
    <row r="87" ht="15.75" customHeight="1">
      <c r="A87" s="350"/>
      <c r="B87" s="233"/>
      <c r="C87" s="233"/>
      <c r="D87" s="344"/>
      <c r="E87" s="344"/>
      <c r="F87" s="233"/>
      <c r="G87" s="345"/>
    </row>
    <row r="88" ht="15.75" customHeight="1">
      <c r="A88" s="349"/>
      <c r="B88" s="236"/>
      <c r="C88" s="236"/>
      <c r="D88" s="340"/>
      <c r="E88" s="340"/>
      <c r="F88" s="236"/>
      <c r="G88" s="341"/>
    </row>
    <row r="89" ht="15.75" customHeight="1">
      <c r="A89" s="350"/>
      <c r="B89" s="233"/>
      <c r="C89" s="233"/>
      <c r="D89" s="344"/>
      <c r="E89" s="344"/>
      <c r="F89" s="233"/>
      <c r="G89" s="345"/>
    </row>
    <row r="90" ht="15.75" customHeight="1">
      <c r="A90" s="349"/>
      <c r="B90" s="236"/>
      <c r="C90" s="236"/>
      <c r="D90" s="340"/>
      <c r="E90" s="340"/>
      <c r="F90" s="236"/>
      <c r="G90" s="341"/>
    </row>
    <row r="91" ht="15.75" customHeight="1">
      <c r="A91" s="350"/>
      <c r="B91" s="233"/>
      <c r="C91" s="233"/>
      <c r="D91" s="344"/>
      <c r="E91" s="344"/>
      <c r="F91" s="233"/>
      <c r="G91" s="345"/>
    </row>
    <row r="92" ht="15.75" customHeight="1">
      <c r="A92" s="349"/>
      <c r="B92" s="236"/>
      <c r="C92" s="236"/>
      <c r="D92" s="340"/>
      <c r="E92" s="340"/>
      <c r="F92" s="236"/>
      <c r="G92" s="341"/>
    </row>
    <row r="93" ht="15.75" customHeight="1">
      <c r="A93" s="350"/>
      <c r="B93" s="233"/>
      <c r="C93" s="233"/>
      <c r="D93" s="344"/>
      <c r="E93" s="344"/>
      <c r="F93" s="233"/>
      <c r="G93" s="345"/>
    </row>
    <row r="94" ht="15.75" customHeight="1">
      <c r="A94" s="349"/>
      <c r="B94" s="236"/>
      <c r="C94" s="236"/>
      <c r="D94" s="340"/>
      <c r="E94" s="340"/>
      <c r="F94" s="236"/>
      <c r="G94" s="341"/>
    </row>
    <row r="95" ht="15.75" customHeight="1">
      <c r="A95" s="350"/>
      <c r="B95" s="233"/>
      <c r="C95" s="233"/>
      <c r="D95" s="344"/>
      <c r="E95" s="344"/>
      <c r="F95" s="233"/>
      <c r="G95" s="345"/>
    </row>
    <row r="96" ht="15.75" customHeight="1">
      <c r="A96" s="349"/>
      <c r="B96" s="236"/>
      <c r="C96" s="236"/>
      <c r="D96" s="340"/>
      <c r="E96" s="340"/>
      <c r="F96" s="236"/>
      <c r="G96" s="341"/>
    </row>
    <row r="97" ht="15.75" customHeight="1">
      <c r="A97" s="350"/>
      <c r="B97" s="233"/>
      <c r="C97" s="233"/>
      <c r="D97" s="344"/>
      <c r="E97" s="344"/>
      <c r="F97" s="233"/>
      <c r="G97" s="345"/>
    </row>
    <row r="98" ht="15.75" customHeight="1">
      <c r="A98" s="349"/>
      <c r="B98" s="236"/>
      <c r="C98" s="236"/>
      <c r="D98" s="340"/>
      <c r="E98" s="340"/>
      <c r="F98" s="236"/>
      <c r="G98" s="341"/>
    </row>
    <row r="99" ht="15.75" customHeight="1">
      <c r="A99" s="350"/>
      <c r="B99" s="233"/>
      <c r="C99" s="233"/>
      <c r="D99" s="344"/>
      <c r="E99" s="344"/>
      <c r="F99" s="233"/>
      <c r="G99" s="345"/>
    </row>
    <row r="100" ht="15.75" customHeight="1">
      <c r="A100" s="349"/>
      <c r="B100" s="236"/>
      <c r="C100" s="236"/>
      <c r="D100" s="340"/>
      <c r="E100" s="340"/>
      <c r="F100" s="236"/>
      <c r="G100" s="341"/>
    </row>
    <row r="101" ht="15.75" customHeight="1">
      <c r="A101" s="350"/>
      <c r="B101" s="233"/>
      <c r="C101" s="233"/>
      <c r="D101" s="344"/>
      <c r="E101" s="344"/>
      <c r="F101" s="233"/>
      <c r="G101" s="345"/>
    </row>
    <row r="102" ht="15.75" customHeight="1">
      <c r="A102" s="349"/>
      <c r="B102" s="236"/>
      <c r="C102" s="236"/>
      <c r="D102" s="340"/>
      <c r="E102" s="340"/>
      <c r="F102" s="236"/>
      <c r="G102" s="341"/>
    </row>
    <row r="103" ht="15.75" customHeight="1">
      <c r="A103" s="350"/>
      <c r="B103" s="233"/>
      <c r="C103" s="233"/>
      <c r="D103" s="344"/>
      <c r="E103" s="344"/>
      <c r="F103" s="233"/>
      <c r="G103" s="345"/>
    </row>
    <row r="104" ht="15.75" customHeight="1">
      <c r="A104" s="349"/>
      <c r="B104" s="236"/>
      <c r="C104" s="236"/>
      <c r="D104" s="340"/>
      <c r="E104" s="340"/>
      <c r="F104" s="236"/>
      <c r="G104" s="341"/>
    </row>
    <row r="105" ht="15.75" customHeight="1">
      <c r="A105" s="350"/>
      <c r="B105" s="233"/>
      <c r="C105" s="233"/>
      <c r="D105" s="344"/>
      <c r="E105" s="344"/>
      <c r="F105" s="233"/>
      <c r="G105" s="345"/>
    </row>
    <row r="106" ht="15.75" customHeight="1">
      <c r="A106" s="349"/>
      <c r="B106" s="236"/>
      <c r="C106" s="236"/>
      <c r="D106" s="340"/>
      <c r="E106" s="340"/>
      <c r="F106" s="236"/>
      <c r="G106" s="341"/>
    </row>
    <row r="107" ht="15.75" customHeight="1">
      <c r="A107" s="350"/>
      <c r="B107" s="233"/>
      <c r="C107" s="233"/>
      <c r="D107" s="344"/>
      <c r="E107" s="344"/>
      <c r="F107" s="233"/>
      <c r="G107" s="345"/>
    </row>
    <row r="108" ht="15.75" customHeight="1">
      <c r="A108" s="349"/>
      <c r="B108" s="236"/>
      <c r="C108" s="236"/>
      <c r="D108" s="340"/>
      <c r="E108" s="340"/>
      <c r="F108" s="236"/>
      <c r="G108" s="341"/>
    </row>
    <row r="109" ht="15.75" customHeight="1">
      <c r="A109" s="350"/>
      <c r="B109" s="233"/>
      <c r="C109" s="233"/>
      <c r="D109" s="344"/>
      <c r="E109" s="344"/>
      <c r="F109" s="233"/>
      <c r="G109" s="345"/>
    </row>
    <row r="110" ht="15.75" customHeight="1">
      <c r="A110" s="349"/>
      <c r="B110" s="236"/>
      <c r="C110" s="236"/>
      <c r="D110" s="340"/>
      <c r="E110" s="340"/>
      <c r="F110" s="236"/>
      <c r="G110" s="341"/>
    </row>
    <row r="111" ht="15.75" customHeight="1">
      <c r="A111" s="350"/>
      <c r="B111" s="233"/>
      <c r="C111" s="233"/>
      <c r="D111" s="344"/>
      <c r="E111" s="344"/>
      <c r="F111" s="233"/>
      <c r="G111" s="345"/>
    </row>
    <row r="112" ht="15.75" customHeight="1">
      <c r="A112" s="349"/>
      <c r="B112" s="236"/>
      <c r="C112" s="236"/>
      <c r="D112" s="340"/>
      <c r="E112" s="340"/>
      <c r="F112" s="236"/>
      <c r="G112" s="341"/>
    </row>
    <row r="113" ht="15.75" customHeight="1">
      <c r="A113" s="350"/>
      <c r="B113" s="233"/>
      <c r="C113" s="233"/>
      <c r="D113" s="344"/>
      <c r="E113" s="344"/>
      <c r="F113" s="233"/>
      <c r="G113" s="345"/>
    </row>
    <row r="114" ht="15.75" customHeight="1">
      <c r="A114" s="349"/>
      <c r="B114" s="236"/>
      <c r="C114" s="236"/>
      <c r="D114" s="340"/>
      <c r="E114" s="340"/>
      <c r="F114" s="236"/>
      <c r="G114" s="341"/>
    </row>
    <row r="115" ht="15.75" customHeight="1">
      <c r="A115" s="350"/>
      <c r="B115" s="233"/>
      <c r="C115" s="233"/>
      <c r="D115" s="344"/>
      <c r="E115" s="344"/>
      <c r="F115" s="233"/>
      <c r="G115" s="345"/>
    </row>
    <row r="116" ht="15.75" customHeight="1">
      <c r="A116" s="349"/>
      <c r="B116" s="236"/>
      <c r="C116" s="236"/>
      <c r="D116" s="340"/>
      <c r="E116" s="340"/>
      <c r="F116" s="236"/>
      <c r="G116" s="341"/>
    </row>
    <row r="117" ht="15.75" customHeight="1">
      <c r="A117" s="350"/>
      <c r="B117" s="233"/>
      <c r="C117" s="233"/>
      <c r="D117" s="344"/>
      <c r="E117" s="344"/>
      <c r="F117" s="233"/>
      <c r="G117" s="345"/>
    </row>
    <row r="118" ht="15.75" customHeight="1">
      <c r="A118" s="349"/>
      <c r="B118" s="236"/>
      <c r="C118" s="236"/>
      <c r="D118" s="340"/>
      <c r="E118" s="340"/>
      <c r="F118" s="236"/>
      <c r="G118" s="341"/>
    </row>
    <row r="119" ht="15.75" customHeight="1">
      <c r="A119" s="350"/>
      <c r="B119" s="233"/>
      <c r="C119" s="233"/>
      <c r="D119" s="344"/>
      <c r="E119" s="344"/>
      <c r="F119" s="233"/>
      <c r="G119" s="345"/>
    </row>
    <row r="120" ht="15.75" customHeight="1">
      <c r="A120" s="349"/>
      <c r="B120" s="236"/>
      <c r="C120" s="236"/>
      <c r="D120" s="340"/>
      <c r="E120" s="340"/>
      <c r="F120" s="236"/>
      <c r="G120" s="341"/>
    </row>
    <row r="121" ht="15.75" customHeight="1">
      <c r="A121" s="350"/>
      <c r="B121" s="233"/>
      <c r="C121" s="233"/>
      <c r="D121" s="344"/>
      <c r="E121" s="344"/>
      <c r="F121" s="233"/>
      <c r="G121" s="345"/>
    </row>
    <row r="122" ht="15.75" customHeight="1">
      <c r="A122" s="349"/>
      <c r="B122" s="236"/>
      <c r="C122" s="236"/>
      <c r="D122" s="340"/>
      <c r="E122" s="340"/>
      <c r="F122" s="236"/>
      <c r="G122" s="341"/>
    </row>
    <row r="123" ht="15.75" customHeight="1">
      <c r="A123" s="350"/>
      <c r="B123" s="233"/>
      <c r="C123" s="233"/>
      <c r="D123" s="344"/>
      <c r="E123" s="344"/>
      <c r="F123" s="233"/>
      <c r="G123" s="345"/>
    </row>
    <row r="124" ht="15.75" customHeight="1">
      <c r="A124" s="349"/>
      <c r="B124" s="236"/>
      <c r="C124" s="236"/>
      <c r="D124" s="340"/>
      <c r="E124" s="340"/>
      <c r="F124" s="236"/>
      <c r="G124" s="341"/>
    </row>
    <row r="125" ht="15.75" customHeight="1">
      <c r="A125" s="350"/>
      <c r="B125" s="233"/>
      <c r="C125" s="233"/>
      <c r="D125" s="344"/>
      <c r="E125" s="344"/>
      <c r="F125" s="233"/>
      <c r="G125" s="345"/>
    </row>
    <row r="126" ht="15.75" customHeight="1">
      <c r="A126" s="349"/>
      <c r="B126" s="236"/>
      <c r="C126" s="236"/>
      <c r="D126" s="340"/>
      <c r="E126" s="340"/>
      <c r="F126" s="236"/>
      <c r="G126" s="341"/>
    </row>
    <row r="127" ht="15.75" customHeight="1">
      <c r="A127" s="350"/>
      <c r="B127" s="233"/>
      <c r="C127" s="233"/>
      <c r="D127" s="344"/>
      <c r="E127" s="344"/>
      <c r="F127" s="233"/>
      <c r="G127" s="345"/>
    </row>
    <row r="128" ht="15.75" customHeight="1">
      <c r="A128" s="349"/>
      <c r="B128" s="236"/>
      <c r="C128" s="236"/>
      <c r="D128" s="340"/>
      <c r="E128" s="340"/>
      <c r="F128" s="236"/>
      <c r="G128" s="341"/>
    </row>
    <row r="129" ht="15.75" customHeight="1">
      <c r="A129" s="350"/>
      <c r="B129" s="233"/>
      <c r="C129" s="233"/>
      <c r="D129" s="344"/>
      <c r="E129" s="344"/>
      <c r="F129" s="233"/>
      <c r="G129" s="345"/>
    </row>
    <row r="130" ht="15.75" customHeight="1">
      <c r="A130" s="349"/>
      <c r="B130" s="236"/>
      <c r="C130" s="236"/>
      <c r="D130" s="340"/>
      <c r="E130" s="340"/>
      <c r="F130" s="236"/>
      <c r="G130" s="341"/>
    </row>
    <row r="131" ht="15.75" customHeight="1">
      <c r="A131" s="350"/>
      <c r="B131" s="233"/>
      <c r="C131" s="233"/>
      <c r="D131" s="344"/>
      <c r="E131" s="344"/>
      <c r="F131" s="233"/>
      <c r="G131" s="345"/>
    </row>
    <row r="132" ht="15.75" customHeight="1">
      <c r="A132" s="349"/>
      <c r="B132" s="236"/>
      <c r="C132" s="236"/>
      <c r="D132" s="340"/>
      <c r="E132" s="340"/>
      <c r="F132" s="236"/>
      <c r="G132" s="341"/>
    </row>
    <row r="133" ht="15.75" customHeight="1">
      <c r="A133" s="350"/>
      <c r="B133" s="233"/>
      <c r="C133" s="233"/>
      <c r="D133" s="344"/>
      <c r="E133" s="344"/>
      <c r="F133" s="233"/>
      <c r="G133" s="345"/>
    </row>
    <row r="134" ht="15.75" customHeight="1">
      <c r="A134" s="349"/>
      <c r="B134" s="236"/>
      <c r="C134" s="236"/>
      <c r="D134" s="340"/>
      <c r="E134" s="340"/>
      <c r="F134" s="236"/>
      <c r="G134" s="341"/>
    </row>
    <row r="135" ht="15.75" customHeight="1">
      <c r="A135" s="350"/>
      <c r="B135" s="233"/>
      <c r="C135" s="233"/>
      <c r="D135" s="344"/>
      <c r="E135" s="344"/>
      <c r="F135" s="233"/>
      <c r="G135" s="345"/>
    </row>
    <row r="136" ht="15.75" customHeight="1">
      <c r="A136" s="349"/>
      <c r="B136" s="236"/>
      <c r="C136" s="236"/>
      <c r="D136" s="340"/>
      <c r="E136" s="340"/>
      <c r="F136" s="236"/>
      <c r="G136" s="341"/>
    </row>
    <row r="137" ht="15.75" customHeight="1">
      <c r="A137" s="350"/>
      <c r="B137" s="233"/>
      <c r="C137" s="233"/>
      <c r="D137" s="344"/>
      <c r="E137" s="344"/>
      <c r="F137" s="233"/>
      <c r="G137" s="345"/>
    </row>
    <row r="138" ht="15.75" customHeight="1">
      <c r="A138" s="349"/>
      <c r="B138" s="236"/>
      <c r="C138" s="236"/>
      <c r="D138" s="340"/>
      <c r="E138" s="340"/>
      <c r="F138" s="236"/>
      <c r="G138" s="341"/>
    </row>
    <row r="139" ht="15.75" customHeight="1">
      <c r="A139" s="350"/>
      <c r="B139" s="233"/>
      <c r="C139" s="233"/>
      <c r="D139" s="344"/>
      <c r="E139" s="344"/>
      <c r="F139" s="233"/>
      <c r="G139" s="345"/>
    </row>
    <row r="140" ht="15.75" customHeight="1">
      <c r="A140" s="349"/>
      <c r="B140" s="236"/>
      <c r="C140" s="236"/>
      <c r="D140" s="340"/>
      <c r="E140" s="340"/>
      <c r="F140" s="236"/>
      <c r="G140" s="341"/>
    </row>
    <row r="141" ht="15.75" customHeight="1">
      <c r="A141" s="350"/>
      <c r="B141" s="233"/>
      <c r="C141" s="233"/>
      <c r="D141" s="344"/>
      <c r="E141" s="344"/>
      <c r="F141" s="233"/>
      <c r="G141" s="345"/>
    </row>
    <row r="142" ht="15.75" customHeight="1">
      <c r="A142" s="349"/>
      <c r="B142" s="236"/>
      <c r="C142" s="236"/>
      <c r="D142" s="340"/>
      <c r="E142" s="340"/>
      <c r="F142" s="236"/>
      <c r="G142" s="341"/>
    </row>
    <row r="143" ht="15.75" customHeight="1">
      <c r="A143" s="350"/>
      <c r="B143" s="233"/>
      <c r="C143" s="233"/>
      <c r="D143" s="344"/>
      <c r="E143" s="344"/>
      <c r="F143" s="233"/>
      <c r="G143" s="345"/>
    </row>
    <row r="144" ht="15.75" customHeight="1">
      <c r="A144" s="349"/>
      <c r="B144" s="236"/>
      <c r="C144" s="236"/>
      <c r="D144" s="340"/>
      <c r="E144" s="340"/>
      <c r="F144" s="236"/>
      <c r="G144" s="341"/>
    </row>
    <row r="145" ht="15.75" customHeight="1">
      <c r="A145" s="350"/>
      <c r="B145" s="233"/>
      <c r="C145" s="233"/>
      <c r="D145" s="344"/>
      <c r="E145" s="344"/>
      <c r="F145" s="233"/>
      <c r="G145" s="345"/>
    </row>
    <row r="146" ht="15.75" customHeight="1">
      <c r="A146" s="349"/>
      <c r="B146" s="236"/>
      <c r="C146" s="236"/>
      <c r="D146" s="340"/>
      <c r="E146" s="340"/>
      <c r="F146" s="236"/>
      <c r="G146" s="341"/>
    </row>
    <row r="147" ht="15.75" customHeight="1">
      <c r="A147" s="350"/>
      <c r="B147" s="233"/>
      <c r="C147" s="233"/>
      <c r="D147" s="344"/>
      <c r="E147" s="344"/>
      <c r="F147" s="233"/>
      <c r="G147" s="345"/>
    </row>
    <row r="148" ht="15.75" customHeight="1">
      <c r="A148" s="349"/>
      <c r="B148" s="236"/>
      <c r="C148" s="236"/>
      <c r="D148" s="340"/>
      <c r="E148" s="340"/>
      <c r="F148" s="236"/>
      <c r="G148" s="341"/>
    </row>
    <row r="149" ht="15.75" customHeight="1">
      <c r="A149" s="350"/>
      <c r="B149" s="233"/>
      <c r="C149" s="233"/>
      <c r="D149" s="344"/>
      <c r="E149" s="344"/>
      <c r="F149" s="233"/>
      <c r="G149" s="345"/>
    </row>
    <row r="150" ht="15.75" customHeight="1">
      <c r="A150" s="349"/>
      <c r="B150" s="236"/>
      <c r="C150" s="236"/>
      <c r="D150" s="340"/>
      <c r="E150" s="340"/>
      <c r="F150" s="236"/>
      <c r="G150" s="341"/>
    </row>
    <row r="151" ht="15.75" customHeight="1">
      <c r="A151" s="350"/>
      <c r="B151" s="233"/>
      <c r="C151" s="233"/>
      <c r="D151" s="344"/>
      <c r="E151" s="344"/>
      <c r="F151" s="233"/>
      <c r="G151" s="345"/>
    </row>
    <row r="152" ht="15.75" customHeight="1">
      <c r="A152" s="349"/>
      <c r="B152" s="236"/>
      <c r="C152" s="236"/>
      <c r="D152" s="340"/>
      <c r="E152" s="340"/>
      <c r="F152" s="236"/>
      <c r="G152" s="341"/>
    </row>
    <row r="153" ht="15.75" customHeight="1">
      <c r="A153" s="350"/>
      <c r="B153" s="233"/>
      <c r="C153" s="233"/>
      <c r="D153" s="344"/>
      <c r="E153" s="344"/>
      <c r="F153" s="233"/>
      <c r="G153" s="345"/>
    </row>
    <row r="154" ht="15.75" customHeight="1">
      <c r="A154" s="349"/>
      <c r="B154" s="236"/>
      <c r="C154" s="236"/>
      <c r="D154" s="340"/>
      <c r="E154" s="340"/>
      <c r="F154" s="236"/>
      <c r="G154" s="341"/>
    </row>
    <row r="155" ht="15.75" customHeight="1">
      <c r="A155" s="350"/>
      <c r="B155" s="233"/>
      <c r="C155" s="233"/>
      <c r="D155" s="344"/>
      <c r="E155" s="344"/>
      <c r="F155" s="233"/>
      <c r="G155" s="345"/>
    </row>
    <row r="156" ht="15.75" customHeight="1">
      <c r="A156" s="349"/>
      <c r="B156" s="236"/>
      <c r="C156" s="236"/>
      <c r="D156" s="340"/>
      <c r="E156" s="340"/>
      <c r="F156" s="236"/>
      <c r="G156" s="341"/>
    </row>
    <row r="157" ht="15.75" customHeight="1">
      <c r="A157" s="350"/>
      <c r="B157" s="233"/>
      <c r="C157" s="233"/>
      <c r="D157" s="344"/>
      <c r="E157" s="344"/>
      <c r="F157" s="233"/>
      <c r="G157" s="345"/>
    </row>
    <row r="158" ht="15.75" customHeight="1">
      <c r="A158" s="349"/>
      <c r="B158" s="236"/>
      <c r="C158" s="236"/>
      <c r="D158" s="340"/>
      <c r="E158" s="340"/>
      <c r="F158" s="236"/>
      <c r="G158" s="341"/>
    </row>
    <row r="159" ht="15.75" customHeight="1">
      <c r="A159" s="350"/>
      <c r="B159" s="233"/>
      <c r="C159" s="233"/>
      <c r="D159" s="344"/>
      <c r="E159" s="344"/>
      <c r="F159" s="233"/>
      <c r="G159" s="345"/>
    </row>
    <row r="160" ht="15.75" customHeight="1">
      <c r="A160" s="349"/>
      <c r="B160" s="236"/>
      <c r="C160" s="236"/>
      <c r="D160" s="340"/>
      <c r="E160" s="340"/>
      <c r="F160" s="236"/>
      <c r="G160" s="341"/>
    </row>
    <row r="161" ht="15.75" customHeight="1">
      <c r="A161" s="350"/>
      <c r="B161" s="233"/>
      <c r="C161" s="233"/>
      <c r="D161" s="344"/>
      <c r="E161" s="344"/>
      <c r="F161" s="233"/>
      <c r="G161" s="345"/>
    </row>
    <row r="162" ht="15.75" customHeight="1">
      <c r="A162" s="349"/>
      <c r="B162" s="236"/>
      <c r="C162" s="236"/>
      <c r="D162" s="340"/>
      <c r="E162" s="340"/>
      <c r="F162" s="236"/>
      <c r="G162" s="341"/>
    </row>
    <row r="163" ht="15.75" customHeight="1">
      <c r="A163" s="350"/>
      <c r="B163" s="233"/>
      <c r="C163" s="233"/>
      <c r="D163" s="344"/>
      <c r="E163" s="344"/>
      <c r="F163" s="233"/>
      <c r="G163" s="345"/>
    </row>
    <row r="164" ht="15.75" customHeight="1">
      <c r="A164" s="349"/>
      <c r="B164" s="236"/>
      <c r="C164" s="236"/>
      <c r="D164" s="340"/>
      <c r="E164" s="340"/>
      <c r="F164" s="236"/>
      <c r="G164" s="341"/>
    </row>
    <row r="165" ht="15.75" customHeight="1">
      <c r="A165" s="350"/>
      <c r="B165" s="233"/>
      <c r="C165" s="233"/>
      <c r="D165" s="344"/>
      <c r="E165" s="344"/>
      <c r="F165" s="233"/>
      <c r="G165" s="345"/>
    </row>
    <row r="166" ht="15.75" customHeight="1">
      <c r="A166" s="349"/>
      <c r="B166" s="236"/>
      <c r="C166" s="236"/>
      <c r="D166" s="340"/>
      <c r="E166" s="340"/>
      <c r="F166" s="236"/>
      <c r="G166" s="341"/>
    </row>
    <row r="167" ht="15.75" customHeight="1">
      <c r="A167" s="350"/>
      <c r="B167" s="233"/>
      <c r="C167" s="233"/>
      <c r="D167" s="344"/>
      <c r="E167" s="344"/>
      <c r="F167" s="233"/>
      <c r="G167" s="345"/>
    </row>
    <row r="168" ht="15.75" customHeight="1">
      <c r="A168" s="349"/>
      <c r="B168" s="236"/>
      <c r="C168" s="236"/>
      <c r="D168" s="340"/>
      <c r="E168" s="340"/>
      <c r="F168" s="236"/>
      <c r="G168" s="341"/>
    </row>
    <row r="169" ht="15.75" customHeight="1">
      <c r="A169" s="350"/>
      <c r="B169" s="233"/>
      <c r="C169" s="233"/>
      <c r="D169" s="344"/>
      <c r="E169" s="344"/>
      <c r="F169" s="233"/>
      <c r="G169" s="345"/>
    </row>
    <row r="170" ht="15.75" customHeight="1">
      <c r="A170" s="349"/>
      <c r="B170" s="236"/>
      <c r="C170" s="236"/>
      <c r="D170" s="340"/>
      <c r="E170" s="340"/>
      <c r="F170" s="236"/>
      <c r="G170" s="341"/>
    </row>
    <row r="171" ht="15.75" customHeight="1">
      <c r="A171" s="350"/>
      <c r="B171" s="233"/>
      <c r="C171" s="233"/>
      <c r="D171" s="344"/>
      <c r="E171" s="344"/>
      <c r="F171" s="233"/>
      <c r="G171" s="345"/>
    </row>
    <row r="172" ht="15.75" customHeight="1">
      <c r="A172" s="349"/>
      <c r="B172" s="236"/>
      <c r="C172" s="236"/>
      <c r="D172" s="340"/>
      <c r="E172" s="340"/>
      <c r="F172" s="236"/>
      <c r="G172" s="341"/>
    </row>
    <row r="173" ht="15.75" customHeight="1">
      <c r="A173" s="350"/>
      <c r="B173" s="233"/>
      <c r="C173" s="233"/>
      <c r="D173" s="344"/>
      <c r="E173" s="344"/>
      <c r="F173" s="233"/>
      <c r="G173" s="345"/>
    </row>
    <row r="174" ht="15.75" customHeight="1">
      <c r="A174" s="349"/>
      <c r="B174" s="236"/>
      <c r="C174" s="236"/>
      <c r="D174" s="340"/>
      <c r="E174" s="340"/>
      <c r="F174" s="236"/>
      <c r="G174" s="341"/>
    </row>
    <row r="175" ht="15.75" customHeight="1">
      <c r="A175" s="350"/>
      <c r="B175" s="233"/>
      <c r="C175" s="233"/>
      <c r="D175" s="344"/>
      <c r="E175" s="344"/>
      <c r="F175" s="233"/>
      <c r="G175" s="345"/>
    </row>
    <row r="176" ht="15.75" customHeight="1">
      <c r="A176" s="349"/>
      <c r="B176" s="236"/>
      <c r="C176" s="236"/>
      <c r="D176" s="340"/>
      <c r="E176" s="340"/>
      <c r="F176" s="236"/>
      <c r="G176" s="341"/>
    </row>
    <row r="177" ht="15.75" customHeight="1">
      <c r="A177" s="350"/>
      <c r="B177" s="233"/>
      <c r="C177" s="233"/>
      <c r="D177" s="344"/>
      <c r="E177" s="344"/>
      <c r="F177" s="233"/>
      <c r="G177" s="345"/>
    </row>
    <row r="178" ht="15.75" customHeight="1">
      <c r="A178" s="349"/>
      <c r="B178" s="236"/>
      <c r="C178" s="236"/>
      <c r="D178" s="340"/>
      <c r="E178" s="340"/>
      <c r="F178" s="236"/>
      <c r="G178" s="341"/>
    </row>
    <row r="179" ht="15.75" customHeight="1">
      <c r="A179" s="350"/>
      <c r="B179" s="233"/>
      <c r="C179" s="233"/>
      <c r="D179" s="344"/>
      <c r="E179" s="344"/>
      <c r="F179" s="233"/>
      <c r="G179" s="345"/>
    </row>
    <row r="180" ht="15.75" customHeight="1">
      <c r="A180" s="349"/>
      <c r="B180" s="236"/>
      <c r="C180" s="236"/>
      <c r="D180" s="340"/>
      <c r="E180" s="340"/>
      <c r="F180" s="236"/>
      <c r="G180" s="341"/>
    </row>
    <row r="181" ht="15.75" customHeight="1">
      <c r="A181" s="350"/>
      <c r="B181" s="233"/>
      <c r="C181" s="233"/>
      <c r="D181" s="344"/>
      <c r="E181" s="344"/>
      <c r="F181" s="233"/>
      <c r="G181" s="345"/>
    </row>
    <row r="182" ht="15.75" customHeight="1">
      <c r="A182" s="349"/>
      <c r="B182" s="236"/>
      <c r="C182" s="236"/>
      <c r="D182" s="340"/>
      <c r="E182" s="340"/>
      <c r="F182" s="236"/>
      <c r="G182" s="341"/>
    </row>
    <row r="183" ht="15.75" customHeight="1">
      <c r="A183" s="350"/>
      <c r="B183" s="233"/>
      <c r="C183" s="233"/>
      <c r="D183" s="344"/>
      <c r="E183" s="344"/>
      <c r="F183" s="233"/>
      <c r="G183" s="345"/>
    </row>
    <row r="184" ht="15.75" customHeight="1">
      <c r="A184" s="349"/>
      <c r="B184" s="236"/>
      <c r="C184" s="236"/>
      <c r="D184" s="340"/>
      <c r="E184" s="340"/>
      <c r="F184" s="236"/>
      <c r="G184" s="341"/>
    </row>
    <row r="185" ht="15.75" customHeight="1">
      <c r="A185" s="350"/>
      <c r="B185" s="233"/>
      <c r="C185" s="233"/>
      <c r="D185" s="344"/>
      <c r="E185" s="344"/>
      <c r="F185" s="233"/>
      <c r="G185" s="345"/>
    </row>
    <row r="186" ht="15.75" customHeight="1">
      <c r="A186" s="349"/>
      <c r="B186" s="236"/>
      <c r="C186" s="236"/>
      <c r="D186" s="340"/>
      <c r="E186" s="340"/>
      <c r="F186" s="236"/>
      <c r="G186" s="341"/>
    </row>
    <row r="187" ht="15.75" customHeight="1">
      <c r="A187" s="350"/>
      <c r="B187" s="233"/>
      <c r="C187" s="233"/>
      <c r="D187" s="344"/>
      <c r="E187" s="344"/>
      <c r="F187" s="233"/>
      <c r="G187" s="345"/>
    </row>
    <row r="188" ht="15.75" customHeight="1">
      <c r="A188" s="349"/>
      <c r="B188" s="236"/>
      <c r="C188" s="236"/>
      <c r="D188" s="340"/>
      <c r="E188" s="340"/>
      <c r="F188" s="236"/>
      <c r="G188" s="341"/>
    </row>
    <row r="189" ht="15.75" customHeight="1">
      <c r="A189" s="350"/>
      <c r="B189" s="233"/>
      <c r="C189" s="233"/>
      <c r="D189" s="344"/>
      <c r="E189" s="344"/>
      <c r="F189" s="233"/>
      <c r="G189" s="345"/>
    </row>
    <row r="190" ht="15.75" customHeight="1">
      <c r="A190" s="349"/>
      <c r="B190" s="236"/>
      <c r="C190" s="236"/>
      <c r="D190" s="340"/>
      <c r="E190" s="340"/>
      <c r="F190" s="236"/>
      <c r="G190" s="341"/>
    </row>
    <row r="191" ht="15.75" customHeight="1">
      <c r="A191" s="350"/>
      <c r="B191" s="233"/>
      <c r="C191" s="233"/>
      <c r="D191" s="344"/>
      <c r="E191" s="344"/>
      <c r="F191" s="233"/>
      <c r="G191" s="345"/>
    </row>
    <row r="192" ht="15.75" customHeight="1">
      <c r="A192" s="349"/>
      <c r="B192" s="236"/>
      <c r="C192" s="236"/>
      <c r="D192" s="340"/>
      <c r="E192" s="340"/>
      <c r="F192" s="236"/>
      <c r="G192" s="341"/>
    </row>
    <row r="193" ht="15.75" customHeight="1">
      <c r="A193" s="350"/>
      <c r="B193" s="233"/>
      <c r="C193" s="233"/>
      <c r="D193" s="344"/>
      <c r="E193" s="344"/>
      <c r="F193" s="233"/>
      <c r="G193" s="345"/>
    </row>
    <row r="194" ht="15.75" customHeight="1">
      <c r="A194" s="349"/>
      <c r="B194" s="236"/>
      <c r="C194" s="236"/>
      <c r="D194" s="340"/>
      <c r="E194" s="340"/>
      <c r="F194" s="236"/>
      <c r="G194" s="341"/>
    </row>
    <row r="195" ht="15.75" customHeight="1">
      <c r="A195" s="350"/>
      <c r="B195" s="233"/>
      <c r="C195" s="233"/>
      <c r="D195" s="344"/>
      <c r="E195" s="344"/>
      <c r="F195" s="233"/>
      <c r="G195" s="345"/>
    </row>
    <row r="196" ht="15.75" customHeight="1">
      <c r="A196" s="349"/>
      <c r="B196" s="236"/>
      <c r="C196" s="236"/>
      <c r="D196" s="340"/>
      <c r="E196" s="340"/>
      <c r="F196" s="236"/>
      <c r="G196" s="341"/>
    </row>
    <row r="197" ht="15.75" customHeight="1">
      <c r="A197" s="350"/>
      <c r="B197" s="233"/>
      <c r="C197" s="233"/>
      <c r="D197" s="344"/>
      <c r="E197" s="344"/>
      <c r="F197" s="233"/>
      <c r="G197" s="345"/>
    </row>
    <row r="198" ht="15.75" customHeight="1">
      <c r="A198" s="349"/>
      <c r="B198" s="236"/>
      <c r="C198" s="236"/>
      <c r="D198" s="340"/>
      <c r="E198" s="340"/>
      <c r="F198" s="236"/>
      <c r="G198" s="341"/>
    </row>
    <row r="199" ht="15.75" customHeight="1">
      <c r="A199" s="350"/>
      <c r="B199" s="233"/>
      <c r="C199" s="233"/>
      <c r="D199" s="344"/>
      <c r="E199" s="344"/>
      <c r="F199" s="233"/>
      <c r="G199" s="345"/>
    </row>
    <row r="200" ht="15.75" customHeight="1">
      <c r="A200" s="349"/>
      <c r="B200" s="236"/>
      <c r="C200" s="236"/>
      <c r="D200" s="340"/>
      <c r="E200" s="340"/>
      <c r="F200" s="236"/>
      <c r="G200" s="341"/>
    </row>
    <row r="201" ht="15.75" customHeight="1">
      <c r="A201" s="350"/>
      <c r="B201" s="233"/>
      <c r="C201" s="233"/>
      <c r="D201" s="344"/>
      <c r="E201" s="344"/>
      <c r="F201" s="233"/>
      <c r="G201" s="345"/>
    </row>
    <row r="202" ht="15.75" customHeight="1">
      <c r="A202" s="349"/>
      <c r="B202" s="236"/>
      <c r="C202" s="236"/>
      <c r="D202" s="340"/>
      <c r="E202" s="340"/>
      <c r="F202" s="236"/>
      <c r="G202" s="341"/>
    </row>
    <row r="203" ht="15.75" customHeight="1">
      <c r="A203" s="350"/>
      <c r="B203" s="233"/>
      <c r="C203" s="233"/>
      <c r="D203" s="344"/>
      <c r="E203" s="344"/>
      <c r="F203" s="233"/>
      <c r="G203" s="345"/>
    </row>
    <row r="204" ht="15.75" customHeight="1">
      <c r="A204" s="349"/>
      <c r="B204" s="236"/>
      <c r="C204" s="236"/>
      <c r="D204" s="340"/>
      <c r="E204" s="340"/>
      <c r="F204" s="236"/>
      <c r="G204" s="341"/>
    </row>
    <row r="205" ht="15.75" customHeight="1">
      <c r="A205" s="350"/>
      <c r="B205" s="233"/>
      <c r="C205" s="233"/>
      <c r="D205" s="344"/>
      <c r="E205" s="344"/>
      <c r="F205" s="233"/>
      <c r="G205" s="345"/>
    </row>
    <row r="206" ht="15.75" customHeight="1">
      <c r="A206" s="349"/>
      <c r="B206" s="236"/>
      <c r="C206" s="236"/>
      <c r="D206" s="340"/>
      <c r="E206" s="340"/>
      <c r="F206" s="236"/>
      <c r="G206" s="341"/>
    </row>
    <row r="207" ht="15.75" customHeight="1">
      <c r="A207" s="350"/>
      <c r="B207" s="233"/>
      <c r="C207" s="233"/>
      <c r="D207" s="344"/>
      <c r="E207" s="344"/>
      <c r="F207" s="233"/>
      <c r="G207" s="345"/>
    </row>
    <row r="208" ht="15.75" customHeight="1">
      <c r="A208" s="349"/>
      <c r="B208" s="236"/>
      <c r="C208" s="236"/>
      <c r="D208" s="340"/>
      <c r="E208" s="340"/>
      <c r="F208" s="236"/>
      <c r="G208" s="341"/>
    </row>
    <row r="209" ht="15.75" customHeight="1">
      <c r="A209" s="350"/>
      <c r="B209" s="233"/>
      <c r="C209" s="233"/>
      <c r="D209" s="344"/>
      <c r="E209" s="344"/>
      <c r="F209" s="233"/>
      <c r="G209" s="345"/>
    </row>
    <row r="210" ht="15.75" customHeight="1">
      <c r="A210" s="349"/>
      <c r="B210" s="236"/>
      <c r="C210" s="236"/>
      <c r="D210" s="340"/>
      <c r="E210" s="340"/>
      <c r="F210" s="236"/>
      <c r="G210" s="341"/>
    </row>
    <row r="211" ht="15.75" customHeight="1">
      <c r="A211" s="350"/>
      <c r="B211" s="233"/>
      <c r="C211" s="233"/>
      <c r="D211" s="344"/>
      <c r="E211" s="344"/>
      <c r="F211" s="233"/>
      <c r="G211" s="345"/>
    </row>
    <row r="212" ht="15.75" customHeight="1">
      <c r="A212" s="349"/>
      <c r="B212" s="236"/>
      <c r="C212" s="236"/>
      <c r="D212" s="340"/>
      <c r="E212" s="340"/>
      <c r="F212" s="236"/>
      <c r="G212" s="341"/>
    </row>
    <row r="213" ht="15.75" customHeight="1">
      <c r="A213" s="350"/>
      <c r="B213" s="233"/>
      <c r="C213" s="233"/>
      <c r="D213" s="344"/>
      <c r="E213" s="344"/>
      <c r="F213" s="233"/>
      <c r="G213" s="345"/>
    </row>
    <row r="214" ht="15.75" customHeight="1">
      <c r="A214" s="349"/>
      <c r="B214" s="236"/>
      <c r="C214" s="236"/>
      <c r="D214" s="340"/>
      <c r="E214" s="340"/>
      <c r="F214" s="236"/>
      <c r="G214" s="341"/>
    </row>
    <row r="215" ht="15.75" customHeight="1">
      <c r="A215" s="350"/>
      <c r="B215" s="233"/>
      <c r="C215" s="233"/>
      <c r="D215" s="344"/>
      <c r="E215" s="344"/>
      <c r="F215" s="233"/>
      <c r="G215" s="345"/>
    </row>
    <row r="216" ht="15.75" customHeight="1">
      <c r="A216" s="349"/>
      <c r="B216" s="236"/>
      <c r="C216" s="236"/>
      <c r="D216" s="340"/>
      <c r="E216" s="340"/>
      <c r="F216" s="236"/>
      <c r="G216" s="341"/>
    </row>
    <row r="217" ht="15.75" customHeight="1">
      <c r="A217" s="350"/>
      <c r="B217" s="233"/>
      <c r="C217" s="233"/>
      <c r="D217" s="344"/>
      <c r="E217" s="344"/>
      <c r="F217" s="233"/>
      <c r="G217" s="345"/>
    </row>
    <row r="218" ht="15.75" customHeight="1">
      <c r="A218" s="349"/>
      <c r="B218" s="236"/>
      <c r="C218" s="236"/>
      <c r="D218" s="340"/>
      <c r="E218" s="340"/>
      <c r="F218" s="236"/>
      <c r="G218" s="341"/>
    </row>
    <row r="219" ht="15.75" customHeight="1">
      <c r="A219" s="350"/>
      <c r="B219" s="233"/>
      <c r="C219" s="233"/>
      <c r="D219" s="344"/>
      <c r="E219" s="344"/>
      <c r="F219" s="233"/>
      <c r="G219" s="345"/>
    </row>
    <row r="220" ht="15.75" customHeight="1">
      <c r="A220" s="349"/>
      <c r="B220" s="236"/>
      <c r="C220" s="236"/>
      <c r="D220" s="340"/>
      <c r="E220" s="340"/>
      <c r="F220" s="236"/>
      <c r="G220" s="341"/>
    </row>
    <row r="221" ht="15.75" customHeight="1">
      <c r="A221" s="350"/>
      <c r="B221" s="233"/>
      <c r="C221" s="233"/>
      <c r="D221" s="344"/>
      <c r="E221" s="344"/>
      <c r="F221" s="233"/>
      <c r="G221" s="345"/>
    </row>
    <row r="222" ht="15.75" customHeight="1">
      <c r="A222" s="349"/>
      <c r="B222" s="236"/>
      <c r="C222" s="236"/>
      <c r="D222" s="340"/>
      <c r="E222" s="340"/>
      <c r="F222" s="236"/>
      <c r="G222" s="341"/>
    </row>
    <row r="223" ht="15.75" customHeight="1">
      <c r="A223" s="350"/>
      <c r="B223" s="233"/>
      <c r="C223" s="233"/>
      <c r="D223" s="344"/>
      <c r="E223" s="344"/>
      <c r="F223" s="233"/>
      <c r="G223" s="345"/>
    </row>
    <row r="224" ht="15.75" customHeight="1">
      <c r="A224" s="349"/>
      <c r="B224" s="236"/>
      <c r="C224" s="236"/>
      <c r="D224" s="340"/>
      <c r="E224" s="340"/>
      <c r="F224" s="236"/>
      <c r="G224" s="341"/>
    </row>
    <row r="225" ht="15.75" customHeight="1">
      <c r="A225" s="350"/>
      <c r="B225" s="233"/>
      <c r="C225" s="233"/>
      <c r="D225" s="344"/>
      <c r="E225" s="344"/>
      <c r="F225" s="233"/>
      <c r="G225" s="345"/>
    </row>
    <row r="226" ht="15.75" customHeight="1">
      <c r="A226" s="349"/>
      <c r="B226" s="236"/>
      <c r="C226" s="236"/>
      <c r="D226" s="340"/>
      <c r="E226" s="340"/>
      <c r="F226" s="236"/>
      <c r="G226" s="341"/>
    </row>
    <row r="227" ht="15.75" customHeight="1">
      <c r="A227" s="350"/>
      <c r="B227" s="233"/>
      <c r="C227" s="233"/>
      <c r="D227" s="344"/>
      <c r="E227" s="344"/>
      <c r="F227" s="233"/>
      <c r="G227" s="345"/>
    </row>
    <row r="228" ht="15.75" customHeight="1">
      <c r="A228" s="349"/>
      <c r="B228" s="236"/>
      <c r="C228" s="236"/>
      <c r="D228" s="340"/>
      <c r="E228" s="340"/>
      <c r="F228" s="236"/>
      <c r="G228" s="341"/>
    </row>
    <row r="229" ht="15.75" customHeight="1">
      <c r="A229" s="350"/>
      <c r="B229" s="233"/>
      <c r="C229" s="233"/>
      <c r="D229" s="344"/>
      <c r="E229" s="344"/>
      <c r="F229" s="233"/>
      <c r="G229" s="345"/>
    </row>
    <row r="230" ht="15.75" customHeight="1">
      <c r="A230" s="349"/>
      <c r="B230" s="236"/>
      <c r="C230" s="236"/>
      <c r="D230" s="340"/>
      <c r="E230" s="340"/>
      <c r="F230" s="236"/>
      <c r="G230" s="341"/>
    </row>
    <row r="231" ht="15.75" customHeight="1">
      <c r="A231" s="350"/>
      <c r="B231" s="233"/>
      <c r="C231" s="233"/>
      <c r="D231" s="344"/>
      <c r="E231" s="344"/>
      <c r="F231" s="233"/>
      <c r="G231" s="345"/>
    </row>
    <row r="232" ht="15.75" customHeight="1">
      <c r="A232" s="349"/>
      <c r="B232" s="236"/>
      <c r="C232" s="236"/>
      <c r="D232" s="340"/>
      <c r="E232" s="340"/>
      <c r="F232" s="236"/>
      <c r="G232" s="341"/>
    </row>
    <row r="233" ht="15.75" customHeight="1">
      <c r="A233" s="350"/>
      <c r="B233" s="233"/>
      <c r="C233" s="233"/>
      <c r="D233" s="344"/>
      <c r="E233" s="344"/>
      <c r="F233" s="233"/>
      <c r="G233" s="345"/>
    </row>
    <row r="234" ht="15.75" customHeight="1">
      <c r="A234" s="349"/>
      <c r="B234" s="236"/>
      <c r="C234" s="236"/>
      <c r="D234" s="340"/>
      <c r="E234" s="340"/>
      <c r="F234" s="236"/>
      <c r="G234" s="341"/>
    </row>
    <row r="235" ht="15.75" customHeight="1">
      <c r="A235" s="350"/>
      <c r="B235" s="233"/>
      <c r="C235" s="233"/>
      <c r="D235" s="344"/>
      <c r="E235" s="344"/>
      <c r="F235" s="233"/>
      <c r="G235" s="345"/>
    </row>
    <row r="236" ht="15.75" customHeight="1">
      <c r="A236" s="349"/>
      <c r="B236" s="236"/>
      <c r="C236" s="236"/>
      <c r="D236" s="340"/>
      <c r="E236" s="340"/>
      <c r="F236" s="236"/>
      <c r="G236" s="341"/>
    </row>
    <row r="237" ht="15.75" customHeight="1">
      <c r="A237" s="350"/>
      <c r="B237" s="233"/>
      <c r="C237" s="233"/>
      <c r="D237" s="344"/>
      <c r="E237" s="344"/>
      <c r="F237" s="233"/>
      <c r="G237" s="345"/>
    </row>
    <row r="238" ht="15.75" customHeight="1">
      <c r="A238" s="349"/>
      <c r="B238" s="236"/>
      <c r="C238" s="236"/>
      <c r="D238" s="340"/>
      <c r="E238" s="340"/>
      <c r="F238" s="236"/>
      <c r="G238" s="341"/>
    </row>
    <row r="239" ht="15.75" customHeight="1">
      <c r="A239" s="350"/>
      <c r="B239" s="233"/>
      <c r="C239" s="233"/>
      <c r="D239" s="344"/>
      <c r="E239" s="344"/>
      <c r="F239" s="233"/>
      <c r="G239" s="345"/>
    </row>
    <row r="240" ht="15.75" customHeight="1">
      <c r="A240" s="349"/>
      <c r="B240" s="236"/>
      <c r="C240" s="236"/>
      <c r="D240" s="340"/>
      <c r="E240" s="340"/>
      <c r="F240" s="236"/>
      <c r="G240" s="341"/>
    </row>
    <row r="241" ht="15.75" customHeight="1">
      <c r="A241" s="350"/>
      <c r="B241" s="233"/>
      <c r="C241" s="233"/>
      <c r="D241" s="344"/>
      <c r="E241" s="344"/>
      <c r="F241" s="233"/>
      <c r="G241" s="345"/>
    </row>
    <row r="242" ht="15.75" customHeight="1">
      <c r="A242" s="349"/>
      <c r="B242" s="236"/>
      <c r="C242" s="236"/>
      <c r="D242" s="340"/>
      <c r="E242" s="340"/>
      <c r="F242" s="236"/>
      <c r="G242" s="341"/>
    </row>
    <row r="243" ht="15.75" customHeight="1">
      <c r="A243" s="350"/>
      <c r="B243" s="233"/>
      <c r="C243" s="233"/>
      <c r="D243" s="344"/>
      <c r="E243" s="344"/>
      <c r="F243" s="233"/>
      <c r="G243" s="345"/>
    </row>
    <row r="244" ht="15.75" customHeight="1">
      <c r="A244" s="349"/>
      <c r="B244" s="236"/>
      <c r="C244" s="236"/>
      <c r="D244" s="340"/>
      <c r="E244" s="340"/>
      <c r="F244" s="236"/>
      <c r="G244" s="341"/>
    </row>
    <row r="245" ht="15.75" customHeight="1">
      <c r="A245" s="350"/>
      <c r="B245" s="233"/>
      <c r="C245" s="233"/>
      <c r="D245" s="344"/>
      <c r="E245" s="344"/>
      <c r="F245" s="233"/>
      <c r="G245" s="345"/>
    </row>
    <row r="246" ht="15.75" customHeight="1">
      <c r="A246" s="349"/>
      <c r="B246" s="236"/>
      <c r="C246" s="236"/>
      <c r="D246" s="340"/>
      <c r="E246" s="340"/>
      <c r="F246" s="236"/>
      <c r="G246" s="341"/>
    </row>
    <row r="247" ht="15.75" customHeight="1">
      <c r="A247" s="350"/>
      <c r="B247" s="233"/>
      <c r="C247" s="233"/>
      <c r="D247" s="344"/>
      <c r="E247" s="344"/>
      <c r="F247" s="233"/>
      <c r="G247" s="345"/>
    </row>
    <row r="248" ht="15.75" customHeight="1">
      <c r="A248" s="349"/>
      <c r="B248" s="236"/>
      <c r="C248" s="236"/>
      <c r="D248" s="340"/>
      <c r="E248" s="340"/>
      <c r="F248" s="236"/>
      <c r="G248" s="341"/>
    </row>
    <row r="249" ht="15.75" customHeight="1">
      <c r="A249" s="350"/>
      <c r="B249" s="233"/>
      <c r="C249" s="233"/>
      <c r="D249" s="344"/>
      <c r="E249" s="344"/>
      <c r="F249" s="233"/>
      <c r="G249" s="345"/>
    </row>
    <row r="250" ht="15.75" customHeight="1">
      <c r="A250" s="349"/>
      <c r="B250" s="236"/>
      <c r="C250" s="236"/>
      <c r="D250" s="340"/>
      <c r="E250" s="340"/>
      <c r="F250" s="236"/>
      <c r="G250" s="341"/>
    </row>
    <row r="251" ht="15.75" customHeight="1">
      <c r="A251" s="350"/>
      <c r="B251" s="233"/>
      <c r="C251" s="233"/>
      <c r="D251" s="344"/>
      <c r="E251" s="344"/>
      <c r="F251" s="233"/>
      <c r="G251" s="345"/>
    </row>
    <row r="252" ht="15.75" customHeight="1">
      <c r="A252" s="349"/>
      <c r="B252" s="236"/>
      <c r="C252" s="236"/>
      <c r="D252" s="340"/>
      <c r="E252" s="340"/>
      <c r="F252" s="236"/>
      <c r="G252" s="341"/>
    </row>
    <row r="253" ht="15.75" customHeight="1">
      <c r="A253" s="350"/>
      <c r="B253" s="233"/>
      <c r="C253" s="233"/>
      <c r="D253" s="344"/>
      <c r="E253" s="344"/>
      <c r="F253" s="233"/>
      <c r="G253" s="345"/>
    </row>
    <row r="254" ht="15.75" customHeight="1">
      <c r="A254" s="349"/>
      <c r="B254" s="236"/>
      <c r="C254" s="236"/>
      <c r="D254" s="340"/>
      <c r="E254" s="340"/>
      <c r="F254" s="236"/>
      <c r="G254" s="341"/>
    </row>
    <row r="255" ht="15.75" customHeight="1">
      <c r="A255" s="350"/>
      <c r="B255" s="233"/>
      <c r="C255" s="233"/>
      <c r="D255" s="344"/>
      <c r="E255" s="344"/>
      <c r="F255" s="233"/>
      <c r="G255" s="345"/>
    </row>
    <row r="256" ht="15.75" customHeight="1">
      <c r="A256" s="349"/>
      <c r="B256" s="236"/>
      <c r="C256" s="236"/>
      <c r="D256" s="340"/>
      <c r="E256" s="340"/>
      <c r="F256" s="236"/>
      <c r="G256" s="341"/>
    </row>
    <row r="257" ht="15.75" customHeight="1">
      <c r="A257" s="350"/>
      <c r="B257" s="233"/>
      <c r="C257" s="233"/>
      <c r="D257" s="344"/>
      <c r="E257" s="344"/>
      <c r="F257" s="233"/>
      <c r="G257" s="345"/>
    </row>
    <row r="258" ht="15.75" customHeight="1">
      <c r="A258" s="349"/>
      <c r="B258" s="236"/>
      <c r="C258" s="236"/>
      <c r="D258" s="340"/>
      <c r="E258" s="340"/>
      <c r="F258" s="236"/>
      <c r="G258" s="341"/>
    </row>
    <row r="259" ht="15.75" customHeight="1">
      <c r="A259" s="350"/>
      <c r="B259" s="233"/>
      <c r="C259" s="233"/>
      <c r="D259" s="344"/>
      <c r="E259" s="344"/>
      <c r="F259" s="233"/>
      <c r="G259" s="345"/>
    </row>
    <row r="260" ht="15.75" customHeight="1">
      <c r="A260" s="349"/>
      <c r="B260" s="236"/>
      <c r="C260" s="236"/>
      <c r="D260" s="340"/>
      <c r="E260" s="340"/>
      <c r="F260" s="236"/>
      <c r="G260" s="341"/>
    </row>
    <row r="261" ht="15.75" customHeight="1">
      <c r="A261" s="350"/>
      <c r="B261" s="233"/>
      <c r="C261" s="233"/>
      <c r="D261" s="344"/>
      <c r="E261" s="344"/>
      <c r="F261" s="233"/>
      <c r="G261" s="345"/>
    </row>
    <row r="262" ht="15.75" customHeight="1">
      <c r="A262" s="349"/>
      <c r="B262" s="236"/>
      <c r="C262" s="236"/>
      <c r="D262" s="340"/>
      <c r="E262" s="340"/>
      <c r="F262" s="236"/>
      <c r="G262" s="341"/>
    </row>
    <row r="263" ht="15.75" customHeight="1">
      <c r="A263" s="350"/>
      <c r="B263" s="233"/>
      <c r="C263" s="233"/>
      <c r="D263" s="344"/>
      <c r="E263" s="344"/>
      <c r="F263" s="233"/>
      <c r="G263" s="345"/>
    </row>
    <row r="264" ht="15.75" customHeight="1">
      <c r="A264" s="349"/>
      <c r="B264" s="236"/>
      <c r="C264" s="236"/>
      <c r="D264" s="340"/>
      <c r="E264" s="340"/>
      <c r="F264" s="236"/>
      <c r="G264" s="341"/>
    </row>
    <row r="265" ht="15.75" customHeight="1">
      <c r="A265" s="350"/>
      <c r="B265" s="233"/>
      <c r="C265" s="233"/>
      <c r="D265" s="344"/>
      <c r="E265" s="344"/>
      <c r="F265" s="233"/>
      <c r="G265" s="345"/>
    </row>
    <row r="266" ht="15.75" customHeight="1">
      <c r="A266" s="349"/>
      <c r="B266" s="236"/>
      <c r="C266" s="236"/>
      <c r="D266" s="340"/>
      <c r="E266" s="340"/>
      <c r="F266" s="236"/>
      <c r="G266" s="341"/>
    </row>
    <row r="267" ht="15.75" customHeight="1">
      <c r="A267" s="350"/>
      <c r="B267" s="233"/>
      <c r="C267" s="233"/>
      <c r="D267" s="344"/>
      <c r="E267" s="344"/>
      <c r="F267" s="233"/>
      <c r="G267" s="345"/>
    </row>
    <row r="268" ht="15.75" customHeight="1">
      <c r="A268" s="349"/>
      <c r="B268" s="236"/>
      <c r="C268" s="236"/>
      <c r="D268" s="340"/>
      <c r="E268" s="340"/>
      <c r="F268" s="236"/>
      <c r="G268" s="341"/>
    </row>
    <row r="269" ht="15.75" customHeight="1">
      <c r="A269" s="350"/>
      <c r="B269" s="233"/>
      <c r="C269" s="233"/>
      <c r="D269" s="344"/>
      <c r="E269" s="344"/>
      <c r="F269" s="233"/>
      <c r="G269" s="345"/>
    </row>
    <row r="270" ht="15.75" customHeight="1">
      <c r="A270" s="349"/>
      <c r="B270" s="236"/>
      <c r="C270" s="236"/>
      <c r="D270" s="340"/>
      <c r="E270" s="340"/>
      <c r="F270" s="236"/>
      <c r="G270" s="341"/>
    </row>
    <row r="271" ht="15.75" customHeight="1">
      <c r="A271" s="350"/>
      <c r="B271" s="233"/>
      <c r="C271" s="233"/>
      <c r="D271" s="344"/>
      <c r="E271" s="344"/>
      <c r="F271" s="233"/>
      <c r="G271" s="345"/>
    </row>
    <row r="272" ht="15.75" customHeight="1">
      <c r="A272" s="349"/>
      <c r="B272" s="236"/>
      <c r="C272" s="236"/>
      <c r="D272" s="340"/>
      <c r="E272" s="340"/>
      <c r="F272" s="236"/>
      <c r="G272" s="341"/>
    </row>
    <row r="273" ht="15.75" customHeight="1">
      <c r="A273" s="350"/>
      <c r="B273" s="233"/>
      <c r="C273" s="233"/>
      <c r="D273" s="344"/>
      <c r="E273" s="344"/>
      <c r="F273" s="233"/>
      <c r="G273" s="345"/>
    </row>
    <row r="274" ht="15.75" customHeight="1">
      <c r="A274" s="349"/>
      <c r="B274" s="236"/>
      <c r="C274" s="236"/>
      <c r="D274" s="340"/>
      <c r="E274" s="340"/>
      <c r="F274" s="236"/>
      <c r="G274" s="341"/>
    </row>
    <row r="275" ht="15.75" customHeight="1">
      <c r="A275" s="350"/>
      <c r="B275" s="233"/>
      <c r="C275" s="233"/>
      <c r="D275" s="344"/>
      <c r="E275" s="344"/>
      <c r="F275" s="233"/>
      <c r="G275" s="345"/>
    </row>
    <row r="276" ht="15.75" customHeight="1">
      <c r="A276" s="349"/>
      <c r="B276" s="236"/>
      <c r="C276" s="236"/>
      <c r="D276" s="340"/>
      <c r="E276" s="340"/>
      <c r="F276" s="236"/>
      <c r="G276" s="341"/>
    </row>
    <row r="277" ht="15.75" customHeight="1">
      <c r="A277" s="350"/>
      <c r="B277" s="233"/>
      <c r="C277" s="233"/>
      <c r="D277" s="344"/>
      <c r="E277" s="344"/>
      <c r="F277" s="233"/>
      <c r="G277" s="345"/>
    </row>
    <row r="278" ht="15.75" customHeight="1">
      <c r="A278" s="349"/>
      <c r="B278" s="236"/>
      <c r="C278" s="236"/>
      <c r="D278" s="340"/>
      <c r="E278" s="340"/>
      <c r="F278" s="236"/>
      <c r="G278" s="341"/>
    </row>
    <row r="279" ht="15.75" customHeight="1">
      <c r="A279" s="350"/>
      <c r="B279" s="233"/>
      <c r="C279" s="233"/>
      <c r="D279" s="344"/>
      <c r="E279" s="344"/>
      <c r="F279" s="233"/>
      <c r="G279" s="345"/>
    </row>
    <row r="280" ht="15.75" customHeight="1">
      <c r="A280" s="349"/>
      <c r="B280" s="236"/>
      <c r="C280" s="236"/>
      <c r="D280" s="340"/>
      <c r="E280" s="340"/>
      <c r="F280" s="236"/>
      <c r="G280" s="341"/>
    </row>
    <row r="281" ht="15.75" customHeight="1">
      <c r="A281" s="350"/>
      <c r="B281" s="233"/>
      <c r="C281" s="233"/>
      <c r="D281" s="344"/>
      <c r="E281" s="344"/>
      <c r="F281" s="233"/>
      <c r="G281" s="345"/>
    </row>
    <row r="282" ht="15.75" customHeight="1">
      <c r="A282" s="349"/>
      <c r="B282" s="236"/>
      <c r="C282" s="236"/>
      <c r="D282" s="340"/>
      <c r="E282" s="340"/>
      <c r="F282" s="236"/>
      <c r="G282" s="341"/>
    </row>
    <row r="283" ht="15.75" customHeight="1">
      <c r="A283" s="350"/>
      <c r="B283" s="233"/>
      <c r="C283" s="233"/>
      <c r="D283" s="344"/>
      <c r="E283" s="344"/>
      <c r="F283" s="233"/>
      <c r="G283" s="345"/>
    </row>
    <row r="284" ht="15.75" customHeight="1">
      <c r="A284" s="349"/>
      <c r="B284" s="236"/>
      <c r="C284" s="236"/>
      <c r="D284" s="340"/>
      <c r="E284" s="340"/>
      <c r="F284" s="236"/>
      <c r="G284" s="341"/>
    </row>
    <row r="285" ht="15.75" customHeight="1">
      <c r="A285" s="350"/>
      <c r="B285" s="233"/>
      <c r="C285" s="233"/>
      <c r="D285" s="344"/>
      <c r="E285" s="344"/>
      <c r="F285" s="233"/>
      <c r="G285" s="345"/>
    </row>
    <row r="286" ht="15.75" customHeight="1">
      <c r="A286" s="349"/>
      <c r="B286" s="236"/>
      <c r="C286" s="236"/>
      <c r="D286" s="340"/>
      <c r="E286" s="340"/>
      <c r="F286" s="236"/>
      <c r="G286" s="341"/>
    </row>
    <row r="287" ht="15.75" customHeight="1">
      <c r="A287" s="350"/>
      <c r="B287" s="233"/>
      <c r="C287" s="233"/>
      <c r="D287" s="344"/>
      <c r="E287" s="344"/>
      <c r="F287" s="233"/>
      <c r="G287" s="345"/>
    </row>
    <row r="288" ht="15.75" customHeight="1">
      <c r="A288" s="349"/>
      <c r="B288" s="236"/>
      <c r="C288" s="236"/>
      <c r="D288" s="340"/>
      <c r="E288" s="340"/>
      <c r="F288" s="236"/>
      <c r="G288" s="341"/>
    </row>
    <row r="289" ht="15.75" customHeight="1">
      <c r="A289" s="350"/>
      <c r="B289" s="233"/>
      <c r="C289" s="233"/>
      <c r="D289" s="344"/>
      <c r="E289" s="344"/>
      <c r="F289" s="233"/>
      <c r="G289" s="345"/>
    </row>
    <row r="290" ht="15.75" customHeight="1">
      <c r="A290" s="349"/>
      <c r="B290" s="236"/>
      <c r="C290" s="236"/>
      <c r="D290" s="340"/>
      <c r="E290" s="340"/>
      <c r="F290" s="236"/>
      <c r="G290" s="341"/>
    </row>
    <row r="291" ht="15.75" customHeight="1">
      <c r="A291" s="350"/>
      <c r="B291" s="233"/>
      <c r="C291" s="233"/>
      <c r="D291" s="344"/>
      <c r="E291" s="344"/>
      <c r="F291" s="233"/>
      <c r="G291" s="345"/>
    </row>
    <row r="292" ht="15.75" customHeight="1">
      <c r="A292" s="349"/>
      <c r="B292" s="236"/>
      <c r="C292" s="236"/>
      <c r="D292" s="340"/>
      <c r="E292" s="340"/>
      <c r="F292" s="236"/>
      <c r="G292" s="341"/>
    </row>
    <row r="293" ht="15.75" customHeight="1">
      <c r="A293" s="350"/>
      <c r="B293" s="233"/>
      <c r="C293" s="233"/>
      <c r="D293" s="344"/>
      <c r="E293" s="344"/>
      <c r="F293" s="233"/>
      <c r="G293" s="345"/>
    </row>
    <row r="294" ht="15.75" customHeight="1">
      <c r="A294" s="349"/>
      <c r="B294" s="236"/>
      <c r="C294" s="236"/>
      <c r="D294" s="340"/>
      <c r="E294" s="340"/>
      <c r="F294" s="236"/>
      <c r="G294" s="341"/>
    </row>
    <row r="295" ht="15.75" customHeight="1">
      <c r="A295" s="350"/>
      <c r="B295" s="233"/>
      <c r="C295" s="233"/>
      <c r="D295" s="344"/>
      <c r="E295" s="344"/>
      <c r="F295" s="233"/>
      <c r="G295" s="345"/>
    </row>
    <row r="296" ht="15.75" customHeight="1">
      <c r="A296" s="349"/>
      <c r="B296" s="236"/>
      <c r="C296" s="236"/>
      <c r="D296" s="340"/>
      <c r="E296" s="340"/>
      <c r="F296" s="236"/>
      <c r="G296" s="341"/>
    </row>
    <row r="297" ht="15.75" customHeight="1">
      <c r="A297" s="350"/>
      <c r="B297" s="233"/>
      <c r="C297" s="233"/>
      <c r="D297" s="344"/>
      <c r="E297" s="344"/>
      <c r="F297" s="233"/>
      <c r="G297" s="345"/>
    </row>
    <row r="298" ht="15.75" customHeight="1">
      <c r="A298" s="349"/>
      <c r="B298" s="236"/>
      <c r="C298" s="236"/>
      <c r="D298" s="340"/>
      <c r="E298" s="340"/>
      <c r="F298" s="236"/>
      <c r="G298" s="341"/>
    </row>
    <row r="299" ht="15.75" customHeight="1">
      <c r="A299" s="350"/>
      <c r="B299" s="233"/>
      <c r="C299" s="233"/>
      <c r="D299" s="344"/>
      <c r="E299" s="344"/>
      <c r="F299" s="233"/>
      <c r="G299" s="345"/>
    </row>
    <row r="300" ht="15.75" customHeight="1">
      <c r="A300" s="349"/>
      <c r="B300" s="236"/>
      <c r="C300" s="236"/>
      <c r="D300" s="340"/>
      <c r="E300" s="340"/>
      <c r="F300" s="236"/>
      <c r="G300" s="341"/>
    </row>
    <row r="301" ht="15.75" customHeight="1">
      <c r="A301" s="350"/>
      <c r="B301" s="233"/>
      <c r="C301" s="233"/>
      <c r="D301" s="344"/>
      <c r="E301" s="344"/>
      <c r="F301" s="233"/>
      <c r="G301" s="345"/>
    </row>
    <row r="302" ht="15.75" customHeight="1">
      <c r="A302" s="349"/>
      <c r="B302" s="236"/>
      <c r="C302" s="236"/>
      <c r="D302" s="340"/>
      <c r="E302" s="340"/>
      <c r="F302" s="236"/>
      <c r="G302" s="341"/>
    </row>
    <row r="303" ht="15.75" customHeight="1">
      <c r="A303" s="350"/>
      <c r="B303" s="233"/>
      <c r="C303" s="233"/>
      <c r="D303" s="344"/>
      <c r="E303" s="344"/>
      <c r="F303" s="233"/>
      <c r="G303" s="345"/>
    </row>
    <row r="304" ht="15.75" customHeight="1">
      <c r="A304" s="349"/>
      <c r="B304" s="236"/>
      <c r="C304" s="236"/>
      <c r="D304" s="340"/>
      <c r="E304" s="340"/>
      <c r="F304" s="236"/>
      <c r="G304" s="341"/>
    </row>
    <row r="305" ht="15.75" customHeight="1">
      <c r="A305" s="350"/>
      <c r="B305" s="233"/>
      <c r="C305" s="233"/>
      <c r="D305" s="344"/>
      <c r="E305" s="344"/>
      <c r="F305" s="233"/>
      <c r="G305" s="345"/>
    </row>
    <row r="306" ht="15.75" customHeight="1">
      <c r="A306" s="349"/>
      <c r="B306" s="236"/>
      <c r="C306" s="236"/>
      <c r="D306" s="340"/>
      <c r="E306" s="340"/>
      <c r="F306" s="236"/>
      <c r="G306" s="341"/>
    </row>
    <row r="307" ht="15.75" customHeight="1">
      <c r="A307" s="350"/>
      <c r="B307" s="233"/>
      <c r="C307" s="233"/>
      <c r="D307" s="344"/>
      <c r="E307" s="344"/>
      <c r="F307" s="233"/>
      <c r="G307" s="345"/>
    </row>
    <row r="308" ht="15.75" customHeight="1">
      <c r="A308" s="349"/>
      <c r="B308" s="236"/>
      <c r="C308" s="236"/>
      <c r="D308" s="340"/>
      <c r="E308" s="340"/>
      <c r="F308" s="236"/>
      <c r="G308" s="341"/>
    </row>
    <row r="309" ht="15.75" customHeight="1">
      <c r="A309" s="350"/>
      <c r="B309" s="233"/>
      <c r="C309" s="233"/>
      <c r="D309" s="344"/>
      <c r="E309" s="344"/>
      <c r="F309" s="233"/>
      <c r="G309" s="345"/>
    </row>
    <row r="310" ht="15.75" customHeight="1">
      <c r="A310" s="349"/>
      <c r="B310" s="236"/>
      <c r="C310" s="236"/>
      <c r="D310" s="340"/>
      <c r="E310" s="340"/>
      <c r="F310" s="236"/>
      <c r="G310" s="341"/>
    </row>
    <row r="311" ht="15.75" customHeight="1">
      <c r="A311" s="350"/>
      <c r="B311" s="233"/>
      <c r="C311" s="233"/>
      <c r="D311" s="344"/>
      <c r="E311" s="344"/>
      <c r="F311" s="233"/>
      <c r="G311" s="345"/>
    </row>
    <row r="312" ht="15.75" customHeight="1">
      <c r="A312" s="349"/>
      <c r="B312" s="236"/>
      <c r="C312" s="236"/>
      <c r="D312" s="340"/>
      <c r="E312" s="340"/>
      <c r="F312" s="236"/>
      <c r="G312" s="341"/>
    </row>
    <row r="313" ht="15.75" customHeight="1">
      <c r="A313" s="350"/>
      <c r="B313" s="233"/>
      <c r="C313" s="233"/>
      <c r="D313" s="344"/>
      <c r="E313" s="344"/>
      <c r="F313" s="233"/>
      <c r="G313" s="345"/>
    </row>
    <row r="314" ht="15.75" customHeight="1">
      <c r="A314" s="349"/>
      <c r="B314" s="236"/>
      <c r="C314" s="236"/>
      <c r="D314" s="340"/>
      <c r="E314" s="340"/>
      <c r="F314" s="236"/>
      <c r="G314" s="341"/>
    </row>
    <row r="315" ht="15.75" customHeight="1">
      <c r="A315" s="350"/>
      <c r="B315" s="233"/>
      <c r="C315" s="233"/>
      <c r="D315" s="344"/>
      <c r="E315" s="344"/>
      <c r="F315" s="233"/>
      <c r="G315" s="345"/>
    </row>
    <row r="316" ht="15.75" customHeight="1">
      <c r="A316" s="349"/>
      <c r="B316" s="236"/>
      <c r="C316" s="236"/>
      <c r="D316" s="340"/>
      <c r="E316" s="340"/>
      <c r="F316" s="236"/>
      <c r="G316" s="341"/>
    </row>
    <row r="317" ht="15.75" customHeight="1">
      <c r="A317" s="350"/>
      <c r="B317" s="233"/>
      <c r="C317" s="233"/>
      <c r="D317" s="344"/>
      <c r="E317" s="344"/>
      <c r="F317" s="233"/>
      <c r="G317" s="345"/>
    </row>
    <row r="318" ht="15.75" customHeight="1">
      <c r="A318" s="349"/>
      <c r="B318" s="236"/>
      <c r="C318" s="236"/>
      <c r="D318" s="340"/>
      <c r="E318" s="340"/>
      <c r="F318" s="236"/>
      <c r="G318" s="341"/>
    </row>
    <row r="319" ht="15.75" customHeight="1">
      <c r="A319" s="350"/>
      <c r="B319" s="233"/>
      <c r="C319" s="233"/>
      <c r="D319" s="344"/>
      <c r="E319" s="344"/>
      <c r="F319" s="233"/>
      <c r="G319" s="345"/>
    </row>
    <row r="320" ht="15.75" customHeight="1">
      <c r="A320" s="349"/>
      <c r="B320" s="236"/>
      <c r="C320" s="236"/>
      <c r="D320" s="340"/>
      <c r="E320" s="340"/>
      <c r="F320" s="236"/>
      <c r="G320" s="341"/>
    </row>
    <row r="321" ht="15.75" customHeight="1">
      <c r="A321" s="350"/>
      <c r="B321" s="233"/>
      <c r="C321" s="233"/>
      <c r="D321" s="344"/>
      <c r="E321" s="344"/>
      <c r="F321" s="233"/>
      <c r="G321" s="345"/>
    </row>
    <row r="322" ht="15.75" customHeight="1">
      <c r="A322" s="349"/>
      <c r="B322" s="236"/>
      <c r="C322" s="236"/>
      <c r="D322" s="340"/>
      <c r="E322" s="340"/>
      <c r="F322" s="236"/>
      <c r="G322" s="341"/>
    </row>
    <row r="323" ht="15.75" customHeight="1">
      <c r="A323" s="350"/>
      <c r="B323" s="233"/>
      <c r="C323" s="233"/>
      <c r="D323" s="344"/>
      <c r="E323" s="344"/>
      <c r="F323" s="233"/>
      <c r="G323" s="345"/>
    </row>
    <row r="324" ht="15.75" customHeight="1">
      <c r="A324" s="349"/>
      <c r="B324" s="236"/>
      <c r="C324" s="236"/>
      <c r="D324" s="340"/>
      <c r="E324" s="340"/>
      <c r="F324" s="236"/>
      <c r="G324" s="341"/>
    </row>
    <row r="325" ht="15.75" customHeight="1">
      <c r="A325" s="350"/>
      <c r="B325" s="233"/>
      <c r="C325" s="233"/>
      <c r="D325" s="344"/>
      <c r="E325" s="344"/>
      <c r="F325" s="233"/>
      <c r="G325" s="345"/>
    </row>
    <row r="326" ht="15.75" customHeight="1">
      <c r="A326" s="349"/>
      <c r="B326" s="236"/>
      <c r="C326" s="236"/>
      <c r="D326" s="340"/>
      <c r="E326" s="340"/>
      <c r="F326" s="236"/>
      <c r="G326" s="341"/>
    </row>
    <row r="327" ht="15.75" customHeight="1">
      <c r="A327" s="350"/>
      <c r="B327" s="233"/>
      <c r="C327" s="233"/>
      <c r="D327" s="344"/>
      <c r="E327" s="344"/>
      <c r="F327" s="233"/>
      <c r="G327" s="345"/>
    </row>
    <row r="328" ht="15.75" customHeight="1">
      <c r="A328" s="349"/>
      <c r="B328" s="236"/>
      <c r="C328" s="236"/>
      <c r="D328" s="340"/>
      <c r="E328" s="340"/>
      <c r="F328" s="236"/>
      <c r="G328" s="341"/>
    </row>
    <row r="329" ht="15.75" customHeight="1">
      <c r="A329" s="350"/>
      <c r="B329" s="233"/>
      <c r="C329" s="233"/>
      <c r="D329" s="344"/>
      <c r="E329" s="344"/>
      <c r="F329" s="233"/>
      <c r="G329" s="345"/>
    </row>
    <row r="330" ht="15.75" customHeight="1">
      <c r="A330" s="349"/>
      <c r="B330" s="236"/>
      <c r="C330" s="236"/>
      <c r="D330" s="340"/>
      <c r="E330" s="340"/>
      <c r="F330" s="236"/>
      <c r="G330" s="341"/>
    </row>
    <row r="331" ht="15.75" customHeight="1">
      <c r="A331" s="350"/>
      <c r="B331" s="233"/>
      <c r="C331" s="233"/>
      <c r="D331" s="344"/>
      <c r="E331" s="344"/>
      <c r="F331" s="233"/>
      <c r="G331" s="345"/>
    </row>
    <row r="332" ht="15.75" customHeight="1">
      <c r="A332" s="349"/>
      <c r="B332" s="236"/>
      <c r="C332" s="236"/>
      <c r="D332" s="340"/>
      <c r="E332" s="340"/>
      <c r="F332" s="236"/>
      <c r="G332" s="341"/>
    </row>
    <row r="333" ht="15.75" customHeight="1">
      <c r="A333" s="350"/>
      <c r="B333" s="233"/>
      <c r="C333" s="233"/>
      <c r="D333" s="344"/>
      <c r="E333" s="344"/>
      <c r="F333" s="233"/>
      <c r="G333" s="345"/>
    </row>
    <row r="334" ht="15.75" customHeight="1">
      <c r="A334" s="349"/>
      <c r="B334" s="236"/>
      <c r="C334" s="236"/>
      <c r="D334" s="340"/>
      <c r="E334" s="340"/>
      <c r="F334" s="236"/>
      <c r="G334" s="341"/>
    </row>
    <row r="335" ht="15.75" customHeight="1">
      <c r="A335" s="350"/>
      <c r="B335" s="233"/>
      <c r="C335" s="233"/>
      <c r="D335" s="344"/>
      <c r="E335" s="344"/>
      <c r="F335" s="233"/>
      <c r="G335" s="345"/>
    </row>
    <row r="336" ht="15.75" customHeight="1">
      <c r="A336" s="349"/>
      <c r="B336" s="236"/>
      <c r="C336" s="236"/>
      <c r="D336" s="340"/>
      <c r="E336" s="340"/>
      <c r="F336" s="236"/>
      <c r="G336" s="341"/>
    </row>
    <row r="337" ht="15.75" customHeight="1">
      <c r="A337" s="350"/>
      <c r="B337" s="233"/>
      <c r="C337" s="233"/>
      <c r="D337" s="344"/>
      <c r="E337" s="344"/>
      <c r="F337" s="233"/>
      <c r="G337" s="345"/>
    </row>
    <row r="338" ht="15.75" customHeight="1">
      <c r="A338" s="349"/>
      <c r="B338" s="236"/>
      <c r="C338" s="236"/>
      <c r="D338" s="340"/>
      <c r="E338" s="340"/>
      <c r="F338" s="236"/>
      <c r="G338" s="341"/>
    </row>
    <row r="339" ht="15.75" customHeight="1">
      <c r="A339" s="350"/>
      <c r="B339" s="233"/>
      <c r="C339" s="233"/>
      <c r="D339" s="344"/>
      <c r="E339" s="344"/>
      <c r="F339" s="233"/>
      <c r="G339" s="345"/>
    </row>
    <row r="340" ht="15.75" customHeight="1">
      <c r="A340" s="349"/>
      <c r="B340" s="236"/>
      <c r="C340" s="236"/>
      <c r="D340" s="340"/>
      <c r="E340" s="340"/>
      <c r="F340" s="236"/>
      <c r="G340" s="341"/>
    </row>
    <row r="341" ht="15.75" customHeight="1">
      <c r="A341" s="350"/>
      <c r="B341" s="233"/>
      <c r="C341" s="233"/>
      <c r="D341" s="344"/>
      <c r="E341" s="344"/>
      <c r="F341" s="233"/>
      <c r="G341" s="345"/>
    </row>
    <row r="342" ht="15.75" customHeight="1">
      <c r="A342" s="349"/>
      <c r="B342" s="236"/>
      <c r="C342" s="236"/>
      <c r="D342" s="340"/>
      <c r="E342" s="340"/>
      <c r="F342" s="236"/>
      <c r="G342" s="341"/>
    </row>
    <row r="343" ht="15.75" customHeight="1">
      <c r="A343" s="350"/>
      <c r="B343" s="233"/>
      <c r="C343" s="233"/>
      <c r="D343" s="344"/>
      <c r="E343" s="344"/>
      <c r="F343" s="233"/>
      <c r="G343" s="345"/>
    </row>
    <row r="344" ht="15.75" customHeight="1">
      <c r="A344" s="349"/>
      <c r="B344" s="236"/>
      <c r="C344" s="236"/>
      <c r="D344" s="340"/>
      <c r="E344" s="340"/>
      <c r="F344" s="236"/>
      <c r="G344" s="341"/>
    </row>
    <row r="345" ht="15.75" customHeight="1">
      <c r="A345" s="350"/>
      <c r="B345" s="233"/>
      <c r="C345" s="233"/>
      <c r="D345" s="344"/>
      <c r="E345" s="344"/>
      <c r="F345" s="233"/>
      <c r="G345" s="345"/>
    </row>
    <row r="346" ht="15.75" customHeight="1">
      <c r="A346" s="349"/>
      <c r="B346" s="236"/>
      <c r="C346" s="236"/>
      <c r="D346" s="340"/>
      <c r="E346" s="340"/>
      <c r="F346" s="236"/>
      <c r="G346" s="341"/>
    </row>
    <row r="347" ht="15.75" customHeight="1">
      <c r="A347" s="350"/>
      <c r="B347" s="233"/>
      <c r="C347" s="233"/>
      <c r="D347" s="344"/>
      <c r="E347" s="344"/>
      <c r="F347" s="233"/>
      <c r="G347" s="345"/>
    </row>
    <row r="348" ht="15.75" customHeight="1">
      <c r="A348" s="349"/>
      <c r="B348" s="236"/>
      <c r="C348" s="236"/>
      <c r="D348" s="340"/>
      <c r="E348" s="340"/>
      <c r="F348" s="236"/>
      <c r="G348" s="341"/>
    </row>
    <row r="349" ht="15.75" customHeight="1">
      <c r="A349" s="350"/>
      <c r="B349" s="233"/>
      <c r="C349" s="233"/>
      <c r="D349" s="344"/>
      <c r="E349" s="344"/>
      <c r="F349" s="233"/>
      <c r="G349" s="345"/>
    </row>
    <row r="350" ht="15.75" customHeight="1">
      <c r="A350" s="349"/>
      <c r="B350" s="236"/>
      <c r="C350" s="236"/>
      <c r="D350" s="340"/>
      <c r="E350" s="340"/>
      <c r="F350" s="236"/>
      <c r="G350" s="341"/>
    </row>
    <row r="351" ht="15.75" customHeight="1">
      <c r="A351" s="350"/>
      <c r="B351" s="233"/>
      <c r="C351" s="233"/>
      <c r="D351" s="344"/>
      <c r="E351" s="344"/>
      <c r="F351" s="233"/>
      <c r="G351" s="345"/>
    </row>
    <row r="352" ht="15.75" customHeight="1">
      <c r="A352" s="349"/>
      <c r="B352" s="236"/>
      <c r="C352" s="236"/>
      <c r="D352" s="340"/>
      <c r="E352" s="340"/>
      <c r="F352" s="236"/>
      <c r="G352" s="341"/>
    </row>
    <row r="353" ht="15.75" customHeight="1">
      <c r="A353" s="350"/>
      <c r="B353" s="233"/>
      <c r="C353" s="233"/>
      <c r="D353" s="344"/>
      <c r="E353" s="344"/>
      <c r="F353" s="233"/>
      <c r="G353" s="345"/>
    </row>
    <row r="354" ht="15.75" customHeight="1">
      <c r="A354" s="349"/>
      <c r="B354" s="236"/>
      <c r="C354" s="236"/>
      <c r="D354" s="340"/>
      <c r="E354" s="340"/>
      <c r="F354" s="236"/>
      <c r="G354" s="341"/>
    </row>
    <row r="355" ht="15.75" customHeight="1">
      <c r="A355" s="350"/>
      <c r="B355" s="233"/>
      <c r="C355" s="233"/>
      <c r="D355" s="344"/>
      <c r="E355" s="344"/>
      <c r="F355" s="233"/>
      <c r="G355" s="345"/>
    </row>
    <row r="356" ht="15.75" customHeight="1">
      <c r="A356" s="349"/>
      <c r="B356" s="236"/>
      <c r="C356" s="236"/>
      <c r="D356" s="340"/>
      <c r="E356" s="340"/>
      <c r="F356" s="236"/>
      <c r="G356" s="341"/>
    </row>
    <row r="357" ht="15.75" customHeight="1">
      <c r="A357" s="350"/>
      <c r="B357" s="233"/>
      <c r="C357" s="233"/>
      <c r="D357" s="344"/>
      <c r="E357" s="344"/>
      <c r="F357" s="233"/>
      <c r="G357" s="345"/>
    </row>
    <row r="358" ht="15.75" customHeight="1">
      <c r="A358" s="349"/>
      <c r="B358" s="236"/>
      <c r="C358" s="236"/>
      <c r="D358" s="340"/>
      <c r="E358" s="340"/>
      <c r="F358" s="236"/>
      <c r="G358" s="341"/>
    </row>
    <row r="359" ht="15.75" customHeight="1">
      <c r="A359" s="350"/>
      <c r="B359" s="233"/>
      <c r="C359" s="233"/>
      <c r="D359" s="344"/>
      <c r="E359" s="344"/>
      <c r="F359" s="233"/>
      <c r="G359" s="345"/>
    </row>
    <row r="360" ht="15.75" customHeight="1">
      <c r="A360" s="349"/>
      <c r="B360" s="236"/>
      <c r="C360" s="236"/>
      <c r="D360" s="340"/>
      <c r="E360" s="340"/>
      <c r="F360" s="236"/>
      <c r="G360" s="341"/>
    </row>
    <row r="361" ht="15.75" customHeight="1">
      <c r="A361" s="350"/>
      <c r="B361" s="233"/>
      <c r="C361" s="233"/>
      <c r="D361" s="344"/>
      <c r="E361" s="344"/>
      <c r="F361" s="233"/>
      <c r="G361" s="345"/>
    </row>
    <row r="362" ht="15.75" customHeight="1">
      <c r="A362" s="349"/>
      <c r="B362" s="236"/>
      <c r="C362" s="236"/>
      <c r="D362" s="340"/>
      <c r="E362" s="340"/>
      <c r="F362" s="236"/>
      <c r="G362" s="341"/>
    </row>
    <row r="363" ht="15.75" customHeight="1">
      <c r="A363" s="350"/>
      <c r="B363" s="233"/>
      <c r="C363" s="233"/>
      <c r="D363" s="344"/>
      <c r="E363" s="344"/>
      <c r="F363" s="233"/>
      <c r="G363" s="345"/>
    </row>
    <row r="364" ht="15.75" customHeight="1">
      <c r="A364" s="349"/>
      <c r="B364" s="236"/>
      <c r="C364" s="236"/>
      <c r="D364" s="340"/>
      <c r="E364" s="340"/>
      <c r="F364" s="236"/>
      <c r="G364" s="341"/>
    </row>
    <row r="365" ht="15.75" customHeight="1">
      <c r="A365" s="350"/>
      <c r="B365" s="233"/>
      <c r="C365" s="233"/>
      <c r="D365" s="344"/>
      <c r="E365" s="344"/>
      <c r="F365" s="233"/>
      <c r="G365" s="345"/>
    </row>
    <row r="366" ht="15.75" customHeight="1">
      <c r="A366" s="349"/>
      <c r="B366" s="236"/>
      <c r="C366" s="236"/>
      <c r="D366" s="340"/>
      <c r="E366" s="340"/>
      <c r="F366" s="236"/>
      <c r="G366" s="341"/>
    </row>
    <row r="367" ht="15.75" customHeight="1">
      <c r="A367" s="350"/>
      <c r="B367" s="233"/>
      <c r="C367" s="233"/>
      <c r="D367" s="344"/>
      <c r="E367" s="344"/>
      <c r="F367" s="233"/>
      <c r="G367" s="345"/>
    </row>
    <row r="368" ht="15.75" customHeight="1">
      <c r="A368" s="349"/>
      <c r="B368" s="236"/>
      <c r="C368" s="236"/>
      <c r="D368" s="340"/>
      <c r="E368" s="340"/>
      <c r="F368" s="236"/>
      <c r="G368" s="341"/>
    </row>
    <row r="369" ht="15.75" customHeight="1">
      <c r="A369" s="350"/>
      <c r="B369" s="233"/>
      <c r="C369" s="233"/>
      <c r="D369" s="344"/>
      <c r="E369" s="344"/>
      <c r="F369" s="233"/>
      <c r="G369" s="345"/>
    </row>
    <row r="370" ht="15.75" customHeight="1">
      <c r="A370" s="349"/>
      <c r="B370" s="236"/>
      <c r="C370" s="236"/>
      <c r="D370" s="340"/>
      <c r="E370" s="340"/>
      <c r="F370" s="236"/>
      <c r="G370" s="341"/>
    </row>
    <row r="371" ht="15.75" customHeight="1">
      <c r="A371" s="350"/>
      <c r="B371" s="233"/>
      <c r="C371" s="233"/>
      <c r="D371" s="344"/>
      <c r="E371" s="344"/>
      <c r="F371" s="233"/>
      <c r="G371" s="345"/>
    </row>
    <row r="372" ht="15.75" customHeight="1">
      <c r="A372" s="349"/>
      <c r="B372" s="236"/>
      <c r="C372" s="236"/>
      <c r="D372" s="340"/>
      <c r="E372" s="340"/>
      <c r="F372" s="236"/>
      <c r="G372" s="341"/>
    </row>
    <row r="373" ht="15.75" customHeight="1">
      <c r="A373" s="350"/>
      <c r="B373" s="233"/>
      <c r="C373" s="233"/>
      <c r="D373" s="344"/>
      <c r="E373" s="344"/>
      <c r="F373" s="233"/>
      <c r="G373" s="345"/>
    </row>
    <row r="374" ht="15.75" customHeight="1">
      <c r="A374" s="349"/>
      <c r="B374" s="236"/>
      <c r="C374" s="236"/>
      <c r="D374" s="340"/>
      <c r="E374" s="340"/>
      <c r="F374" s="236"/>
      <c r="G374" s="341"/>
    </row>
    <row r="375" ht="15.75" customHeight="1">
      <c r="A375" s="350"/>
      <c r="B375" s="233"/>
      <c r="C375" s="233"/>
      <c r="D375" s="344"/>
      <c r="E375" s="344"/>
      <c r="F375" s="233"/>
      <c r="G375" s="345"/>
    </row>
    <row r="376" ht="15.75" customHeight="1">
      <c r="A376" s="349"/>
      <c r="B376" s="236"/>
      <c r="C376" s="236"/>
      <c r="D376" s="340"/>
      <c r="E376" s="340"/>
      <c r="F376" s="236"/>
      <c r="G376" s="341"/>
    </row>
    <row r="377" ht="15.75" customHeight="1">
      <c r="A377" s="350"/>
      <c r="B377" s="233"/>
      <c r="C377" s="233"/>
      <c r="D377" s="344"/>
      <c r="E377" s="344"/>
      <c r="F377" s="233"/>
      <c r="G377" s="345"/>
    </row>
    <row r="378" ht="15.75" customHeight="1">
      <c r="A378" s="349"/>
      <c r="B378" s="236"/>
      <c r="C378" s="236"/>
      <c r="D378" s="340"/>
      <c r="E378" s="340"/>
      <c r="F378" s="236"/>
      <c r="G378" s="341"/>
    </row>
    <row r="379" ht="15.75" customHeight="1">
      <c r="A379" s="350"/>
      <c r="B379" s="233"/>
      <c r="C379" s="233"/>
      <c r="D379" s="344"/>
      <c r="E379" s="344"/>
      <c r="F379" s="233"/>
      <c r="G379" s="345"/>
    </row>
    <row r="380" ht="15.75" customHeight="1">
      <c r="A380" s="349"/>
      <c r="B380" s="236"/>
      <c r="C380" s="236"/>
      <c r="D380" s="340"/>
      <c r="E380" s="340"/>
      <c r="F380" s="236"/>
      <c r="G380" s="341"/>
    </row>
    <row r="381" ht="15.75" customHeight="1">
      <c r="A381" s="350"/>
      <c r="B381" s="233"/>
      <c r="C381" s="233"/>
      <c r="D381" s="344"/>
      <c r="E381" s="344"/>
      <c r="F381" s="233"/>
      <c r="G381" s="345"/>
    </row>
    <row r="382" ht="15.75" customHeight="1">
      <c r="A382" s="349"/>
      <c r="B382" s="236"/>
      <c r="C382" s="236"/>
      <c r="D382" s="340"/>
      <c r="E382" s="340"/>
      <c r="F382" s="236"/>
      <c r="G382" s="341"/>
    </row>
    <row r="383" ht="15.75" customHeight="1">
      <c r="A383" s="350"/>
      <c r="B383" s="233"/>
      <c r="C383" s="233"/>
      <c r="D383" s="344"/>
      <c r="E383" s="344"/>
      <c r="F383" s="233"/>
      <c r="G383" s="345"/>
    </row>
    <row r="384" ht="15.75" customHeight="1">
      <c r="A384" s="349"/>
      <c r="B384" s="236"/>
      <c r="C384" s="236"/>
      <c r="D384" s="340"/>
      <c r="E384" s="340"/>
      <c r="F384" s="236"/>
      <c r="G384" s="341"/>
    </row>
    <row r="385" ht="15.75" customHeight="1">
      <c r="A385" s="350"/>
      <c r="B385" s="233"/>
      <c r="C385" s="233"/>
      <c r="D385" s="344"/>
      <c r="E385" s="344"/>
      <c r="F385" s="233"/>
      <c r="G385" s="345"/>
    </row>
    <row r="386" ht="15.75" customHeight="1">
      <c r="A386" s="349"/>
      <c r="B386" s="236"/>
      <c r="C386" s="236"/>
      <c r="D386" s="340"/>
      <c r="E386" s="340"/>
      <c r="F386" s="236"/>
      <c r="G386" s="341"/>
    </row>
    <row r="387" ht="15.75" customHeight="1">
      <c r="A387" s="350"/>
      <c r="B387" s="233"/>
      <c r="C387" s="233"/>
      <c r="D387" s="344"/>
      <c r="E387" s="344"/>
      <c r="F387" s="233"/>
      <c r="G387" s="345"/>
    </row>
    <row r="388" ht="15.75" customHeight="1">
      <c r="A388" s="349"/>
      <c r="B388" s="236"/>
      <c r="C388" s="236"/>
      <c r="D388" s="340"/>
      <c r="E388" s="340"/>
      <c r="F388" s="236"/>
      <c r="G388" s="341"/>
    </row>
    <row r="389" ht="15.75" customHeight="1">
      <c r="A389" s="350"/>
      <c r="B389" s="233"/>
      <c r="C389" s="233"/>
      <c r="D389" s="344"/>
      <c r="E389" s="344"/>
      <c r="F389" s="233"/>
      <c r="G389" s="345"/>
    </row>
    <row r="390" ht="15.75" customHeight="1">
      <c r="A390" s="349"/>
      <c r="B390" s="236"/>
      <c r="C390" s="236"/>
      <c r="D390" s="340"/>
      <c r="E390" s="340"/>
      <c r="F390" s="236"/>
      <c r="G390" s="341"/>
    </row>
    <row r="391" ht="15.75" customHeight="1">
      <c r="A391" s="350"/>
      <c r="B391" s="233"/>
      <c r="C391" s="233"/>
      <c r="D391" s="344"/>
      <c r="E391" s="344"/>
      <c r="F391" s="233"/>
      <c r="G391" s="345"/>
    </row>
    <row r="392" ht="15.75" customHeight="1">
      <c r="A392" s="349"/>
      <c r="B392" s="236"/>
      <c r="C392" s="236"/>
      <c r="D392" s="340"/>
      <c r="E392" s="340"/>
      <c r="F392" s="236"/>
      <c r="G392" s="341"/>
    </row>
    <row r="393" ht="15.75" customHeight="1">
      <c r="A393" s="350"/>
      <c r="B393" s="233"/>
      <c r="C393" s="233"/>
      <c r="D393" s="344"/>
      <c r="E393" s="344"/>
      <c r="F393" s="233"/>
      <c r="G393" s="345"/>
    </row>
    <row r="394" ht="15.75" customHeight="1">
      <c r="A394" s="349"/>
      <c r="B394" s="236"/>
      <c r="C394" s="236"/>
      <c r="D394" s="340"/>
      <c r="E394" s="340"/>
      <c r="F394" s="236"/>
      <c r="G394" s="341"/>
    </row>
    <row r="395" ht="15.75" customHeight="1">
      <c r="A395" s="350"/>
      <c r="B395" s="233"/>
      <c r="C395" s="233"/>
      <c r="D395" s="344"/>
      <c r="E395" s="344"/>
      <c r="F395" s="233"/>
      <c r="G395" s="345"/>
    </row>
    <row r="396" ht="15.75" customHeight="1">
      <c r="A396" s="349"/>
      <c r="B396" s="236"/>
      <c r="C396" s="236"/>
      <c r="D396" s="340"/>
      <c r="E396" s="340"/>
      <c r="F396" s="236"/>
      <c r="G396" s="341"/>
    </row>
    <row r="397" ht="15.75" customHeight="1">
      <c r="A397" s="350"/>
      <c r="B397" s="233"/>
      <c r="C397" s="233"/>
      <c r="D397" s="344"/>
      <c r="E397" s="344"/>
      <c r="F397" s="233"/>
      <c r="G397" s="345"/>
    </row>
    <row r="398" ht="15.75" customHeight="1">
      <c r="A398" s="349"/>
      <c r="B398" s="236"/>
      <c r="C398" s="236"/>
      <c r="D398" s="340"/>
      <c r="E398" s="340"/>
      <c r="F398" s="236"/>
      <c r="G398" s="341"/>
    </row>
    <row r="399" ht="15.75" customHeight="1">
      <c r="A399" s="350"/>
      <c r="B399" s="233"/>
      <c r="C399" s="233"/>
      <c r="D399" s="344"/>
      <c r="E399" s="344"/>
      <c r="F399" s="233"/>
      <c r="G399" s="345"/>
    </row>
    <row r="400" ht="15.75" customHeight="1">
      <c r="A400" s="349"/>
      <c r="B400" s="236"/>
      <c r="C400" s="236"/>
      <c r="D400" s="340"/>
      <c r="E400" s="340"/>
      <c r="F400" s="236"/>
      <c r="G400" s="341"/>
    </row>
    <row r="401" ht="15.75" customHeight="1">
      <c r="A401" s="350"/>
      <c r="B401" s="233"/>
      <c r="C401" s="233"/>
      <c r="D401" s="344"/>
      <c r="E401" s="344"/>
      <c r="F401" s="233"/>
      <c r="G401" s="345"/>
    </row>
    <row r="402" ht="15.75" customHeight="1">
      <c r="A402" s="349"/>
      <c r="B402" s="236"/>
      <c r="C402" s="236"/>
      <c r="D402" s="340"/>
      <c r="E402" s="340"/>
      <c r="F402" s="236"/>
      <c r="G402" s="341"/>
    </row>
    <row r="403" ht="15.75" customHeight="1">
      <c r="A403" s="350"/>
      <c r="B403" s="233"/>
      <c r="C403" s="233"/>
      <c r="D403" s="344"/>
      <c r="E403" s="344"/>
      <c r="F403" s="233"/>
      <c r="G403" s="345"/>
    </row>
    <row r="404" ht="15.75" customHeight="1">
      <c r="A404" s="349"/>
      <c r="B404" s="236"/>
      <c r="C404" s="236"/>
      <c r="D404" s="340"/>
      <c r="E404" s="340"/>
      <c r="F404" s="236"/>
      <c r="G404" s="341"/>
    </row>
    <row r="405" ht="15.75" customHeight="1">
      <c r="A405" s="350"/>
      <c r="B405" s="233"/>
      <c r="C405" s="233"/>
      <c r="D405" s="344"/>
      <c r="E405" s="344"/>
      <c r="F405" s="233"/>
      <c r="G405" s="345"/>
    </row>
    <row r="406" ht="15.75" customHeight="1">
      <c r="A406" s="349"/>
      <c r="B406" s="236"/>
      <c r="C406" s="236"/>
      <c r="D406" s="340"/>
      <c r="E406" s="340"/>
      <c r="F406" s="236"/>
      <c r="G406" s="341"/>
    </row>
    <row r="407" ht="15.75" customHeight="1">
      <c r="A407" s="350"/>
      <c r="B407" s="233"/>
      <c r="C407" s="233"/>
      <c r="D407" s="344"/>
      <c r="E407" s="344"/>
      <c r="F407" s="233"/>
      <c r="G407" s="345"/>
    </row>
    <row r="408" ht="15.75" customHeight="1">
      <c r="A408" s="349"/>
      <c r="B408" s="236"/>
      <c r="C408" s="236"/>
      <c r="D408" s="340"/>
      <c r="E408" s="340"/>
      <c r="F408" s="236"/>
      <c r="G408" s="341"/>
    </row>
    <row r="409" ht="15.75" customHeight="1">
      <c r="A409" s="350"/>
      <c r="B409" s="233"/>
      <c r="C409" s="233"/>
      <c r="D409" s="344"/>
      <c r="E409" s="344"/>
      <c r="F409" s="233"/>
      <c r="G409" s="345"/>
    </row>
    <row r="410" ht="15.75" customHeight="1">
      <c r="A410" s="349"/>
      <c r="B410" s="236"/>
      <c r="C410" s="236"/>
      <c r="D410" s="340"/>
      <c r="E410" s="340"/>
      <c r="F410" s="236"/>
      <c r="G410" s="341"/>
    </row>
    <row r="411" ht="15.75" customHeight="1">
      <c r="A411" s="350"/>
      <c r="B411" s="233"/>
      <c r="C411" s="233"/>
      <c r="D411" s="344"/>
      <c r="E411" s="344"/>
      <c r="F411" s="233"/>
      <c r="G411" s="345"/>
    </row>
    <row r="412" ht="15.75" customHeight="1">
      <c r="A412" s="349"/>
      <c r="B412" s="236"/>
      <c r="C412" s="236"/>
      <c r="D412" s="340"/>
      <c r="E412" s="340"/>
      <c r="F412" s="236"/>
      <c r="G412" s="341"/>
    </row>
    <row r="413" ht="15.75" customHeight="1">
      <c r="A413" s="350"/>
      <c r="B413" s="233"/>
      <c r="C413" s="233"/>
      <c r="D413" s="344"/>
      <c r="E413" s="344"/>
      <c r="F413" s="233"/>
      <c r="G413" s="345"/>
    </row>
    <row r="414" ht="15.75" customHeight="1">
      <c r="A414" s="349"/>
      <c r="B414" s="236"/>
      <c r="C414" s="236"/>
      <c r="D414" s="340"/>
      <c r="E414" s="340"/>
      <c r="F414" s="236"/>
      <c r="G414" s="341"/>
    </row>
    <row r="415" ht="15.75" customHeight="1">
      <c r="A415" s="350"/>
      <c r="B415" s="233"/>
      <c r="C415" s="233"/>
      <c r="D415" s="344"/>
      <c r="E415" s="344"/>
      <c r="F415" s="233"/>
      <c r="G415" s="345"/>
    </row>
    <row r="416" ht="15.75" customHeight="1">
      <c r="A416" s="349"/>
      <c r="B416" s="236"/>
      <c r="C416" s="236"/>
      <c r="D416" s="340"/>
      <c r="E416" s="340"/>
      <c r="F416" s="236"/>
      <c r="G416" s="341"/>
    </row>
    <row r="417" ht="15.75" customHeight="1">
      <c r="A417" s="350"/>
      <c r="B417" s="233"/>
      <c r="C417" s="233"/>
      <c r="D417" s="344"/>
      <c r="E417" s="344"/>
      <c r="F417" s="233"/>
      <c r="G417" s="345"/>
    </row>
    <row r="418" ht="15.75" customHeight="1">
      <c r="A418" s="349"/>
      <c r="B418" s="236"/>
      <c r="C418" s="236"/>
      <c r="D418" s="340"/>
      <c r="E418" s="340"/>
      <c r="F418" s="236"/>
      <c r="G418" s="341"/>
    </row>
    <row r="419" ht="15.75" customHeight="1">
      <c r="A419" s="350"/>
      <c r="B419" s="233"/>
      <c r="C419" s="233"/>
      <c r="D419" s="344"/>
      <c r="E419" s="344"/>
      <c r="F419" s="233"/>
      <c r="G419" s="345"/>
    </row>
    <row r="420" ht="15.75" customHeight="1">
      <c r="A420" s="349"/>
      <c r="B420" s="236"/>
      <c r="C420" s="236"/>
      <c r="D420" s="340"/>
      <c r="E420" s="340"/>
      <c r="F420" s="236"/>
      <c r="G420" s="341"/>
    </row>
    <row r="421" ht="15.75" customHeight="1">
      <c r="A421" s="350"/>
      <c r="B421" s="233"/>
      <c r="C421" s="233"/>
      <c r="D421" s="344"/>
      <c r="E421" s="344"/>
      <c r="F421" s="233"/>
      <c r="G421" s="345"/>
    </row>
    <row r="422" ht="15.75" customHeight="1">
      <c r="A422" s="349"/>
      <c r="B422" s="236"/>
      <c r="C422" s="236"/>
      <c r="D422" s="340"/>
      <c r="E422" s="340"/>
      <c r="F422" s="236"/>
      <c r="G422" s="341"/>
    </row>
    <row r="423" ht="15.75" customHeight="1">
      <c r="A423" s="350"/>
      <c r="B423" s="233"/>
      <c r="C423" s="233"/>
      <c r="D423" s="344"/>
      <c r="E423" s="344"/>
      <c r="F423" s="233"/>
      <c r="G423" s="345"/>
    </row>
    <row r="424" ht="15.75" customHeight="1">
      <c r="A424" s="349"/>
      <c r="B424" s="236"/>
      <c r="C424" s="236"/>
      <c r="D424" s="340"/>
      <c r="E424" s="340"/>
      <c r="F424" s="236"/>
      <c r="G424" s="341"/>
    </row>
    <row r="425" ht="15.75" customHeight="1">
      <c r="A425" s="350"/>
      <c r="B425" s="233"/>
      <c r="C425" s="233"/>
      <c r="D425" s="344"/>
      <c r="E425" s="344"/>
      <c r="F425" s="233"/>
      <c r="G425" s="345"/>
    </row>
    <row r="426" ht="15.75" customHeight="1">
      <c r="A426" s="349"/>
      <c r="B426" s="236"/>
      <c r="C426" s="236"/>
      <c r="D426" s="340"/>
      <c r="E426" s="340"/>
      <c r="F426" s="236"/>
      <c r="G426" s="341"/>
    </row>
    <row r="427" ht="15.75" customHeight="1">
      <c r="A427" s="350"/>
      <c r="B427" s="233"/>
      <c r="C427" s="233"/>
      <c r="D427" s="344"/>
      <c r="E427" s="344"/>
      <c r="F427" s="233"/>
      <c r="G427" s="345"/>
    </row>
    <row r="428" ht="15.75" customHeight="1">
      <c r="A428" s="349"/>
      <c r="B428" s="236"/>
      <c r="C428" s="236"/>
      <c r="D428" s="340"/>
      <c r="E428" s="340"/>
      <c r="F428" s="236"/>
      <c r="G428" s="341"/>
    </row>
    <row r="429" ht="15.75" customHeight="1">
      <c r="A429" s="350"/>
      <c r="B429" s="233"/>
      <c r="C429" s="233"/>
      <c r="D429" s="344"/>
      <c r="E429" s="344"/>
      <c r="F429" s="233"/>
      <c r="G429" s="345"/>
    </row>
    <row r="430" ht="15.75" customHeight="1">
      <c r="A430" s="349"/>
      <c r="B430" s="236"/>
      <c r="C430" s="236"/>
      <c r="D430" s="340"/>
      <c r="E430" s="340"/>
      <c r="F430" s="236"/>
      <c r="G430" s="341"/>
    </row>
    <row r="431" ht="15.75" customHeight="1">
      <c r="A431" s="350"/>
      <c r="B431" s="233"/>
      <c r="C431" s="233"/>
      <c r="D431" s="344"/>
      <c r="E431" s="344"/>
      <c r="F431" s="233"/>
      <c r="G431" s="345"/>
    </row>
    <row r="432" ht="15.75" customHeight="1">
      <c r="A432" s="349"/>
      <c r="B432" s="236"/>
      <c r="C432" s="236"/>
      <c r="D432" s="340"/>
      <c r="E432" s="340"/>
      <c r="F432" s="236"/>
      <c r="G432" s="341"/>
    </row>
    <row r="433" ht="15.75" customHeight="1">
      <c r="A433" s="350"/>
      <c r="B433" s="233"/>
      <c r="C433" s="233"/>
      <c r="D433" s="344"/>
      <c r="E433" s="344"/>
      <c r="F433" s="233"/>
      <c r="G433" s="345"/>
    </row>
    <row r="434" ht="15.75" customHeight="1">
      <c r="A434" s="349"/>
      <c r="B434" s="236"/>
      <c r="C434" s="236"/>
      <c r="D434" s="340"/>
      <c r="E434" s="340"/>
      <c r="F434" s="236"/>
      <c r="G434" s="341"/>
    </row>
    <row r="435" ht="15.75" customHeight="1">
      <c r="A435" s="350"/>
      <c r="B435" s="233"/>
      <c r="C435" s="233"/>
      <c r="D435" s="344"/>
      <c r="E435" s="344"/>
      <c r="F435" s="233"/>
      <c r="G435" s="345"/>
    </row>
    <row r="436" ht="15.75" customHeight="1">
      <c r="A436" s="349"/>
      <c r="B436" s="236"/>
      <c r="C436" s="236"/>
      <c r="D436" s="340"/>
      <c r="E436" s="340"/>
      <c r="F436" s="236"/>
      <c r="G436" s="341"/>
    </row>
    <row r="437" ht="15.75" customHeight="1">
      <c r="A437" s="350"/>
      <c r="B437" s="233"/>
      <c r="C437" s="233"/>
      <c r="D437" s="344"/>
      <c r="E437" s="344"/>
      <c r="F437" s="233"/>
      <c r="G437" s="345"/>
    </row>
    <row r="438" ht="15.75" customHeight="1">
      <c r="A438" s="349"/>
      <c r="B438" s="236"/>
      <c r="C438" s="236"/>
      <c r="D438" s="340"/>
      <c r="E438" s="340"/>
      <c r="F438" s="236"/>
      <c r="G438" s="341"/>
    </row>
    <row r="439" ht="15.75" customHeight="1">
      <c r="A439" s="350"/>
      <c r="B439" s="233"/>
      <c r="C439" s="233"/>
      <c r="D439" s="344"/>
      <c r="E439" s="344"/>
      <c r="F439" s="233"/>
      <c r="G439" s="345"/>
    </row>
    <row r="440" ht="15.75" customHeight="1">
      <c r="A440" s="349"/>
      <c r="B440" s="236"/>
      <c r="C440" s="236"/>
      <c r="D440" s="340"/>
      <c r="E440" s="340"/>
      <c r="F440" s="236"/>
      <c r="G440" s="341"/>
    </row>
    <row r="441" ht="15.75" customHeight="1">
      <c r="A441" s="350"/>
      <c r="B441" s="233"/>
      <c r="C441" s="233"/>
      <c r="D441" s="344"/>
      <c r="E441" s="344"/>
      <c r="F441" s="233"/>
      <c r="G441" s="345"/>
    </row>
    <row r="442" ht="15.75" customHeight="1">
      <c r="A442" s="349"/>
      <c r="B442" s="236"/>
      <c r="C442" s="236"/>
      <c r="D442" s="340"/>
      <c r="E442" s="340"/>
      <c r="F442" s="236"/>
      <c r="G442" s="341"/>
    </row>
    <row r="443" ht="15.75" customHeight="1">
      <c r="A443" s="350"/>
      <c r="B443" s="233"/>
      <c r="C443" s="233"/>
      <c r="D443" s="344"/>
      <c r="E443" s="344"/>
      <c r="F443" s="233"/>
      <c r="G443" s="345"/>
    </row>
    <row r="444" ht="15.75" customHeight="1">
      <c r="A444" s="349"/>
      <c r="B444" s="236"/>
      <c r="C444" s="236"/>
      <c r="D444" s="340"/>
      <c r="E444" s="340"/>
      <c r="F444" s="236"/>
      <c r="G444" s="341"/>
    </row>
    <row r="445" ht="15.75" customHeight="1">
      <c r="A445" s="350"/>
      <c r="B445" s="233"/>
      <c r="C445" s="233"/>
      <c r="D445" s="344"/>
      <c r="E445" s="344"/>
      <c r="F445" s="233"/>
      <c r="G445" s="345"/>
    </row>
    <row r="446" ht="15.75" customHeight="1">
      <c r="A446" s="349"/>
      <c r="B446" s="236"/>
      <c r="C446" s="236"/>
      <c r="D446" s="340"/>
      <c r="E446" s="340"/>
      <c r="F446" s="236"/>
      <c r="G446" s="341"/>
    </row>
    <row r="447" ht="15.75" customHeight="1">
      <c r="A447" s="350"/>
      <c r="B447" s="233"/>
      <c r="C447" s="233"/>
      <c r="D447" s="344"/>
      <c r="E447" s="344"/>
      <c r="F447" s="233"/>
      <c r="G447" s="345"/>
    </row>
    <row r="448" ht="15.75" customHeight="1">
      <c r="A448" s="349"/>
      <c r="B448" s="236"/>
      <c r="C448" s="236"/>
      <c r="D448" s="340"/>
      <c r="E448" s="340"/>
      <c r="F448" s="236"/>
      <c r="G448" s="341"/>
    </row>
    <row r="449" ht="15.75" customHeight="1">
      <c r="A449" s="350"/>
      <c r="B449" s="233"/>
      <c r="C449" s="233"/>
      <c r="D449" s="344"/>
      <c r="E449" s="344"/>
      <c r="F449" s="233"/>
      <c r="G449" s="345"/>
    </row>
    <row r="450" ht="15.75" customHeight="1">
      <c r="A450" s="349"/>
      <c r="B450" s="236"/>
      <c r="C450" s="236"/>
      <c r="D450" s="340"/>
      <c r="E450" s="340"/>
      <c r="F450" s="236"/>
      <c r="G450" s="341"/>
    </row>
    <row r="451" ht="15.75" customHeight="1">
      <c r="A451" s="350"/>
      <c r="B451" s="233"/>
      <c r="C451" s="233"/>
      <c r="D451" s="344"/>
      <c r="E451" s="344"/>
      <c r="F451" s="233"/>
      <c r="G451" s="345"/>
    </row>
    <row r="452" ht="15.75" customHeight="1">
      <c r="A452" s="349"/>
      <c r="B452" s="236"/>
      <c r="C452" s="236"/>
      <c r="D452" s="340"/>
      <c r="E452" s="340"/>
      <c r="F452" s="236"/>
      <c r="G452" s="341"/>
    </row>
    <row r="453" ht="15.75" customHeight="1">
      <c r="A453" s="350"/>
      <c r="B453" s="233"/>
      <c r="C453" s="233"/>
      <c r="D453" s="344"/>
      <c r="E453" s="344"/>
      <c r="F453" s="233"/>
      <c r="G453" s="345"/>
    </row>
    <row r="454" ht="15.75" customHeight="1">
      <c r="A454" s="349"/>
      <c r="B454" s="236"/>
      <c r="C454" s="236"/>
      <c r="D454" s="340"/>
      <c r="E454" s="340"/>
      <c r="F454" s="236"/>
      <c r="G454" s="341"/>
    </row>
    <row r="455" ht="15.75" customHeight="1">
      <c r="A455" s="350"/>
      <c r="B455" s="233"/>
      <c r="C455" s="233"/>
      <c r="D455" s="344"/>
      <c r="E455" s="344"/>
      <c r="F455" s="233"/>
      <c r="G455" s="345"/>
    </row>
    <row r="456" ht="15.75" customHeight="1">
      <c r="A456" s="349"/>
      <c r="B456" s="236"/>
      <c r="C456" s="236"/>
      <c r="D456" s="340"/>
      <c r="E456" s="340"/>
      <c r="F456" s="236"/>
      <c r="G456" s="341"/>
    </row>
    <row r="457" ht="15.75" customHeight="1">
      <c r="A457" s="350"/>
      <c r="B457" s="233"/>
      <c r="C457" s="233"/>
      <c r="D457" s="344"/>
      <c r="E457" s="344"/>
      <c r="F457" s="233"/>
      <c r="G457" s="345"/>
    </row>
    <row r="458" ht="15.75" customHeight="1">
      <c r="A458" s="349"/>
      <c r="B458" s="236"/>
      <c r="C458" s="236"/>
      <c r="D458" s="340"/>
      <c r="E458" s="340"/>
      <c r="F458" s="236"/>
      <c r="G458" s="341"/>
    </row>
    <row r="459" ht="15.75" customHeight="1">
      <c r="A459" s="350"/>
      <c r="B459" s="233"/>
      <c r="C459" s="233"/>
      <c r="D459" s="344"/>
      <c r="E459" s="344"/>
      <c r="F459" s="233"/>
      <c r="G459" s="345"/>
    </row>
    <row r="460" ht="15.75" customHeight="1">
      <c r="A460" s="349"/>
      <c r="B460" s="236"/>
      <c r="C460" s="236"/>
      <c r="D460" s="340"/>
      <c r="E460" s="340"/>
      <c r="F460" s="236"/>
      <c r="G460" s="341"/>
    </row>
    <row r="461" ht="15.75" customHeight="1">
      <c r="A461" s="350"/>
      <c r="B461" s="233"/>
      <c r="C461" s="233"/>
      <c r="D461" s="344"/>
      <c r="E461" s="344"/>
      <c r="F461" s="233"/>
      <c r="G461" s="345"/>
    </row>
    <row r="462" ht="15.75" customHeight="1">
      <c r="A462" s="349"/>
      <c r="B462" s="236"/>
      <c r="C462" s="236"/>
      <c r="D462" s="340"/>
      <c r="E462" s="340"/>
      <c r="F462" s="236"/>
      <c r="G462" s="341"/>
    </row>
    <row r="463" ht="15.75" customHeight="1">
      <c r="A463" s="350"/>
      <c r="B463" s="233"/>
      <c r="C463" s="233"/>
      <c r="D463" s="344"/>
      <c r="E463" s="344"/>
      <c r="F463" s="233"/>
      <c r="G463" s="345"/>
    </row>
    <row r="464" ht="15.75" customHeight="1">
      <c r="A464" s="349"/>
      <c r="B464" s="236"/>
      <c r="C464" s="236"/>
      <c r="D464" s="340"/>
      <c r="E464" s="340"/>
      <c r="F464" s="236"/>
      <c r="G464" s="341"/>
    </row>
    <row r="465" ht="15.75" customHeight="1">
      <c r="A465" s="350"/>
      <c r="B465" s="233"/>
      <c r="C465" s="233"/>
      <c r="D465" s="344"/>
      <c r="E465" s="344"/>
      <c r="F465" s="233"/>
      <c r="G465" s="345"/>
    </row>
    <row r="466" ht="15.75" customHeight="1">
      <c r="A466" s="349"/>
      <c r="B466" s="236"/>
      <c r="C466" s="236"/>
      <c r="D466" s="340"/>
      <c r="E466" s="340"/>
      <c r="F466" s="236"/>
      <c r="G466" s="341"/>
    </row>
    <row r="467" ht="15.75" customHeight="1">
      <c r="A467" s="350"/>
      <c r="B467" s="233"/>
      <c r="C467" s="233"/>
      <c r="D467" s="344"/>
      <c r="E467" s="344"/>
      <c r="F467" s="233"/>
      <c r="G467" s="345"/>
    </row>
    <row r="468" ht="15.75" customHeight="1">
      <c r="A468" s="349"/>
      <c r="B468" s="236"/>
      <c r="C468" s="236"/>
      <c r="D468" s="340"/>
      <c r="E468" s="340"/>
      <c r="F468" s="236"/>
      <c r="G468" s="341"/>
    </row>
    <row r="469" ht="15.75" customHeight="1">
      <c r="A469" s="350"/>
      <c r="B469" s="233"/>
      <c r="C469" s="233"/>
      <c r="D469" s="344"/>
      <c r="E469" s="344"/>
      <c r="F469" s="233"/>
      <c r="G469" s="345"/>
    </row>
    <row r="470" ht="15.75" customHeight="1">
      <c r="A470" s="349"/>
      <c r="B470" s="236"/>
      <c r="C470" s="236"/>
      <c r="D470" s="340"/>
      <c r="E470" s="340"/>
      <c r="F470" s="236"/>
      <c r="G470" s="341"/>
    </row>
    <row r="471" ht="15.75" customHeight="1">
      <c r="A471" s="350"/>
      <c r="B471" s="233"/>
      <c r="C471" s="233"/>
      <c r="D471" s="344"/>
      <c r="E471" s="344"/>
      <c r="F471" s="233"/>
      <c r="G471" s="345"/>
    </row>
    <row r="472" ht="15.75" customHeight="1">
      <c r="A472" s="349"/>
      <c r="B472" s="236"/>
      <c r="C472" s="236"/>
      <c r="D472" s="340"/>
      <c r="E472" s="340"/>
      <c r="F472" s="236"/>
      <c r="G472" s="341"/>
    </row>
    <row r="473" ht="15.75" customHeight="1">
      <c r="A473" s="350"/>
      <c r="B473" s="233"/>
      <c r="C473" s="233"/>
      <c r="D473" s="344"/>
      <c r="E473" s="344"/>
      <c r="F473" s="233"/>
      <c r="G473" s="345"/>
    </row>
    <row r="474" ht="15.75" customHeight="1">
      <c r="A474" s="349"/>
      <c r="B474" s="236"/>
      <c r="C474" s="236"/>
      <c r="D474" s="340"/>
      <c r="E474" s="340"/>
      <c r="F474" s="236"/>
      <c r="G474" s="341"/>
    </row>
    <row r="475" ht="15.75" customHeight="1">
      <c r="A475" s="350"/>
      <c r="B475" s="233"/>
      <c r="C475" s="233"/>
      <c r="D475" s="344"/>
      <c r="E475" s="344"/>
      <c r="F475" s="233"/>
      <c r="G475" s="345"/>
    </row>
    <row r="476" ht="15.75" customHeight="1">
      <c r="A476" s="349"/>
      <c r="B476" s="236"/>
      <c r="C476" s="236"/>
      <c r="D476" s="340"/>
      <c r="E476" s="340"/>
      <c r="F476" s="236"/>
      <c r="G476" s="341"/>
    </row>
    <row r="477" ht="15.75" customHeight="1">
      <c r="A477" s="350"/>
      <c r="B477" s="233"/>
      <c r="C477" s="233"/>
      <c r="D477" s="344"/>
      <c r="E477" s="344"/>
      <c r="F477" s="233"/>
      <c r="G477" s="345"/>
    </row>
    <row r="478" ht="15.75" customHeight="1">
      <c r="A478" s="349"/>
      <c r="B478" s="236"/>
      <c r="C478" s="236"/>
      <c r="D478" s="340"/>
      <c r="E478" s="340"/>
      <c r="F478" s="236"/>
      <c r="G478" s="341"/>
    </row>
    <row r="479" ht="15.75" customHeight="1">
      <c r="A479" s="350"/>
      <c r="B479" s="233"/>
      <c r="C479" s="233"/>
      <c r="D479" s="344"/>
      <c r="E479" s="344"/>
      <c r="F479" s="233"/>
      <c r="G479" s="345"/>
    </row>
    <row r="480" ht="15.75" customHeight="1">
      <c r="A480" s="349"/>
      <c r="B480" s="236"/>
      <c r="C480" s="236"/>
      <c r="D480" s="340"/>
      <c r="E480" s="340"/>
      <c r="F480" s="236"/>
      <c r="G480" s="341"/>
    </row>
    <row r="481" ht="15.75" customHeight="1">
      <c r="A481" s="350"/>
      <c r="B481" s="233"/>
      <c r="C481" s="233"/>
      <c r="D481" s="344"/>
      <c r="E481" s="344"/>
      <c r="F481" s="233"/>
      <c r="G481" s="345"/>
    </row>
    <row r="482" ht="15.75" customHeight="1">
      <c r="A482" s="349"/>
      <c r="B482" s="236"/>
      <c r="C482" s="236"/>
      <c r="D482" s="340"/>
      <c r="E482" s="340"/>
      <c r="F482" s="236"/>
      <c r="G482" s="341"/>
    </row>
    <row r="483" ht="15.75" customHeight="1">
      <c r="A483" s="350"/>
      <c r="B483" s="233"/>
      <c r="C483" s="233"/>
      <c r="D483" s="344"/>
      <c r="E483" s="344"/>
      <c r="F483" s="233"/>
      <c r="G483" s="345"/>
    </row>
    <row r="484" ht="15.75" customHeight="1">
      <c r="A484" s="349"/>
      <c r="B484" s="236"/>
      <c r="C484" s="236"/>
      <c r="D484" s="340"/>
      <c r="E484" s="340"/>
      <c r="F484" s="236"/>
      <c r="G484" s="341"/>
    </row>
    <row r="485" ht="15.75" customHeight="1">
      <c r="A485" s="350"/>
      <c r="B485" s="233"/>
      <c r="C485" s="233"/>
      <c r="D485" s="344"/>
      <c r="E485" s="344"/>
      <c r="F485" s="233"/>
      <c r="G485" s="345"/>
    </row>
    <row r="486" ht="15.75" customHeight="1">
      <c r="A486" s="349"/>
      <c r="B486" s="236"/>
      <c r="C486" s="236"/>
      <c r="D486" s="340"/>
      <c r="E486" s="340"/>
      <c r="F486" s="236"/>
      <c r="G486" s="341"/>
    </row>
    <row r="487" ht="15.75" customHeight="1">
      <c r="A487" s="350"/>
      <c r="B487" s="233"/>
      <c r="C487" s="233"/>
      <c r="D487" s="344"/>
      <c r="E487" s="344"/>
      <c r="F487" s="233"/>
      <c r="G487" s="345"/>
    </row>
    <row r="488" ht="15.75" customHeight="1">
      <c r="A488" s="349"/>
      <c r="B488" s="236"/>
      <c r="C488" s="236"/>
      <c r="D488" s="340"/>
      <c r="E488" s="340"/>
      <c r="F488" s="236"/>
      <c r="G488" s="341"/>
    </row>
    <row r="489" ht="15.75" customHeight="1">
      <c r="A489" s="350"/>
      <c r="B489" s="233"/>
      <c r="C489" s="233"/>
      <c r="D489" s="344"/>
      <c r="E489" s="344"/>
      <c r="F489" s="233"/>
      <c r="G489" s="345"/>
    </row>
    <row r="490" ht="15.75" customHeight="1">
      <c r="A490" s="349"/>
      <c r="B490" s="236"/>
      <c r="C490" s="236"/>
      <c r="D490" s="340"/>
      <c r="E490" s="340"/>
      <c r="F490" s="236"/>
      <c r="G490" s="341"/>
    </row>
    <row r="491" ht="15.75" customHeight="1">
      <c r="A491" s="350"/>
      <c r="B491" s="233"/>
      <c r="C491" s="233"/>
      <c r="D491" s="344"/>
      <c r="E491" s="344"/>
      <c r="F491" s="233"/>
      <c r="G491" s="345"/>
    </row>
    <row r="492" ht="15.75" customHeight="1">
      <c r="A492" s="349"/>
      <c r="B492" s="236"/>
      <c r="C492" s="236"/>
      <c r="D492" s="340"/>
      <c r="E492" s="340"/>
      <c r="F492" s="236"/>
      <c r="G492" s="341"/>
    </row>
    <row r="493" ht="15.75" customHeight="1">
      <c r="A493" s="350"/>
      <c r="B493" s="233"/>
      <c r="C493" s="233"/>
      <c r="D493" s="344"/>
      <c r="E493" s="344"/>
      <c r="F493" s="233"/>
      <c r="G493" s="345"/>
    </row>
    <row r="494" ht="15.75" customHeight="1">
      <c r="A494" s="349"/>
      <c r="B494" s="236"/>
      <c r="C494" s="236"/>
      <c r="D494" s="340"/>
      <c r="E494" s="340"/>
      <c r="F494" s="236"/>
      <c r="G494" s="341"/>
    </row>
    <row r="495" ht="15.75" customHeight="1">
      <c r="A495" s="350"/>
      <c r="B495" s="233"/>
      <c r="C495" s="233"/>
      <c r="D495" s="344"/>
      <c r="E495" s="344"/>
      <c r="F495" s="233"/>
      <c r="G495" s="345"/>
    </row>
    <row r="496" ht="15.75" customHeight="1">
      <c r="A496" s="349"/>
      <c r="B496" s="236"/>
      <c r="C496" s="236"/>
      <c r="D496" s="340"/>
      <c r="E496" s="340"/>
      <c r="F496" s="236"/>
      <c r="G496" s="341"/>
    </row>
    <row r="497" ht="15.75" customHeight="1">
      <c r="A497" s="350"/>
      <c r="B497" s="233"/>
      <c r="C497" s="233"/>
      <c r="D497" s="344"/>
      <c r="E497" s="344"/>
      <c r="F497" s="233"/>
      <c r="G497" s="345"/>
    </row>
    <row r="498" ht="15.75" customHeight="1">
      <c r="A498" s="349"/>
      <c r="B498" s="236"/>
      <c r="C498" s="236"/>
      <c r="D498" s="340"/>
      <c r="E498" s="340"/>
      <c r="F498" s="236"/>
      <c r="G498" s="341"/>
    </row>
    <row r="499" ht="15.75" customHeight="1">
      <c r="A499" s="350"/>
      <c r="B499" s="233"/>
      <c r="C499" s="233"/>
      <c r="D499" s="344"/>
      <c r="E499" s="344"/>
      <c r="F499" s="233"/>
      <c r="G499" s="345"/>
    </row>
    <row r="500" ht="15.75" customHeight="1">
      <c r="A500" s="353"/>
      <c r="B500" s="354"/>
      <c r="C500" s="354"/>
      <c r="D500" s="355"/>
      <c r="E500" s="355"/>
      <c r="F500" s="354"/>
      <c r="G500" s="356"/>
    </row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D2:E500">
      <formula1>AND(ISNUMBER(D2),(NOT(OR(NOT(ISERROR(DATEVALUE(D2))), AND(ISNUMBER(D2), LEFT(CELL("format", D2))="D")))))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0"/>
    <col customWidth="1" min="2" max="2" width="15.29"/>
    <col customWidth="1" min="3" max="3" width="14.57"/>
    <col customWidth="1" min="4" max="4" width="21.29"/>
    <col customWidth="1" min="5" max="5" width="19.14"/>
    <col customWidth="1" min="6" max="6" width="16.14"/>
    <col customWidth="1" min="7" max="7" width="14.57"/>
    <col customWidth="1" min="8" max="24" width="8.71"/>
  </cols>
  <sheetData>
    <row r="1">
      <c r="A1" s="1" t="s">
        <v>0</v>
      </c>
      <c r="B1" s="2" t="s">
        <v>515</v>
      </c>
      <c r="C1" s="357" t="s">
        <v>911</v>
      </c>
      <c r="D1" s="2" t="s">
        <v>912</v>
      </c>
      <c r="E1" s="2" t="s">
        <v>913</v>
      </c>
      <c r="F1" s="244" t="s">
        <v>914</v>
      </c>
      <c r="G1" s="2" t="s">
        <v>525</v>
      </c>
      <c r="H1" s="358" t="s">
        <v>915</v>
      </c>
    </row>
    <row r="2">
      <c r="A2" s="359">
        <v>45821.0</v>
      </c>
      <c r="B2" s="99" t="s">
        <v>529</v>
      </c>
      <c r="C2" s="99" t="s">
        <v>526</v>
      </c>
      <c r="D2" s="272">
        <v>1224624.48</v>
      </c>
      <c r="E2" s="99" t="s">
        <v>11</v>
      </c>
      <c r="F2" s="360">
        <v>45825.0</v>
      </c>
      <c r="G2" s="99" t="s">
        <v>916</v>
      </c>
      <c r="H2" s="361"/>
    </row>
    <row r="3">
      <c r="A3" s="362">
        <v>45822.0</v>
      </c>
      <c r="B3" s="98" t="s">
        <v>714</v>
      </c>
      <c r="C3" s="98" t="s">
        <v>732</v>
      </c>
      <c r="D3" s="266">
        <v>919619.0</v>
      </c>
      <c r="E3" s="98" t="s">
        <v>11</v>
      </c>
      <c r="F3" s="363">
        <v>45822.0</v>
      </c>
      <c r="G3" s="98" t="s">
        <v>916</v>
      </c>
      <c r="H3" s="364"/>
    </row>
    <row r="4">
      <c r="A4" s="359">
        <v>45825.0</v>
      </c>
      <c r="B4" s="99" t="s">
        <v>837</v>
      </c>
      <c r="C4" s="99" t="s">
        <v>526</v>
      </c>
      <c r="D4" s="272">
        <v>208000.0</v>
      </c>
      <c r="E4" s="99" t="s">
        <v>11</v>
      </c>
      <c r="F4" s="360">
        <v>45826.0</v>
      </c>
      <c r="G4" s="99" t="s">
        <v>916</v>
      </c>
      <c r="H4" s="361"/>
    </row>
    <row r="5">
      <c r="A5" s="362">
        <v>45835.0</v>
      </c>
      <c r="B5" s="98" t="s">
        <v>698</v>
      </c>
      <c r="C5" s="98" t="s">
        <v>526</v>
      </c>
      <c r="D5" s="266">
        <v>8600.0</v>
      </c>
      <c r="E5" s="98" t="s">
        <v>11</v>
      </c>
      <c r="F5" s="363">
        <v>45835.0</v>
      </c>
      <c r="G5" s="98" t="s">
        <v>916</v>
      </c>
      <c r="H5" s="364"/>
    </row>
    <row r="6">
      <c r="A6" s="359">
        <v>45835.0</v>
      </c>
      <c r="B6" s="99" t="s">
        <v>714</v>
      </c>
      <c r="C6" s="99" t="s">
        <v>732</v>
      </c>
      <c r="D6" s="272">
        <v>77190.0</v>
      </c>
      <c r="E6" s="99" t="s">
        <v>3</v>
      </c>
      <c r="F6" s="360">
        <v>45835.0</v>
      </c>
      <c r="G6" s="99" t="s">
        <v>916</v>
      </c>
      <c r="H6" s="361"/>
    </row>
    <row r="7">
      <c r="A7" s="362">
        <v>45835.0</v>
      </c>
      <c r="B7" s="98" t="s">
        <v>529</v>
      </c>
      <c r="C7" s="98" t="s">
        <v>526</v>
      </c>
      <c r="D7" s="266">
        <v>278583.0</v>
      </c>
      <c r="E7" s="98" t="s">
        <v>11</v>
      </c>
      <c r="F7" s="363">
        <v>45839.0</v>
      </c>
      <c r="G7" s="98" t="s">
        <v>916</v>
      </c>
      <c r="H7" s="364"/>
    </row>
    <row r="8">
      <c r="A8" s="359">
        <v>45839.0</v>
      </c>
      <c r="B8" s="99" t="s">
        <v>837</v>
      </c>
      <c r="C8" s="99" t="s">
        <v>917</v>
      </c>
      <c r="D8" s="272">
        <v>60000.0</v>
      </c>
      <c r="E8" s="99" t="s">
        <v>918</v>
      </c>
      <c r="F8" s="360">
        <v>45841.0</v>
      </c>
      <c r="G8" s="99" t="s">
        <v>916</v>
      </c>
      <c r="H8" s="361"/>
    </row>
    <row r="9">
      <c r="A9" s="362">
        <v>45840.0</v>
      </c>
      <c r="B9" s="98" t="s">
        <v>714</v>
      </c>
      <c r="C9" s="98" t="s">
        <v>732</v>
      </c>
      <c r="D9" s="266">
        <v>47773.0</v>
      </c>
      <c r="E9" s="98" t="s">
        <v>3</v>
      </c>
      <c r="F9" s="363">
        <v>45840.0</v>
      </c>
      <c r="G9" s="98" t="s">
        <v>916</v>
      </c>
      <c r="H9" s="364"/>
    </row>
    <row r="10">
      <c r="A10" s="359">
        <v>45841.0</v>
      </c>
      <c r="B10" s="99" t="s">
        <v>837</v>
      </c>
      <c r="C10" s="99" t="s">
        <v>526</v>
      </c>
      <c r="D10" s="272">
        <v>28000.0</v>
      </c>
      <c r="E10" s="99" t="s">
        <v>11</v>
      </c>
      <c r="F10" s="360">
        <v>45841.0</v>
      </c>
      <c r="G10" s="99" t="s">
        <v>916</v>
      </c>
      <c r="H10" s="361"/>
    </row>
    <row r="11">
      <c r="A11" s="362">
        <v>45846.0</v>
      </c>
      <c r="B11" s="98" t="s">
        <v>529</v>
      </c>
      <c r="C11" s="98" t="s">
        <v>526</v>
      </c>
      <c r="D11" s="266">
        <v>127979.0</v>
      </c>
      <c r="E11" s="98" t="s">
        <v>11</v>
      </c>
      <c r="F11" s="363">
        <v>45846.0</v>
      </c>
      <c r="G11" s="98" t="s">
        <v>916</v>
      </c>
      <c r="H11" s="364"/>
    </row>
    <row r="12">
      <c r="A12" s="359">
        <v>45846.0</v>
      </c>
      <c r="B12" s="99" t="s">
        <v>698</v>
      </c>
      <c r="C12" s="99" t="s">
        <v>526</v>
      </c>
      <c r="D12" s="272">
        <v>27700.0</v>
      </c>
      <c r="E12" s="99" t="s">
        <v>3</v>
      </c>
      <c r="F12" s="360">
        <v>45846.0</v>
      </c>
      <c r="G12" s="99" t="s">
        <v>916</v>
      </c>
      <c r="H12" s="361"/>
    </row>
    <row r="13">
      <c r="A13" s="362">
        <v>45847.0</v>
      </c>
      <c r="B13" s="98" t="s">
        <v>837</v>
      </c>
      <c r="C13" s="98" t="s">
        <v>526</v>
      </c>
      <c r="D13" s="266">
        <v>43500.0</v>
      </c>
      <c r="E13" s="98" t="s">
        <v>11</v>
      </c>
      <c r="F13" s="363">
        <v>45847.0</v>
      </c>
      <c r="G13" s="98" t="s">
        <v>916</v>
      </c>
      <c r="H13" s="364"/>
    </row>
    <row r="14">
      <c r="A14" s="359">
        <v>45848.0</v>
      </c>
      <c r="B14" s="99" t="s">
        <v>698</v>
      </c>
      <c r="C14" s="99" t="s">
        <v>526</v>
      </c>
      <c r="D14" s="272">
        <v>30500.0</v>
      </c>
      <c r="E14" s="99" t="s">
        <v>3</v>
      </c>
      <c r="F14" s="360">
        <v>45849.0</v>
      </c>
      <c r="G14" s="99" t="s">
        <v>916</v>
      </c>
      <c r="H14" s="361"/>
    </row>
    <row r="15">
      <c r="A15" s="362">
        <v>45856.0</v>
      </c>
      <c r="B15" s="98" t="s">
        <v>837</v>
      </c>
      <c r="C15" s="98" t="s">
        <v>526</v>
      </c>
      <c r="D15" s="266">
        <v>20000.0</v>
      </c>
      <c r="E15" s="98" t="s">
        <v>11</v>
      </c>
      <c r="F15" s="363">
        <v>45856.0</v>
      </c>
      <c r="G15" s="98" t="s">
        <v>916</v>
      </c>
      <c r="H15" s="364"/>
    </row>
    <row r="16">
      <c r="A16" s="359">
        <v>45856.0</v>
      </c>
      <c r="B16" s="99" t="s">
        <v>698</v>
      </c>
      <c r="C16" s="99" t="s">
        <v>526</v>
      </c>
      <c r="D16" s="272">
        <v>7950.0</v>
      </c>
      <c r="E16" s="99" t="s">
        <v>11</v>
      </c>
      <c r="F16" s="360">
        <v>45856.0</v>
      </c>
      <c r="G16" s="99" t="s">
        <v>916</v>
      </c>
      <c r="H16" s="361"/>
    </row>
    <row r="17">
      <c r="A17" s="362">
        <v>45856.0</v>
      </c>
      <c r="B17" s="98" t="s">
        <v>857</v>
      </c>
      <c r="C17" s="98" t="s">
        <v>919</v>
      </c>
      <c r="D17" s="266">
        <v>43700.0</v>
      </c>
      <c r="E17" s="98" t="s">
        <v>3</v>
      </c>
      <c r="F17" s="363">
        <v>45856.0</v>
      </c>
      <c r="G17" s="98" t="s">
        <v>916</v>
      </c>
      <c r="H17" s="364"/>
    </row>
    <row r="18">
      <c r="A18" s="359">
        <v>45856.0</v>
      </c>
      <c r="B18" s="99" t="s">
        <v>714</v>
      </c>
      <c r="C18" s="99" t="s">
        <v>732</v>
      </c>
      <c r="D18" s="272">
        <v>89400.0</v>
      </c>
      <c r="E18" s="99" t="s">
        <v>3</v>
      </c>
      <c r="F18" s="360">
        <v>45859.0</v>
      </c>
      <c r="G18" s="99" t="s">
        <v>916</v>
      </c>
      <c r="H18" s="361"/>
    </row>
    <row r="19">
      <c r="A19" s="362">
        <v>45860.0</v>
      </c>
      <c r="B19" s="98" t="s">
        <v>529</v>
      </c>
      <c r="C19" s="98" t="s">
        <v>526</v>
      </c>
      <c r="D19" s="266">
        <v>58359.96</v>
      </c>
      <c r="E19" s="98" t="s">
        <v>11</v>
      </c>
      <c r="F19" s="363">
        <v>45860.0</v>
      </c>
      <c r="G19" s="98" t="s">
        <v>916</v>
      </c>
      <c r="H19" s="234"/>
    </row>
    <row r="20">
      <c r="A20" s="359">
        <v>45861.0</v>
      </c>
      <c r="B20" s="99" t="s">
        <v>837</v>
      </c>
      <c r="C20" s="99" t="s">
        <v>526</v>
      </c>
      <c r="D20" s="272">
        <v>10250.0</v>
      </c>
      <c r="E20" s="99" t="s">
        <v>11</v>
      </c>
      <c r="F20" s="360">
        <v>45861.0</v>
      </c>
      <c r="G20" s="99" t="s">
        <v>916</v>
      </c>
      <c r="H20" s="237"/>
    </row>
    <row r="21" ht="15.75" customHeight="1">
      <c r="A21" s="362">
        <v>45862.0</v>
      </c>
      <c r="B21" s="98" t="s">
        <v>837</v>
      </c>
      <c r="C21" s="98" t="s">
        <v>526</v>
      </c>
      <c r="D21" s="266">
        <v>35500.0</v>
      </c>
      <c r="E21" s="98" t="s">
        <v>11</v>
      </c>
      <c r="F21" s="363">
        <v>45864.0</v>
      </c>
      <c r="G21" s="98" t="s">
        <v>916</v>
      </c>
      <c r="H21" s="234"/>
    </row>
    <row r="22" ht="15.75" customHeight="1">
      <c r="A22" s="359">
        <v>45862.0</v>
      </c>
      <c r="B22" s="99" t="s">
        <v>920</v>
      </c>
      <c r="C22" s="99" t="s">
        <v>526</v>
      </c>
      <c r="D22" s="272">
        <v>23000.0</v>
      </c>
      <c r="E22" s="99" t="s">
        <v>3</v>
      </c>
      <c r="F22" s="360">
        <v>45864.0</v>
      </c>
      <c r="G22" s="99" t="s">
        <v>916</v>
      </c>
      <c r="H22" s="237"/>
    </row>
    <row r="23" ht="15.75" customHeight="1">
      <c r="A23" s="362">
        <v>45864.0</v>
      </c>
      <c r="B23" s="98" t="s">
        <v>714</v>
      </c>
      <c r="C23" s="98" t="s">
        <v>732</v>
      </c>
      <c r="D23" s="266">
        <v>66600.0</v>
      </c>
      <c r="E23" s="98" t="s">
        <v>3</v>
      </c>
      <c r="F23" s="363">
        <v>45864.0</v>
      </c>
      <c r="G23" s="98" t="s">
        <v>916</v>
      </c>
      <c r="H23" s="234"/>
    </row>
    <row r="24" ht="15.75" customHeight="1">
      <c r="A24" s="359">
        <v>45868.0</v>
      </c>
      <c r="B24" s="99" t="s">
        <v>529</v>
      </c>
      <c r="C24" s="99" t="s">
        <v>526</v>
      </c>
      <c r="D24" s="272">
        <v>102417.95</v>
      </c>
      <c r="E24" s="50" t="s">
        <v>11</v>
      </c>
      <c r="F24" s="360">
        <v>45869.0</v>
      </c>
      <c r="G24" s="99" t="s">
        <v>916</v>
      </c>
      <c r="H24" s="237"/>
    </row>
    <row r="25" ht="15.75" customHeight="1">
      <c r="A25" s="362">
        <v>45873.0</v>
      </c>
      <c r="B25" s="98" t="s">
        <v>837</v>
      </c>
      <c r="C25" s="98" t="s">
        <v>526</v>
      </c>
      <c r="D25" s="266">
        <v>37000.0</v>
      </c>
      <c r="E25" s="98" t="s">
        <v>11</v>
      </c>
      <c r="F25" s="363">
        <v>45873.0</v>
      </c>
      <c r="G25" s="98" t="s">
        <v>916</v>
      </c>
      <c r="H25" s="234"/>
    </row>
    <row r="26" ht="15.75" customHeight="1">
      <c r="A26" s="359">
        <v>45873.0</v>
      </c>
      <c r="B26" s="99" t="s">
        <v>837</v>
      </c>
      <c r="C26" s="99" t="s">
        <v>526</v>
      </c>
      <c r="D26" s="272">
        <v>104000.0</v>
      </c>
      <c r="E26" s="99" t="s">
        <v>11</v>
      </c>
      <c r="F26" s="360">
        <v>45874.0</v>
      </c>
      <c r="G26" s="99" t="s">
        <v>916</v>
      </c>
      <c r="H26" s="237"/>
    </row>
    <row r="27" ht="15.75" customHeight="1">
      <c r="A27" s="362">
        <v>45875.0</v>
      </c>
      <c r="B27" s="98" t="s">
        <v>714</v>
      </c>
      <c r="C27" s="98" t="s">
        <v>732</v>
      </c>
      <c r="D27" s="266">
        <v>47290.0</v>
      </c>
      <c r="E27" s="98" t="s">
        <v>3</v>
      </c>
      <c r="F27" s="363">
        <v>45875.0</v>
      </c>
      <c r="G27" s="98" t="s">
        <v>916</v>
      </c>
      <c r="H27" s="234"/>
    </row>
    <row r="28" ht="15.75" customHeight="1">
      <c r="A28" s="359">
        <v>45875.0</v>
      </c>
      <c r="B28" s="99" t="s">
        <v>529</v>
      </c>
      <c r="C28" s="99" t="s">
        <v>526</v>
      </c>
      <c r="D28" s="272">
        <v>100900.0</v>
      </c>
      <c r="E28" s="99" t="s">
        <v>11</v>
      </c>
      <c r="F28" s="360">
        <v>45876.0</v>
      </c>
      <c r="G28" s="99" t="s">
        <v>916</v>
      </c>
      <c r="H28" s="237"/>
    </row>
    <row r="29" ht="15.75" customHeight="1">
      <c r="A29" s="362">
        <v>45880.0</v>
      </c>
      <c r="B29" s="98" t="s">
        <v>698</v>
      </c>
      <c r="C29" s="98" t="s">
        <v>526</v>
      </c>
      <c r="D29" s="266">
        <v>27705.0</v>
      </c>
      <c r="E29" s="98" t="s">
        <v>11</v>
      </c>
      <c r="F29" s="363">
        <v>45881.0</v>
      </c>
      <c r="G29" s="98" t="s">
        <v>916</v>
      </c>
      <c r="H29" s="234"/>
    </row>
    <row r="30" ht="15.75" customHeight="1">
      <c r="A30" s="359">
        <v>45881.0</v>
      </c>
      <c r="B30" s="99" t="s">
        <v>529</v>
      </c>
      <c r="C30" s="99" t="s">
        <v>526</v>
      </c>
      <c r="D30" s="272">
        <v>165777.0</v>
      </c>
      <c r="E30" s="99" t="s">
        <v>3</v>
      </c>
      <c r="F30" s="360">
        <v>45881.0</v>
      </c>
      <c r="G30" s="99" t="s">
        <v>916</v>
      </c>
      <c r="H30" s="237"/>
    </row>
    <row r="31" ht="15.75" customHeight="1">
      <c r="A31" s="362">
        <v>45883.0</v>
      </c>
      <c r="B31" s="98" t="s">
        <v>529</v>
      </c>
      <c r="C31" s="98" t="s">
        <v>526</v>
      </c>
      <c r="D31" s="266">
        <v>103299.0</v>
      </c>
      <c r="E31" s="98" t="s">
        <v>3</v>
      </c>
      <c r="F31" s="363">
        <v>45883.0</v>
      </c>
      <c r="G31" s="98" t="s">
        <v>916</v>
      </c>
      <c r="H31" s="234"/>
    </row>
    <row r="32" ht="15.75" customHeight="1">
      <c r="A32" s="359">
        <v>45884.0</v>
      </c>
      <c r="B32" s="99" t="s">
        <v>714</v>
      </c>
      <c r="C32" s="99" t="s">
        <v>732</v>
      </c>
      <c r="D32" s="272">
        <v>85950.0</v>
      </c>
      <c r="E32" s="99" t="s">
        <v>3</v>
      </c>
      <c r="F32" s="360">
        <v>45884.0</v>
      </c>
      <c r="G32" s="99" t="s">
        <v>916</v>
      </c>
      <c r="H32" s="237"/>
    </row>
    <row r="33" ht="15.75" customHeight="1">
      <c r="A33" s="362">
        <v>45884.0</v>
      </c>
      <c r="B33" s="98" t="s">
        <v>837</v>
      </c>
      <c r="C33" s="98" t="s">
        <v>526</v>
      </c>
      <c r="D33" s="266">
        <v>24000.0</v>
      </c>
      <c r="E33" s="98" t="s">
        <v>11</v>
      </c>
      <c r="F33" s="363">
        <v>45884.0</v>
      </c>
      <c r="G33" s="98" t="s">
        <v>916</v>
      </c>
      <c r="H33" s="234"/>
    </row>
    <row r="34" ht="15.75" customHeight="1">
      <c r="A34" s="359">
        <v>45887.0</v>
      </c>
      <c r="B34" s="99" t="s">
        <v>529</v>
      </c>
      <c r="C34" s="99" t="s">
        <v>526</v>
      </c>
      <c r="D34" s="272">
        <v>277000.0</v>
      </c>
      <c r="E34" s="99" t="s">
        <v>3</v>
      </c>
      <c r="F34" s="360">
        <v>45888.0</v>
      </c>
      <c r="G34" s="99" t="s">
        <v>916</v>
      </c>
      <c r="H34" s="237"/>
    </row>
    <row r="35" ht="15.75" customHeight="1">
      <c r="A35" s="232"/>
      <c r="B35" s="233"/>
      <c r="C35" s="233"/>
      <c r="D35" s="316"/>
      <c r="E35" s="233"/>
      <c r="F35" s="365"/>
      <c r="G35" s="233"/>
      <c r="H35" s="234"/>
    </row>
    <row r="36" ht="15.75" customHeight="1">
      <c r="A36" s="235"/>
      <c r="B36" s="236"/>
      <c r="C36" s="236"/>
      <c r="D36" s="314"/>
      <c r="E36" s="236"/>
      <c r="F36" s="366"/>
      <c r="G36" s="236"/>
      <c r="H36" s="237"/>
    </row>
    <row r="37" ht="15.75" customHeight="1">
      <c r="A37" s="232"/>
      <c r="B37" s="233"/>
      <c r="C37" s="233"/>
      <c r="D37" s="316"/>
      <c r="E37" s="233"/>
      <c r="F37" s="365"/>
      <c r="G37" s="233"/>
      <c r="H37" s="234"/>
    </row>
    <row r="38" ht="15.75" customHeight="1">
      <c r="A38" s="235"/>
      <c r="B38" s="236"/>
      <c r="C38" s="236"/>
      <c r="D38" s="314"/>
      <c r="E38" s="236"/>
      <c r="F38" s="366"/>
      <c r="G38" s="236"/>
      <c r="H38" s="237"/>
    </row>
    <row r="39" ht="15.75" customHeight="1">
      <c r="A39" s="232"/>
      <c r="B39" s="233"/>
      <c r="C39" s="233"/>
      <c r="D39" s="316"/>
      <c r="E39" s="233"/>
      <c r="F39" s="365"/>
      <c r="G39" s="233"/>
      <c r="H39" s="234"/>
    </row>
    <row r="40" ht="15.75" customHeight="1">
      <c r="A40" s="235"/>
      <c r="B40" s="236"/>
      <c r="C40" s="236"/>
      <c r="D40" s="314"/>
      <c r="E40" s="236"/>
      <c r="F40" s="366"/>
      <c r="G40" s="236"/>
      <c r="H40" s="237"/>
    </row>
    <row r="41" ht="15.75" customHeight="1">
      <c r="A41" s="232"/>
      <c r="B41" s="233"/>
      <c r="C41" s="233"/>
      <c r="D41" s="316"/>
      <c r="E41" s="233"/>
      <c r="F41" s="365"/>
      <c r="G41" s="233"/>
      <c r="H41" s="234"/>
    </row>
    <row r="42" ht="15.75" customHeight="1">
      <c r="A42" s="235"/>
      <c r="B42" s="236"/>
      <c r="C42" s="236"/>
      <c r="D42" s="314"/>
      <c r="E42" s="236"/>
      <c r="F42" s="366"/>
      <c r="G42" s="236"/>
      <c r="H42" s="237"/>
    </row>
    <row r="43" ht="15.75" customHeight="1">
      <c r="A43" s="232"/>
      <c r="B43" s="233"/>
      <c r="C43" s="233"/>
      <c r="D43" s="316"/>
      <c r="E43" s="233"/>
      <c r="F43" s="365"/>
      <c r="G43" s="233"/>
      <c r="H43" s="234"/>
    </row>
    <row r="44" ht="15.75" customHeight="1">
      <c r="A44" s="235"/>
      <c r="B44" s="236"/>
      <c r="C44" s="236"/>
      <c r="D44" s="314"/>
      <c r="E44" s="236"/>
      <c r="F44" s="366"/>
      <c r="G44" s="236"/>
      <c r="H44" s="237"/>
    </row>
    <row r="45" ht="15.75" customHeight="1">
      <c r="A45" s="232"/>
      <c r="B45" s="233"/>
      <c r="C45" s="233"/>
      <c r="D45" s="316"/>
      <c r="E45" s="233"/>
      <c r="F45" s="365"/>
      <c r="G45" s="233"/>
      <c r="H45" s="234"/>
    </row>
    <row r="46" ht="15.75" customHeight="1">
      <c r="A46" s="235"/>
      <c r="B46" s="236"/>
      <c r="C46" s="236"/>
      <c r="D46" s="314"/>
      <c r="E46" s="236"/>
      <c r="F46" s="366"/>
      <c r="G46" s="236"/>
      <c r="H46" s="237"/>
    </row>
    <row r="47" ht="15.75" customHeight="1">
      <c r="A47" s="232"/>
      <c r="B47" s="233"/>
      <c r="C47" s="233"/>
      <c r="D47" s="316"/>
      <c r="E47" s="233"/>
      <c r="F47" s="365"/>
      <c r="G47" s="233"/>
      <c r="H47" s="234"/>
    </row>
    <row r="48" ht="15.75" customHeight="1">
      <c r="A48" s="235"/>
      <c r="B48" s="236"/>
      <c r="C48" s="236"/>
      <c r="D48" s="314"/>
      <c r="E48" s="236"/>
      <c r="F48" s="366"/>
      <c r="G48" s="236"/>
      <c r="H48" s="237"/>
    </row>
    <row r="49" ht="15.75" customHeight="1">
      <c r="A49" s="232"/>
      <c r="B49" s="233"/>
      <c r="C49" s="233"/>
      <c r="D49" s="316"/>
      <c r="E49" s="233"/>
      <c r="F49" s="365"/>
      <c r="G49" s="233"/>
      <c r="H49" s="234"/>
    </row>
    <row r="50" ht="15.75" customHeight="1">
      <c r="A50" s="235"/>
      <c r="B50" s="236"/>
      <c r="C50" s="236"/>
      <c r="D50" s="314"/>
      <c r="E50" s="236"/>
      <c r="F50" s="366"/>
      <c r="G50" s="236"/>
      <c r="H50" s="237"/>
    </row>
    <row r="51" ht="15.75" customHeight="1">
      <c r="A51" s="232"/>
      <c r="B51" s="233"/>
      <c r="C51" s="233"/>
      <c r="D51" s="316"/>
      <c r="E51" s="233"/>
      <c r="F51" s="365"/>
      <c r="G51" s="233"/>
      <c r="H51" s="234"/>
    </row>
    <row r="52" ht="15.75" customHeight="1">
      <c r="A52" s="235"/>
      <c r="B52" s="236"/>
      <c r="C52" s="236"/>
      <c r="D52" s="314"/>
      <c r="E52" s="236"/>
      <c r="F52" s="366"/>
      <c r="G52" s="236"/>
      <c r="H52" s="237"/>
    </row>
    <row r="53" ht="15.75" customHeight="1">
      <c r="A53" s="232"/>
      <c r="B53" s="233"/>
      <c r="C53" s="233"/>
      <c r="D53" s="316"/>
      <c r="E53" s="233"/>
      <c r="F53" s="365"/>
      <c r="G53" s="233"/>
      <c r="H53" s="234"/>
    </row>
    <row r="54" ht="15.75" customHeight="1">
      <c r="A54" s="235"/>
      <c r="B54" s="236"/>
      <c r="C54" s="236"/>
      <c r="D54" s="314"/>
      <c r="E54" s="236"/>
      <c r="F54" s="366"/>
      <c r="G54" s="236"/>
      <c r="H54" s="237"/>
    </row>
    <row r="55" ht="15.75" customHeight="1">
      <c r="A55" s="232"/>
      <c r="B55" s="233"/>
      <c r="C55" s="233"/>
      <c r="D55" s="316"/>
      <c r="E55" s="233"/>
      <c r="F55" s="365"/>
      <c r="G55" s="233"/>
      <c r="H55" s="234"/>
    </row>
    <row r="56" ht="15.75" customHeight="1">
      <c r="A56" s="235"/>
      <c r="B56" s="236"/>
      <c r="C56" s="236"/>
      <c r="D56" s="314"/>
      <c r="E56" s="236"/>
      <c r="F56" s="366"/>
      <c r="G56" s="236"/>
      <c r="H56" s="237"/>
    </row>
    <row r="57" ht="15.75" customHeight="1">
      <c r="A57" s="232"/>
      <c r="B57" s="233"/>
      <c r="C57" s="233"/>
      <c r="D57" s="316"/>
      <c r="E57" s="233"/>
      <c r="F57" s="365"/>
      <c r="G57" s="233"/>
      <c r="H57" s="234"/>
    </row>
    <row r="58" ht="15.75" customHeight="1">
      <c r="A58" s="235"/>
      <c r="B58" s="236"/>
      <c r="C58" s="236"/>
      <c r="D58" s="314"/>
      <c r="E58" s="236"/>
      <c r="F58" s="366"/>
      <c r="G58" s="236"/>
      <c r="H58" s="237"/>
    </row>
    <row r="59" ht="15.75" customHeight="1">
      <c r="A59" s="232"/>
      <c r="B59" s="233"/>
      <c r="C59" s="233"/>
      <c r="D59" s="316"/>
      <c r="E59" s="233"/>
      <c r="F59" s="365"/>
      <c r="G59" s="233"/>
      <c r="H59" s="234"/>
    </row>
    <row r="60" ht="15.75" customHeight="1">
      <c r="A60" s="235"/>
      <c r="B60" s="236"/>
      <c r="C60" s="236"/>
      <c r="D60" s="314"/>
      <c r="E60" s="236"/>
      <c r="F60" s="366"/>
      <c r="G60" s="236"/>
      <c r="H60" s="237"/>
    </row>
    <row r="61" ht="15.75" customHeight="1">
      <c r="A61" s="232"/>
      <c r="B61" s="233"/>
      <c r="C61" s="233"/>
      <c r="D61" s="316"/>
      <c r="E61" s="233"/>
      <c r="F61" s="365"/>
      <c r="G61" s="233"/>
      <c r="H61" s="234"/>
    </row>
    <row r="62" ht="15.75" customHeight="1">
      <c r="A62" s="235"/>
      <c r="B62" s="236"/>
      <c r="C62" s="236"/>
      <c r="D62" s="314"/>
      <c r="E62" s="236"/>
      <c r="F62" s="366"/>
      <c r="G62" s="236"/>
      <c r="H62" s="237"/>
    </row>
    <row r="63" ht="15.75" customHeight="1">
      <c r="A63" s="232"/>
      <c r="B63" s="233"/>
      <c r="C63" s="233"/>
      <c r="D63" s="316"/>
      <c r="E63" s="233"/>
      <c r="F63" s="365"/>
      <c r="G63" s="233"/>
      <c r="H63" s="234"/>
    </row>
    <row r="64" ht="15.75" customHeight="1">
      <c r="A64" s="235"/>
      <c r="B64" s="236"/>
      <c r="C64" s="236"/>
      <c r="D64" s="314"/>
      <c r="E64" s="236"/>
      <c r="F64" s="366"/>
      <c r="G64" s="236"/>
      <c r="H64" s="237"/>
    </row>
    <row r="65" ht="15.75" customHeight="1">
      <c r="A65" s="232"/>
      <c r="B65" s="233"/>
      <c r="C65" s="233"/>
      <c r="D65" s="316"/>
      <c r="E65" s="233"/>
      <c r="F65" s="365"/>
      <c r="G65" s="233"/>
      <c r="H65" s="234"/>
    </row>
    <row r="66" ht="15.75" customHeight="1">
      <c r="A66" s="235"/>
      <c r="B66" s="236"/>
      <c r="C66" s="236"/>
      <c r="D66" s="314"/>
      <c r="E66" s="236"/>
      <c r="F66" s="366"/>
      <c r="G66" s="236"/>
      <c r="H66" s="237"/>
    </row>
    <row r="67" ht="15.75" customHeight="1">
      <c r="A67" s="232"/>
      <c r="B67" s="233"/>
      <c r="C67" s="233"/>
      <c r="D67" s="316"/>
      <c r="E67" s="233"/>
      <c r="F67" s="365"/>
      <c r="G67" s="233"/>
      <c r="H67" s="234"/>
    </row>
    <row r="68" ht="15.75" customHeight="1">
      <c r="A68" s="235"/>
      <c r="B68" s="236"/>
      <c r="C68" s="236"/>
      <c r="D68" s="314"/>
      <c r="E68" s="236"/>
      <c r="F68" s="366"/>
      <c r="G68" s="236"/>
      <c r="H68" s="237"/>
    </row>
    <row r="69" ht="15.75" customHeight="1">
      <c r="A69" s="232"/>
      <c r="B69" s="233"/>
      <c r="C69" s="233"/>
      <c r="D69" s="316"/>
      <c r="E69" s="233"/>
      <c r="F69" s="365"/>
      <c r="G69" s="233"/>
      <c r="H69" s="234"/>
    </row>
    <row r="70" ht="15.75" customHeight="1">
      <c r="A70" s="235"/>
      <c r="B70" s="236"/>
      <c r="C70" s="236"/>
      <c r="D70" s="314"/>
      <c r="E70" s="236"/>
      <c r="F70" s="366"/>
      <c r="G70" s="236"/>
      <c r="H70" s="237"/>
    </row>
    <row r="71" ht="15.75" customHeight="1">
      <c r="A71" s="232"/>
      <c r="B71" s="233"/>
      <c r="C71" s="233"/>
      <c r="D71" s="316"/>
      <c r="E71" s="233"/>
      <c r="F71" s="365"/>
      <c r="G71" s="233"/>
      <c r="H71" s="234"/>
    </row>
    <row r="72" ht="15.75" customHeight="1">
      <c r="A72" s="235"/>
      <c r="B72" s="236"/>
      <c r="C72" s="236"/>
      <c r="D72" s="314"/>
      <c r="E72" s="236"/>
      <c r="F72" s="366"/>
      <c r="G72" s="236"/>
      <c r="H72" s="237"/>
    </row>
    <row r="73" ht="15.75" customHeight="1">
      <c r="A73" s="232"/>
      <c r="B73" s="233"/>
      <c r="C73" s="233"/>
      <c r="D73" s="316"/>
      <c r="E73" s="233"/>
      <c r="F73" s="365"/>
      <c r="G73" s="233"/>
      <c r="H73" s="234"/>
    </row>
    <row r="74" ht="15.75" customHeight="1">
      <c r="A74" s="235"/>
      <c r="B74" s="236"/>
      <c r="C74" s="236"/>
      <c r="D74" s="314"/>
      <c r="E74" s="236"/>
      <c r="F74" s="366"/>
      <c r="G74" s="236"/>
      <c r="H74" s="237"/>
    </row>
    <row r="75" ht="15.75" customHeight="1">
      <c r="A75" s="232"/>
      <c r="B75" s="233"/>
      <c r="C75" s="233"/>
      <c r="D75" s="316"/>
      <c r="E75" s="233"/>
      <c r="F75" s="365"/>
      <c r="G75" s="233"/>
      <c r="H75" s="234"/>
    </row>
    <row r="76" ht="15.75" customHeight="1">
      <c r="A76" s="235"/>
      <c r="B76" s="236"/>
      <c r="C76" s="236"/>
      <c r="D76" s="314"/>
      <c r="E76" s="236"/>
      <c r="F76" s="366"/>
      <c r="G76" s="236"/>
      <c r="H76" s="237"/>
    </row>
    <row r="77" ht="15.75" customHeight="1">
      <c r="A77" s="232"/>
      <c r="B77" s="233"/>
      <c r="C77" s="233"/>
      <c r="D77" s="316"/>
      <c r="E77" s="233"/>
      <c r="F77" s="365"/>
      <c r="G77" s="233"/>
      <c r="H77" s="234"/>
    </row>
    <row r="78" ht="15.75" customHeight="1">
      <c r="A78" s="235"/>
      <c r="B78" s="236"/>
      <c r="C78" s="236"/>
      <c r="D78" s="314"/>
      <c r="E78" s="236"/>
      <c r="F78" s="366"/>
      <c r="G78" s="236"/>
      <c r="H78" s="237"/>
    </row>
    <row r="79" ht="15.75" customHeight="1">
      <c r="A79" s="232"/>
      <c r="B79" s="233"/>
      <c r="C79" s="233"/>
      <c r="D79" s="316"/>
      <c r="E79" s="233"/>
      <c r="F79" s="365"/>
      <c r="G79" s="233"/>
      <c r="H79" s="234"/>
    </row>
    <row r="80" ht="15.75" customHeight="1">
      <c r="A80" s="235"/>
      <c r="B80" s="236"/>
      <c r="C80" s="236"/>
      <c r="D80" s="314"/>
      <c r="E80" s="236"/>
      <c r="F80" s="366"/>
      <c r="G80" s="236"/>
      <c r="H80" s="237"/>
    </row>
    <row r="81" ht="15.75" customHeight="1">
      <c r="A81" s="232"/>
      <c r="B81" s="233"/>
      <c r="C81" s="233"/>
      <c r="D81" s="316"/>
      <c r="E81" s="233"/>
      <c r="F81" s="365"/>
      <c r="G81" s="233"/>
      <c r="H81" s="234"/>
    </row>
    <row r="82" ht="15.75" customHeight="1">
      <c r="A82" s="235"/>
      <c r="B82" s="236"/>
      <c r="C82" s="236"/>
      <c r="D82" s="314"/>
      <c r="E82" s="236"/>
      <c r="F82" s="366"/>
      <c r="G82" s="236"/>
      <c r="H82" s="237"/>
    </row>
    <row r="83" ht="15.75" customHeight="1">
      <c r="A83" s="232"/>
      <c r="B83" s="233"/>
      <c r="C83" s="233"/>
      <c r="D83" s="316"/>
      <c r="E83" s="233"/>
      <c r="F83" s="365"/>
      <c r="G83" s="233"/>
      <c r="H83" s="234"/>
    </row>
    <row r="84" ht="15.75" customHeight="1">
      <c r="A84" s="235"/>
      <c r="B84" s="236"/>
      <c r="C84" s="236"/>
      <c r="D84" s="314"/>
      <c r="E84" s="236"/>
      <c r="F84" s="366"/>
      <c r="G84" s="236"/>
      <c r="H84" s="237"/>
    </row>
    <row r="85" ht="15.75" customHeight="1">
      <c r="A85" s="232"/>
      <c r="B85" s="233"/>
      <c r="C85" s="233"/>
      <c r="D85" s="316"/>
      <c r="E85" s="233"/>
      <c r="F85" s="365"/>
      <c r="G85" s="233"/>
      <c r="H85" s="234"/>
    </row>
    <row r="86" ht="15.75" customHeight="1">
      <c r="A86" s="235"/>
      <c r="B86" s="236"/>
      <c r="C86" s="236"/>
      <c r="D86" s="314"/>
      <c r="E86" s="236"/>
      <c r="F86" s="366"/>
      <c r="G86" s="236"/>
      <c r="H86" s="237"/>
    </row>
    <row r="87" ht="15.75" customHeight="1">
      <c r="A87" s="232"/>
      <c r="B87" s="233"/>
      <c r="C87" s="233"/>
      <c r="D87" s="316"/>
      <c r="E87" s="233"/>
      <c r="F87" s="365"/>
      <c r="G87" s="233"/>
      <c r="H87" s="234"/>
    </row>
    <row r="88" ht="15.75" customHeight="1">
      <c r="A88" s="235"/>
      <c r="B88" s="236"/>
      <c r="C88" s="236"/>
      <c r="D88" s="314"/>
      <c r="E88" s="236"/>
      <c r="F88" s="366"/>
      <c r="G88" s="236"/>
      <c r="H88" s="237"/>
    </row>
    <row r="89" ht="15.75" customHeight="1">
      <c r="A89" s="232"/>
      <c r="B89" s="233"/>
      <c r="C89" s="233"/>
      <c r="D89" s="316"/>
      <c r="E89" s="233"/>
      <c r="F89" s="365"/>
      <c r="G89" s="233"/>
      <c r="H89" s="234"/>
    </row>
    <row r="90" ht="15.75" customHeight="1">
      <c r="A90" s="235"/>
      <c r="B90" s="236"/>
      <c r="C90" s="236"/>
      <c r="D90" s="314"/>
      <c r="E90" s="236"/>
      <c r="F90" s="366"/>
      <c r="G90" s="236"/>
      <c r="H90" s="237"/>
    </row>
    <row r="91" ht="15.75" customHeight="1">
      <c r="A91" s="232"/>
      <c r="B91" s="233"/>
      <c r="C91" s="233"/>
      <c r="D91" s="316"/>
      <c r="E91" s="233"/>
      <c r="F91" s="365"/>
      <c r="G91" s="233"/>
      <c r="H91" s="234"/>
    </row>
    <row r="92" ht="15.75" customHeight="1">
      <c r="A92" s="235"/>
      <c r="B92" s="236"/>
      <c r="C92" s="236"/>
      <c r="D92" s="314"/>
      <c r="E92" s="236"/>
      <c r="F92" s="366"/>
      <c r="G92" s="236"/>
      <c r="H92" s="237"/>
    </row>
    <row r="93" ht="15.75" customHeight="1">
      <c r="A93" s="232"/>
      <c r="B93" s="233"/>
      <c r="C93" s="233"/>
      <c r="D93" s="316"/>
      <c r="E93" s="233"/>
      <c r="F93" s="365"/>
      <c r="G93" s="233"/>
      <c r="H93" s="234"/>
    </row>
    <row r="94" ht="15.75" customHeight="1">
      <c r="A94" s="235"/>
      <c r="B94" s="236"/>
      <c r="C94" s="236"/>
      <c r="D94" s="314"/>
      <c r="E94" s="236"/>
      <c r="F94" s="366"/>
      <c r="G94" s="236"/>
      <c r="H94" s="237"/>
    </row>
    <row r="95" ht="15.75" customHeight="1">
      <c r="A95" s="232"/>
      <c r="B95" s="233"/>
      <c r="C95" s="233"/>
      <c r="D95" s="316"/>
      <c r="E95" s="233"/>
      <c r="F95" s="365"/>
      <c r="G95" s="233"/>
      <c r="H95" s="234"/>
    </row>
    <row r="96" ht="15.75" customHeight="1">
      <c r="A96" s="235"/>
      <c r="B96" s="236"/>
      <c r="C96" s="236"/>
      <c r="D96" s="314"/>
      <c r="E96" s="236"/>
      <c r="F96" s="366"/>
      <c r="G96" s="236"/>
      <c r="H96" s="237"/>
    </row>
    <row r="97" ht="15.75" customHeight="1">
      <c r="A97" s="232"/>
      <c r="B97" s="233"/>
      <c r="C97" s="233"/>
      <c r="D97" s="316"/>
      <c r="E97" s="233"/>
      <c r="F97" s="365"/>
      <c r="G97" s="233"/>
      <c r="H97" s="234"/>
    </row>
    <row r="98" ht="15.75" customHeight="1">
      <c r="A98" s="235"/>
      <c r="B98" s="236"/>
      <c r="C98" s="236"/>
      <c r="D98" s="314"/>
      <c r="E98" s="236"/>
      <c r="F98" s="366"/>
      <c r="G98" s="236"/>
      <c r="H98" s="237"/>
    </row>
    <row r="99" ht="15.75" customHeight="1">
      <c r="A99" s="232"/>
      <c r="B99" s="233"/>
      <c r="C99" s="233"/>
      <c r="D99" s="316"/>
      <c r="E99" s="233"/>
      <c r="F99" s="365"/>
      <c r="G99" s="233"/>
      <c r="H99" s="234"/>
    </row>
    <row r="100" ht="15.75" customHeight="1">
      <c r="A100" s="235"/>
      <c r="B100" s="236"/>
      <c r="C100" s="236"/>
      <c r="D100" s="314"/>
      <c r="E100" s="236"/>
      <c r="F100" s="366"/>
      <c r="G100" s="236"/>
      <c r="H100" s="237"/>
    </row>
    <row r="101" ht="15.75" customHeight="1">
      <c r="A101" s="232"/>
      <c r="B101" s="233"/>
      <c r="C101" s="233"/>
      <c r="D101" s="316"/>
      <c r="E101" s="233"/>
      <c r="F101" s="365"/>
      <c r="G101" s="233"/>
      <c r="H101" s="234"/>
    </row>
    <row r="102" ht="15.75" customHeight="1">
      <c r="A102" s="235"/>
      <c r="B102" s="236"/>
      <c r="C102" s="236"/>
      <c r="D102" s="314"/>
      <c r="E102" s="236"/>
      <c r="F102" s="366"/>
      <c r="G102" s="236"/>
      <c r="H102" s="237"/>
    </row>
    <row r="103" ht="15.75" customHeight="1">
      <c r="A103" s="232"/>
      <c r="B103" s="233"/>
      <c r="C103" s="233"/>
      <c r="D103" s="316"/>
      <c r="E103" s="233"/>
      <c r="F103" s="365"/>
      <c r="G103" s="233"/>
      <c r="H103" s="234"/>
    </row>
    <row r="104" ht="15.75" customHeight="1">
      <c r="A104" s="235"/>
      <c r="B104" s="236"/>
      <c r="C104" s="236"/>
      <c r="D104" s="314"/>
      <c r="E104" s="236"/>
      <c r="F104" s="366"/>
      <c r="G104" s="236"/>
      <c r="H104" s="237"/>
    </row>
    <row r="105" ht="15.75" customHeight="1">
      <c r="A105" s="232"/>
      <c r="B105" s="233"/>
      <c r="C105" s="233"/>
      <c r="D105" s="316"/>
      <c r="E105" s="233"/>
      <c r="F105" s="365"/>
      <c r="G105" s="233"/>
      <c r="H105" s="234"/>
    </row>
    <row r="106" ht="15.75" customHeight="1">
      <c r="A106" s="235"/>
      <c r="B106" s="236"/>
      <c r="C106" s="236"/>
      <c r="D106" s="314"/>
      <c r="E106" s="236"/>
      <c r="F106" s="366"/>
      <c r="G106" s="236"/>
      <c r="H106" s="237"/>
    </row>
    <row r="107" ht="15.75" customHeight="1">
      <c r="A107" s="232"/>
      <c r="B107" s="233"/>
      <c r="C107" s="233"/>
      <c r="D107" s="316"/>
      <c r="E107" s="233"/>
      <c r="F107" s="365"/>
      <c r="G107" s="233"/>
      <c r="H107" s="234"/>
    </row>
    <row r="108" ht="15.75" customHeight="1">
      <c r="A108" s="235"/>
      <c r="B108" s="236"/>
      <c r="C108" s="236"/>
      <c r="D108" s="314"/>
      <c r="E108" s="236"/>
      <c r="F108" s="366"/>
      <c r="G108" s="236"/>
      <c r="H108" s="237"/>
    </row>
    <row r="109" ht="15.75" customHeight="1">
      <c r="A109" s="232"/>
      <c r="B109" s="233"/>
      <c r="C109" s="233"/>
      <c r="D109" s="316"/>
      <c r="E109" s="233"/>
      <c r="F109" s="365"/>
      <c r="G109" s="233"/>
      <c r="H109" s="234"/>
    </row>
    <row r="110" ht="15.75" customHeight="1">
      <c r="A110" s="235"/>
      <c r="B110" s="236"/>
      <c r="C110" s="236"/>
      <c r="D110" s="314"/>
      <c r="E110" s="236"/>
      <c r="F110" s="366"/>
      <c r="G110" s="236"/>
      <c r="H110" s="237"/>
    </row>
    <row r="111" ht="15.75" customHeight="1">
      <c r="A111" s="232"/>
      <c r="B111" s="233"/>
      <c r="C111" s="233"/>
      <c r="D111" s="316"/>
      <c r="E111" s="233"/>
      <c r="F111" s="365"/>
      <c r="G111" s="233"/>
      <c r="H111" s="234"/>
    </row>
    <row r="112" ht="15.75" customHeight="1">
      <c r="A112" s="235"/>
      <c r="B112" s="236"/>
      <c r="C112" s="236"/>
      <c r="D112" s="314"/>
      <c r="E112" s="236"/>
      <c r="F112" s="366"/>
      <c r="G112" s="236"/>
      <c r="H112" s="237"/>
    </row>
    <row r="113" ht="15.75" customHeight="1">
      <c r="A113" s="232"/>
      <c r="B113" s="233"/>
      <c r="C113" s="233"/>
      <c r="D113" s="316"/>
      <c r="E113" s="233"/>
      <c r="F113" s="365"/>
      <c r="G113" s="233"/>
      <c r="H113" s="234"/>
    </row>
    <row r="114" ht="15.75" customHeight="1">
      <c r="A114" s="235"/>
      <c r="B114" s="236"/>
      <c r="C114" s="236"/>
      <c r="D114" s="314"/>
      <c r="E114" s="236"/>
      <c r="F114" s="366"/>
      <c r="G114" s="236"/>
      <c r="H114" s="237"/>
    </row>
    <row r="115" ht="15.75" customHeight="1">
      <c r="A115" s="232"/>
      <c r="B115" s="233"/>
      <c r="C115" s="233"/>
      <c r="D115" s="316"/>
      <c r="E115" s="233"/>
      <c r="F115" s="365"/>
      <c r="G115" s="233"/>
      <c r="H115" s="234"/>
    </row>
    <row r="116" ht="15.75" customHeight="1">
      <c r="A116" s="235"/>
      <c r="B116" s="236"/>
      <c r="C116" s="236"/>
      <c r="D116" s="314"/>
      <c r="E116" s="236"/>
      <c r="F116" s="366"/>
      <c r="G116" s="236"/>
      <c r="H116" s="237"/>
    </row>
    <row r="117" ht="15.75" customHeight="1">
      <c r="A117" s="232"/>
      <c r="B117" s="233"/>
      <c r="C117" s="233"/>
      <c r="D117" s="316"/>
      <c r="E117" s="233"/>
      <c r="F117" s="365"/>
      <c r="G117" s="233"/>
      <c r="H117" s="234"/>
    </row>
    <row r="118" ht="15.75" customHeight="1">
      <c r="A118" s="235"/>
      <c r="B118" s="236"/>
      <c r="C118" s="236"/>
      <c r="D118" s="314"/>
      <c r="E118" s="236"/>
      <c r="F118" s="366"/>
      <c r="G118" s="236"/>
      <c r="H118" s="237"/>
    </row>
    <row r="119" ht="15.75" customHeight="1">
      <c r="A119" s="232"/>
      <c r="B119" s="233"/>
      <c r="C119" s="233"/>
      <c r="D119" s="316"/>
      <c r="E119" s="233"/>
      <c r="F119" s="365"/>
      <c r="G119" s="233"/>
      <c r="H119" s="234"/>
    </row>
    <row r="120" ht="15.75" customHeight="1">
      <c r="A120" s="235"/>
      <c r="B120" s="236"/>
      <c r="C120" s="236"/>
      <c r="D120" s="314"/>
      <c r="E120" s="236"/>
      <c r="F120" s="366"/>
      <c r="G120" s="236"/>
      <c r="H120" s="237"/>
    </row>
    <row r="121" ht="15.75" customHeight="1">
      <c r="A121" s="232"/>
      <c r="B121" s="233"/>
      <c r="C121" s="233"/>
      <c r="D121" s="316"/>
      <c r="E121" s="233"/>
      <c r="F121" s="365"/>
      <c r="G121" s="233"/>
      <c r="H121" s="234"/>
    </row>
    <row r="122" ht="15.75" customHeight="1">
      <c r="A122" s="235"/>
      <c r="B122" s="236"/>
      <c r="C122" s="236"/>
      <c r="D122" s="314"/>
      <c r="E122" s="236"/>
      <c r="F122" s="366"/>
      <c r="G122" s="236"/>
      <c r="H122" s="237"/>
    </row>
    <row r="123" ht="15.75" customHeight="1">
      <c r="A123" s="232"/>
      <c r="B123" s="233"/>
      <c r="C123" s="233"/>
      <c r="D123" s="316"/>
      <c r="E123" s="233"/>
      <c r="F123" s="365"/>
      <c r="G123" s="233"/>
      <c r="H123" s="234"/>
    </row>
    <row r="124" ht="15.75" customHeight="1">
      <c r="A124" s="235"/>
      <c r="B124" s="236"/>
      <c r="C124" s="236"/>
      <c r="D124" s="314"/>
      <c r="E124" s="236"/>
      <c r="F124" s="366"/>
      <c r="G124" s="236"/>
      <c r="H124" s="237"/>
    </row>
    <row r="125" ht="15.75" customHeight="1">
      <c r="A125" s="232"/>
      <c r="B125" s="233"/>
      <c r="C125" s="233"/>
      <c r="D125" s="316"/>
      <c r="E125" s="233"/>
      <c r="F125" s="365"/>
      <c r="G125" s="233"/>
      <c r="H125" s="234"/>
    </row>
    <row r="126" ht="15.75" customHeight="1">
      <c r="A126" s="235"/>
      <c r="B126" s="236"/>
      <c r="C126" s="236"/>
      <c r="D126" s="314"/>
      <c r="E126" s="236"/>
      <c r="F126" s="366"/>
      <c r="G126" s="236"/>
      <c r="H126" s="237"/>
    </row>
    <row r="127" ht="15.75" customHeight="1">
      <c r="A127" s="232"/>
      <c r="B127" s="233"/>
      <c r="C127" s="233"/>
      <c r="D127" s="316"/>
      <c r="E127" s="233"/>
      <c r="F127" s="365"/>
      <c r="G127" s="233"/>
      <c r="H127" s="234"/>
    </row>
    <row r="128" ht="15.75" customHeight="1">
      <c r="A128" s="235"/>
      <c r="B128" s="236"/>
      <c r="C128" s="236"/>
      <c r="D128" s="314"/>
      <c r="E128" s="236"/>
      <c r="F128" s="366"/>
      <c r="G128" s="236"/>
      <c r="H128" s="237"/>
    </row>
    <row r="129" ht="15.75" customHeight="1">
      <c r="A129" s="232"/>
      <c r="B129" s="233"/>
      <c r="C129" s="233"/>
      <c r="D129" s="316"/>
      <c r="E129" s="233"/>
      <c r="F129" s="365"/>
      <c r="G129" s="233"/>
      <c r="H129" s="234"/>
    </row>
    <row r="130" ht="15.75" customHeight="1">
      <c r="A130" s="235"/>
      <c r="B130" s="236"/>
      <c r="C130" s="236"/>
      <c r="D130" s="314"/>
      <c r="E130" s="236"/>
      <c r="F130" s="366"/>
      <c r="G130" s="236"/>
      <c r="H130" s="237"/>
    </row>
    <row r="131" ht="15.75" customHeight="1">
      <c r="A131" s="232"/>
      <c r="B131" s="233"/>
      <c r="C131" s="233"/>
      <c r="D131" s="316"/>
      <c r="E131" s="233"/>
      <c r="F131" s="365"/>
      <c r="G131" s="233"/>
      <c r="H131" s="234"/>
    </row>
    <row r="132" ht="15.75" customHeight="1">
      <c r="A132" s="235"/>
      <c r="B132" s="236"/>
      <c r="C132" s="236"/>
      <c r="D132" s="314"/>
      <c r="E132" s="236"/>
      <c r="F132" s="366"/>
      <c r="G132" s="236"/>
      <c r="H132" s="237"/>
    </row>
    <row r="133" ht="15.75" customHeight="1">
      <c r="A133" s="232"/>
      <c r="B133" s="233"/>
      <c r="C133" s="233"/>
      <c r="D133" s="316"/>
      <c r="E133" s="233"/>
      <c r="F133" s="365"/>
      <c r="G133" s="233"/>
      <c r="H133" s="234"/>
    </row>
    <row r="134" ht="15.75" customHeight="1">
      <c r="A134" s="235"/>
      <c r="B134" s="236"/>
      <c r="C134" s="236"/>
      <c r="D134" s="314"/>
      <c r="E134" s="236"/>
      <c r="F134" s="366"/>
      <c r="G134" s="236"/>
      <c r="H134" s="237"/>
    </row>
    <row r="135" ht="15.75" customHeight="1">
      <c r="A135" s="232"/>
      <c r="B135" s="233"/>
      <c r="C135" s="233"/>
      <c r="D135" s="316"/>
      <c r="E135" s="233"/>
      <c r="F135" s="365"/>
      <c r="G135" s="233"/>
      <c r="H135" s="234"/>
    </row>
    <row r="136" ht="15.75" customHeight="1">
      <c r="A136" s="235"/>
      <c r="B136" s="236"/>
      <c r="C136" s="236"/>
      <c r="D136" s="314"/>
      <c r="E136" s="236"/>
      <c r="F136" s="366"/>
      <c r="G136" s="236"/>
      <c r="H136" s="237"/>
    </row>
    <row r="137" ht="15.75" customHeight="1">
      <c r="A137" s="232"/>
      <c r="B137" s="233"/>
      <c r="C137" s="233"/>
      <c r="D137" s="316"/>
      <c r="E137" s="233"/>
      <c r="F137" s="365"/>
      <c r="G137" s="233"/>
      <c r="H137" s="234"/>
    </row>
    <row r="138" ht="15.75" customHeight="1">
      <c r="A138" s="235"/>
      <c r="B138" s="236"/>
      <c r="C138" s="236"/>
      <c r="D138" s="314"/>
      <c r="E138" s="236"/>
      <c r="F138" s="366"/>
      <c r="G138" s="236"/>
      <c r="H138" s="237"/>
    </row>
    <row r="139" ht="15.75" customHeight="1">
      <c r="A139" s="232"/>
      <c r="B139" s="233"/>
      <c r="C139" s="233"/>
      <c r="D139" s="316"/>
      <c r="E139" s="233"/>
      <c r="F139" s="365"/>
      <c r="G139" s="233"/>
      <c r="H139" s="234"/>
    </row>
    <row r="140" ht="15.75" customHeight="1">
      <c r="A140" s="235"/>
      <c r="B140" s="236"/>
      <c r="C140" s="236"/>
      <c r="D140" s="314"/>
      <c r="E140" s="236"/>
      <c r="F140" s="366"/>
      <c r="G140" s="236"/>
      <c r="H140" s="237"/>
    </row>
    <row r="141" ht="15.75" customHeight="1">
      <c r="A141" s="232"/>
      <c r="B141" s="233"/>
      <c r="C141" s="233"/>
      <c r="D141" s="316"/>
      <c r="E141" s="233"/>
      <c r="F141" s="365"/>
      <c r="G141" s="233"/>
      <c r="H141" s="234"/>
    </row>
    <row r="142" ht="15.75" customHeight="1">
      <c r="A142" s="235"/>
      <c r="B142" s="236"/>
      <c r="C142" s="236"/>
      <c r="D142" s="314"/>
      <c r="E142" s="236"/>
      <c r="F142" s="366"/>
      <c r="G142" s="236"/>
      <c r="H142" s="237"/>
    </row>
    <row r="143" ht="15.75" customHeight="1">
      <c r="A143" s="232"/>
      <c r="B143" s="233"/>
      <c r="C143" s="233"/>
      <c r="D143" s="316"/>
      <c r="E143" s="233"/>
      <c r="F143" s="365"/>
      <c r="G143" s="233"/>
      <c r="H143" s="234"/>
    </row>
    <row r="144" ht="15.75" customHeight="1">
      <c r="A144" s="235"/>
      <c r="B144" s="236"/>
      <c r="C144" s="236"/>
      <c r="D144" s="314"/>
      <c r="E144" s="236"/>
      <c r="F144" s="366"/>
      <c r="G144" s="236"/>
      <c r="H144" s="237"/>
    </row>
    <row r="145" ht="15.75" customHeight="1">
      <c r="A145" s="232"/>
      <c r="B145" s="233"/>
      <c r="C145" s="233"/>
      <c r="D145" s="316"/>
      <c r="E145" s="233"/>
      <c r="F145" s="365"/>
      <c r="G145" s="233"/>
      <c r="H145" s="234"/>
    </row>
    <row r="146" ht="15.75" customHeight="1">
      <c r="A146" s="235"/>
      <c r="B146" s="236"/>
      <c r="C146" s="236"/>
      <c r="D146" s="314"/>
      <c r="E146" s="236"/>
      <c r="F146" s="366"/>
      <c r="G146" s="236"/>
      <c r="H146" s="237"/>
    </row>
    <row r="147" ht="15.75" customHeight="1">
      <c r="A147" s="232"/>
      <c r="B147" s="233"/>
      <c r="C147" s="233"/>
      <c r="D147" s="316"/>
      <c r="E147" s="233"/>
      <c r="F147" s="365"/>
      <c r="G147" s="233"/>
      <c r="H147" s="234"/>
    </row>
    <row r="148" ht="15.75" customHeight="1">
      <c r="A148" s="235"/>
      <c r="B148" s="236"/>
      <c r="C148" s="236"/>
      <c r="D148" s="314"/>
      <c r="E148" s="236"/>
      <c r="F148" s="366"/>
      <c r="G148" s="236"/>
      <c r="H148" s="237"/>
    </row>
    <row r="149" ht="15.75" customHeight="1">
      <c r="A149" s="232"/>
      <c r="B149" s="233"/>
      <c r="C149" s="233"/>
      <c r="D149" s="316"/>
      <c r="E149" s="233"/>
      <c r="F149" s="365"/>
      <c r="G149" s="233"/>
      <c r="H149" s="234"/>
    </row>
    <row r="150" ht="15.75" customHeight="1">
      <c r="A150" s="238"/>
      <c r="B150" s="240"/>
      <c r="C150" s="240"/>
      <c r="D150" s="320"/>
      <c r="E150" s="240"/>
      <c r="F150" s="367"/>
      <c r="G150" s="240"/>
      <c r="H150" s="241"/>
    </row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A2:A150 F2:F150">
      <formula1>OR(NOT(ISERROR(DATEVALUE(A2))), AND(ISNUMBER(A2), LEFT(CELL("format", A2))="D"))</formula1>
    </dataValidation>
    <dataValidation type="custom" allowBlank="1" showDropDown="1" sqref="D2:D150">
      <formula1>AND(ISNUMBER(D2),(NOT(OR(NOT(ISERROR(DATEVALUE(D2))), AND(ISNUMBER(D2), LEFT(CELL("format", D2))="D")))))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41B47"/>
    <pageSetUpPr/>
  </sheetPr>
  <sheetViews>
    <sheetView workbookViewId="0"/>
  </sheetViews>
  <sheetFormatPr customHeight="1" defaultColWidth="14.43" defaultRowHeight="15.0"/>
  <cols>
    <col customWidth="1" min="1" max="1" width="35.43"/>
    <col customWidth="1" min="2" max="2" width="12.14"/>
    <col customWidth="1" min="3" max="3" width="14.57"/>
    <col customWidth="1" min="4" max="4" width="13.14"/>
    <col customWidth="1" min="5" max="5" width="8.71"/>
    <col customWidth="1" min="6" max="6" width="14.57"/>
    <col customWidth="1" min="7" max="8" width="8.71"/>
    <col customWidth="1" min="9" max="9" width="13.57"/>
    <col customWidth="1" min="10" max="12" width="8.71"/>
    <col customWidth="1" min="13" max="13" width="10.86"/>
    <col customWidth="1" min="14" max="19" width="8.71"/>
    <col customWidth="1" min="20" max="20" width="9.71"/>
    <col customWidth="1" min="21" max="21" width="9.29"/>
    <col customWidth="1" min="22" max="23" width="8.71"/>
  </cols>
  <sheetData>
    <row r="1">
      <c r="A1" s="368" t="s">
        <v>921</v>
      </c>
      <c r="B1" s="369"/>
      <c r="C1" s="370" t="s">
        <v>922</v>
      </c>
      <c r="D1" s="371" t="s">
        <v>923</v>
      </c>
      <c r="E1" s="372"/>
      <c r="F1" s="370" t="s">
        <v>924</v>
      </c>
      <c r="G1" s="372"/>
      <c r="H1" s="372"/>
      <c r="I1" s="370" t="s">
        <v>925</v>
      </c>
      <c r="J1" s="373"/>
    </row>
    <row r="2">
      <c r="A2" s="374" t="s">
        <v>712</v>
      </c>
      <c r="B2" s="375"/>
      <c r="C2" s="376">
        <v>681.45</v>
      </c>
      <c r="D2" s="377">
        <v>1000.0</v>
      </c>
      <c r="F2" s="376">
        <v>655.2375</v>
      </c>
      <c r="G2" s="378" t="s">
        <v>926</v>
      </c>
      <c r="I2" s="376">
        <v>629.03</v>
      </c>
      <c r="J2" s="378" t="s">
        <v>926</v>
      </c>
      <c r="P2" s="15" t="s">
        <v>927</v>
      </c>
      <c r="R2" s="346">
        <f>466*20</f>
        <v>9320</v>
      </c>
      <c r="T2" s="15" t="s">
        <v>928</v>
      </c>
      <c r="U2" s="15" t="s">
        <v>929</v>
      </c>
    </row>
    <row r="3">
      <c r="A3" s="374" t="s">
        <v>930</v>
      </c>
      <c r="B3" s="375"/>
      <c r="C3" s="376">
        <v>805.47</v>
      </c>
      <c r="D3" s="377">
        <v>1200.0</v>
      </c>
      <c r="F3" s="376">
        <v>774.49</v>
      </c>
      <c r="G3" s="378" t="s">
        <v>926</v>
      </c>
      <c r="I3" s="376">
        <v>743.51</v>
      </c>
      <c r="J3" s="378" t="s">
        <v>926</v>
      </c>
      <c r="P3" s="15" t="s">
        <v>931</v>
      </c>
      <c r="R3" s="15">
        <f>909*10</f>
        <v>9090</v>
      </c>
      <c r="T3" s="15">
        <v>1700.0</v>
      </c>
      <c r="U3" s="15">
        <v>7500.0</v>
      </c>
    </row>
    <row r="4">
      <c r="A4" s="374" t="s">
        <v>932</v>
      </c>
      <c r="B4" s="375"/>
      <c r="C4" s="376">
        <v>919.87</v>
      </c>
      <c r="D4" s="377">
        <v>1100.0</v>
      </c>
      <c r="F4" s="376">
        <v>884.49</v>
      </c>
      <c r="G4" s="378" t="s">
        <v>926</v>
      </c>
      <c r="I4" s="376">
        <v>849.11</v>
      </c>
      <c r="J4" s="378" t="s">
        <v>926</v>
      </c>
      <c r="P4" s="15" t="s">
        <v>933</v>
      </c>
      <c r="R4" s="346">
        <f>40*229</f>
        <v>9160</v>
      </c>
      <c r="T4" s="15">
        <v>890.0</v>
      </c>
      <c r="U4" s="15">
        <v>2500.0</v>
      </c>
    </row>
    <row r="5">
      <c r="A5" s="374" t="s">
        <v>934</v>
      </c>
      <c r="B5" s="375"/>
      <c r="C5" s="376">
        <v>458.95</v>
      </c>
      <c r="D5" s="377">
        <v>700.0</v>
      </c>
      <c r="F5" s="376">
        <v>441.29999999999995</v>
      </c>
      <c r="G5" s="378" t="s">
        <v>926</v>
      </c>
      <c r="I5" s="376">
        <v>423.65</v>
      </c>
      <c r="J5" s="378" t="s">
        <v>926</v>
      </c>
      <c r="P5" s="15" t="s">
        <v>935</v>
      </c>
      <c r="R5" s="346">
        <f>40*296</f>
        <v>11840</v>
      </c>
      <c r="T5" s="15">
        <v>990.0</v>
      </c>
      <c r="U5" s="15">
        <v>2900.0</v>
      </c>
    </row>
    <row r="6">
      <c r="A6" s="379" t="s">
        <v>739</v>
      </c>
      <c r="B6" s="375"/>
      <c r="C6" s="376">
        <v>644.27</v>
      </c>
      <c r="D6" s="377">
        <v>1050.0</v>
      </c>
      <c r="F6" s="376">
        <v>619.49</v>
      </c>
      <c r="G6" s="378" t="s">
        <v>926</v>
      </c>
      <c r="I6" s="376">
        <v>594.71</v>
      </c>
      <c r="J6" s="378" t="s">
        <v>926</v>
      </c>
      <c r="P6" s="15" t="s">
        <v>936</v>
      </c>
      <c r="R6" s="15">
        <f>40*530</f>
        <v>21200</v>
      </c>
      <c r="U6" s="15">
        <v>2890.0</v>
      </c>
    </row>
    <row r="7">
      <c r="A7" s="374" t="s">
        <v>737</v>
      </c>
      <c r="B7" s="375"/>
      <c r="C7" s="376">
        <v>711.87</v>
      </c>
      <c r="D7" s="377">
        <v>1000.0</v>
      </c>
      <c r="F7" s="376">
        <v>684.49</v>
      </c>
      <c r="G7" s="378" t="s">
        <v>926</v>
      </c>
      <c r="I7" s="376">
        <v>657.11</v>
      </c>
      <c r="J7" s="378" t="s">
        <v>926</v>
      </c>
      <c r="P7" s="15" t="s">
        <v>937</v>
      </c>
      <c r="R7" s="346">
        <f>229*40</f>
        <v>9160</v>
      </c>
      <c r="T7" s="15">
        <v>799.0</v>
      </c>
      <c r="U7" s="15">
        <v>2490.0</v>
      </c>
    </row>
    <row r="8">
      <c r="A8" s="380" t="s">
        <v>778</v>
      </c>
      <c r="B8" s="375"/>
      <c r="C8" s="377">
        <v>510.99999999999994</v>
      </c>
      <c r="D8" s="377">
        <v>800.0</v>
      </c>
      <c r="F8" s="376">
        <v>456.25</v>
      </c>
      <c r="G8" s="378" t="s">
        <v>926</v>
      </c>
      <c r="I8" s="376">
        <v>419.74999999999994</v>
      </c>
      <c r="J8" s="378" t="s">
        <v>926</v>
      </c>
      <c r="P8" s="15" t="s">
        <v>938</v>
      </c>
      <c r="R8" s="346">
        <f>280*40</f>
        <v>11200</v>
      </c>
      <c r="T8" s="15">
        <v>999.0</v>
      </c>
      <c r="U8" s="15">
        <v>2800.0</v>
      </c>
    </row>
    <row r="9">
      <c r="A9" s="380" t="s">
        <v>791</v>
      </c>
      <c r="B9" s="381"/>
      <c r="C9" s="377">
        <v>478.79999999999995</v>
      </c>
      <c r="D9" s="377">
        <v>700.0</v>
      </c>
      <c r="F9" s="377">
        <v>427.5</v>
      </c>
      <c r="G9" s="378" t="s">
        <v>926</v>
      </c>
      <c r="I9" s="377">
        <v>393.29999999999995</v>
      </c>
      <c r="J9" s="378" t="s">
        <v>926</v>
      </c>
      <c r="P9" s="15" t="s">
        <v>745</v>
      </c>
      <c r="T9" s="15">
        <v>600.0</v>
      </c>
      <c r="U9" s="15">
        <v>1500.0</v>
      </c>
    </row>
    <row r="10">
      <c r="A10" s="380" t="s">
        <v>801</v>
      </c>
      <c r="B10" s="381"/>
      <c r="C10" s="377">
        <v>449.4</v>
      </c>
      <c r="D10" s="377">
        <v>700.0</v>
      </c>
      <c r="F10" s="377">
        <v>401.25</v>
      </c>
      <c r="G10" s="378" t="s">
        <v>926</v>
      </c>
      <c r="I10" s="377">
        <v>369.15</v>
      </c>
      <c r="J10" s="378" t="s">
        <v>926</v>
      </c>
      <c r="M10" s="382">
        <f t="shared" ref="M10:M15" si="1">F2*10</f>
        <v>6552.375</v>
      </c>
      <c r="P10" s="15" t="s">
        <v>939</v>
      </c>
      <c r="T10" s="15">
        <v>899.0</v>
      </c>
      <c r="U10" s="15">
        <v>2699.0</v>
      </c>
    </row>
    <row r="11">
      <c r="A11" s="380" t="s">
        <v>817</v>
      </c>
      <c r="B11" s="381"/>
      <c r="C11" s="377">
        <v>315.0</v>
      </c>
      <c r="D11" s="377">
        <v>500.0</v>
      </c>
      <c r="F11" s="377">
        <v>281.25</v>
      </c>
      <c r="G11" s="378" t="s">
        <v>926</v>
      </c>
      <c r="I11" s="377">
        <v>258.75</v>
      </c>
      <c r="J11" s="378" t="s">
        <v>926</v>
      </c>
      <c r="M11" s="382">
        <f t="shared" si="1"/>
        <v>7744.9</v>
      </c>
      <c r="P11" s="15" t="s">
        <v>940</v>
      </c>
      <c r="R11" s="346">
        <f>90*295.59</f>
        <v>26603.1</v>
      </c>
    </row>
    <row r="12">
      <c r="A12" s="380" t="s">
        <v>824</v>
      </c>
      <c r="B12" s="381"/>
      <c r="C12" s="377">
        <v>503.99999999999994</v>
      </c>
      <c r="D12" s="377">
        <v>790.0</v>
      </c>
      <c r="F12" s="377">
        <v>450.0</v>
      </c>
      <c r="G12" s="378" t="s">
        <v>926</v>
      </c>
      <c r="I12" s="377">
        <v>413.99999999999994</v>
      </c>
      <c r="J12" s="378" t="s">
        <v>926</v>
      </c>
      <c r="M12" s="382">
        <f t="shared" si="1"/>
        <v>8844.9</v>
      </c>
    </row>
    <row r="13">
      <c r="A13" s="380" t="s">
        <v>827</v>
      </c>
      <c r="B13" s="381"/>
      <c r="C13" s="377">
        <v>770.0</v>
      </c>
      <c r="D13" s="377">
        <v>1150.0</v>
      </c>
      <c r="F13" s="377">
        <v>687.5</v>
      </c>
      <c r="G13" s="378" t="s">
        <v>926</v>
      </c>
      <c r="I13" s="377">
        <v>632.5</v>
      </c>
      <c r="J13" s="378" t="s">
        <v>926</v>
      </c>
      <c r="M13" s="382">
        <f t="shared" si="1"/>
        <v>4413</v>
      </c>
    </row>
    <row r="14">
      <c r="A14" s="383" t="s">
        <v>812</v>
      </c>
      <c r="B14" s="384"/>
      <c r="C14" s="376">
        <v>1540.0</v>
      </c>
      <c r="D14" s="377">
        <v>2300.0</v>
      </c>
      <c r="F14" s="376">
        <v>1375.0</v>
      </c>
      <c r="G14" s="378" t="s">
        <v>926</v>
      </c>
      <c r="I14" s="376">
        <v>1265.0</v>
      </c>
      <c r="J14" s="378" t="s">
        <v>926</v>
      </c>
      <c r="M14" s="382">
        <f t="shared" si="1"/>
        <v>6194.9</v>
      </c>
    </row>
    <row r="15">
      <c r="A15" s="385" t="s">
        <v>813</v>
      </c>
      <c r="B15" s="386"/>
      <c r="C15" s="376">
        <v>840.0</v>
      </c>
      <c r="D15" s="377">
        <v>1250.0</v>
      </c>
      <c r="F15" s="376">
        <v>750.0</v>
      </c>
      <c r="G15" s="378" t="s">
        <v>926</v>
      </c>
      <c r="I15" s="376">
        <v>690.0</v>
      </c>
      <c r="J15" s="378" t="s">
        <v>926</v>
      </c>
      <c r="M15" s="382">
        <f t="shared" si="1"/>
        <v>6844.9</v>
      </c>
    </row>
    <row r="16">
      <c r="M16" s="382">
        <f>F5*10</f>
        <v>4413</v>
      </c>
    </row>
    <row r="17">
      <c r="M17" s="382">
        <f>F5*10</f>
        <v>4413</v>
      </c>
    </row>
    <row r="18">
      <c r="M18" s="382">
        <f>F5*10</f>
        <v>4413</v>
      </c>
    </row>
    <row r="19">
      <c r="M19" s="382">
        <f>F5*10</f>
        <v>4413</v>
      </c>
    </row>
    <row r="20">
      <c r="J20" s="15" t="s">
        <v>941</v>
      </c>
      <c r="K20" s="15" t="s">
        <v>942</v>
      </c>
      <c r="L20" s="15" t="s">
        <v>943</v>
      </c>
    </row>
    <row r="21">
      <c r="I21" s="387">
        <f>228.6+295.59</f>
        <v>524.19</v>
      </c>
      <c r="J21" s="387">
        <f t="shared" ref="J21:J26" si="2">I21*1.3</f>
        <v>681.447</v>
      </c>
      <c r="K21" s="387">
        <f t="shared" ref="K21:K26" si="3">I21*1.25</f>
        <v>655.2375</v>
      </c>
      <c r="L21" s="387">
        <f t="shared" ref="L21:L26" si="4">I21*1.2</f>
        <v>629.028</v>
      </c>
    </row>
    <row r="22" ht="15.75" customHeight="1">
      <c r="I22" s="387">
        <f>324+295.59</f>
        <v>619.59</v>
      </c>
      <c r="J22" s="387">
        <f t="shared" si="2"/>
        <v>805.467</v>
      </c>
      <c r="K22" s="387">
        <f t="shared" si="3"/>
        <v>774.4875</v>
      </c>
      <c r="L22" s="387">
        <f t="shared" si="4"/>
        <v>743.508</v>
      </c>
    </row>
    <row r="23" ht="15.75" customHeight="1">
      <c r="I23" s="387">
        <f>412+295.59</f>
        <v>707.59</v>
      </c>
      <c r="J23" s="387">
        <f t="shared" si="2"/>
        <v>919.867</v>
      </c>
      <c r="K23" s="387">
        <f t="shared" si="3"/>
        <v>884.4875</v>
      </c>
      <c r="L23" s="387">
        <f t="shared" si="4"/>
        <v>849.108</v>
      </c>
    </row>
    <row r="24" ht="15.75" customHeight="1">
      <c r="I24" s="387">
        <f>200+295.59</f>
        <v>495.59</v>
      </c>
      <c r="J24" s="387">
        <f t="shared" si="2"/>
        <v>644.267</v>
      </c>
      <c r="K24" s="387">
        <f t="shared" si="3"/>
        <v>619.4875</v>
      </c>
      <c r="L24" s="387">
        <f t="shared" si="4"/>
        <v>594.708</v>
      </c>
    </row>
    <row r="25" ht="15.75" customHeight="1">
      <c r="I25" s="387">
        <f>252+295.59</f>
        <v>547.59</v>
      </c>
      <c r="J25" s="387">
        <f t="shared" si="2"/>
        <v>711.867</v>
      </c>
      <c r="K25" s="387">
        <f t="shared" si="3"/>
        <v>684.4875</v>
      </c>
      <c r="L25" s="387">
        <f t="shared" si="4"/>
        <v>657.108</v>
      </c>
    </row>
    <row r="26" ht="15.75" customHeight="1">
      <c r="I26" s="387">
        <f>57.45+295.59</f>
        <v>353.04</v>
      </c>
      <c r="J26" s="387">
        <f t="shared" si="2"/>
        <v>458.952</v>
      </c>
      <c r="K26" s="387">
        <f t="shared" si="3"/>
        <v>441.3</v>
      </c>
      <c r="L26" s="387">
        <f t="shared" si="4"/>
        <v>423.648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  <tableParts count="4"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34F5C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71"/>
    <col customWidth="1" min="2" max="2" width="23.71"/>
    <col customWidth="1" min="3" max="3" width="23.0"/>
    <col customWidth="1" min="4" max="4" width="19.0"/>
    <col customWidth="1" min="5" max="26" width="8.71"/>
  </cols>
  <sheetData>
    <row r="1">
      <c r="A1" s="1" t="s">
        <v>944</v>
      </c>
      <c r="B1" s="2" t="s">
        <v>945</v>
      </c>
      <c r="C1" s="2" t="s">
        <v>946</v>
      </c>
      <c r="D1" s="388" t="s">
        <v>947</v>
      </c>
    </row>
    <row r="2">
      <c r="A2" s="303" t="s">
        <v>948</v>
      </c>
      <c r="B2" s="272">
        <v>490000.0</v>
      </c>
      <c r="C2" s="99" t="s">
        <v>949</v>
      </c>
      <c r="D2" s="273" t="s">
        <v>950</v>
      </c>
    </row>
    <row r="3">
      <c r="A3" s="389"/>
      <c r="B3" s="390"/>
      <c r="C3" s="391"/>
      <c r="D3" s="39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B2:B3">
      <formula1>AND(ISNUMBER(B2),(NOT(OR(NOT(ISERROR(DATEVALUE(B2))), AND(ISNUMBER(B2), LEFT(CELL("format", B2))="D")))))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