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leeanderegg/Dropbox/Sedgwick/SHIFT/Data_05042022/WP_WC/"/>
    </mc:Choice>
  </mc:AlternateContent>
  <xr:revisionPtr revIDLastSave="0" documentId="8_{2B2E063C-581A-4E41-9395-C134B787A598}" xr6:coauthVersionLast="47" xr6:coauthVersionMax="47" xr10:uidLastSave="{00000000-0000-0000-0000-000000000000}"/>
  <bookViews>
    <workbookView xWindow="0" yWindow="760" windowWidth="30240" windowHeight="18880" firstSheet="6" activeTab="14" xr2:uid="{00000000-000D-0000-FFFF-FFFF00000000}"/>
  </bookViews>
  <sheets>
    <sheet name="Tree inventory" sheetId="1" r:id="rId1"/>
    <sheet name="AlAs DATA" sheetId="2" r:id="rId2"/>
    <sheet name="LFM DATA" sheetId="3" r:id="rId3"/>
    <sheet name="RWC DATA" sheetId="4" r:id="rId4"/>
    <sheet name="Ks DATA" sheetId="5" r:id="rId5"/>
    <sheet name="218-221 WP + LWC" sheetId="6" r:id="rId6"/>
    <sheet name="228 WP + LWC" sheetId="7" r:id="rId7"/>
    <sheet name="33-34 WP + LWC" sheetId="8" r:id="rId8"/>
    <sheet name="38-311 WP + LWC" sheetId="9" r:id="rId9"/>
    <sheet name="315 WP + LWC" sheetId="10" r:id="rId10"/>
    <sheet name="325 WP + LWC" sheetId="11" r:id="rId11"/>
    <sheet name="330 WP + LWC" sheetId="12" r:id="rId12"/>
    <sheet name="44 WP + LWC" sheetId="13" r:id="rId13"/>
    <sheet name="46 WP + LWC" sheetId="14" r:id="rId14"/>
    <sheet name="411-412 WP + LWC" sheetId="15" r:id="rId15"/>
    <sheet name="413-414 WP + LWC" sheetId="16" r:id="rId16"/>
    <sheet name="425 WP + LWC" sheetId="17" r:id="rId17"/>
    <sheet name="427 WP + LWC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2" roundtripDataSignature="AMtx7mgUTBB2tWNugZZVVamNlq0lE8NdPw=="/>
    </ext>
  </extLst>
</workbook>
</file>

<file path=xl/calcChain.xml><?xml version="1.0" encoding="utf-8"?>
<calcChain xmlns="http://schemas.openxmlformats.org/spreadsheetml/2006/main">
  <c r="AE32" i="12" l="1"/>
  <c r="H27" i="12"/>
  <c r="BE136" i="10"/>
  <c r="AG136" i="10"/>
  <c r="BE135" i="10"/>
  <c r="AG135" i="10"/>
  <c r="BE134" i="10"/>
  <c r="AG134" i="10"/>
  <c r="BE133" i="10"/>
  <c r="AG133" i="10"/>
  <c r="BE132" i="10"/>
  <c r="AG132" i="10"/>
  <c r="BE131" i="10"/>
  <c r="AG131" i="10"/>
  <c r="BE130" i="10"/>
  <c r="AG130" i="10"/>
  <c r="BE129" i="10"/>
  <c r="AG129" i="10"/>
  <c r="BE128" i="10"/>
  <c r="AG128" i="10"/>
  <c r="BE127" i="10"/>
  <c r="AG127" i="10"/>
  <c r="BE126" i="10"/>
  <c r="AG126" i="10"/>
  <c r="BE125" i="10"/>
  <c r="AG125" i="10"/>
  <c r="BE124" i="10"/>
  <c r="AG124" i="10"/>
  <c r="BE123" i="10"/>
  <c r="AG123" i="10"/>
  <c r="BE122" i="10"/>
  <c r="AG122" i="10"/>
  <c r="BE121" i="10"/>
  <c r="AG121" i="10"/>
  <c r="BE120" i="10"/>
  <c r="AG120" i="10"/>
  <c r="BE119" i="10"/>
  <c r="AG119" i="10"/>
  <c r="BE118" i="10"/>
  <c r="AG118" i="10"/>
  <c r="BE117" i="10"/>
  <c r="AG117" i="10"/>
  <c r="BE116" i="10"/>
  <c r="AG116" i="10"/>
  <c r="BE115" i="10"/>
  <c r="AG115" i="10"/>
  <c r="BE114" i="10"/>
  <c r="AG114" i="10"/>
  <c r="BE113" i="10"/>
  <c r="AG113" i="10"/>
  <c r="BE112" i="10"/>
  <c r="AG112" i="10"/>
  <c r="BE111" i="10"/>
  <c r="AG111" i="10"/>
  <c r="BE110" i="10"/>
  <c r="AG110" i="10"/>
  <c r="BE109" i="10"/>
  <c r="AG109" i="10"/>
  <c r="BE108" i="10"/>
  <c r="AG108" i="10"/>
  <c r="AQ107" i="10"/>
  <c r="BE107" i="10" s="1"/>
  <c r="AG107" i="10"/>
  <c r="BE106" i="10"/>
  <c r="AG106" i="10"/>
  <c r="BE105" i="10"/>
  <c r="AG105" i="10"/>
  <c r="BE104" i="10"/>
  <c r="AG104" i="10"/>
  <c r="BE103" i="10"/>
  <c r="AG103" i="10"/>
  <c r="BE102" i="10"/>
  <c r="AG102" i="10"/>
  <c r="BE101" i="10"/>
  <c r="AG101" i="10"/>
  <c r="BE100" i="10"/>
  <c r="AG100" i="10"/>
  <c r="BE99" i="10"/>
  <c r="AG99" i="10"/>
  <c r="BE98" i="10"/>
  <c r="AG98" i="10"/>
  <c r="BE97" i="10"/>
  <c r="AG97" i="10"/>
  <c r="BE96" i="10"/>
  <c r="AG96" i="10"/>
  <c r="BE95" i="10"/>
  <c r="AG95" i="10"/>
  <c r="BE94" i="10"/>
  <c r="AG94" i="10"/>
  <c r="BE93" i="10"/>
  <c r="AG93" i="10"/>
  <c r="BE92" i="10"/>
  <c r="AG92" i="10"/>
  <c r="BE91" i="10"/>
  <c r="AG91" i="10"/>
  <c r="BE90" i="10"/>
  <c r="AG90" i="10"/>
  <c r="BE89" i="10"/>
  <c r="AG89" i="10"/>
  <c r="BE88" i="10"/>
  <c r="AG88" i="10"/>
  <c r="BE87" i="10"/>
  <c r="AG87" i="10"/>
  <c r="BE86" i="10"/>
  <c r="AG86" i="10"/>
  <c r="BE85" i="10"/>
  <c r="AG85" i="10"/>
  <c r="BE84" i="10"/>
  <c r="AG84" i="10"/>
  <c r="BE83" i="10"/>
  <c r="AG83" i="10"/>
  <c r="BE82" i="10"/>
  <c r="AG82" i="10"/>
  <c r="BE81" i="10"/>
  <c r="AG81" i="10"/>
  <c r="BE80" i="10"/>
  <c r="AG80" i="10"/>
  <c r="BE79" i="10"/>
  <c r="AG79" i="10"/>
  <c r="BE78" i="10"/>
  <c r="AG78" i="10"/>
  <c r="BE77" i="10"/>
  <c r="AG77" i="10"/>
  <c r="BE76" i="10"/>
  <c r="AG76" i="10"/>
  <c r="BE75" i="10"/>
  <c r="AG75" i="10"/>
  <c r="BE74" i="10"/>
  <c r="AG74" i="10"/>
  <c r="BE73" i="10"/>
  <c r="AG73" i="10"/>
  <c r="BE72" i="10"/>
  <c r="AG72" i="10"/>
  <c r="BE71" i="10"/>
  <c r="AG71" i="10"/>
  <c r="BE70" i="10"/>
  <c r="AG70" i="10"/>
  <c r="BE69" i="10"/>
  <c r="AG69" i="10"/>
  <c r="BE68" i="10"/>
  <c r="AG68" i="10"/>
  <c r="BE67" i="10"/>
  <c r="AG67" i="10"/>
  <c r="BE66" i="10"/>
  <c r="AG66" i="10"/>
  <c r="BE65" i="10"/>
  <c r="AG65" i="10"/>
  <c r="BE64" i="10"/>
  <c r="AG64" i="10"/>
  <c r="BE63" i="10"/>
  <c r="AG63" i="10"/>
  <c r="BE62" i="10"/>
  <c r="AG62" i="10"/>
  <c r="BE61" i="10"/>
  <c r="AG61" i="10"/>
  <c r="BE60" i="10"/>
  <c r="AG60" i="10"/>
  <c r="BE59" i="10"/>
  <c r="AG59" i="10"/>
  <c r="BE58" i="10"/>
  <c r="AG58" i="10"/>
  <c r="BE57" i="10"/>
  <c r="AG57" i="10"/>
  <c r="BE56" i="10"/>
  <c r="AG56" i="10"/>
  <c r="BE55" i="10"/>
  <c r="AG55" i="10"/>
  <c r="BE54" i="10"/>
  <c r="AG54" i="10"/>
  <c r="BE53" i="10"/>
  <c r="AG53" i="10"/>
  <c r="BE52" i="10"/>
  <c r="AG52" i="10"/>
  <c r="BE51" i="10"/>
  <c r="AG51" i="10"/>
  <c r="BE50" i="10"/>
  <c r="AG50" i="10"/>
  <c r="BE49" i="10"/>
  <c r="AG49" i="10"/>
  <c r="BE48" i="10"/>
  <c r="AG48" i="10"/>
  <c r="BE47" i="10"/>
  <c r="AG47" i="10"/>
  <c r="BE46" i="10"/>
  <c r="AG46" i="10"/>
  <c r="BE45" i="10"/>
  <c r="AG45" i="10"/>
  <c r="BE44" i="10"/>
  <c r="AG44" i="10"/>
  <c r="BE43" i="10"/>
  <c r="AG43" i="10"/>
  <c r="BE42" i="10"/>
  <c r="AG42" i="10"/>
  <c r="BE41" i="10"/>
  <c r="AG41" i="10"/>
  <c r="BE40" i="10"/>
  <c r="AG40" i="10"/>
  <c r="BE39" i="10"/>
  <c r="AG39" i="10"/>
  <c r="BE38" i="10"/>
  <c r="AG38" i="10"/>
  <c r="BE37" i="10"/>
  <c r="AG37" i="10"/>
  <c r="BE36" i="10"/>
  <c r="AG36" i="10"/>
  <c r="BE35" i="10"/>
  <c r="AG35" i="10"/>
  <c r="BE34" i="10"/>
  <c r="AG34" i="10"/>
  <c r="BE33" i="10"/>
  <c r="AG33" i="10"/>
  <c r="BE32" i="10"/>
  <c r="AG32" i="10"/>
  <c r="BE31" i="10"/>
  <c r="AG31" i="10"/>
  <c r="BE30" i="10"/>
  <c r="AG30" i="10"/>
  <c r="BE29" i="10"/>
  <c r="AG29" i="10"/>
  <c r="BE28" i="10"/>
  <c r="AG28" i="10"/>
  <c r="BC27" i="10"/>
  <c r="AK27" i="10"/>
  <c r="BE27" i="10" s="1"/>
  <c r="AG27" i="10"/>
  <c r="BE26" i="10"/>
  <c r="AG26" i="10"/>
  <c r="BE25" i="10"/>
  <c r="AG25" i="10"/>
  <c r="BE24" i="10"/>
  <c r="J24" i="10"/>
  <c r="AG24" i="10" s="1"/>
  <c r="BE23" i="10"/>
  <c r="AG23" i="10"/>
  <c r="BE22" i="10"/>
  <c r="AG22" i="10"/>
  <c r="BE21" i="10"/>
  <c r="AG21" i="10"/>
  <c r="BE20" i="10"/>
  <c r="AG20" i="10"/>
  <c r="BE19" i="10"/>
  <c r="AG19" i="10"/>
  <c r="BE18" i="10"/>
  <c r="AG18" i="10"/>
  <c r="BE17" i="10"/>
  <c r="AG17" i="10"/>
  <c r="BE16" i="10"/>
  <c r="AG16" i="10"/>
  <c r="BE15" i="10"/>
  <c r="AG15" i="10"/>
  <c r="BE14" i="10"/>
  <c r="AG14" i="10"/>
  <c r="BE13" i="10"/>
  <c r="AG13" i="10"/>
  <c r="BE12" i="10"/>
  <c r="AG12" i="10"/>
  <c r="BE11" i="10"/>
  <c r="AG11" i="10"/>
  <c r="BE10" i="10"/>
  <c r="AG10" i="10"/>
  <c r="BE9" i="10"/>
  <c r="AG9" i="10"/>
  <c r="BE8" i="10"/>
  <c r="AG8" i="10"/>
  <c r="BE7" i="10"/>
  <c r="AG7" i="10"/>
  <c r="BC134" i="9"/>
  <c r="BC32" i="9"/>
  <c r="AF30" i="9"/>
  <c r="AE30" i="9"/>
  <c r="AX112" i="7"/>
  <c r="Z112" i="7"/>
  <c r="AX111" i="7"/>
  <c r="Z111" i="7"/>
  <c r="AX110" i="7"/>
  <c r="Z110" i="7"/>
  <c r="AX109" i="7"/>
  <c r="Z109" i="7"/>
  <c r="AX108" i="7"/>
  <c r="Z108" i="7"/>
  <c r="AX107" i="7"/>
  <c r="Z107" i="7"/>
  <c r="AX106" i="7"/>
  <c r="Z106" i="7"/>
  <c r="AX105" i="7"/>
  <c r="Z105" i="7"/>
  <c r="AX104" i="7"/>
  <c r="Z104" i="7"/>
  <c r="AX103" i="7"/>
  <c r="Z103" i="7"/>
  <c r="AX102" i="7"/>
  <c r="Z102" i="7"/>
  <c r="AX101" i="7"/>
  <c r="Z101" i="7"/>
  <c r="AX100" i="7"/>
  <c r="Z100" i="7"/>
  <c r="AX99" i="7"/>
  <c r="Z99" i="7"/>
  <c r="AX98" i="7"/>
  <c r="Z98" i="7"/>
  <c r="AX97" i="7"/>
  <c r="Z97" i="7"/>
  <c r="AX96" i="7"/>
  <c r="Z96" i="7"/>
  <c r="AX95" i="7"/>
  <c r="Z95" i="7"/>
  <c r="AX94" i="7"/>
  <c r="Z94" i="7"/>
  <c r="AX93" i="7"/>
  <c r="Z93" i="7"/>
  <c r="AX92" i="7"/>
  <c r="Z92" i="7"/>
  <c r="AX91" i="7"/>
  <c r="Z91" i="7"/>
  <c r="AX90" i="7"/>
  <c r="Z90" i="7"/>
  <c r="AX89" i="7"/>
  <c r="Z89" i="7"/>
  <c r="AX88" i="7"/>
  <c r="Z88" i="7"/>
  <c r="AX87" i="7"/>
  <c r="Z87" i="7"/>
  <c r="AX86" i="7"/>
  <c r="Z86" i="7"/>
  <c r="AX85" i="7"/>
  <c r="Z85" i="7"/>
  <c r="AX84" i="7"/>
  <c r="Z84" i="7"/>
  <c r="AX83" i="7"/>
  <c r="Z83" i="7"/>
  <c r="AX82" i="7"/>
  <c r="Z82" i="7"/>
  <c r="AX81" i="7"/>
  <c r="Z81" i="7"/>
  <c r="AX80" i="7"/>
  <c r="Z80" i="7"/>
  <c r="AX79" i="7"/>
  <c r="Z79" i="7"/>
  <c r="AX78" i="7"/>
  <c r="Z78" i="7"/>
  <c r="AX77" i="7"/>
  <c r="Z77" i="7"/>
  <c r="AX76" i="7"/>
  <c r="Z76" i="7"/>
  <c r="AX75" i="7"/>
  <c r="Z75" i="7"/>
  <c r="AX74" i="7"/>
  <c r="Z74" i="7"/>
  <c r="AX73" i="7"/>
  <c r="Z73" i="7"/>
  <c r="AX72" i="7"/>
  <c r="Z72" i="7"/>
  <c r="AX71" i="7"/>
  <c r="Z71" i="7"/>
  <c r="AX70" i="7"/>
  <c r="Z70" i="7"/>
  <c r="AX69" i="7"/>
  <c r="Z69" i="7"/>
  <c r="AX68" i="7"/>
  <c r="Z68" i="7"/>
  <c r="AX67" i="7"/>
  <c r="Z67" i="7"/>
  <c r="AX66" i="7"/>
  <c r="Z66" i="7"/>
  <c r="AX65" i="7"/>
  <c r="Z65" i="7"/>
  <c r="AX64" i="7"/>
  <c r="Z64" i="7"/>
  <c r="AX63" i="7"/>
  <c r="Z63" i="7"/>
  <c r="AX62" i="7"/>
  <c r="Z62" i="7"/>
  <c r="AX61" i="7"/>
  <c r="Z61" i="7"/>
  <c r="AX60" i="7"/>
  <c r="Z60" i="7"/>
  <c r="AX59" i="7"/>
  <c r="Z59" i="7"/>
  <c r="AX58" i="7"/>
  <c r="Z58" i="7"/>
  <c r="AX57" i="7"/>
  <c r="Z57" i="7"/>
  <c r="O57" i="7"/>
  <c r="L57" i="7"/>
  <c r="AX56" i="7"/>
  <c r="Z56" i="7"/>
  <c r="AX55" i="7"/>
  <c r="Z55" i="7"/>
  <c r="AX54" i="7"/>
  <c r="Z54" i="7"/>
  <c r="AX53" i="7"/>
  <c r="Z53" i="7"/>
  <c r="AX52" i="7"/>
  <c r="Z52" i="7"/>
  <c r="AX51" i="7"/>
  <c r="Z51" i="7"/>
  <c r="AX50" i="7"/>
  <c r="Z50" i="7"/>
  <c r="AX49" i="7"/>
  <c r="Z49" i="7"/>
  <c r="AX48" i="7"/>
  <c r="Z48" i="7"/>
  <c r="U48" i="7"/>
  <c r="R48" i="7"/>
  <c r="L48" i="7"/>
  <c r="I48" i="7"/>
  <c r="AX47" i="7"/>
  <c r="L47" i="7"/>
  <c r="I47" i="7"/>
  <c r="Z47" i="7" s="1"/>
  <c r="AX46" i="7"/>
  <c r="Z46" i="7"/>
  <c r="AX45" i="7"/>
  <c r="Z45" i="7"/>
  <c r="AX44" i="7"/>
  <c r="Z44" i="7"/>
  <c r="AX43" i="7"/>
  <c r="Z43" i="7"/>
  <c r="AX42" i="7"/>
  <c r="Z42" i="7"/>
  <c r="AX41" i="7"/>
  <c r="Z41" i="7"/>
  <c r="AX40" i="7"/>
  <c r="Z40" i="7"/>
  <c r="AX39" i="7"/>
  <c r="Z39" i="7"/>
  <c r="AX38" i="7"/>
  <c r="Z38" i="7"/>
  <c r="AX37" i="7"/>
  <c r="Z37" i="7"/>
  <c r="AX36" i="7"/>
  <c r="Z36" i="7"/>
  <c r="AX35" i="7"/>
  <c r="Z35" i="7"/>
  <c r="AX34" i="7"/>
  <c r="Z34" i="7"/>
  <c r="AX33" i="7"/>
  <c r="Z33" i="7"/>
  <c r="AX32" i="7"/>
  <c r="Z32" i="7"/>
  <c r="AM31" i="7"/>
  <c r="AX31" i="7" s="1"/>
  <c r="AG31" i="7"/>
  <c r="Z31" i="7"/>
  <c r="AX30" i="7"/>
  <c r="Z30" i="7"/>
  <c r="AX29" i="7"/>
  <c r="Z29" i="7"/>
  <c r="AX28" i="7"/>
  <c r="Z28" i="7"/>
  <c r="AX27" i="7"/>
  <c r="Z27" i="7"/>
  <c r="AX26" i="7"/>
  <c r="Z26" i="7"/>
  <c r="AX25" i="7"/>
  <c r="Z25" i="7"/>
  <c r="AX24" i="7"/>
  <c r="Z24" i="7"/>
  <c r="AX23" i="7"/>
  <c r="Z23" i="7"/>
  <c r="AX22" i="7"/>
  <c r="Z22" i="7"/>
  <c r="AX21" i="7"/>
  <c r="Z21" i="7"/>
  <c r="AX20" i="7"/>
  <c r="Z20" i="7"/>
  <c r="AX19" i="7"/>
  <c r="Z19" i="7"/>
  <c r="AX18" i="7"/>
  <c r="Z18" i="7"/>
  <c r="AX17" i="7"/>
  <c r="Z17" i="7"/>
  <c r="AX16" i="7"/>
  <c r="Z16" i="7"/>
  <c r="AX15" i="7"/>
  <c r="Z15" i="7"/>
  <c r="AX14" i="7"/>
  <c r="Z14" i="7"/>
  <c r="AX13" i="7"/>
  <c r="Z13" i="7"/>
  <c r="AX12" i="7"/>
  <c r="Z12" i="7"/>
  <c r="AX11" i="7"/>
  <c r="Z11" i="7"/>
  <c r="AX10" i="7"/>
  <c r="Z10" i="7"/>
  <c r="AX9" i="7"/>
  <c r="Z9" i="7"/>
  <c r="AX8" i="7"/>
  <c r="Z8" i="7"/>
  <c r="AX7" i="7"/>
  <c r="Z7" i="7"/>
  <c r="F114" i="4"/>
  <c r="F700" i="3"/>
  <c r="F699" i="3"/>
  <c r="F698" i="3"/>
  <c r="F697" i="3"/>
  <c r="F696" i="3"/>
  <c r="K695" i="3"/>
  <c r="F695" i="3"/>
  <c r="K694" i="3"/>
  <c r="F694" i="3"/>
  <c r="K693" i="3"/>
  <c r="F693" i="3"/>
  <c r="K692" i="3"/>
  <c r="F692" i="3"/>
  <c r="K691" i="3"/>
  <c r="F691" i="3"/>
  <c r="K690" i="3"/>
  <c r="F690" i="3"/>
  <c r="K689" i="3"/>
  <c r="F689" i="3"/>
  <c r="K688" i="3"/>
  <c r="F688" i="3"/>
  <c r="K687" i="3"/>
  <c r="F687" i="3"/>
  <c r="K686" i="3"/>
  <c r="F686" i="3"/>
  <c r="K685" i="3"/>
  <c r="F685" i="3"/>
  <c r="K684" i="3"/>
  <c r="F684" i="3"/>
  <c r="K683" i="3"/>
  <c r="F683" i="3"/>
  <c r="K682" i="3"/>
  <c r="F682" i="3"/>
  <c r="K681" i="3"/>
  <c r="F681" i="3"/>
  <c r="K680" i="3"/>
  <c r="F680" i="3"/>
  <c r="K679" i="3"/>
  <c r="F679" i="3"/>
  <c r="K678" i="3"/>
  <c r="F678" i="3"/>
  <c r="K677" i="3"/>
  <c r="F677" i="3"/>
  <c r="K676" i="3"/>
  <c r="F676" i="3"/>
  <c r="K675" i="3"/>
  <c r="F675" i="3"/>
  <c r="K674" i="3"/>
  <c r="F674" i="3"/>
  <c r="K673" i="3"/>
  <c r="F673" i="3"/>
  <c r="K672" i="3"/>
  <c r="J672" i="3"/>
  <c r="F672" i="3"/>
  <c r="K671" i="3"/>
  <c r="J671" i="3"/>
  <c r="F671" i="3"/>
  <c r="K670" i="3"/>
  <c r="J670" i="3"/>
  <c r="F670" i="3"/>
  <c r="K669" i="3"/>
  <c r="J669" i="3"/>
  <c r="F669" i="3"/>
  <c r="K668" i="3"/>
  <c r="J668" i="3"/>
  <c r="F668" i="3"/>
  <c r="K667" i="3"/>
  <c r="J667" i="3"/>
  <c r="F667" i="3"/>
  <c r="K666" i="3"/>
  <c r="J666" i="3"/>
  <c r="F666" i="3"/>
  <c r="K665" i="3"/>
  <c r="J665" i="3"/>
  <c r="F665" i="3"/>
  <c r="K664" i="3"/>
  <c r="J664" i="3"/>
  <c r="F664" i="3"/>
  <c r="K663" i="3"/>
  <c r="J663" i="3"/>
  <c r="F663" i="3"/>
  <c r="K662" i="3"/>
  <c r="J662" i="3"/>
  <c r="F662" i="3"/>
  <c r="K661" i="3"/>
  <c r="J661" i="3"/>
  <c r="F661" i="3"/>
  <c r="K660" i="3"/>
  <c r="J660" i="3"/>
  <c r="F660" i="3"/>
  <c r="K659" i="3"/>
  <c r="J659" i="3"/>
  <c r="F659" i="3"/>
  <c r="K658" i="3"/>
  <c r="J658" i="3"/>
  <c r="F658" i="3"/>
  <c r="K657" i="3"/>
  <c r="J657" i="3"/>
  <c r="F657" i="3"/>
  <c r="K656" i="3"/>
  <c r="J656" i="3"/>
  <c r="F656" i="3"/>
  <c r="K655" i="3"/>
  <c r="J655" i="3"/>
  <c r="F655" i="3"/>
  <c r="K654" i="3"/>
  <c r="J654" i="3"/>
  <c r="F654" i="3"/>
  <c r="K653" i="3"/>
  <c r="J653" i="3"/>
  <c r="F653" i="3"/>
  <c r="K652" i="3"/>
  <c r="J652" i="3"/>
  <c r="F652" i="3"/>
  <c r="K651" i="3"/>
  <c r="J651" i="3"/>
  <c r="F651" i="3"/>
  <c r="K650" i="3"/>
  <c r="J650" i="3"/>
  <c r="F650" i="3"/>
  <c r="K649" i="3"/>
  <c r="J649" i="3"/>
  <c r="F649" i="3"/>
  <c r="K648" i="3"/>
  <c r="J648" i="3"/>
  <c r="F648" i="3"/>
  <c r="K647" i="3"/>
  <c r="J647" i="3"/>
  <c r="F647" i="3"/>
  <c r="K646" i="3"/>
  <c r="J646" i="3"/>
  <c r="F646" i="3"/>
  <c r="K645" i="3"/>
  <c r="J645" i="3"/>
  <c r="F645" i="3"/>
  <c r="K644" i="3"/>
  <c r="J644" i="3"/>
  <c r="F644" i="3"/>
  <c r="K643" i="3"/>
  <c r="J643" i="3"/>
  <c r="F643" i="3"/>
  <c r="K642" i="3"/>
  <c r="J642" i="3"/>
  <c r="F642" i="3"/>
  <c r="K641" i="3"/>
  <c r="J641" i="3"/>
  <c r="F641" i="3"/>
  <c r="K640" i="3"/>
  <c r="J640" i="3"/>
  <c r="F640" i="3"/>
  <c r="K639" i="3"/>
  <c r="J639" i="3"/>
  <c r="F639" i="3"/>
  <c r="K638" i="3"/>
  <c r="J638" i="3"/>
  <c r="F638" i="3"/>
  <c r="K637" i="3"/>
  <c r="J637" i="3"/>
  <c r="F637" i="3"/>
  <c r="K636" i="3"/>
  <c r="J636" i="3"/>
  <c r="F636" i="3"/>
  <c r="K635" i="3"/>
  <c r="J635" i="3"/>
  <c r="F635" i="3"/>
  <c r="K634" i="3"/>
  <c r="J634" i="3"/>
  <c r="F634" i="3"/>
  <c r="K633" i="3"/>
  <c r="J633" i="3"/>
  <c r="F633" i="3"/>
  <c r="K632" i="3"/>
  <c r="J632" i="3"/>
  <c r="F632" i="3"/>
  <c r="K631" i="3"/>
  <c r="J631" i="3"/>
  <c r="F631" i="3"/>
  <c r="K630" i="3"/>
  <c r="J630" i="3"/>
  <c r="F630" i="3"/>
  <c r="K629" i="3"/>
  <c r="J629" i="3"/>
  <c r="F629" i="3"/>
  <c r="K628" i="3"/>
  <c r="J628" i="3"/>
  <c r="F628" i="3"/>
  <c r="K627" i="3"/>
  <c r="J627" i="3"/>
  <c r="F627" i="3"/>
  <c r="K626" i="3"/>
  <c r="J626" i="3"/>
  <c r="F626" i="3"/>
  <c r="K625" i="3"/>
  <c r="J625" i="3"/>
  <c r="F625" i="3"/>
  <c r="K624" i="3"/>
  <c r="J624" i="3"/>
  <c r="F624" i="3"/>
  <c r="K623" i="3"/>
  <c r="J623" i="3"/>
  <c r="F623" i="3"/>
  <c r="K622" i="3"/>
  <c r="J622" i="3"/>
  <c r="F622" i="3"/>
  <c r="K621" i="3"/>
  <c r="J621" i="3"/>
  <c r="F621" i="3"/>
  <c r="K620" i="3"/>
  <c r="J620" i="3"/>
  <c r="F620" i="3"/>
  <c r="K619" i="3"/>
  <c r="J619" i="3"/>
  <c r="F619" i="3"/>
  <c r="K618" i="3"/>
  <c r="J618" i="3"/>
  <c r="F618" i="3"/>
  <c r="K617" i="3"/>
  <c r="J617" i="3"/>
  <c r="F617" i="3"/>
  <c r="K616" i="3"/>
  <c r="J616" i="3"/>
  <c r="F616" i="3"/>
  <c r="K615" i="3"/>
  <c r="J615" i="3"/>
  <c r="F615" i="3"/>
  <c r="K614" i="3"/>
  <c r="J614" i="3"/>
  <c r="F614" i="3"/>
  <c r="K613" i="3"/>
  <c r="J613" i="3"/>
  <c r="F613" i="3"/>
  <c r="K612" i="3"/>
  <c r="J612" i="3"/>
  <c r="F612" i="3"/>
  <c r="K611" i="3"/>
  <c r="J611" i="3"/>
  <c r="F611" i="3"/>
  <c r="K610" i="3"/>
  <c r="J610" i="3"/>
  <c r="F610" i="3"/>
  <c r="K609" i="3"/>
  <c r="J609" i="3"/>
  <c r="F609" i="3"/>
  <c r="K608" i="3"/>
  <c r="J608" i="3"/>
  <c r="F608" i="3"/>
  <c r="K607" i="3"/>
  <c r="J607" i="3"/>
  <c r="F607" i="3"/>
  <c r="K606" i="3"/>
  <c r="J606" i="3"/>
  <c r="F606" i="3"/>
  <c r="K605" i="3"/>
  <c r="J605" i="3"/>
  <c r="F605" i="3"/>
  <c r="K604" i="3"/>
  <c r="J604" i="3"/>
  <c r="F604" i="3"/>
  <c r="K603" i="3"/>
  <c r="J603" i="3"/>
  <c r="F603" i="3"/>
  <c r="K602" i="3"/>
  <c r="J602" i="3"/>
  <c r="F602" i="3"/>
  <c r="K601" i="3"/>
  <c r="J601" i="3"/>
  <c r="F601" i="3"/>
  <c r="K600" i="3"/>
  <c r="J600" i="3"/>
  <c r="F600" i="3"/>
  <c r="K599" i="3"/>
  <c r="J599" i="3"/>
  <c r="F599" i="3"/>
  <c r="K598" i="3"/>
  <c r="J598" i="3"/>
  <c r="F598" i="3"/>
  <c r="K597" i="3"/>
  <c r="J597" i="3"/>
  <c r="F597" i="3"/>
  <c r="K596" i="3"/>
  <c r="J596" i="3"/>
  <c r="F596" i="3"/>
  <c r="K595" i="3"/>
  <c r="J595" i="3"/>
  <c r="F595" i="3"/>
  <c r="K594" i="3"/>
  <c r="J594" i="3"/>
  <c r="F594" i="3"/>
  <c r="K593" i="3"/>
  <c r="J593" i="3"/>
  <c r="F593" i="3"/>
  <c r="K592" i="3"/>
  <c r="J592" i="3"/>
  <c r="F592" i="3"/>
  <c r="K591" i="3"/>
  <c r="J591" i="3"/>
  <c r="F591" i="3"/>
  <c r="K590" i="3"/>
  <c r="J590" i="3"/>
  <c r="F590" i="3"/>
  <c r="K589" i="3"/>
  <c r="J589" i="3"/>
  <c r="F589" i="3"/>
  <c r="K588" i="3"/>
  <c r="J588" i="3"/>
  <c r="F588" i="3"/>
  <c r="K587" i="3"/>
  <c r="J587" i="3"/>
  <c r="F587" i="3"/>
  <c r="K586" i="3"/>
  <c r="J586" i="3"/>
  <c r="F586" i="3"/>
  <c r="K585" i="3"/>
  <c r="J585" i="3"/>
  <c r="F585" i="3"/>
  <c r="K584" i="3"/>
  <c r="J584" i="3"/>
  <c r="F584" i="3"/>
  <c r="K583" i="3"/>
  <c r="J583" i="3"/>
  <c r="F583" i="3"/>
  <c r="K582" i="3"/>
  <c r="J582" i="3"/>
  <c r="F582" i="3"/>
  <c r="K581" i="3"/>
  <c r="J581" i="3"/>
  <c r="F581" i="3"/>
  <c r="K580" i="3"/>
  <c r="J580" i="3"/>
  <c r="F580" i="3"/>
  <c r="K579" i="3"/>
  <c r="J579" i="3"/>
  <c r="F579" i="3"/>
  <c r="K578" i="3"/>
  <c r="J578" i="3"/>
  <c r="F578" i="3"/>
  <c r="K577" i="3"/>
  <c r="J577" i="3"/>
  <c r="F577" i="3"/>
  <c r="K576" i="3"/>
  <c r="J576" i="3"/>
  <c r="F576" i="3"/>
  <c r="K575" i="3"/>
  <c r="J575" i="3"/>
  <c r="F575" i="3"/>
  <c r="K574" i="3"/>
  <c r="J574" i="3"/>
  <c r="F574" i="3"/>
  <c r="K573" i="3"/>
  <c r="J573" i="3"/>
  <c r="F573" i="3"/>
  <c r="K572" i="3"/>
  <c r="J572" i="3"/>
  <c r="F572" i="3"/>
  <c r="K571" i="3"/>
  <c r="J571" i="3"/>
  <c r="F571" i="3"/>
  <c r="K570" i="3"/>
  <c r="J570" i="3"/>
  <c r="F570" i="3"/>
  <c r="K569" i="3"/>
  <c r="J569" i="3"/>
  <c r="F569" i="3"/>
  <c r="K568" i="3"/>
  <c r="J568" i="3"/>
  <c r="F568" i="3"/>
  <c r="K567" i="3"/>
  <c r="J567" i="3"/>
  <c r="F567" i="3"/>
  <c r="K566" i="3"/>
  <c r="J566" i="3"/>
  <c r="F566" i="3"/>
  <c r="K565" i="3"/>
  <c r="J565" i="3"/>
  <c r="F565" i="3"/>
  <c r="K564" i="3"/>
  <c r="J564" i="3"/>
  <c r="F564" i="3"/>
  <c r="K563" i="3"/>
  <c r="J563" i="3"/>
  <c r="F563" i="3"/>
  <c r="K562" i="3"/>
  <c r="J562" i="3"/>
  <c r="F562" i="3"/>
  <c r="K561" i="3"/>
  <c r="J561" i="3"/>
  <c r="F561" i="3"/>
  <c r="K560" i="3"/>
  <c r="J560" i="3"/>
  <c r="F560" i="3"/>
  <c r="K559" i="3"/>
  <c r="J559" i="3"/>
  <c r="F559" i="3"/>
  <c r="K558" i="3"/>
  <c r="J558" i="3"/>
  <c r="F558" i="3"/>
  <c r="K557" i="3"/>
  <c r="J557" i="3"/>
  <c r="F557" i="3"/>
  <c r="K556" i="3"/>
  <c r="J556" i="3"/>
  <c r="F556" i="3"/>
  <c r="K555" i="3"/>
  <c r="J555" i="3"/>
  <c r="F555" i="3"/>
  <c r="K554" i="3"/>
  <c r="J554" i="3"/>
  <c r="F554" i="3"/>
  <c r="K553" i="3"/>
  <c r="J553" i="3"/>
  <c r="F553" i="3"/>
  <c r="K552" i="3"/>
  <c r="J552" i="3"/>
  <c r="F552" i="3"/>
  <c r="K551" i="3"/>
  <c r="J551" i="3"/>
  <c r="F551" i="3"/>
  <c r="K550" i="3"/>
  <c r="J550" i="3"/>
  <c r="F550" i="3"/>
  <c r="K549" i="3"/>
  <c r="J549" i="3"/>
  <c r="F549" i="3"/>
  <c r="K548" i="3"/>
  <c r="J548" i="3"/>
  <c r="F548" i="3"/>
  <c r="K547" i="3"/>
  <c r="J547" i="3"/>
  <c r="F547" i="3"/>
  <c r="K546" i="3"/>
  <c r="J546" i="3"/>
  <c r="F546" i="3"/>
  <c r="K545" i="3"/>
  <c r="J545" i="3"/>
  <c r="F545" i="3"/>
  <c r="K544" i="3"/>
  <c r="J544" i="3"/>
  <c r="F544" i="3"/>
  <c r="K543" i="3"/>
  <c r="J543" i="3"/>
  <c r="F543" i="3"/>
  <c r="K542" i="3"/>
  <c r="J542" i="3"/>
  <c r="F542" i="3"/>
  <c r="K541" i="3"/>
  <c r="J541" i="3"/>
  <c r="F541" i="3"/>
  <c r="K540" i="3"/>
  <c r="J540" i="3"/>
  <c r="F540" i="3"/>
  <c r="K539" i="3"/>
  <c r="J539" i="3"/>
  <c r="F539" i="3"/>
  <c r="K538" i="3"/>
  <c r="J538" i="3"/>
  <c r="F538" i="3"/>
  <c r="K537" i="3"/>
  <c r="J537" i="3"/>
  <c r="F537" i="3"/>
  <c r="K536" i="3"/>
  <c r="J536" i="3"/>
  <c r="F536" i="3"/>
  <c r="K535" i="3"/>
  <c r="J535" i="3"/>
  <c r="F535" i="3"/>
  <c r="K534" i="3"/>
  <c r="J534" i="3"/>
  <c r="F534" i="3"/>
  <c r="K533" i="3"/>
  <c r="J533" i="3"/>
  <c r="F533" i="3"/>
  <c r="K532" i="3"/>
  <c r="J532" i="3"/>
  <c r="F532" i="3"/>
  <c r="K531" i="3"/>
  <c r="J531" i="3"/>
  <c r="F531" i="3"/>
  <c r="K530" i="3"/>
  <c r="J530" i="3"/>
  <c r="F530" i="3"/>
  <c r="K529" i="3"/>
  <c r="J529" i="3"/>
  <c r="F529" i="3"/>
  <c r="K528" i="3"/>
  <c r="J528" i="3"/>
  <c r="F528" i="3"/>
  <c r="K527" i="3"/>
  <c r="J527" i="3"/>
  <c r="F527" i="3"/>
  <c r="K526" i="3"/>
  <c r="J526" i="3"/>
  <c r="F526" i="3"/>
  <c r="K525" i="3"/>
  <c r="J525" i="3"/>
  <c r="F525" i="3"/>
  <c r="K524" i="3"/>
  <c r="J524" i="3"/>
  <c r="F524" i="3"/>
  <c r="K523" i="3"/>
  <c r="J523" i="3"/>
  <c r="F523" i="3"/>
  <c r="K522" i="3"/>
  <c r="J522" i="3"/>
  <c r="F522" i="3"/>
  <c r="K521" i="3"/>
  <c r="J521" i="3"/>
  <c r="F521" i="3"/>
  <c r="K520" i="3"/>
  <c r="J520" i="3"/>
  <c r="F520" i="3"/>
  <c r="K519" i="3"/>
  <c r="J519" i="3"/>
  <c r="F519" i="3"/>
  <c r="K518" i="3"/>
  <c r="J518" i="3"/>
  <c r="F518" i="3"/>
  <c r="K517" i="3"/>
  <c r="J517" i="3"/>
  <c r="F517" i="3"/>
  <c r="K516" i="3"/>
  <c r="J516" i="3"/>
  <c r="F516" i="3"/>
  <c r="K515" i="3"/>
  <c r="J515" i="3"/>
  <c r="F515" i="3"/>
  <c r="K514" i="3"/>
  <c r="J514" i="3"/>
  <c r="F514" i="3"/>
  <c r="K513" i="3"/>
  <c r="J513" i="3"/>
  <c r="F513" i="3"/>
  <c r="K512" i="3"/>
  <c r="J512" i="3"/>
  <c r="F512" i="3"/>
  <c r="K511" i="3"/>
  <c r="J511" i="3"/>
  <c r="F511" i="3"/>
  <c r="K510" i="3"/>
  <c r="J510" i="3"/>
  <c r="F510" i="3"/>
  <c r="K509" i="3"/>
  <c r="J509" i="3"/>
  <c r="F509" i="3"/>
  <c r="K508" i="3"/>
  <c r="J508" i="3"/>
  <c r="F508" i="3"/>
  <c r="J507" i="3"/>
  <c r="I507" i="3"/>
  <c r="K507" i="3" s="1"/>
  <c r="F507" i="3"/>
  <c r="K506" i="3"/>
  <c r="J506" i="3"/>
  <c r="I506" i="3"/>
  <c r="F506" i="3"/>
  <c r="K505" i="3"/>
  <c r="J505" i="3"/>
  <c r="I505" i="3"/>
  <c r="F505" i="3"/>
  <c r="K504" i="3"/>
  <c r="J504" i="3"/>
  <c r="I504" i="3"/>
  <c r="F504" i="3"/>
  <c r="J503" i="3"/>
  <c r="I503" i="3"/>
  <c r="K503" i="3" s="1"/>
  <c r="F503" i="3"/>
  <c r="J502" i="3"/>
  <c r="I502" i="3"/>
  <c r="K502" i="3" s="1"/>
  <c r="F502" i="3"/>
  <c r="K501" i="3"/>
  <c r="J501" i="3"/>
  <c r="I501" i="3"/>
  <c r="F501" i="3"/>
  <c r="K500" i="3"/>
  <c r="J500" i="3"/>
  <c r="I500" i="3"/>
  <c r="F500" i="3"/>
  <c r="K499" i="3"/>
  <c r="J499" i="3"/>
  <c r="I499" i="3"/>
  <c r="F499" i="3"/>
  <c r="K498" i="3"/>
  <c r="J498" i="3"/>
  <c r="F498" i="3"/>
  <c r="K497" i="3"/>
  <c r="J497" i="3"/>
  <c r="F497" i="3"/>
  <c r="K496" i="3"/>
  <c r="J496" i="3"/>
  <c r="F496" i="3"/>
  <c r="K495" i="3"/>
  <c r="J495" i="3"/>
  <c r="F495" i="3"/>
  <c r="K494" i="3"/>
  <c r="J494" i="3"/>
  <c r="F494" i="3"/>
  <c r="K493" i="3"/>
  <c r="J493" i="3"/>
  <c r="F493" i="3"/>
  <c r="K492" i="3"/>
  <c r="J492" i="3"/>
  <c r="F492" i="3"/>
  <c r="K491" i="3"/>
  <c r="J491" i="3"/>
  <c r="F491" i="3"/>
  <c r="K490" i="3"/>
  <c r="J490" i="3"/>
  <c r="F490" i="3"/>
  <c r="K489" i="3"/>
  <c r="J489" i="3"/>
  <c r="F489" i="3"/>
  <c r="K488" i="3"/>
  <c r="J488" i="3"/>
  <c r="F488" i="3"/>
  <c r="K487" i="3"/>
  <c r="J487" i="3"/>
  <c r="F487" i="3"/>
  <c r="K486" i="3"/>
  <c r="J486" i="3"/>
  <c r="F486" i="3"/>
  <c r="K485" i="3"/>
  <c r="J485" i="3"/>
  <c r="F485" i="3"/>
  <c r="K484" i="3"/>
  <c r="J484" i="3"/>
  <c r="F484" i="3"/>
  <c r="K483" i="3"/>
  <c r="J483" i="3"/>
  <c r="F483" i="3"/>
  <c r="K482" i="3"/>
  <c r="J482" i="3"/>
  <c r="F482" i="3"/>
  <c r="K481" i="3"/>
  <c r="J481" i="3"/>
  <c r="F481" i="3"/>
  <c r="K480" i="3"/>
  <c r="J480" i="3"/>
  <c r="F480" i="3"/>
  <c r="K479" i="3"/>
  <c r="J479" i="3"/>
  <c r="F479" i="3"/>
  <c r="K478" i="3"/>
  <c r="J478" i="3"/>
  <c r="F478" i="3"/>
  <c r="K477" i="3"/>
  <c r="J477" i="3"/>
  <c r="F477" i="3"/>
  <c r="K476" i="3"/>
  <c r="J476" i="3"/>
  <c r="F476" i="3"/>
  <c r="K475" i="3"/>
  <c r="J475" i="3"/>
  <c r="F475" i="3"/>
  <c r="K474" i="3"/>
  <c r="J474" i="3"/>
  <c r="F474" i="3"/>
  <c r="K473" i="3"/>
  <c r="J473" i="3"/>
  <c r="F473" i="3"/>
  <c r="K472" i="3"/>
  <c r="J472" i="3"/>
  <c r="F472" i="3"/>
  <c r="K471" i="3"/>
  <c r="J471" i="3"/>
  <c r="F471" i="3"/>
  <c r="K470" i="3"/>
  <c r="J470" i="3"/>
  <c r="F470" i="3"/>
  <c r="K469" i="3"/>
  <c r="J469" i="3"/>
  <c r="F469" i="3"/>
  <c r="K468" i="3"/>
  <c r="J468" i="3"/>
  <c r="F468" i="3"/>
  <c r="K467" i="3"/>
  <c r="J467" i="3"/>
  <c r="F467" i="3"/>
  <c r="K466" i="3"/>
  <c r="J466" i="3"/>
  <c r="F466" i="3"/>
  <c r="K465" i="3"/>
  <c r="J465" i="3"/>
  <c r="F465" i="3"/>
  <c r="K464" i="3"/>
  <c r="J464" i="3"/>
  <c r="F464" i="3"/>
  <c r="K463" i="3"/>
  <c r="J463" i="3"/>
  <c r="F463" i="3"/>
  <c r="K462" i="3"/>
  <c r="J462" i="3"/>
  <c r="F462" i="3"/>
  <c r="K461" i="3"/>
  <c r="J461" i="3"/>
  <c r="F461" i="3"/>
  <c r="K460" i="3"/>
  <c r="J460" i="3"/>
  <c r="F460" i="3"/>
  <c r="K459" i="3"/>
  <c r="J459" i="3"/>
  <c r="F459" i="3"/>
  <c r="K458" i="3"/>
  <c r="J458" i="3"/>
  <c r="F458" i="3"/>
  <c r="K457" i="3"/>
  <c r="J457" i="3"/>
  <c r="F457" i="3"/>
  <c r="K456" i="3"/>
  <c r="J456" i="3"/>
  <c r="F456" i="3"/>
  <c r="K455" i="3"/>
  <c r="J455" i="3"/>
  <c r="F455" i="3"/>
  <c r="K454" i="3"/>
  <c r="J454" i="3"/>
  <c r="F454" i="3"/>
  <c r="K453" i="3"/>
  <c r="J453" i="3"/>
  <c r="F453" i="3"/>
  <c r="K452" i="3"/>
  <c r="J452" i="3"/>
  <c r="F452" i="3"/>
  <c r="K451" i="3"/>
  <c r="J451" i="3"/>
  <c r="F451" i="3"/>
  <c r="K450" i="3"/>
  <c r="J450" i="3"/>
  <c r="F450" i="3"/>
  <c r="K449" i="3"/>
  <c r="J449" i="3"/>
  <c r="F449" i="3"/>
  <c r="K448" i="3"/>
  <c r="J448" i="3"/>
  <c r="F448" i="3"/>
  <c r="K447" i="3"/>
  <c r="J447" i="3"/>
  <c r="F447" i="3"/>
  <c r="K446" i="3"/>
  <c r="J446" i="3"/>
  <c r="F446" i="3"/>
  <c r="K445" i="3"/>
  <c r="J445" i="3"/>
  <c r="F445" i="3"/>
  <c r="K444" i="3"/>
  <c r="J444" i="3"/>
  <c r="F444" i="3"/>
  <c r="K443" i="3"/>
  <c r="J443" i="3"/>
  <c r="F443" i="3"/>
  <c r="K442" i="3"/>
  <c r="J442" i="3"/>
  <c r="F442" i="3"/>
  <c r="K441" i="3"/>
  <c r="J441" i="3"/>
  <c r="F441" i="3"/>
  <c r="K440" i="3"/>
  <c r="J440" i="3"/>
  <c r="F440" i="3"/>
  <c r="K439" i="3"/>
  <c r="J439" i="3"/>
  <c r="F439" i="3"/>
  <c r="K438" i="3"/>
  <c r="J438" i="3"/>
  <c r="F438" i="3"/>
  <c r="K437" i="3"/>
  <c r="J437" i="3"/>
  <c r="F437" i="3"/>
  <c r="K436" i="3"/>
  <c r="J436" i="3"/>
  <c r="F436" i="3"/>
  <c r="K435" i="3"/>
  <c r="J435" i="3"/>
  <c r="F435" i="3"/>
  <c r="K434" i="3"/>
  <c r="J434" i="3"/>
  <c r="F434" i="3"/>
  <c r="K433" i="3"/>
  <c r="J433" i="3"/>
  <c r="F433" i="3"/>
  <c r="K432" i="3"/>
  <c r="J432" i="3"/>
  <c r="F432" i="3"/>
  <c r="K431" i="3"/>
  <c r="J431" i="3"/>
  <c r="F431" i="3"/>
  <c r="K430" i="3"/>
  <c r="J430" i="3"/>
  <c r="F430" i="3"/>
  <c r="K429" i="3"/>
  <c r="J429" i="3"/>
  <c r="F429" i="3"/>
  <c r="K428" i="3"/>
  <c r="J428" i="3"/>
  <c r="F428" i="3"/>
  <c r="K427" i="3"/>
  <c r="J427" i="3"/>
  <c r="F427" i="3"/>
  <c r="K426" i="3"/>
  <c r="J426" i="3"/>
  <c r="F426" i="3"/>
  <c r="K425" i="3"/>
  <c r="J425" i="3"/>
  <c r="F425" i="3"/>
  <c r="K424" i="3"/>
  <c r="J424" i="3"/>
  <c r="F424" i="3"/>
  <c r="K423" i="3"/>
  <c r="J423" i="3"/>
  <c r="F423" i="3"/>
  <c r="K422" i="3"/>
  <c r="J422" i="3"/>
  <c r="F422" i="3"/>
  <c r="K421" i="3"/>
  <c r="J421" i="3"/>
  <c r="F421" i="3"/>
  <c r="J420" i="3"/>
  <c r="I420" i="3"/>
  <c r="K420" i="3" s="1"/>
  <c r="F420" i="3"/>
  <c r="K419" i="3"/>
  <c r="J419" i="3"/>
  <c r="I419" i="3"/>
  <c r="F419" i="3"/>
  <c r="K418" i="3"/>
  <c r="J418" i="3"/>
  <c r="F418" i="3"/>
  <c r="K417" i="3"/>
  <c r="J417" i="3"/>
  <c r="F417" i="3"/>
  <c r="K416" i="3"/>
  <c r="J416" i="3"/>
  <c r="F416" i="3"/>
  <c r="K415" i="3"/>
  <c r="J415" i="3"/>
  <c r="F415" i="3"/>
  <c r="K414" i="3"/>
  <c r="J414" i="3"/>
  <c r="F414" i="3"/>
  <c r="K413" i="3"/>
  <c r="J413" i="3"/>
  <c r="F413" i="3"/>
  <c r="J412" i="3"/>
  <c r="I412" i="3"/>
  <c r="K412" i="3" s="1"/>
  <c r="F412" i="3"/>
  <c r="K411" i="3"/>
  <c r="J411" i="3"/>
  <c r="F411" i="3"/>
  <c r="K410" i="3"/>
  <c r="J410" i="3"/>
  <c r="F410" i="3"/>
  <c r="K409" i="3"/>
  <c r="J409" i="3"/>
  <c r="F409" i="3"/>
  <c r="K408" i="3"/>
  <c r="J408" i="3"/>
  <c r="F408" i="3"/>
  <c r="K407" i="3"/>
  <c r="J407" i="3"/>
  <c r="F407" i="3"/>
  <c r="J406" i="3"/>
  <c r="I406" i="3"/>
  <c r="K406" i="3" s="1"/>
  <c r="F406" i="3"/>
  <c r="K405" i="3"/>
  <c r="J405" i="3"/>
  <c r="F405" i="3"/>
  <c r="K404" i="3"/>
  <c r="J404" i="3"/>
  <c r="F404" i="3"/>
  <c r="K403" i="3"/>
  <c r="J403" i="3"/>
  <c r="F403" i="3"/>
  <c r="K402" i="3"/>
  <c r="J402" i="3"/>
  <c r="F402" i="3"/>
  <c r="K401" i="3"/>
  <c r="J401" i="3"/>
  <c r="F401" i="3"/>
  <c r="K400" i="3"/>
  <c r="J400" i="3"/>
  <c r="F400" i="3"/>
  <c r="K399" i="3"/>
  <c r="J399" i="3"/>
  <c r="F399" i="3"/>
  <c r="K398" i="3"/>
  <c r="J398" i="3"/>
  <c r="F398" i="3"/>
  <c r="K397" i="3"/>
  <c r="J397" i="3"/>
  <c r="F397" i="3"/>
  <c r="K396" i="3"/>
  <c r="J396" i="3"/>
  <c r="F396" i="3"/>
  <c r="K395" i="3"/>
  <c r="J395" i="3"/>
  <c r="F395" i="3"/>
  <c r="K394" i="3"/>
  <c r="J394" i="3"/>
  <c r="F394" i="3"/>
  <c r="K393" i="3"/>
  <c r="J393" i="3"/>
  <c r="F393" i="3"/>
  <c r="K392" i="3"/>
  <c r="J392" i="3"/>
  <c r="F392" i="3"/>
  <c r="K391" i="3"/>
  <c r="J391" i="3"/>
  <c r="F391" i="3"/>
  <c r="K390" i="3"/>
  <c r="J390" i="3"/>
  <c r="F390" i="3"/>
  <c r="K389" i="3"/>
  <c r="J389" i="3"/>
  <c r="F389" i="3"/>
  <c r="K388" i="3"/>
  <c r="J388" i="3"/>
  <c r="F388" i="3"/>
  <c r="K387" i="3"/>
  <c r="J387" i="3"/>
  <c r="F387" i="3"/>
  <c r="K386" i="3"/>
  <c r="J386" i="3"/>
  <c r="F386" i="3"/>
  <c r="K385" i="3"/>
  <c r="J385" i="3"/>
  <c r="F385" i="3"/>
  <c r="K384" i="3"/>
  <c r="J384" i="3"/>
  <c r="F384" i="3"/>
  <c r="K383" i="3"/>
  <c r="J383" i="3"/>
  <c r="F383" i="3"/>
  <c r="K382" i="3"/>
  <c r="J382" i="3"/>
  <c r="F382" i="3"/>
  <c r="K381" i="3"/>
  <c r="J381" i="3"/>
  <c r="F381" i="3"/>
  <c r="K380" i="3"/>
  <c r="J380" i="3"/>
  <c r="F380" i="3"/>
  <c r="K379" i="3"/>
  <c r="J379" i="3"/>
  <c r="F379" i="3"/>
  <c r="K378" i="3"/>
  <c r="J378" i="3"/>
  <c r="F378" i="3"/>
  <c r="K377" i="3"/>
  <c r="J377" i="3"/>
  <c r="F377" i="3"/>
  <c r="K376" i="3"/>
  <c r="J376" i="3"/>
  <c r="F376" i="3"/>
  <c r="K375" i="3"/>
  <c r="J375" i="3"/>
  <c r="K374" i="3"/>
  <c r="J374" i="3"/>
  <c r="F374" i="3"/>
  <c r="K373" i="3"/>
  <c r="J373" i="3"/>
  <c r="F373" i="3"/>
  <c r="K372" i="3"/>
  <c r="J372" i="3"/>
  <c r="F372" i="3"/>
  <c r="K371" i="3"/>
  <c r="J371" i="3"/>
  <c r="K370" i="3"/>
  <c r="J370" i="3"/>
  <c r="F370" i="3"/>
  <c r="K369" i="3"/>
  <c r="J369" i="3"/>
  <c r="F369" i="3"/>
  <c r="K368" i="3"/>
  <c r="J368" i="3"/>
  <c r="F368" i="3"/>
  <c r="K367" i="3"/>
  <c r="J367" i="3"/>
  <c r="F367" i="3"/>
  <c r="K366" i="3"/>
  <c r="J366" i="3"/>
  <c r="F366" i="3"/>
  <c r="K365" i="3"/>
  <c r="J365" i="3"/>
  <c r="F365" i="3"/>
  <c r="K364" i="3"/>
  <c r="J364" i="3"/>
  <c r="F364" i="3"/>
  <c r="K363" i="3"/>
  <c r="J363" i="3"/>
  <c r="F363" i="3"/>
  <c r="K362" i="3"/>
  <c r="J362" i="3"/>
  <c r="F362" i="3"/>
  <c r="K361" i="3"/>
  <c r="J361" i="3"/>
  <c r="F361" i="3"/>
  <c r="K360" i="3"/>
  <c r="J360" i="3"/>
  <c r="F360" i="3"/>
  <c r="K359" i="3"/>
  <c r="J359" i="3"/>
  <c r="F359" i="3"/>
  <c r="K358" i="3"/>
  <c r="J358" i="3"/>
  <c r="F358" i="3"/>
  <c r="K357" i="3"/>
  <c r="J357" i="3"/>
  <c r="F357" i="3"/>
  <c r="K356" i="3"/>
  <c r="J356" i="3"/>
  <c r="F356" i="3"/>
  <c r="K355" i="3"/>
  <c r="J355" i="3"/>
  <c r="F355" i="3"/>
  <c r="K354" i="3"/>
  <c r="J354" i="3"/>
  <c r="F354" i="3"/>
  <c r="K353" i="3"/>
  <c r="J353" i="3"/>
  <c r="F353" i="3"/>
  <c r="K352" i="3"/>
  <c r="J352" i="3"/>
  <c r="F352" i="3"/>
  <c r="K351" i="3"/>
  <c r="J351" i="3"/>
  <c r="F351" i="3"/>
  <c r="K350" i="3"/>
  <c r="J350" i="3"/>
  <c r="F350" i="3"/>
  <c r="K349" i="3"/>
  <c r="J349" i="3"/>
  <c r="F349" i="3"/>
  <c r="K348" i="3"/>
  <c r="J348" i="3"/>
  <c r="F348" i="3"/>
  <c r="K347" i="3"/>
  <c r="J347" i="3"/>
  <c r="F347" i="3"/>
  <c r="K346" i="3"/>
  <c r="J346" i="3"/>
  <c r="F346" i="3"/>
  <c r="K345" i="3"/>
  <c r="J345" i="3"/>
  <c r="F345" i="3"/>
  <c r="K344" i="3"/>
  <c r="J344" i="3"/>
  <c r="F344" i="3"/>
  <c r="K343" i="3"/>
  <c r="J343" i="3"/>
  <c r="F343" i="3"/>
  <c r="K342" i="3"/>
  <c r="J342" i="3"/>
  <c r="F342" i="3"/>
  <c r="K341" i="3"/>
  <c r="J341" i="3"/>
  <c r="F341" i="3"/>
  <c r="K340" i="3"/>
  <c r="J340" i="3"/>
  <c r="F340" i="3"/>
  <c r="K339" i="3"/>
  <c r="J339" i="3"/>
  <c r="F339" i="3"/>
  <c r="K338" i="3"/>
  <c r="J338" i="3"/>
  <c r="F338" i="3"/>
  <c r="K337" i="3"/>
  <c r="J337" i="3"/>
  <c r="F337" i="3"/>
  <c r="K336" i="3"/>
  <c r="J336" i="3"/>
  <c r="F336" i="3"/>
  <c r="K335" i="3"/>
  <c r="J335" i="3"/>
  <c r="F335" i="3"/>
  <c r="K334" i="3"/>
  <c r="J334" i="3"/>
  <c r="F334" i="3"/>
  <c r="K333" i="3"/>
  <c r="J333" i="3"/>
  <c r="F333" i="3"/>
  <c r="K332" i="3"/>
  <c r="J332" i="3"/>
  <c r="F332" i="3"/>
  <c r="K331" i="3"/>
  <c r="J331" i="3"/>
  <c r="F331" i="3"/>
  <c r="K330" i="3"/>
  <c r="J330" i="3"/>
  <c r="F330" i="3"/>
  <c r="K329" i="3"/>
  <c r="J329" i="3"/>
  <c r="F329" i="3"/>
  <c r="K328" i="3"/>
  <c r="J328" i="3"/>
  <c r="F328" i="3"/>
  <c r="K327" i="3"/>
  <c r="J327" i="3"/>
  <c r="F327" i="3"/>
  <c r="K326" i="3"/>
  <c r="J326" i="3"/>
  <c r="F326" i="3"/>
  <c r="K325" i="3"/>
  <c r="J325" i="3"/>
  <c r="F325" i="3"/>
  <c r="K324" i="3"/>
  <c r="J324" i="3"/>
  <c r="F324" i="3"/>
  <c r="K323" i="3"/>
  <c r="J323" i="3"/>
  <c r="F323" i="3"/>
  <c r="K322" i="3"/>
  <c r="J322" i="3"/>
  <c r="F322" i="3"/>
  <c r="K321" i="3"/>
  <c r="J321" i="3"/>
  <c r="F321" i="3"/>
  <c r="K320" i="3"/>
  <c r="J320" i="3"/>
  <c r="F320" i="3"/>
  <c r="K319" i="3"/>
  <c r="J319" i="3"/>
  <c r="F319" i="3"/>
  <c r="K318" i="3"/>
  <c r="J318" i="3"/>
  <c r="F318" i="3"/>
  <c r="K317" i="3"/>
  <c r="J317" i="3"/>
  <c r="F317" i="3"/>
  <c r="K316" i="3"/>
  <c r="J316" i="3"/>
  <c r="F316" i="3"/>
  <c r="K315" i="3"/>
  <c r="J315" i="3"/>
  <c r="F315" i="3"/>
  <c r="K314" i="3"/>
  <c r="J314" i="3"/>
  <c r="F314" i="3"/>
  <c r="K313" i="3"/>
  <c r="J313" i="3"/>
  <c r="F313" i="3"/>
  <c r="K312" i="3"/>
  <c r="J312" i="3"/>
  <c r="F312" i="3"/>
  <c r="K311" i="3"/>
  <c r="J311" i="3"/>
  <c r="F311" i="3"/>
  <c r="K310" i="3"/>
  <c r="J310" i="3"/>
  <c r="F310" i="3"/>
  <c r="K309" i="3"/>
  <c r="J309" i="3"/>
  <c r="F309" i="3"/>
  <c r="K308" i="3"/>
  <c r="J308" i="3"/>
  <c r="F308" i="3"/>
  <c r="K307" i="3"/>
  <c r="J307" i="3"/>
  <c r="F307" i="3"/>
  <c r="K306" i="3"/>
  <c r="J306" i="3"/>
  <c r="F306" i="3"/>
  <c r="K305" i="3"/>
  <c r="J305" i="3"/>
  <c r="F305" i="3"/>
  <c r="K304" i="3"/>
  <c r="J304" i="3"/>
  <c r="F304" i="3"/>
  <c r="K303" i="3"/>
  <c r="J303" i="3"/>
  <c r="F303" i="3"/>
  <c r="K302" i="3"/>
  <c r="J302" i="3"/>
  <c r="F302" i="3"/>
  <c r="K301" i="3"/>
  <c r="J301" i="3"/>
  <c r="F301" i="3"/>
  <c r="K300" i="3"/>
  <c r="J300" i="3"/>
  <c r="F300" i="3"/>
  <c r="K299" i="3"/>
  <c r="J299" i="3"/>
  <c r="F299" i="3"/>
  <c r="K298" i="3"/>
  <c r="J298" i="3"/>
  <c r="F298" i="3"/>
  <c r="K297" i="3"/>
  <c r="J297" i="3"/>
  <c r="F297" i="3"/>
  <c r="K296" i="3"/>
  <c r="J296" i="3"/>
  <c r="K295" i="3"/>
  <c r="J295" i="3"/>
  <c r="F295" i="3"/>
  <c r="K294" i="3"/>
  <c r="J294" i="3"/>
  <c r="F294" i="3"/>
  <c r="K293" i="3"/>
  <c r="J293" i="3"/>
  <c r="F293" i="3"/>
  <c r="K292" i="3"/>
  <c r="J292" i="3"/>
  <c r="F292" i="3"/>
  <c r="K291" i="3"/>
  <c r="J291" i="3"/>
  <c r="F291" i="3"/>
  <c r="K290" i="3"/>
  <c r="J290" i="3"/>
  <c r="F290" i="3"/>
  <c r="K289" i="3"/>
  <c r="J289" i="3"/>
  <c r="F289" i="3"/>
  <c r="K288" i="3"/>
  <c r="J288" i="3"/>
  <c r="F288" i="3"/>
  <c r="K287" i="3"/>
  <c r="J287" i="3"/>
  <c r="F287" i="3"/>
  <c r="K286" i="3"/>
  <c r="J286" i="3"/>
  <c r="F286" i="3"/>
  <c r="K285" i="3"/>
  <c r="J285" i="3"/>
  <c r="F285" i="3"/>
  <c r="K284" i="3"/>
  <c r="J284" i="3"/>
  <c r="F284" i="3"/>
  <c r="K283" i="3"/>
  <c r="J283" i="3"/>
  <c r="F283" i="3"/>
  <c r="K282" i="3"/>
  <c r="J282" i="3"/>
  <c r="F282" i="3"/>
  <c r="K281" i="3"/>
  <c r="J281" i="3"/>
  <c r="F281" i="3"/>
  <c r="K280" i="3"/>
  <c r="J280" i="3"/>
  <c r="F280" i="3"/>
  <c r="K279" i="3"/>
  <c r="J279" i="3"/>
  <c r="F279" i="3"/>
  <c r="K278" i="3"/>
  <c r="J278" i="3"/>
  <c r="F278" i="3"/>
  <c r="K277" i="3"/>
  <c r="J277" i="3"/>
  <c r="F277" i="3"/>
  <c r="K276" i="3"/>
  <c r="J276" i="3"/>
  <c r="F276" i="3"/>
  <c r="K275" i="3"/>
  <c r="J275" i="3"/>
  <c r="F275" i="3"/>
  <c r="K274" i="3"/>
  <c r="J274" i="3"/>
  <c r="F274" i="3"/>
  <c r="K273" i="3"/>
  <c r="J273" i="3"/>
  <c r="F273" i="3"/>
  <c r="K272" i="3"/>
  <c r="J272" i="3"/>
  <c r="F272" i="3"/>
  <c r="K271" i="3"/>
  <c r="J271" i="3"/>
  <c r="F271" i="3"/>
  <c r="K270" i="3"/>
  <c r="J270" i="3"/>
  <c r="F270" i="3"/>
  <c r="K269" i="3"/>
  <c r="J269" i="3"/>
  <c r="F269" i="3"/>
  <c r="K268" i="3"/>
  <c r="J268" i="3"/>
  <c r="F268" i="3"/>
  <c r="K267" i="3"/>
  <c r="J267" i="3"/>
  <c r="F267" i="3"/>
  <c r="K266" i="3"/>
  <c r="J266" i="3"/>
  <c r="F266" i="3"/>
  <c r="K265" i="3"/>
  <c r="J265" i="3"/>
  <c r="F265" i="3"/>
  <c r="K264" i="3"/>
  <c r="J264" i="3"/>
  <c r="F264" i="3"/>
  <c r="K263" i="3"/>
  <c r="J263" i="3"/>
  <c r="F263" i="3"/>
  <c r="K262" i="3"/>
  <c r="J262" i="3"/>
  <c r="F262" i="3"/>
  <c r="K261" i="3"/>
  <c r="J261" i="3"/>
  <c r="F261" i="3"/>
  <c r="K260" i="3"/>
  <c r="J260" i="3"/>
  <c r="F260" i="3"/>
  <c r="K259" i="3"/>
  <c r="J259" i="3"/>
  <c r="F259" i="3"/>
  <c r="K258" i="3"/>
  <c r="J258" i="3"/>
  <c r="F258" i="3"/>
  <c r="K257" i="3"/>
  <c r="J257" i="3"/>
  <c r="F257" i="3"/>
  <c r="K256" i="3"/>
  <c r="J256" i="3"/>
  <c r="F256" i="3"/>
  <c r="K255" i="3"/>
  <c r="J255" i="3"/>
  <c r="F255" i="3"/>
  <c r="K254" i="3"/>
  <c r="J254" i="3"/>
  <c r="F254" i="3"/>
  <c r="K253" i="3"/>
  <c r="J253" i="3"/>
  <c r="F253" i="3"/>
  <c r="K252" i="3"/>
  <c r="J252" i="3"/>
  <c r="F252" i="3"/>
  <c r="K251" i="3"/>
  <c r="J251" i="3"/>
  <c r="F251" i="3"/>
  <c r="K250" i="3"/>
  <c r="J250" i="3"/>
  <c r="F250" i="3"/>
  <c r="K249" i="3"/>
  <c r="J249" i="3"/>
  <c r="F249" i="3"/>
  <c r="K248" i="3"/>
  <c r="J248" i="3"/>
  <c r="F248" i="3"/>
  <c r="K247" i="3"/>
  <c r="J247" i="3"/>
  <c r="F247" i="3"/>
  <c r="K246" i="3"/>
  <c r="J246" i="3"/>
  <c r="F246" i="3"/>
  <c r="K245" i="3"/>
  <c r="J245" i="3"/>
  <c r="F245" i="3"/>
  <c r="K244" i="3"/>
  <c r="J244" i="3"/>
  <c r="F244" i="3"/>
  <c r="K243" i="3"/>
  <c r="J243" i="3"/>
  <c r="F243" i="3"/>
  <c r="K242" i="3"/>
  <c r="J242" i="3"/>
  <c r="F242" i="3"/>
  <c r="K241" i="3"/>
  <c r="J241" i="3"/>
  <c r="F241" i="3"/>
  <c r="K240" i="3"/>
  <c r="J240" i="3"/>
  <c r="F240" i="3"/>
  <c r="K239" i="3"/>
  <c r="J239" i="3"/>
  <c r="F239" i="3"/>
  <c r="K238" i="3"/>
  <c r="J238" i="3"/>
  <c r="F238" i="3"/>
  <c r="K237" i="3"/>
  <c r="J237" i="3"/>
  <c r="F237" i="3"/>
  <c r="K236" i="3"/>
  <c r="J236" i="3"/>
  <c r="F236" i="3"/>
  <c r="K235" i="3"/>
  <c r="J235" i="3"/>
  <c r="F235" i="3"/>
  <c r="K234" i="3"/>
  <c r="J234" i="3"/>
  <c r="F234" i="3"/>
  <c r="K233" i="3"/>
  <c r="J233" i="3"/>
  <c r="F233" i="3"/>
  <c r="K232" i="3"/>
  <c r="J232" i="3"/>
  <c r="F232" i="3"/>
  <c r="K231" i="3"/>
  <c r="J231" i="3"/>
  <c r="F231" i="3"/>
  <c r="K230" i="3"/>
  <c r="J230" i="3"/>
  <c r="F230" i="3"/>
  <c r="K229" i="3"/>
  <c r="J229" i="3"/>
  <c r="F229" i="3"/>
  <c r="K228" i="3"/>
  <c r="J228" i="3"/>
  <c r="F228" i="3"/>
  <c r="K227" i="3"/>
  <c r="J227" i="3"/>
  <c r="F227" i="3"/>
  <c r="K226" i="3"/>
  <c r="J226" i="3"/>
  <c r="F226" i="3"/>
  <c r="K225" i="3"/>
  <c r="J225" i="3"/>
  <c r="F225" i="3"/>
  <c r="K224" i="3"/>
  <c r="J224" i="3"/>
  <c r="F224" i="3"/>
  <c r="K223" i="3"/>
  <c r="J223" i="3"/>
  <c r="F223" i="3"/>
  <c r="K222" i="3"/>
  <c r="J222" i="3"/>
  <c r="F222" i="3"/>
  <c r="K221" i="3"/>
  <c r="J221" i="3"/>
  <c r="F221" i="3"/>
  <c r="K220" i="3"/>
  <c r="J220" i="3"/>
  <c r="F220" i="3"/>
  <c r="K219" i="3"/>
  <c r="J219" i="3"/>
  <c r="F219" i="3"/>
  <c r="K218" i="3"/>
  <c r="J218" i="3"/>
  <c r="F218" i="3"/>
  <c r="K217" i="3"/>
  <c r="J217" i="3"/>
  <c r="F217" i="3"/>
  <c r="K216" i="3"/>
  <c r="J216" i="3"/>
  <c r="F216" i="3"/>
  <c r="K215" i="3"/>
  <c r="J215" i="3"/>
  <c r="F215" i="3"/>
  <c r="K214" i="3"/>
  <c r="J214" i="3"/>
  <c r="F214" i="3"/>
  <c r="K213" i="3"/>
  <c r="J213" i="3"/>
  <c r="F213" i="3"/>
  <c r="K212" i="3"/>
  <c r="J212" i="3"/>
  <c r="F212" i="3"/>
  <c r="K211" i="3"/>
  <c r="J211" i="3"/>
  <c r="F211" i="3"/>
  <c r="K210" i="3"/>
  <c r="J210" i="3"/>
  <c r="F210" i="3"/>
  <c r="K209" i="3"/>
  <c r="J209" i="3"/>
  <c r="F209" i="3"/>
  <c r="K208" i="3"/>
  <c r="J208" i="3"/>
  <c r="F208" i="3"/>
  <c r="K207" i="3"/>
  <c r="J207" i="3"/>
  <c r="F207" i="3"/>
  <c r="K206" i="3"/>
  <c r="J206" i="3"/>
  <c r="F206" i="3"/>
  <c r="K205" i="3"/>
  <c r="J205" i="3"/>
  <c r="F205" i="3"/>
  <c r="K204" i="3"/>
  <c r="J204" i="3"/>
  <c r="F204" i="3"/>
  <c r="K203" i="3"/>
  <c r="J203" i="3"/>
  <c r="F203" i="3"/>
  <c r="K202" i="3"/>
  <c r="J202" i="3"/>
  <c r="F202" i="3"/>
  <c r="K201" i="3"/>
  <c r="J201" i="3"/>
  <c r="F201" i="3"/>
  <c r="K200" i="3"/>
  <c r="J200" i="3"/>
  <c r="F200" i="3"/>
  <c r="K199" i="3"/>
  <c r="J199" i="3"/>
  <c r="F199" i="3"/>
  <c r="K198" i="3"/>
  <c r="J198" i="3"/>
  <c r="F198" i="3"/>
  <c r="K197" i="3"/>
  <c r="J197" i="3"/>
  <c r="F197" i="3"/>
  <c r="K196" i="3"/>
  <c r="J196" i="3"/>
  <c r="F196" i="3"/>
  <c r="K195" i="3"/>
  <c r="J195" i="3"/>
  <c r="F195" i="3"/>
  <c r="K194" i="3"/>
  <c r="J194" i="3"/>
  <c r="F194" i="3"/>
  <c r="K193" i="3"/>
  <c r="J193" i="3"/>
  <c r="F193" i="3"/>
  <c r="K192" i="3"/>
  <c r="J192" i="3"/>
  <c r="F192" i="3"/>
  <c r="K191" i="3"/>
  <c r="J191" i="3"/>
  <c r="F191" i="3"/>
  <c r="K190" i="3"/>
  <c r="J190" i="3"/>
  <c r="F190" i="3"/>
  <c r="K189" i="3"/>
  <c r="J189" i="3"/>
  <c r="F189" i="3"/>
  <c r="K188" i="3"/>
  <c r="J188" i="3"/>
  <c r="F188" i="3"/>
  <c r="K187" i="3"/>
  <c r="J187" i="3"/>
  <c r="F187" i="3"/>
  <c r="K186" i="3"/>
  <c r="J186" i="3"/>
  <c r="F186" i="3"/>
  <c r="K185" i="3"/>
  <c r="J185" i="3"/>
  <c r="F185" i="3"/>
  <c r="K184" i="3"/>
  <c r="J184" i="3"/>
  <c r="F184" i="3"/>
  <c r="K183" i="3"/>
  <c r="J183" i="3"/>
  <c r="F183" i="3"/>
  <c r="K182" i="3"/>
  <c r="J182" i="3"/>
  <c r="F182" i="3"/>
  <c r="K181" i="3"/>
  <c r="J181" i="3"/>
  <c r="F181" i="3"/>
  <c r="K180" i="3"/>
  <c r="J180" i="3"/>
  <c r="F180" i="3"/>
  <c r="K179" i="3"/>
  <c r="J179" i="3"/>
  <c r="F179" i="3"/>
  <c r="K178" i="3"/>
  <c r="J178" i="3"/>
  <c r="F178" i="3"/>
  <c r="K177" i="3"/>
  <c r="J177" i="3"/>
  <c r="F177" i="3"/>
  <c r="K176" i="3"/>
  <c r="J176" i="3"/>
  <c r="F176" i="3"/>
  <c r="K175" i="3"/>
  <c r="J175" i="3"/>
  <c r="F175" i="3"/>
  <c r="K174" i="3"/>
  <c r="J174" i="3"/>
  <c r="F174" i="3"/>
  <c r="K173" i="3"/>
  <c r="J173" i="3"/>
  <c r="F173" i="3"/>
  <c r="K172" i="3"/>
  <c r="J172" i="3"/>
  <c r="F172" i="3"/>
  <c r="K171" i="3"/>
  <c r="J171" i="3"/>
  <c r="F171" i="3"/>
  <c r="K170" i="3"/>
  <c r="J170" i="3"/>
  <c r="F170" i="3"/>
  <c r="K169" i="3"/>
  <c r="J169" i="3"/>
  <c r="F169" i="3"/>
  <c r="K168" i="3"/>
  <c r="J168" i="3"/>
  <c r="F168" i="3"/>
  <c r="K167" i="3"/>
  <c r="J167" i="3"/>
  <c r="F167" i="3"/>
  <c r="K166" i="3"/>
  <c r="J166" i="3"/>
  <c r="F166" i="3"/>
  <c r="K165" i="3"/>
  <c r="J165" i="3"/>
  <c r="F165" i="3"/>
  <c r="K164" i="3"/>
  <c r="J164" i="3"/>
  <c r="F164" i="3"/>
  <c r="K163" i="3"/>
  <c r="J163" i="3"/>
  <c r="F163" i="3"/>
  <c r="K162" i="3"/>
  <c r="J162" i="3"/>
  <c r="F162" i="3"/>
  <c r="K161" i="3"/>
  <c r="J161" i="3"/>
  <c r="F161" i="3"/>
  <c r="K160" i="3"/>
  <c r="J160" i="3"/>
  <c r="F160" i="3"/>
  <c r="K159" i="3"/>
  <c r="J159" i="3"/>
  <c r="F159" i="3"/>
  <c r="K158" i="3"/>
  <c r="J158" i="3"/>
  <c r="F158" i="3"/>
  <c r="K157" i="3"/>
  <c r="J157" i="3"/>
  <c r="F157" i="3"/>
  <c r="K156" i="3"/>
  <c r="J156" i="3"/>
  <c r="F156" i="3"/>
  <c r="K155" i="3"/>
  <c r="J155" i="3"/>
  <c r="F155" i="3"/>
  <c r="K154" i="3"/>
  <c r="J154" i="3"/>
  <c r="F154" i="3"/>
  <c r="K153" i="3"/>
  <c r="J153" i="3"/>
  <c r="F153" i="3"/>
  <c r="K152" i="3"/>
  <c r="J152" i="3"/>
  <c r="F152" i="3"/>
  <c r="K151" i="3"/>
  <c r="J151" i="3"/>
  <c r="F151" i="3"/>
  <c r="K150" i="3"/>
  <c r="J150" i="3"/>
  <c r="F150" i="3"/>
  <c r="K149" i="3"/>
  <c r="J149" i="3"/>
  <c r="F149" i="3"/>
  <c r="K148" i="3"/>
  <c r="J148" i="3"/>
  <c r="F148" i="3"/>
  <c r="K147" i="3"/>
  <c r="J147" i="3"/>
  <c r="F147" i="3"/>
  <c r="K146" i="3"/>
  <c r="J146" i="3"/>
  <c r="F146" i="3"/>
  <c r="K145" i="3"/>
  <c r="J145" i="3"/>
  <c r="F145" i="3"/>
  <c r="K144" i="3"/>
  <c r="J144" i="3"/>
  <c r="F144" i="3"/>
  <c r="K143" i="3"/>
  <c r="J143" i="3"/>
  <c r="F143" i="3"/>
  <c r="K142" i="3"/>
  <c r="J142" i="3"/>
  <c r="F142" i="3"/>
  <c r="K141" i="3"/>
  <c r="J141" i="3"/>
  <c r="F141" i="3"/>
  <c r="K140" i="3"/>
  <c r="J140" i="3"/>
  <c r="F140" i="3"/>
  <c r="K139" i="3"/>
  <c r="J139" i="3"/>
  <c r="F139" i="3"/>
  <c r="K138" i="3"/>
  <c r="J138" i="3"/>
  <c r="F138" i="3"/>
  <c r="K137" i="3"/>
  <c r="J137" i="3"/>
  <c r="F137" i="3"/>
  <c r="K136" i="3"/>
  <c r="J136" i="3"/>
  <c r="F136" i="3"/>
  <c r="K135" i="3"/>
  <c r="J135" i="3"/>
  <c r="F135" i="3"/>
  <c r="K134" i="3"/>
  <c r="J134" i="3"/>
  <c r="F134" i="3"/>
  <c r="K133" i="3"/>
  <c r="J133" i="3"/>
  <c r="F133" i="3"/>
  <c r="K132" i="3"/>
  <c r="J132" i="3"/>
  <c r="F132" i="3"/>
  <c r="K131" i="3"/>
  <c r="J131" i="3"/>
  <c r="F131" i="3"/>
  <c r="K130" i="3"/>
  <c r="J130" i="3"/>
  <c r="F130" i="3"/>
  <c r="K129" i="3"/>
  <c r="J129" i="3"/>
  <c r="F129" i="3"/>
  <c r="K128" i="3"/>
  <c r="J128" i="3"/>
  <c r="F128" i="3"/>
  <c r="K127" i="3"/>
  <c r="J127" i="3"/>
  <c r="F127" i="3"/>
  <c r="K126" i="3"/>
  <c r="J126" i="3"/>
  <c r="F126" i="3"/>
  <c r="K125" i="3"/>
  <c r="J125" i="3"/>
  <c r="K124" i="3"/>
  <c r="J124" i="3"/>
  <c r="F124" i="3"/>
  <c r="K123" i="3"/>
  <c r="J123" i="3"/>
  <c r="F123" i="3"/>
  <c r="K122" i="3"/>
  <c r="J122" i="3"/>
  <c r="F122" i="3"/>
  <c r="K121" i="3"/>
  <c r="J121" i="3"/>
  <c r="F121" i="3"/>
  <c r="K120" i="3"/>
  <c r="J120" i="3"/>
  <c r="F120" i="3"/>
  <c r="K119" i="3"/>
  <c r="J119" i="3"/>
  <c r="F119" i="3"/>
  <c r="K118" i="3"/>
  <c r="J118" i="3"/>
  <c r="F118" i="3"/>
  <c r="K117" i="3"/>
  <c r="J117" i="3"/>
  <c r="F117" i="3"/>
  <c r="K116" i="3"/>
  <c r="J116" i="3"/>
  <c r="F116" i="3"/>
  <c r="K115" i="3"/>
  <c r="J115" i="3"/>
  <c r="F115" i="3"/>
  <c r="K114" i="3"/>
  <c r="J114" i="3"/>
  <c r="F114" i="3"/>
  <c r="K113" i="3"/>
  <c r="J113" i="3"/>
  <c r="F113" i="3"/>
  <c r="K112" i="3"/>
  <c r="J112" i="3"/>
  <c r="F112" i="3"/>
  <c r="K111" i="3"/>
  <c r="J111" i="3"/>
  <c r="F111" i="3"/>
  <c r="K110" i="3"/>
  <c r="J110" i="3"/>
  <c r="F110" i="3"/>
  <c r="K109" i="3"/>
  <c r="J109" i="3"/>
  <c r="F109" i="3"/>
  <c r="K108" i="3"/>
  <c r="J108" i="3"/>
  <c r="F108" i="3"/>
  <c r="K107" i="3"/>
  <c r="J107" i="3"/>
  <c r="F107" i="3"/>
  <c r="K106" i="3"/>
  <c r="J106" i="3"/>
  <c r="F106" i="3"/>
  <c r="K105" i="3"/>
  <c r="J105" i="3"/>
  <c r="F105" i="3"/>
  <c r="K104" i="3"/>
  <c r="J104" i="3"/>
  <c r="F104" i="3"/>
  <c r="K103" i="3"/>
  <c r="J103" i="3"/>
  <c r="K102" i="3"/>
  <c r="J102" i="3"/>
  <c r="F102" i="3"/>
  <c r="K101" i="3"/>
  <c r="J101" i="3"/>
  <c r="F101" i="3"/>
  <c r="K100" i="3"/>
  <c r="J100" i="3"/>
  <c r="F100" i="3"/>
  <c r="K99" i="3"/>
  <c r="J99" i="3"/>
  <c r="F99" i="3"/>
  <c r="K98" i="3"/>
  <c r="J98" i="3"/>
  <c r="F98" i="3"/>
  <c r="K97" i="3"/>
  <c r="J97" i="3"/>
  <c r="F97" i="3"/>
  <c r="K96" i="3"/>
  <c r="J96" i="3"/>
  <c r="F96" i="3"/>
  <c r="K95" i="3"/>
  <c r="J95" i="3"/>
  <c r="F95" i="3"/>
  <c r="K94" i="3"/>
  <c r="J94" i="3"/>
  <c r="F94" i="3"/>
  <c r="K93" i="3"/>
  <c r="J93" i="3"/>
  <c r="F93" i="3"/>
  <c r="K92" i="3"/>
  <c r="J92" i="3"/>
  <c r="F92" i="3"/>
  <c r="K91" i="3"/>
  <c r="J91" i="3"/>
  <c r="K90" i="3"/>
  <c r="J90" i="3"/>
  <c r="F90" i="3"/>
  <c r="K89" i="3"/>
  <c r="J89" i="3"/>
  <c r="F89" i="3"/>
  <c r="K88" i="3"/>
  <c r="J88" i="3"/>
  <c r="F88" i="3"/>
  <c r="K87" i="3"/>
  <c r="J87" i="3"/>
  <c r="F87" i="3"/>
  <c r="K86" i="3"/>
  <c r="J86" i="3"/>
  <c r="F86" i="3"/>
  <c r="K85" i="3"/>
  <c r="J85" i="3"/>
  <c r="F85" i="3"/>
  <c r="K84" i="3"/>
  <c r="J84" i="3"/>
  <c r="F84" i="3"/>
  <c r="K83" i="3"/>
  <c r="J83" i="3"/>
  <c r="F83" i="3"/>
  <c r="K82" i="3"/>
  <c r="J82" i="3"/>
  <c r="F82" i="3"/>
  <c r="K81" i="3"/>
  <c r="J81" i="3"/>
  <c r="F81" i="3"/>
  <c r="K80" i="3"/>
  <c r="J80" i="3"/>
  <c r="F80" i="3"/>
  <c r="K79" i="3"/>
  <c r="J79" i="3"/>
  <c r="F79" i="3"/>
  <c r="K78" i="3"/>
  <c r="J78" i="3"/>
  <c r="F78" i="3"/>
  <c r="K77" i="3"/>
  <c r="J77" i="3"/>
  <c r="F77" i="3"/>
  <c r="K76" i="3"/>
  <c r="J76" i="3"/>
  <c r="F76" i="3"/>
  <c r="K75" i="3"/>
  <c r="J75" i="3"/>
  <c r="F75" i="3"/>
  <c r="K74" i="3"/>
  <c r="J74" i="3"/>
  <c r="K73" i="3"/>
  <c r="J73" i="3"/>
  <c r="F73" i="3"/>
  <c r="K72" i="3"/>
  <c r="J72" i="3"/>
  <c r="F72" i="3"/>
  <c r="K71" i="3"/>
  <c r="J71" i="3"/>
  <c r="F71" i="3"/>
  <c r="K70" i="3"/>
  <c r="J70" i="3"/>
  <c r="F70" i="3"/>
  <c r="K69" i="3"/>
  <c r="J69" i="3"/>
  <c r="F69" i="3"/>
  <c r="K68" i="3"/>
  <c r="J68" i="3"/>
  <c r="F68" i="3"/>
  <c r="K67" i="3"/>
  <c r="J67" i="3"/>
  <c r="F67" i="3"/>
  <c r="K66" i="3"/>
  <c r="J66" i="3"/>
  <c r="F66" i="3"/>
  <c r="K65" i="3"/>
  <c r="J65" i="3"/>
  <c r="F65" i="3"/>
  <c r="K64" i="3"/>
  <c r="J64" i="3"/>
  <c r="F64" i="3"/>
  <c r="K63" i="3"/>
  <c r="J63" i="3"/>
  <c r="F63" i="3"/>
  <c r="K62" i="3"/>
  <c r="J62" i="3"/>
  <c r="F62" i="3"/>
  <c r="K61" i="3"/>
  <c r="J61" i="3"/>
  <c r="F61" i="3"/>
  <c r="K60" i="3"/>
  <c r="J60" i="3"/>
  <c r="F60" i="3"/>
  <c r="K59" i="3"/>
  <c r="J59" i="3"/>
  <c r="F59" i="3"/>
  <c r="K58" i="3"/>
  <c r="J58" i="3"/>
  <c r="F58" i="3"/>
  <c r="K57" i="3"/>
  <c r="J57" i="3"/>
  <c r="F57" i="3"/>
  <c r="K56" i="3"/>
  <c r="J56" i="3"/>
  <c r="F56" i="3"/>
  <c r="K55" i="3"/>
  <c r="J55" i="3"/>
  <c r="F55" i="3"/>
  <c r="K54" i="3"/>
  <c r="J54" i="3"/>
  <c r="F54" i="3"/>
  <c r="K53" i="3"/>
  <c r="J53" i="3"/>
  <c r="F53" i="3"/>
  <c r="K52" i="3"/>
  <c r="J52" i="3"/>
  <c r="F52" i="3"/>
  <c r="K51" i="3"/>
  <c r="J51" i="3"/>
  <c r="F51" i="3"/>
  <c r="K50" i="3"/>
  <c r="J50" i="3"/>
  <c r="F50" i="3"/>
  <c r="K49" i="3"/>
  <c r="J49" i="3"/>
  <c r="F49" i="3"/>
  <c r="K48" i="3"/>
  <c r="J48" i="3"/>
  <c r="F48" i="3"/>
  <c r="K47" i="3"/>
  <c r="J47" i="3"/>
  <c r="F47" i="3"/>
  <c r="K46" i="3"/>
  <c r="J46" i="3"/>
  <c r="F46" i="3"/>
  <c r="K45" i="3"/>
  <c r="J45" i="3"/>
  <c r="F45" i="3"/>
  <c r="K44" i="3"/>
  <c r="J44" i="3"/>
  <c r="F44" i="3"/>
  <c r="K43" i="3"/>
  <c r="J43" i="3"/>
  <c r="F43" i="3"/>
  <c r="K42" i="3"/>
  <c r="J42" i="3"/>
  <c r="F42" i="3"/>
  <c r="K41" i="3"/>
  <c r="J41" i="3"/>
  <c r="F41" i="3"/>
  <c r="K40" i="3"/>
  <c r="J40" i="3"/>
  <c r="F40" i="3"/>
  <c r="K39" i="3"/>
  <c r="J39" i="3"/>
  <c r="F39" i="3"/>
  <c r="K38" i="3"/>
  <c r="J38" i="3"/>
  <c r="F38" i="3"/>
  <c r="K37" i="3"/>
  <c r="J37" i="3"/>
  <c r="F37" i="3"/>
  <c r="K36" i="3"/>
  <c r="J36" i="3"/>
  <c r="F36" i="3"/>
  <c r="K35" i="3"/>
  <c r="J35" i="3"/>
  <c r="F35" i="3"/>
  <c r="K34" i="3"/>
  <c r="J34" i="3"/>
  <c r="F34" i="3"/>
  <c r="K33" i="3"/>
  <c r="J33" i="3"/>
  <c r="F33" i="3"/>
  <c r="K32" i="3"/>
  <c r="J32" i="3"/>
  <c r="F32" i="3"/>
  <c r="K31" i="3"/>
  <c r="J31" i="3"/>
  <c r="F31" i="3"/>
  <c r="K30" i="3"/>
  <c r="J30" i="3"/>
  <c r="F30" i="3"/>
  <c r="K29" i="3"/>
  <c r="J29" i="3"/>
  <c r="F29" i="3"/>
  <c r="K28" i="3"/>
  <c r="J28" i="3"/>
  <c r="F28" i="3"/>
  <c r="K27" i="3"/>
  <c r="J27" i="3"/>
  <c r="F27" i="3"/>
  <c r="K26" i="3"/>
  <c r="J26" i="3"/>
  <c r="F26" i="3"/>
  <c r="K25" i="3"/>
  <c r="J25" i="3"/>
  <c r="F25" i="3"/>
  <c r="K24" i="3"/>
  <c r="J24" i="3"/>
  <c r="F24" i="3"/>
  <c r="K23" i="3"/>
  <c r="J23" i="3"/>
  <c r="F23" i="3"/>
  <c r="K22" i="3"/>
  <c r="J22" i="3"/>
  <c r="F22" i="3"/>
  <c r="K21" i="3"/>
  <c r="J21" i="3"/>
  <c r="F21" i="3"/>
  <c r="K20" i="3"/>
  <c r="J20" i="3"/>
  <c r="F20" i="3"/>
  <c r="K19" i="3"/>
  <c r="J19" i="3"/>
  <c r="F19" i="3"/>
  <c r="K18" i="3"/>
  <c r="J18" i="3"/>
  <c r="K17" i="3"/>
  <c r="J17" i="3"/>
  <c r="F17" i="3"/>
  <c r="K16" i="3"/>
  <c r="J16" i="3"/>
  <c r="F16" i="3"/>
  <c r="K15" i="3"/>
  <c r="J15" i="3"/>
  <c r="F15" i="3"/>
  <c r="K14" i="3"/>
  <c r="J14" i="3"/>
  <c r="F14" i="3"/>
  <c r="K13" i="3"/>
  <c r="J13" i="3"/>
  <c r="F13" i="3"/>
  <c r="K12" i="3"/>
  <c r="J12" i="3"/>
  <c r="F12" i="3"/>
  <c r="K11" i="3"/>
  <c r="J11" i="3"/>
  <c r="F11" i="3"/>
  <c r="K10" i="3"/>
  <c r="J10" i="3"/>
  <c r="K9" i="3"/>
  <c r="J9" i="3"/>
  <c r="F9" i="3"/>
  <c r="K8" i="3"/>
  <c r="J8" i="3"/>
  <c r="F8" i="3"/>
  <c r="K7" i="3"/>
  <c r="J7" i="3"/>
  <c r="F7" i="3"/>
  <c r="K6" i="3"/>
  <c r="J6" i="3"/>
  <c r="F6" i="3"/>
  <c r="K5" i="3"/>
  <c r="J5" i="3"/>
  <c r="F5" i="3"/>
  <c r="K4" i="3"/>
  <c r="J4" i="3"/>
  <c r="F4" i="3"/>
  <c r="K3" i="3"/>
  <c r="J3" i="3"/>
  <c r="F3" i="3"/>
  <c r="K2" i="3"/>
  <c r="J2" i="3"/>
  <c r="F2" i="3"/>
  <c r="K379" i="2"/>
  <c r="K378" i="2"/>
  <c r="K377" i="2"/>
  <c r="K373" i="2"/>
  <c r="K372" i="2"/>
  <c r="K371" i="2"/>
  <c r="K370" i="2"/>
  <c r="K369" i="2"/>
  <c r="K368" i="2"/>
  <c r="K367" i="2"/>
  <c r="K366" i="2"/>
  <c r="K365" i="2"/>
  <c r="K364" i="2"/>
  <c r="K363" i="2"/>
  <c r="K361" i="2"/>
  <c r="K360" i="2"/>
  <c r="K359" i="2"/>
  <c r="K358" i="2"/>
  <c r="K357" i="2"/>
  <c r="K355" i="2"/>
  <c r="K353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0" i="2"/>
  <c r="K299" i="2"/>
  <c r="K298" i="2"/>
  <c r="K297" i="2"/>
  <c r="K296" i="2"/>
  <c r="K295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5" i="2"/>
  <c r="K274" i="2"/>
  <c r="K270" i="2"/>
  <c r="K269" i="2"/>
  <c r="K268" i="2"/>
  <c r="K267" i="2"/>
  <c r="K266" i="2"/>
  <c r="K265" i="2"/>
  <c r="K263" i="2"/>
  <c r="K259" i="2"/>
  <c r="K258" i="2"/>
  <c r="K257" i="2"/>
  <c r="K256" i="2"/>
  <c r="K255" i="2"/>
  <c r="K254" i="2"/>
  <c r="K253" i="2"/>
  <c r="K252" i="2"/>
  <c r="K249" i="2"/>
  <c r="K248" i="2"/>
  <c r="K246" i="2"/>
  <c r="K241" i="2"/>
  <c r="K240" i="2"/>
  <c r="K239" i="2"/>
  <c r="K238" i="2"/>
  <c r="K235" i="2"/>
  <c r="K234" i="2"/>
  <c r="K233" i="2"/>
  <c r="K232" i="2"/>
  <c r="K231" i="2"/>
  <c r="K230" i="2"/>
  <c r="K229" i="2"/>
  <c r="K227" i="2"/>
  <c r="K226" i="2"/>
  <c r="K225" i="2"/>
  <c r="K224" i="2"/>
  <c r="K223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4" i="2"/>
  <c r="K202" i="2"/>
  <c r="K201" i="2"/>
  <c r="K200" i="2"/>
  <c r="K199" i="2"/>
  <c r="K197" i="2"/>
  <c r="K196" i="2"/>
  <c r="K195" i="2"/>
  <c r="K194" i="2"/>
  <c r="K193" i="2"/>
  <c r="K192" i="2"/>
  <c r="K190" i="2"/>
  <c r="K189" i="2"/>
  <c r="K188" i="2"/>
  <c r="K186" i="2"/>
  <c r="K185" i="2"/>
  <c r="K184" i="2"/>
  <c r="K183" i="2"/>
  <c r="K182" i="2"/>
  <c r="K181" i="2"/>
  <c r="K180" i="2"/>
  <c r="K179" i="2"/>
  <c r="K178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59" i="2"/>
  <c r="K157" i="2"/>
  <c r="K156" i="2"/>
  <c r="K155" i="2"/>
  <c r="K154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7" i="2"/>
  <c r="K136" i="2"/>
  <c r="K135" i="2"/>
  <c r="K134" i="2"/>
  <c r="K133" i="2"/>
  <c r="K132" i="2"/>
  <c r="K131" i="2"/>
  <c r="K128" i="2"/>
  <c r="K127" i="2"/>
  <c r="K126" i="2"/>
  <c r="K125" i="2"/>
  <c r="K124" i="2"/>
  <c r="K123" i="2"/>
  <c r="K122" i="2"/>
  <c r="K121" i="2"/>
  <c r="K119" i="2"/>
  <c r="K118" i="2"/>
  <c r="K116" i="2"/>
  <c r="K115" i="2"/>
  <c r="K113" i="2"/>
  <c r="K112" i="2"/>
  <c r="K110" i="2"/>
  <c r="K109" i="2"/>
  <c r="K108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2" i="2"/>
  <c r="K91" i="2"/>
  <c r="K90" i="2"/>
  <c r="K89" i="2"/>
  <c r="K88" i="2"/>
  <c r="K87" i="2"/>
  <c r="K86" i="2"/>
  <c r="K85" i="2"/>
  <c r="K84" i="2"/>
  <c r="K83" i="2"/>
  <c r="K81" i="2"/>
  <c r="K79" i="2"/>
  <c r="K77" i="2"/>
  <c r="K76" i="2"/>
  <c r="K75" i="2"/>
  <c r="K72" i="2"/>
  <c r="K71" i="2"/>
  <c r="K70" i="2"/>
  <c r="K69" i="2"/>
  <c r="K68" i="2"/>
  <c r="K67" i="2"/>
  <c r="K66" i="2"/>
  <c r="K65" i="2"/>
  <c r="K63" i="2"/>
  <c r="K62" i="2"/>
  <c r="K60" i="2"/>
  <c r="K59" i="2"/>
  <c r="K58" i="2"/>
  <c r="K57" i="2"/>
  <c r="K56" i="2"/>
  <c r="K55" i="2"/>
  <c r="K54" i="2"/>
  <c r="K52" i="2"/>
  <c r="K50" i="2"/>
  <c r="K49" i="2"/>
  <c r="K47" i="2"/>
  <c r="K46" i="2"/>
  <c r="K45" i="2"/>
  <c r="K44" i="2"/>
  <c r="K42" i="2"/>
  <c r="K41" i="2"/>
  <c r="K40" i="2"/>
  <c r="K39" i="2"/>
  <c r="K38" i="2"/>
  <c r="K36" i="2"/>
  <c r="K35" i="2"/>
  <c r="K34" i="2"/>
  <c r="K33" i="2"/>
  <c r="K32" i="2"/>
  <c r="K31" i="2"/>
  <c r="K30" i="2"/>
  <c r="K29" i="2"/>
  <c r="K27" i="2"/>
  <c r="K26" i="2"/>
  <c r="K25" i="2"/>
  <c r="K23" i="2"/>
  <c r="K22" i="2"/>
  <c r="K21" i="2"/>
  <c r="K20" i="2"/>
  <c r="K19" i="2"/>
  <c r="K17" i="2"/>
  <c r="K16" i="2"/>
  <c r="K15" i="2"/>
  <c r="K14" i="2"/>
  <c r="K13" i="2"/>
  <c r="K12" i="2"/>
  <c r="K11" i="2"/>
  <c r="K10" i="2"/>
  <c r="K9" i="2"/>
  <c r="K8" i="2"/>
  <c r="K7" i="2"/>
  <c r="K5" i="2"/>
  <c r="K4" i="2"/>
  <c r="K3" i="2"/>
  <c r="K2" i="2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0" i="1"/>
  <c r="E90" i="1"/>
  <c r="AK89" i="1"/>
  <c r="AK88" i="1"/>
  <c r="E88" i="1"/>
  <c r="AK87" i="1"/>
  <c r="F87" i="1"/>
  <c r="AK86" i="1"/>
  <c r="F86" i="1"/>
  <c r="AK85" i="1"/>
  <c r="F85" i="1"/>
  <c r="AK84" i="1"/>
  <c r="E84" i="1"/>
  <c r="AK83" i="1"/>
  <c r="E83" i="1"/>
  <c r="AK82" i="1"/>
  <c r="F82" i="1"/>
  <c r="AK81" i="1"/>
  <c r="AK80" i="1"/>
  <c r="E80" i="1"/>
  <c r="AK79" i="1"/>
  <c r="F79" i="1"/>
  <c r="AK78" i="1"/>
  <c r="AK77" i="1"/>
  <c r="F77" i="1"/>
  <c r="AK76" i="1"/>
  <c r="F76" i="1"/>
  <c r="AK75" i="1"/>
  <c r="F75" i="1"/>
  <c r="AK74" i="1"/>
  <c r="AK73" i="1"/>
  <c r="AK72" i="1"/>
  <c r="AK71" i="1"/>
  <c r="F71" i="1"/>
  <c r="AK70" i="1"/>
  <c r="F70" i="1"/>
  <c r="AK69" i="1"/>
  <c r="F69" i="1"/>
  <c r="AK68" i="1"/>
  <c r="F68" i="1"/>
  <c r="AK67" i="1"/>
  <c r="F67" i="1"/>
  <c r="AK66" i="1"/>
  <c r="F66" i="1"/>
  <c r="AK65" i="1"/>
  <c r="E65" i="1"/>
  <c r="AK64" i="1"/>
  <c r="F64" i="1"/>
  <c r="AK63" i="1"/>
  <c r="F63" i="1"/>
  <c r="AK62" i="1"/>
  <c r="F62" i="1"/>
  <c r="AK61" i="1"/>
  <c r="F61" i="1"/>
  <c r="AK60" i="1"/>
  <c r="E60" i="1"/>
  <c r="AK59" i="1"/>
  <c r="F59" i="1"/>
  <c r="AK58" i="1"/>
  <c r="F58" i="1"/>
  <c r="AK57" i="1"/>
  <c r="Y57" i="1"/>
  <c r="X57" i="1"/>
  <c r="F57" i="1"/>
  <c r="AK56" i="1"/>
  <c r="F56" i="1"/>
  <c r="AK55" i="1"/>
  <c r="F55" i="1"/>
  <c r="AK54" i="1"/>
  <c r="E54" i="1"/>
  <c r="AK52" i="1"/>
  <c r="K52" i="1"/>
  <c r="F52" i="1"/>
  <c r="AK51" i="1"/>
  <c r="K51" i="1"/>
  <c r="F51" i="1"/>
  <c r="AK50" i="1"/>
  <c r="F50" i="1"/>
  <c r="AK49" i="1"/>
  <c r="F49" i="1"/>
  <c r="AK48" i="1"/>
  <c r="AA48" i="1"/>
  <c r="Z48" i="1"/>
  <c r="X48" i="1"/>
  <c r="W48" i="1"/>
  <c r="F48" i="1"/>
  <c r="AK47" i="1"/>
  <c r="X47" i="1"/>
  <c r="W47" i="1"/>
  <c r="F47" i="1"/>
  <c r="AK46" i="1"/>
  <c r="F46" i="1"/>
  <c r="AK45" i="1"/>
  <c r="F45" i="1"/>
  <c r="AK44" i="1"/>
  <c r="F44" i="1"/>
  <c r="AK43" i="1"/>
  <c r="F43" i="1"/>
  <c r="AK42" i="1"/>
  <c r="F42" i="1"/>
  <c r="AK41" i="1"/>
  <c r="F41" i="1"/>
  <c r="AK40" i="1"/>
  <c r="F40" i="1"/>
  <c r="AK39" i="1"/>
  <c r="F39" i="1"/>
  <c r="AK38" i="1"/>
  <c r="F38" i="1"/>
  <c r="AK37" i="1"/>
  <c r="F37" i="1"/>
  <c r="AK36" i="1"/>
  <c r="F36" i="1"/>
  <c r="AK35" i="1"/>
  <c r="AK34" i="1"/>
  <c r="AK33" i="1"/>
  <c r="AK32" i="1"/>
  <c r="AK31" i="1"/>
  <c r="AH31" i="1"/>
  <c r="AF31" i="1"/>
  <c r="AK30" i="1"/>
  <c r="F30" i="1"/>
  <c r="AK29" i="1"/>
  <c r="F29" i="1"/>
  <c r="AK28" i="1"/>
  <c r="F28" i="1"/>
  <c r="AK27" i="1"/>
  <c r="F27" i="1"/>
  <c r="AK26" i="1"/>
  <c r="F26" i="1"/>
  <c r="AK25" i="1"/>
  <c r="F25" i="1"/>
  <c r="AK24" i="1"/>
  <c r="F24" i="1"/>
  <c r="AK23" i="1"/>
  <c r="F23" i="1"/>
  <c r="AK22" i="1"/>
  <c r="F22" i="1"/>
  <c r="AK21" i="1"/>
  <c r="F21" i="1"/>
  <c r="AK20" i="1"/>
  <c r="F20" i="1"/>
  <c r="AK19" i="1"/>
  <c r="G19" i="1"/>
  <c r="F19" i="1"/>
  <c r="AK18" i="1"/>
  <c r="F18" i="1"/>
  <c r="AK17" i="1"/>
  <c r="F17" i="1"/>
  <c r="AK16" i="1"/>
  <c r="F16" i="1"/>
  <c r="AK15" i="1"/>
  <c r="F15" i="1"/>
  <c r="AK14" i="1"/>
  <c r="F14" i="1"/>
  <c r="AK13" i="1"/>
  <c r="F13" i="1"/>
  <c r="AK12" i="1"/>
  <c r="F12" i="1"/>
  <c r="AK11" i="1"/>
  <c r="F11" i="1"/>
  <c r="AK10" i="1"/>
  <c r="F10" i="1"/>
  <c r="AK9" i="1"/>
  <c r="F9" i="1"/>
  <c r="AK8" i="1"/>
  <c r="F8" i="1"/>
  <c r="AK7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O24" authorId="0" shapeId="0" xr:uid="{00000000-0006-0000-0000-000002000000}">
      <text>
        <r>
          <rPr>
            <sz val="10"/>
            <color rgb="FF000000"/>
            <rFont val="Calibri"/>
            <scheme val="minor"/>
          </rPr>
          <t>======
ID#AAAAVojBp-o
Indra Boving    (2022-03-08 17:30:08)
probably overshot</t>
        </r>
      </text>
    </comment>
    <comment ref="G26" authorId="0" shapeId="0" xr:uid="{00000000-0006-0000-0000-000006000000}">
      <text>
        <r>
          <rPr>
            <sz val="10"/>
            <color rgb="FF000000"/>
            <rFont val="Calibri"/>
            <scheme val="minor"/>
          </rPr>
          <t>======
ID#AAAAWHQiSMY
    (2022-03-01 22:25:29)
and 11</t>
        </r>
      </text>
    </comment>
    <comment ref="G28" authorId="0" shapeId="0" xr:uid="{00000000-0006-0000-0000-000010000000}">
      <text>
        <r>
          <rPr>
            <sz val="10"/>
            <color rgb="FF000000"/>
            <rFont val="Calibri"/>
            <scheme val="minor"/>
          </rPr>
          <t>======
ID#AAAAWHQiSLw
    (2022-03-01 22:25:29)
and 16</t>
        </r>
      </text>
    </comment>
    <comment ref="G30" authorId="0" shapeId="0" xr:uid="{00000000-0006-0000-0000-000007000000}">
      <text>
        <r>
          <rPr>
            <sz val="10"/>
            <color rgb="FF000000"/>
            <rFont val="Calibri"/>
            <scheme val="minor"/>
          </rPr>
          <t>======
ID#AAAAWHQiSMU
    (2022-03-01 22:25:29)
21.9 and 13.6</t>
        </r>
      </text>
    </comment>
    <comment ref="AP32" authorId="0" shapeId="0" xr:uid="{00000000-0006-0000-0000-000001000000}">
      <text>
        <r>
          <rPr>
            <sz val="10"/>
            <color rgb="FF000000"/>
            <rFont val="Calibri"/>
            <scheme val="minor"/>
          </rPr>
          <t>======
ID#AAAAVojBp-s
Indra Boving    (2022-03-08 17:34:33)
hard to read</t>
        </r>
      </text>
    </comment>
    <comment ref="AR35" authorId="0" shapeId="0" xr:uid="{00000000-0006-0000-0000-000004000000}">
      <text>
        <r>
          <rPr>
            <sz val="10"/>
            <color rgb="FF000000"/>
            <rFont val="Calibri"/>
            <scheme val="minor"/>
          </rPr>
          <t>======
ID#AAAAVojBp-g
Indra Boving    (2022-03-08 17:26:28)
these were taken on the branches - the others used leaves, and are more reliable</t>
        </r>
      </text>
    </comment>
    <comment ref="AS35" authorId="0" shapeId="0" xr:uid="{00000000-0006-0000-0000-000005000000}">
      <text>
        <r>
          <rPr>
            <sz val="10"/>
            <color rgb="FF000000"/>
            <rFont val="Calibri"/>
            <scheme val="minor"/>
          </rPr>
          <t>======
ID#AAAAVojBp-c
Indra Boving    (2022-03-08 17:26:05)
these were taken on the branches - the others used leaves, and are more reliable</t>
        </r>
      </text>
    </comment>
    <comment ref="AP49" authorId="0" shapeId="0" xr:uid="{00000000-0006-0000-0000-000003000000}">
      <text>
        <r>
          <rPr>
            <sz val="10"/>
            <color rgb="FF000000"/>
            <rFont val="Calibri"/>
            <scheme val="minor"/>
          </rPr>
          <t>======
ID#AAAAVojBp-k
Indra Boving    (2022-03-08 17:29:32)
end of branchlet wasn't straight</t>
        </r>
      </text>
    </comment>
    <comment ref="G50" authorId="0" shapeId="0" xr:uid="{00000000-0006-0000-0000-00000B000000}">
      <text>
        <r>
          <rPr>
            <sz val="10"/>
            <color rgb="FF000000"/>
            <rFont val="Calibri"/>
            <scheme val="minor"/>
          </rPr>
          <t>======
ID#AAAAWHQiSME
    (2022-03-01 22:25:29)
and 19</t>
        </r>
      </text>
    </comment>
    <comment ref="G52" authorId="0" shapeId="0" xr:uid="{00000000-0006-0000-0000-00000C000000}">
      <text>
        <r>
          <rPr>
            <sz val="10"/>
            <color rgb="FF000000"/>
            <rFont val="Calibri"/>
            <scheme val="minor"/>
          </rPr>
          <t>======
ID#AAAAWHQiSL8
    (2022-03-01 22:25:29)
and 28.6</t>
        </r>
      </text>
    </comment>
    <comment ref="G66" authorId="0" shapeId="0" xr:uid="{00000000-0006-0000-0000-00000A000000}">
      <text>
        <r>
          <rPr>
            <sz val="10"/>
            <color rgb="FF000000"/>
            <rFont val="Calibri"/>
            <scheme val="minor"/>
          </rPr>
          <t>======
ID#AAAAWHQiSMI
    (2022-03-01 22:25:29)
and 30.3</t>
        </r>
      </text>
    </comment>
    <comment ref="G69" authorId="0" shapeId="0" xr:uid="{00000000-0006-0000-0000-00000E000000}">
      <text>
        <r>
          <rPr>
            <sz val="10"/>
            <color rgb="FF000000"/>
            <rFont val="Calibri"/>
            <scheme val="minor"/>
          </rPr>
          <t>======
ID#AAAAWHQiSMA
    (2022-03-01 22:25:29)
and 25.7</t>
        </r>
      </text>
    </comment>
    <comment ref="E73" authorId="0" shapeId="0" xr:uid="{00000000-0006-0000-0000-000009000000}">
      <text>
        <r>
          <rPr>
            <sz val="10"/>
            <color rgb="FF000000"/>
            <rFont val="Calibri"/>
            <scheme val="minor"/>
          </rPr>
          <t>======
ID#AAAAWHQiSMM
    (2022-03-01 22:25:29)
on isotope sample, known as 85.2</t>
        </r>
      </text>
    </comment>
    <comment ref="G82" authorId="0" shapeId="0" xr:uid="{00000000-0006-0000-0000-000008000000}">
      <text>
        <r>
          <rPr>
            <sz val="10"/>
            <color rgb="FF000000"/>
            <rFont val="Calibri"/>
            <scheme val="minor"/>
          </rPr>
          <t>======
ID#AAAAWHQiSMQ
    (2022-03-01 22:25:29)
and 32.6 for other limb. base diameter = ~75</t>
        </r>
      </text>
    </comment>
    <comment ref="G86" authorId="0" shapeId="0" xr:uid="{00000000-0006-0000-0000-00000F000000}">
      <text>
        <r>
          <rPr>
            <sz val="10"/>
            <color rgb="FF000000"/>
            <rFont val="Calibri"/>
            <scheme val="minor"/>
          </rPr>
          <t>======
ID#AAAAWHQiSL0
    (2022-03-01 22:25:29)
and 29.3</t>
        </r>
      </text>
    </comment>
    <comment ref="E87" authorId="0" shapeId="0" xr:uid="{00000000-0006-0000-0000-00000D000000}">
      <text>
        <r>
          <rPr>
            <sz val="10"/>
            <color rgb="FF000000"/>
            <rFont val="Calibri"/>
            <scheme val="minor"/>
          </rPr>
          <t>======
ID#AAAAWHQiSL4
    (2022-03-01 22:25:29)
written as 70.9 for core ID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PMDGwxt7OVPhAGYGSwVo4CgGAP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107" authorId="0" shapeId="0" xr:uid="{00000000-0006-0000-0600-000001000000}">
      <text>
        <r>
          <rPr>
            <sz val="10"/>
            <color rgb="FF000000"/>
            <rFont val="Calibri"/>
            <scheme val="minor"/>
          </rPr>
          <t>======
ID#AAAAXENPBpc
Isobel Mifsud    (2022-03-22 17:18:21)
Where are WPs and wet weights for 2381/2382?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t582xy95reGUadEW8co+xh5Uf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A110" authorId="0" shapeId="0" xr:uid="{00000000-0006-0000-0700-000001000000}">
      <text>
        <r>
          <rPr>
            <sz val="10"/>
            <color rgb="FF000000"/>
            <rFont val="Calibri"/>
            <scheme val="minor"/>
          </rPr>
          <t>======
ID#AAAAY2UGoCw
Elijah Joseph    (2022-05-10 21:49:42)
Measured at .1624 after cutting under water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ybvcC/I8zf/dTKAaVw7/V65Ux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800-000004000000}">
      <text>
        <r>
          <rPr>
            <sz val="10"/>
            <color rgb="FF000000"/>
            <rFont val="Calibri"/>
            <scheme val="minor"/>
          </rPr>
          <t>======
ID#AAAAXENPBqA
Isobel Mifsud    (2022-03-22 17:42:24)
Check orange notebook for wet weights</t>
        </r>
      </text>
    </comment>
    <comment ref="F32" authorId="0" shapeId="0" xr:uid="{00000000-0006-0000-0800-000001000000}">
      <text>
        <r>
          <rPr>
            <sz val="10"/>
            <color rgb="FF000000"/>
            <rFont val="Calibri"/>
            <scheme val="minor"/>
          </rPr>
          <t>======
ID#AAAAWZwZh0c
Isobel Mifsud    (2022-03-28 21:57:01)
We have dry weights for 2377 from both 3/8 and 3/11, also more dry weights than water potentials</t>
        </r>
      </text>
    </comment>
    <comment ref="G110" authorId="0" shapeId="0" xr:uid="{00000000-0006-0000-0800-000003000000}">
      <text>
        <r>
          <rPr>
            <sz val="10"/>
            <color rgb="FF000000"/>
            <rFont val="Calibri"/>
            <scheme val="minor"/>
          </rPr>
          <t>======
ID#AAAAXENPBqY
Isobel Mifsud    (2022-03-22 18:36:23)
Missing wet weights for 2382/2384</t>
        </r>
      </text>
    </comment>
    <comment ref="C149" authorId="0" shapeId="0" xr:uid="{00000000-0006-0000-0800-000002000000}">
      <text>
        <r>
          <rPr>
            <sz val="10"/>
            <color rgb="FF000000"/>
            <rFont val="Calibri"/>
            <scheme val="minor"/>
          </rPr>
          <t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SBzt0/0Lop9pU+TkuKUChdmG7w=="/>
    </ext>
  </extLst>
</comments>
</file>

<file path=xl/sharedStrings.xml><?xml version="1.0" encoding="utf-8"?>
<sst xmlns="http://schemas.openxmlformats.org/spreadsheetml/2006/main" count="8211" uniqueCount="270">
  <si>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</si>
  <si>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</si>
  <si>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</si>
  <si>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</si>
  <si>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</si>
  <si>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</si>
  <si>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</si>
  <si>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</si>
  <si>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</si>
  <si>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</si>
  <si>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</si>
  <si>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</si>
  <si>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</si>
  <si>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</si>
  <si>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</si>
  <si>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</si>
  <si>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</si>
  <si>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</si>
  <si>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</si>
  <si>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</si>
  <si>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</si>
  <si>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</si>
  <si>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</si>
  <si>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</si>
  <si>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</si>
  <si>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</si>
  <si>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</si>
  <si>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</si>
  <si>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</si>
  <si>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</si>
  <si>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</si>
  <si>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</si>
  <si>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</si>
  <si>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</si>
  <si>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</si>
  <si>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</si>
  <si>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</si>
  <si>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</si>
  <si>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</si>
  <si>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</si>
  <si>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</si>
  <si>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</si>
  <si>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</si>
  <si>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</si>
  <si>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</si>
  <si>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</si>
  <si>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</si>
  <si>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</si>
  <si>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</si>
  <si>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</si>
  <si>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</si>
  <si>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</si>
  <si>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</si>
  <si>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</si>
  <si>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</si>
  <si>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</si>
  <si>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</si>
  <si>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</si>
  <si>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</si>
  <si>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</si>
  <si>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</si>
  <si>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</si>
  <si>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</si>
  <si>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</si>
  <si>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</si>
  <si>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</si>
  <si>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</si>
  <si>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</si>
  <si>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</si>
  <si>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</si>
  <si>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</si>
  <si>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</si>
  <si>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</si>
  <si>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</si>
  <si>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</si>
  <si>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</si>
  <si>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</si>
  <si>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</si>
  <si>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</si>
  <si>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</si>
  <si>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</si>
  <si>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</si>
  <si>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</si>
  <si>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</si>
  <si>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</si>
  <si>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</si>
  <si>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</si>
  <si>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</si>
  <si>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</si>
  <si>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</si>
  <si>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</si>
  <si>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</si>
  <si>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</si>
  <si>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</si>
  <si>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</si>
  <si>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</si>
  <si>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</si>
  <si>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</si>
  <si>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</si>
  <si>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</si>
  <si>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</si>
  <si>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</si>
  <si>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</si>
  <si>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</si>
  <si>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</si>
  <si>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</si>
  <si>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</si>
  <si>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</si>
  <si>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</si>
  <si>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</si>
  <si>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</si>
  <si>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</si>
  <si>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</si>
  <si>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</si>
  <si>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</si>
  <si>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</si>
  <si>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</si>
  <si>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</si>
  <si>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</si>
  <si>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</si>
  <si>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</si>
  <si>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</si>
  <si>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</si>
  <si>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</si>
  <si>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</si>
  <si>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</si>
  <si>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</si>
  <si>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</si>
  <si>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</si>
  <si>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blue (or valley) oak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</si>
  <si>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</si>
  <si>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</si>
  <si>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</si>
  <si>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</si>
  <si>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</si>
  <si>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</si>
  <si>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</si>
  <si>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</si>
  <si>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</si>
  <si>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</si>
  <si>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</si>
  <si>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</si>
  <si>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</si>
  <si>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</si>
  <si>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2345b</t>
  </si>
  <si>
    <t>2345a</t>
  </si>
  <si>
    <t>c</t>
  </si>
  <si>
    <t>l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</si>
  <si>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</si>
  <si>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</si>
  <si>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</si>
  <si>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</si>
  <si>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</si>
  <si>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</si>
  <si>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</si>
  <si>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</si>
  <si>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Site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</si>
  <si>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</si>
  <si>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</si>
  <si>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</si>
  <si>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</si>
  <si>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</si>
  <si>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</si>
  <si>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</si>
  <si>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</si>
  <si>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</si>
  <si>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ARCA</t>
  </si>
  <si>
    <t>BAPI</t>
  </si>
  <si>
    <t>Rep</t>
  </si>
  <si>
    <t>leaf</t>
  </si>
  <si>
    <t>Tree_ID</t>
  </si>
  <si>
    <t>Dry_wt_g</t>
  </si>
  <si>
    <t>p</t>
  </si>
  <si>
    <t>f</t>
  </si>
  <si>
    <t>h</t>
  </si>
  <si>
    <t>g</t>
  </si>
  <si>
    <t>d</t>
  </si>
  <si>
    <t>e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</si>
  <si>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</si>
  <si>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</si>
  <si>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</si>
  <si>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</si>
  <si>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</si>
  <si>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</si>
  <si>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</si>
  <si>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</si>
  <si>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</si>
  <si>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</si>
  <si>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</si>
  <si>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</si>
  <si>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</si>
  <si>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</si>
  <si>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</si>
  <si>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</si>
  <si>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</si>
  <si>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</si>
  <si>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</si>
  <si>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</si>
  <si>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</si>
  <si>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</si>
  <si>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</si>
  <si>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</si>
  <si>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</si>
  <si>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</si>
  <si>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</si>
  <si>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</si>
  <si>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</si>
  <si>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</si>
  <si>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</si>
  <si>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</si>
  <si>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</si>
  <si>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</si>
  <si>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</si>
  <si>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</si>
  <si>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</si>
  <si>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</si>
  <si>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</si>
  <si>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</si>
  <si>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</si>
  <si>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</si>
  <si>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</si>
  <si>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</si>
  <si>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</si>
  <si>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</si>
  <si>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</si>
  <si>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</si>
  <si>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</si>
  <si>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</si>
  <si>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</si>
  <si>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</si>
  <si>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</si>
  <si>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</si>
  <si>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Cucu Mesa</t>
  </si>
  <si>
    <t>near 2380</t>
  </si>
  <si>
    <t>LEU</t>
  </si>
  <si>
    <t>Chamise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</si>
  <si>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</si>
  <si>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</si>
  <si>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</si>
  <si>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</si>
  <si>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</si>
  <si>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</si>
  <si>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</si>
  <si>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</si>
  <si>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</si>
  <si>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</si>
  <si>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</si>
  <si>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</si>
  <si>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</si>
  <si>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</si>
  <si>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</si>
  <si>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</si>
  <si>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</si>
  <si>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</si>
  <si>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</si>
  <si>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</si>
  <si>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</si>
  <si>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>Shedd</t>
  </si>
  <si>
    <t>ART</t>
  </si>
  <si>
    <t>4/11/22-4/12/22</t>
  </si>
  <si>
    <t>0.6715x</t>
  </si>
  <si>
    <t>1.1147f</t>
  </si>
  <si>
    <t>n/a</t>
  </si>
  <si>
    <t xml:space="preserve">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</si>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</sst>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/d"/>
  </numFmts>
  <fonts count="14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2" fillId="0" borderId="0" xfId="0" applyFont="1"/>
    <xf numFmtId="14" fontId="3" fillId="0" borderId="0" xfId="0" applyNumberFormat="1" applyFont="1"/>
    <xf numFmtId="0" fontId="3" fillId="0" borderId="4" xfId="0" applyFont="1" applyBorder="1" applyAlignment="1"/>
    <xf numFmtId="0" fontId="3" fillId="0" borderId="0" xfId="0" applyFont="1" applyAlignment="1"/>
    <xf numFmtId="0" fontId="3" fillId="0" borderId="5" xfId="0" applyFont="1" applyBorder="1" applyAlignment="1"/>
    <xf numFmtId="0" fontId="4" fillId="0" borderId="6" xfId="0" applyFont="1" applyBorder="1" applyAlignment="1">
      <alignment wrapText="1"/>
    </xf>
    <xf numFmtId="0" fontId="4" fillId="0" borderId="7" xfId="0" applyFont="1" applyBorder="1"/>
    <xf numFmtId="0" fontId="5" fillId="0" borderId="6" xfId="0" applyFont="1" applyBorder="1" applyAlignment="1">
      <alignment wrapText="1"/>
    </xf>
    <xf numFmtId="164" fontId="6" fillId="2" borderId="8" xfId="0" applyNumberFormat="1" applyFont="1" applyFill="1" applyBorder="1" applyAlignment="1">
      <alignment horizontal="left" wrapText="1"/>
    </xf>
    <xf numFmtId="165" fontId="7" fillId="0" borderId="7" xfId="0" applyNumberFormat="1" applyFont="1" applyBorder="1" applyAlignment="1">
      <alignment wrapText="1"/>
    </xf>
    <xf numFmtId="2" fontId="4" fillId="0" borderId="7" xfId="0" applyNumberFormat="1" applyFont="1" applyBorder="1" applyAlignment="1">
      <alignment wrapText="1"/>
    </xf>
    <xf numFmtId="2" fontId="8" fillId="0" borderId="7" xfId="0" applyNumberFormat="1" applyFont="1" applyBorder="1"/>
    <xf numFmtId="2" fontId="8" fillId="0" borderId="6" xfId="0" applyNumberFormat="1" applyFont="1" applyBorder="1"/>
    <xf numFmtId="165" fontId="9" fillId="0" borderId="7" xfId="0" applyNumberFormat="1" applyFont="1" applyBorder="1" applyAlignment="1">
      <alignment horizontal="right" wrapText="1"/>
    </xf>
    <xf numFmtId="165" fontId="9" fillId="0" borderId="7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4" fillId="0" borderId="9" xfId="0" applyFont="1" applyBorder="1"/>
    <xf numFmtId="0" fontId="3" fillId="0" borderId="7" xfId="0" applyFont="1" applyBorder="1"/>
    <xf numFmtId="0" fontId="3" fillId="0" borderId="7" xfId="0" applyFont="1" applyBorder="1" applyAlignment="1"/>
    <xf numFmtId="2" fontId="3" fillId="0" borderId="0" xfId="0" applyNumberFormat="1" applyFont="1" applyAlignment="1">
      <alignment horizontal="right"/>
    </xf>
    <xf numFmtId="9" fontId="2" fillId="0" borderId="0" xfId="0" applyNumberFormat="1" applyFont="1"/>
    <xf numFmtId="0" fontId="10" fillId="0" borderId="0" xfId="0" applyFont="1"/>
    <xf numFmtId="0" fontId="2" fillId="3" borderId="10" xfId="0" applyFont="1" applyFill="1" applyBorder="1"/>
    <xf numFmtId="165" fontId="3" fillId="0" borderId="0" xfId="0" applyNumberFormat="1" applyFont="1" applyAlignment="1">
      <alignment horizontal="right"/>
    </xf>
    <xf numFmtId="0" fontId="2" fillId="4" borderId="10" xfId="0" applyFont="1" applyFill="1" applyBorder="1"/>
    <xf numFmtId="165" fontId="3" fillId="0" borderId="0" xfId="0" applyNumberFormat="1" applyFont="1"/>
    <xf numFmtId="0" fontId="2" fillId="0" borderId="0" xfId="0" applyFont="1" applyAlignment="1"/>
    <xf numFmtId="2" fontId="2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2" fillId="5" borderId="10" xfId="0" applyFont="1" applyFill="1" applyBorder="1"/>
    <xf numFmtId="164" fontId="2" fillId="5" borderId="10" xfId="0" applyNumberFormat="1" applyFont="1" applyFill="1" applyBorder="1"/>
    <xf numFmtId="165" fontId="2" fillId="5" borderId="10" xfId="0" applyNumberFormat="1" applyFont="1" applyFill="1" applyBorder="1"/>
    <xf numFmtId="2" fontId="2" fillId="5" borderId="10" xfId="0" applyNumberFormat="1" applyFont="1" applyFill="1" applyBorder="1"/>
    <xf numFmtId="2" fontId="3" fillId="5" borderId="10" xfId="0" applyNumberFormat="1" applyFont="1" applyFill="1" applyBorder="1" applyAlignment="1">
      <alignment horizontal="right"/>
    </xf>
    <xf numFmtId="165" fontId="2" fillId="5" borderId="10" xfId="0" applyNumberFormat="1" applyFont="1" applyFill="1" applyBorder="1" applyAlignment="1">
      <alignment horizontal="right"/>
    </xf>
    <xf numFmtId="9" fontId="2" fillId="5" borderId="10" xfId="0" applyNumberFormat="1" applyFont="1" applyFill="1" applyBorder="1"/>
    <xf numFmtId="0" fontId="3" fillId="5" borderId="10" xfId="0" applyFont="1" applyFill="1" applyBorder="1"/>
    <xf numFmtId="165" fontId="2" fillId="6" borderId="10" xfId="0" applyNumberFormat="1" applyFont="1" applyFill="1" applyBorder="1"/>
    <xf numFmtId="2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5" fontId="2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10" fillId="0" borderId="0" xfId="0" applyFont="1" applyAlignment="1"/>
    <xf numFmtId="1" fontId="2" fillId="0" borderId="0" xfId="0" applyNumberFormat="1" applyFont="1"/>
    <xf numFmtId="2" fontId="3" fillId="0" borderId="0" xfId="0" applyNumberFormat="1" applyFont="1" applyAlignment="1"/>
    <xf numFmtId="1" fontId="10" fillId="0" borderId="0" xfId="0" applyNumberFormat="1" applyFont="1" applyAlignment="1"/>
    <xf numFmtId="0" fontId="11" fillId="0" borderId="0" xfId="0" applyFont="1" applyAlignment="1"/>
    <xf numFmtId="0" fontId="11" fillId="0" borderId="0" xfId="0" applyFont="1"/>
    <xf numFmtId="166" fontId="10" fillId="0" borderId="0" xfId="0" applyNumberFormat="1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10" fillId="0" borderId="7" xfId="0" applyFont="1" applyBorder="1" applyAlignment="1"/>
    <xf numFmtId="3" fontId="10" fillId="0" borderId="0" xfId="0" applyNumberFormat="1" applyFont="1" applyAlignment="1"/>
    <xf numFmtId="0" fontId="12" fillId="0" borderId="0" xfId="0" applyFont="1" applyAlignment="1">
      <alignment horizontal="right"/>
    </xf>
    <xf numFmtId="0" fontId="1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1011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1" width="15.796875" customWidth="1"/>
    <col min="2" max="3" width="11.3984375" customWidth="1"/>
    <col min="4" max="4" width="8.796875" customWidth="1"/>
    <col min="5" max="5" width="7.19921875" customWidth="1"/>
    <col min="6" max="9" width="10.19921875" customWidth="1"/>
    <col min="10" max="13" width="14.3984375" customWidth="1"/>
    <col min="14" max="16" width="14.3984375" hidden="1" customWidth="1"/>
    <col min="17" max="17" width="14.3984375" customWidth="1"/>
    <col min="21" max="36" width="14.3984375" customWidth="1"/>
    <col min="37" max="64" width="20.796875" customWidth="1"/>
  </cols>
  <sheetData>
    <row r="1" spans="1:64" ht="15.75" customHeight="1" x14ac:dyDescent="0.2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spans="1:64" ht="8.25" customHeight="1" x14ac:dyDescent="0.2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spans="1:64" ht="15.75" customHeight="1" x14ac:dyDescent="0.2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spans="1:64" ht="15.75" customHeight="1" x14ac:dyDescent="0.2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spans="1:64" ht="21.75" customHeight="1" x14ac:dyDescent="0.2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spans="1:64" ht="15.75" customHeight="1" x14ac:dyDescent="0.2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spans="1:64" ht="17.25" customHeight="1" x14ac:dyDescent="0.2">
      <c r="A7" s="12" t="s">
        <v>57</v>
      </c>
      <c r="B7" s="12" t="s">
        <v>58</v>
      </c>
      <c r="C7" s="12">
        <v>2352</v>
      </c>
      <c r="D7" s="12" t="s">
        <v>59</v>
      </c>
      <c r="E7" s="12">
        <v>21</v>
      </c>
      <c r="F7" s="3">
        <f t="shared" ref="F7:F30" si="0">E7/3.281</f>
        <v>6.4004876562023769</v>
      </c>
      <c r="G7" s="4">
        <v>53.5</v>
      </c>
      <c r="H7" s="31">
        <v>0</v>
      </c>
      <c r="I7" s="31">
        <v>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2.4700000000000002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1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0.24610000000000001</v>
      </c>
      <c r="AX7" s="15">
        <v>1.75</v>
      </c>
      <c r="AY7" s="15">
        <v>0.21959999999999999</v>
      </c>
      <c r="AZ7" s="15">
        <v>1.85</v>
      </c>
      <c r="BA7" s="15">
        <v>0.1721</v>
      </c>
      <c r="BB7" s="15">
        <v>2.95</v>
      </c>
      <c r="BC7" s="15">
        <v>0.21</v>
      </c>
      <c r="BD7" s="15">
        <v>2</v>
      </c>
      <c r="BE7" s="15">
        <v>0.23780000000000001</v>
      </c>
      <c r="BF7" s="15">
        <v>2.6</v>
      </c>
      <c r="BG7" s="15">
        <v>0.19089999999999999</v>
      </c>
      <c r="BH7" s="9"/>
      <c r="BI7" s="9"/>
      <c r="BJ7" s="9"/>
      <c r="BK7" s="15">
        <v>0.24099999999999999</v>
      </c>
      <c r="BL7" s="9"/>
    </row>
    <row r="8" spans="1:64" ht="17.25" customHeight="1" x14ac:dyDescent="0.2">
      <c r="A8" s="12" t="s">
        <v>57</v>
      </c>
      <c r="B8" s="12" t="s">
        <v>58</v>
      </c>
      <c r="C8" s="12">
        <v>2353</v>
      </c>
      <c r="D8" s="12" t="s">
        <v>62</v>
      </c>
      <c r="E8" s="12">
        <v>44</v>
      </c>
      <c r="F8" s="3">
        <f t="shared" si="0"/>
        <v>13.41054556537641</v>
      </c>
      <c r="G8" s="4">
        <v>45.3</v>
      </c>
      <c r="H8" s="31">
        <v>0</v>
      </c>
      <c r="I8" s="31">
        <v>0</v>
      </c>
      <c r="K8" s="31">
        <v>441.15</v>
      </c>
      <c r="L8" s="5" t="s">
        <v>60</v>
      </c>
      <c r="M8" s="3">
        <v>8.9629999999999992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e">
        <f t="shared" si="1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spans="1:64" ht="17.25" customHeight="1" x14ac:dyDescent="0.2">
      <c r="A9" s="12" t="s">
        <v>57</v>
      </c>
      <c r="B9" s="12" t="s">
        <v>58</v>
      </c>
      <c r="C9" s="34">
        <v>2354</v>
      </c>
      <c r="D9" s="12" t="s">
        <v>59</v>
      </c>
      <c r="E9" s="12">
        <v>45</v>
      </c>
      <c r="F9" s="3">
        <f t="shared" si="0"/>
        <v>13.715330691862237</v>
      </c>
      <c r="G9" s="3">
        <v>62.5</v>
      </c>
      <c r="H9" s="31">
        <v>58.2</v>
      </c>
      <c r="I9" s="31">
        <v>0</v>
      </c>
      <c r="K9" s="31">
        <v>193.59</v>
      </c>
      <c r="L9" s="5" t="s">
        <v>60</v>
      </c>
      <c r="M9" s="3">
        <v>12.465999999999999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0.96199999999999997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1"/>
        <v>1.7683999999999997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0.28810000000000002</v>
      </c>
      <c r="AX9" s="15">
        <v>1.69</v>
      </c>
      <c r="AY9" s="15">
        <v>0.28399999999999997</v>
      </c>
      <c r="AZ9" s="15">
        <v>1.7</v>
      </c>
      <c r="BA9" s="15">
        <v>0.2087</v>
      </c>
      <c r="BB9" s="15">
        <v>1.65</v>
      </c>
      <c r="BC9" s="15">
        <v>0.36809999999999998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spans="1:64" ht="17.25" customHeight="1" x14ac:dyDescent="0.2">
      <c r="A10" s="12" t="s">
        <v>57</v>
      </c>
      <c r="B10" s="12" t="s">
        <v>64</v>
      </c>
      <c r="C10" s="12">
        <v>2355</v>
      </c>
      <c r="D10" s="12" t="s">
        <v>59</v>
      </c>
      <c r="E10" s="12">
        <v>54</v>
      </c>
      <c r="F10" s="3">
        <f t="shared" si="0"/>
        <v>16.458396830234683</v>
      </c>
      <c r="G10" s="4">
        <v>17.7</v>
      </c>
      <c r="H10" s="31">
        <v>0</v>
      </c>
      <c r="I10" s="31">
        <v>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</v>
      </c>
      <c r="V10" s="15">
        <v>2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e">
        <f t="shared" si="1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spans="1:64" ht="17.25" customHeight="1" x14ac:dyDescent="0.2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</v>
      </c>
      <c r="F11" s="3">
        <f t="shared" si="0"/>
        <v>17.067967083206337</v>
      </c>
      <c r="G11" s="4">
        <v>18.600000000000001</v>
      </c>
      <c r="H11" s="31">
        <v>0</v>
      </c>
      <c r="I11" s="31">
        <v>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e">
        <f t="shared" si="1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spans="1:64" ht="17.25" customHeight="1" x14ac:dyDescent="0.2">
      <c r="A12" s="12" t="s">
        <v>57</v>
      </c>
      <c r="B12" s="12" t="s">
        <v>64</v>
      </c>
      <c r="C12" s="12">
        <v>2356</v>
      </c>
      <c r="D12" s="12" t="s">
        <v>59</v>
      </c>
      <c r="E12" s="12">
        <v>64.099999999999994</v>
      </c>
      <c r="F12" s="3">
        <f t="shared" si="0"/>
        <v>19.536726607741539</v>
      </c>
      <c r="G12" s="4">
        <v>26.2</v>
      </c>
      <c r="H12" s="31">
        <v>0</v>
      </c>
      <c r="I12" s="31">
        <v>0</v>
      </c>
      <c r="K12" s="31">
        <v>2248.0100000000002</v>
      </c>
      <c r="L12" s="5" t="s">
        <v>60</v>
      </c>
      <c r="M12" s="3">
        <v>13.898999999999999</v>
      </c>
      <c r="N12" s="32">
        <v>0.1</v>
      </c>
      <c r="O12" s="32">
        <v>0.05</v>
      </c>
      <c r="T12" s="33" t="s">
        <v>61</v>
      </c>
      <c r="U12" s="14">
        <v>3</v>
      </c>
      <c r="V12" s="15">
        <v>2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e">
        <f t="shared" si="1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spans="1:64" ht="17.25" customHeight="1" x14ac:dyDescent="0.2">
      <c r="A13" s="12" t="s">
        <v>57</v>
      </c>
      <c r="B13" s="12" t="s">
        <v>64</v>
      </c>
      <c r="C13" s="12">
        <v>2357</v>
      </c>
      <c r="D13" s="12" t="s">
        <v>59</v>
      </c>
      <c r="E13" s="12">
        <v>70</v>
      </c>
      <c r="F13" s="3">
        <f t="shared" si="0"/>
        <v>21.334958854007922</v>
      </c>
      <c r="G13" s="4">
        <v>23.6</v>
      </c>
      <c r="H13" s="31">
        <v>0</v>
      </c>
      <c r="I13" s="31">
        <v>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</v>
      </c>
      <c r="V13" s="15">
        <v>4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e">
        <f t="shared" si="1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spans="1:64" ht="17.25" customHeight="1" x14ac:dyDescent="0.2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</v>
      </c>
      <c r="F14" s="3">
        <f t="shared" si="0"/>
        <v>22.249314233465405</v>
      </c>
      <c r="G14" s="3">
        <v>16.899999999999999</v>
      </c>
      <c r="H14" s="31">
        <v>0</v>
      </c>
      <c r="I14" s="31">
        <v>0</v>
      </c>
      <c r="K14" s="31">
        <v>246.06</v>
      </c>
      <c r="L14" s="5" t="s">
        <v>60</v>
      </c>
      <c r="M14" s="3">
        <v>10.210000000000001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e">
        <f t="shared" si="1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ht="17.25" customHeight="1" x14ac:dyDescent="0.2">
      <c r="A15" s="12" t="s">
        <v>57</v>
      </c>
      <c r="B15" s="12" t="s">
        <v>64</v>
      </c>
      <c r="C15" s="12">
        <v>2358</v>
      </c>
      <c r="D15" s="12" t="s">
        <v>62</v>
      </c>
      <c r="E15" s="12">
        <v>74.5</v>
      </c>
      <c r="F15" s="3">
        <f t="shared" si="0"/>
        <v>22.706491923194147</v>
      </c>
      <c r="G15" s="4">
        <v>26.5</v>
      </c>
      <c r="H15" s="31">
        <v>0</v>
      </c>
      <c r="I15" s="31">
        <v>0</v>
      </c>
      <c r="K15" s="31">
        <v>271.72000000000003</v>
      </c>
      <c r="L15" s="5" t="s">
        <v>60</v>
      </c>
      <c r="M15" s="3">
        <v>9.5280000000000005</v>
      </c>
      <c r="N15" s="32">
        <v>0.8</v>
      </c>
      <c r="O15" s="32">
        <v>0.3</v>
      </c>
      <c r="T15" s="33" t="s">
        <v>61</v>
      </c>
      <c r="U15" s="14">
        <v>0</v>
      </c>
      <c r="V15" s="15">
        <v>3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e">
        <f t="shared" si="1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spans="1:64" ht="17.25" customHeight="1" x14ac:dyDescent="0.2">
      <c r="A16" s="12" t="s">
        <v>57</v>
      </c>
      <c r="B16" s="12" t="s">
        <v>64</v>
      </c>
      <c r="C16" s="12">
        <v>2359</v>
      </c>
      <c r="D16" s="12" t="s">
        <v>59</v>
      </c>
      <c r="E16" s="12">
        <v>79.099999999999994</v>
      </c>
      <c r="F16" s="3">
        <f t="shared" si="0"/>
        <v>24.108503505028953</v>
      </c>
      <c r="G16" s="4">
        <v>15.7</v>
      </c>
      <c r="H16" s="31">
        <v>0</v>
      </c>
      <c r="I16" s="31">
        <v>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4.1500000000000004</v>
      </c>
      <c r="R16" s="33">
        <v>4.2</v>
      </c>
      <c r="T16" s="33" t="s">
        <v>61</v>
      </c>
      <c r="U16" s="14">
        <v>0</v>
      </c>
      <c r="V16" s="15">
        <v>3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e">
        <f t="shared" si="1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ht="17.25" customHeight="1" x14ac:dyDescent="0.2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</v>
      </c>
      <c r="F17" s="3">
        <f t="shared" si="0"/>
        <v>25.297165498323682</v>
      </c>
      <c r="G17" s="3">
        <v>21.4</v>
      </c>
      <c r="H17" s="31">
        <v>0</v>
      </c>
      <c r="I17" s="31">
        <v>0</v>
      </c>
      <c r="K17" s="31">
        <v>551.54999999999995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e">
        <f t="shared" si="1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spans="1:64" ht="17.25" customHeight="1" x14ac:dyDescent="0.2">
      <c r="A18" s="12" t="s">
        <v>57</v>
      </c>
      <c r="B18" s="12" t="s">
        <v>64</v>
      </c>
      <c r="C18" s="12">
        <v>2360</v>
      </c>
      <c r="D18" s="12" t="s">
        <v>62</v>
      </c>
      <c r="E18" s="12">
        <v>101</v>
      </c>
      <c r="F18" s="3">
        <f t="shared" si="0"/>
        <v>30.783297775068576</v>
      </c>
      <c r="G18" s="3">
        <v>23</v>
      </c>
      <c r="H18" s="35">
        <v>0</v>
      </c>
      <c r="I18" s="35">
        <v>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</v>
      </c>
      <c r="V18" s="15">
        <v>5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e">
        <f t="shared" si="1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spans="1:64" ht="17.25" customHeight="1" x14ac:dyDescent="0.2">
      <c r="A19" s="12" t="s">
        <v>57</v>
      </c>
      <c r="B19" s="12" t="s">
        <v>64</v>
      </c>
      <c r="C19" s="12">
        <v>2361</v>
      </c>
      <c r="D19" s="12" t="s">
        <v>59</v>
      </c>
      <c r="E19" s="12">
        <v>104.2</v>
      </c>
      <c r="F19" s="3">
        <f t="shared" si="0"/>
        <v>31.758610179823226</v>
      </c>
      <c r="G19" s="3">
        <f>E19/3.281</f>
        <v>31.758610179823226</v>
      </c>
      <c r="H19" s="35">
        <v>0</v>
      </c>
      <c r="I19" s="35">
        <v>0</v>
      </c>
      <c r="K19" s="35">
        <v>224.32</v>
      </c>
      <c r="L19" s="5" t="s">
        <v>60</v>
      </c>
      <c r="M19" s="3">
        <v>6.5789999999999997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</v>
      </c>
      <c r="V19" s="15">
        <v>2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e">
        <f t="shared" si="1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ht="17.25" customHeight="1" x14ac:dyDescent="0.2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</v>
      </c>
      <c r="F20" s="3">
        <f t="shared" si="0"/>
        <v>33.831149039926849</v>
      </c>
      <c r="G20" s="3">
        <v>30.4</v>
      </c>
      <c r="H20" s="35">
        <v>0</v>
      </c>
      <c r="I20" s="35">
        <v>0</v>
      </c>
      <c r="K20" s="35">
        <v>415.48</v>
      </c>
      <c r="L20" s="5" t="s">
        <v>60</v>
      </c>
      <c r="M20" s="3">
        <v>6.1509999999999998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e">
        <f t="shared" si="1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ht="17.25" customHeight="1" x14ac:dyDescent="0.2">
      <c r="A21" s="12" t="s">
        <v>57</v>
      </c>
      <c r="B21" s="12" t="s">
        <v>64</v>
      </c>
      <c r="C21" s="12">
        <v>2362</v>
      </c>
      <c r="D21" s="36" t="s">
        <v>59</v>
      </c>
      <c r="E21" s="12">
        <v>114</v>
      </c>
      <c r="F21" s="3">
        <f t="shared" si="0"/>
        <v>34.745504419384332</v>
      </c>
      <c r="G21" s="4">
        <v>18</v>
      </c>
      <c r="H21" s="35">
        <v>0</v>
      </c>
      <c r="I21" s="35">
        <v>0</v>
      </c>
      <c r="K21" s="35">
        <v>725.83</v>
      </c>
      <c r="L21" s="5" t="s">
        <v>60</v>
      </c>
      <c r="M21" s="3">
        <v>8.4489999999999998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</v>
      </c>
      <c r="V21" s="15">
        <v>6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e">
        <f t="shared" si="1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ht="17.25" customHeight="1" x14ac:dyDescent="0.2">
      <c r="A22" s="12" t="s">
        <v>57</v>
      </c>
      <c r="B22" s="12" t="s">
        <v>64</v>
      </c>
      <c r="C22" s="12">
        <v>2363</v>
      </c>
      <c r="D22" s="12" t="s">
        <v>59</v>
      </c>
      <c r="E22" s="12">
        <v>118</v>
      </c>
      <c r="F22" s="3">
        <f t="shared" si="0"/>
        <v>35.96464492532764</v>
      </c>
      <c r="G22" s="3">
        <v>23.8</v>
      </c>
      <c r="H22" s="35">
        <v>0</v>
      </c>
      <c r="I22" s="35">
        <v>0</v>
      </c>
      <c r="K22" s="35">
        <v>444.88</v>
      </c>
      <c r="L22" s="5" t="s">
        <v>60</v>
      </c>
      <c r="M22" s="3">
        <v>9.3659999999999997</v>
      </c>
      <c r="N22" s="32">
        <v>0.8</v>
      </c>
      <c r="O22" s="32">
        <v>0.3</v>
      </c>
      <c r="T22" s="33" t="s">
        <v>61</v>
      </c>
      <c r="U22" s="14">
        <v>2</v>
      </c>
      <c r="V22" s="15">
        <v>2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e">
        <f t="shared" si="1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ht="17.25" customHeight="1" x14ac:dyDescent="0.2">
      <c r="A23" s="12" t="s">
        <v>57</v>
      </c>
      <c r="B23" s="12" t="s">
        <v>64</v>
      </c>
      <c r="C23" s="12">
        <v>2364</v>
      </c>
      <c r="D23" s="12" t="s">
        <v>59</v>
      </c>
      <c r="E23" s="12">
        <v>124</v>
      </c>
      <c r="F23" s="3">
        <f t="shared" si="0"/>
        <v>37.793355684242606</v>
      </c>
      <c r="G23" s="3">
        <v>28.3</v>
      </c>
      <c r="H23" s="35">
        <v>0</v>
      </c>
      <c r="I23" s="35">
        <v>0</v>
      </c>
      <c r="K23" s="35">
        <v>629.02</v>
      </c>
      <c r="L23" s="5" t="s">
        <v>60</v>
      </c>
      <c r="M23" s="3">
        <v>12.734999999999999</v>
      </c>
      <c r="N23" s="32">
        <v>0.6</v>
      </c>
      <c r="O23" s="32">
        <v>0.4</v>
      </c>
      <c r="Q23" s="33">
        <v>4.3</v>
      </c>
      <c r="R23" s="33">
        <v>4.2699999999999996</v>
      </c>
      <c r="T23" s="33" t="s">
        <v>61</v>
      </c>
      <c r="U23" s="14">
        <v>2</v>
      </c>
      <c r="V23" s="15">
        <v>1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e">
        <f t="shared" si="1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ht="17.25" customHeight="1" x14ac:dyDescent="0.2">
      <c r="A24" s="12" t="s">
        <v>57</v>
      </c>
      <c r="B24" s="12" t="s">
        <v>64</v>
      </c>
      <c r="C24" s="12">
        <v>2365</v>
      </c>
      <c r="D24" s="12" t="s">
        <v>62</v>
      </c>
      <c r="E24" s="12">
        <v>126.3</v>
      </c>
      <c r="F24" s="3">
        <f t="shared" si="0"/>
        <v>38.494361475160012</v>
      </c>
      <c r="G24" s="4">
        <v>42.4</v>
      </c>
      <c r="H24" s="35">
        <v>11</v>
      </c>
      <c r="I24" s="35">
        <v>0</v>
      </c>
      <c r="K24" s="35">
        <v>343.88</v>
      </c>
      <c r="L24" s="5" t="s">
        <v>60</v>
      </c>
      <c r="M24" s="3">
        <v>8.1180000000000003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</v>
      </c>
      <c r="V24" s="15">
        <v>3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e">
        <f t="shared" si="1"/>
        <v>#DIV/0!</v>
      </c>
      <c r="AL24" s="11"/>
      <c r="AM24" s="9"/>
      <c r="AN24" s="9"/>
      <c r="AO24" s="14">
        <v>1.82</v>
      </c>
      <c r="AP24" s="15">
        <v>1.5189999999999999</v>
      </c>
      <c r="AQ24" s="15">
        <v>1.63</v>
      </c>
      <c r="AR24" s="9"/>
      <c r="AS24" s="9"/>
      <c r="AT24" s="9"/>
      <c r="AU24" s="9"/>
      <c r="AV24" s="15">
        <v>1.65</v>
      </c>
      <c r="AW24" s="15">
        <v>6.2199999999999998E-2</v>
      </c>
      <c r="AX24" s="15">
        <v>2.8</v>
      </c>
      <c r="AY24" s="15">
        <v>0.1227</v>
      </c>
      <c r="AZ24" s="15">
        <v>1.85</v>
      </c>
      <c r="BA24" s="15">
        <v>0.14011999999999999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2.0148999999999999</v>
      </c>
      <c r="BL24" s="9"/>
    </row>
    <row r="25" spans="1:64" ht="17.25" customHeight="1" x14ac:dyDescent="0.2">
      <c r="A25" s="12" t="s">
        <v>57</v>
      </c>
      <c r="B25" s="12" t="s">
        <v>64</v>
      </c>
      <c r="C25" s="12">
        <v>2366</v>
      </c>
      <c r="D25" s="36" t="s">
        <v>59</v>
      </c>
      <c r="E25" s="2">
        <v>135.69999999999999</v>
      </c>
      <c r="F25" s="3">
        <f t="shared" si="0"/>
        <v>41.359341664126788</v>
      </c>
      <c r="G25" s="4">
        <v>26.3</v>
      </c>
      <c r="H25" s="35">
        <v>16</v>
      </c>
      <c r="I25" s="35">
        <v>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</v>
      </c>
      <c r="R25" s="33">
        <v>3.55</v>
      </c>
      <c r="S25" s="33">
        <v>3.9</v>
      </c>
      <c r="T25" s="33" t="s">
        <v>61</v>
      </c>
      <c r="U25" s="14">
        <v>1</v>
      </c>
      <c r="V25" s="15">
        <v>2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e">
        <f t="shared" si="1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2.0099999999999998</v>
      </c>
      <c r="AW25" s="15">
        <v>0.3206</v>
      </c>
      <c r="AX25" s="15">
        <v>3</v>
      </c>
      <c r="AY25" s="15">
        <v>0.15459999999999999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0.17399999999999999</v>
      </c>
      <c r="BL25" s="9"/>
    </row>
    <row r="26" spans="1:64" ht="17.25" customHeight="1" x14ac:dyDescent="0.2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0"/>
        <v>42.212740018287107</v>
      </c>
      <c r="G26" s="3">
        <v>17.8</v>
      </c>
      <c r="H26" s="35">
        <v>0</v>
      </c>
      <c r="I26" s="35">
        <v>0</v>
      </c>
      <c r="K26" s="35">
        <v>633.47</v>
      </c>
      <c r="L26" s="5" t="s">
        <v>60</v>
      </c>
      <c r="M26" s="3">
        <v>9.1679999999999993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2.4500000000000002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e">
        <f t="shared" si="1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ht="17.25" customHeight="1" x14ac:dyDescent="0.2">
      <c r="A27" s="12" t="s">
        <v>57</v>
      </c>
      <c r="B27" s="12" t="s">
        <v>64</v>
      </c>
      <c r="C27" s="12">
        <v>2367</v>
      </c>
      <c r="D27" s="12" t="s">
        <v>62</v>
      </c>
      <c r="E27" s="12">
        <v>142</v>
      </c>
      <c r="F27" s="3">
        <f t="shared" si="0"/>
        <v>43.279487960987503</v>
      </c>
      <c r="G27" s="3">
        <v>28.4</v>
      </c>
      <c r="H27" s="35">
        <v>0</v>
      </c>
      <c r="I27" s="35">
        <v>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</v>
      </c>
      <c r="V27" s="15">
        <v>1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e">
        <f t="shared" si="1"/>
        <v>#DIV/0!</v>
      </c>
      <c r="AL27" s="11"/>
      <c r="AM27" s="9"/>
      <c r="AN27" s="9"/>
      <c r="AO27" s="14">
        <v>1.49</v>
      </c>
      <c r="AP27" s="15">
        <v>1.4830000000000001</v>
      </c>
      <c r="AQ27" s="9"/>
      <c r="AR27" s="9"/>
      <c r="AS27" s="9"/>
      <c r="AT27" s="9"/>
      <c r="AU27" s="9"/>
      <c r="AV27" s="15">
        <v>2.1989999999999998</v>
      </c>
      <c r="AW27" s="15">
        <v>5.3600000000000002E-2</v>
      </c>
      <c r="AX27" s="15">
        <v>2.3050000000000002</v>
      </c>
      <c r="AY27" s="15">
        <v>3.6200000000000003E-2</v>
      </c>
      <c r="AZ27" s="15">
        <v>2.2400000000000002</v>
      </c>
      <c r="BA27" s="15">
        <v>2.06E-2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0.50309999999999999</v>
      </c>
      <c r="BL27" s="9"/>
    </row>
    <row r="28" spans="1:64" ht="17.25" customHeight="1" x14ac:dyDescent="0.2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</v>
      </c>
      <c r="F28" s="3">
        <f t="shared" si="0"/>
        <v>43.88905821395916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e">
        <f t="shared" si="1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ht="17.25" customHeight="1" x14ac:dyDescent="0.2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</v>
      </c>
      <c r="F29" s="3">
        <f t="shared" si="0"/>
        <v>46.632124352331601</v>
      </c>
      <c r="G29" s="3">
        <v>28.3</v>
      </c>
      <c r="H29" s="37">
        <v>59.2</v>
      </c>
      <c r="I29" s="37">
        <v>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e">
        <f t="shared" si="1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ht="17.25" customHeight="1" x14ac:dyDescent="0.2">
      <c r="A30" s="12" t="s">
        <v>57</v>
      </c>
      <c r="B30" s="12" t="s">
        <v>64</v>
      </c>
      <c r="C30" s="12">
        <v>2369</v>
      </c>
      <c r="D30" s="12" t="s">
        <v>59</v>
      </c>
      <c r="E30" s="12">
        <v>156.5</v>
      </c>
      <c r="F30" s="3">
        <f t="shared" si="0"/>
        <v>47.698872295032004</v>
      </c>
      <c r="G30" s="3">
        <v>21.8</v>
      </c>
      <c r="H30" s="35">
        <v>20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</v>
      </c>
      <c r="R30" s="33">
        <v>4</v>
      </c>
      <c r="T30" s="33" t="s">
        <v>61</v>
      </c>
      <c r="U30" s="14">
        <v>2</v>
      </c>
      <c r="V30" s="15">
        <v>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e">
        <f t="shared" si="1"/>
        <v>#DIV/0!</v>
      </c>
      <c r="AL30" s="11"/>
      <c r="AM30" s="9"/>
      <c r="AN30" s="9"/>
      <c r="AO30" s="14">
        <v>1.46</v>
      </c>
      <c r="AP30" s="15">
        <v>1.4410000000000001</v>
      </c>
      <c r="AQ30" s="9"/>
      <c r="AR30" s="9"/>
      <c r="AS30" s="9"/>
      <c r="AT30" s="9"/>
      <c r="AU30" s="9"/>
      <c r="AV30" s="15">
        <v>1.472</v>
      </c>
      <c r="AW30" s="15">
        <v>5.79E-2</v>
      </c>
      <c r="AX30" s="15">
        <v>2.41</v>
      </c>
      <c r="AY30" s="15">
        <v>0.19359999999999999</v>
      </c>
      <c r="AZ30" s="15">
        <v>2.0649999999999999</v>
      </c>
      <c r="BA30" s="15">
        <v>0.1857</v>
      </c>
      <c r="BB30" s="15">
        <v>2.86</v>
      </c>
      <c r="BC30" s="15">
        <v>0.37140000000000001</v>
      </c>
      <c r="BD30" s="15">
        <v>2.1560000000000001</v>
      </c>
      <c r="BE30" s="15">
        <v>0.1188</v>
      </c>
      <c r="BF30" s="15">
        <v>2.3959999999999999</v>
      </c>
      <c r="BG30" s="15">
        <v>0.13980000000000001</v>
      </c>
      <c r="BH30" s="9"/>
      <c r="BI30" s="9"/>
      <c r="BJ30" s="9"/>
      <c r="BK30" s="15">
        <v>1.0268999999999999</v>
      </c>
      <c r="BL30" s="9"/>
    </row>
    <row r="31" spans="1:64" ht="17.25" customHeight="1" x14ac:dyDescent="0.2">
      <c r="A31" s="38" t="s">
        <v>70</v>
      </c>
      <c r="B31" s="38" t="s">
        <v>58</v>
      </c>
      <c r="C31" s="38">
        <v>2376</v>
      </c>
      <c r="D31" s="12"/>
      <c r="E31" s="2"/>
      <c r="F31" s="3"/>
      <c r="G31" s="39">
        <v>56.7</v>
      </c>
      <c r="H31" s="40">
        <v>0</v>
      </c>
      <c r="I31" s="40">
        <v>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1"/>
        <v>1.6916666666666667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2.2309999999999999</v>
      </c>
      <c r="AW31" s="15">
        <v>0.3211</v>
      </c>
      <c r="AX31" s="15">
        <v>2.0169999999999999</v>
      </c>
      <c r="AY31" s="15">
        <v>0.39910000000000001</v>
      </c>
      <c r="AZ31" s="15">
        <v>4.306</v>
      </c>
      <c r="BA31" s="15">
        <v>0.32229999999999998</v>
      </c>
      <c r="BB31" s="15">
        <v>2.8359999999999999</v>
      </c>
      <c r="BC31" s="15">
        <v>0.55889999999999995</v>
      </c>
      <c r="BD31" s="15">
        <v>2.2040000000000002</v>
      </c>
      <c r="BE31" s="15">
        <v>0.22489999999999999</v>
      </c>
      <c r="BF31" s="15"/>
      <c r="BG31" s="15"/>
      <c r="BH31" s="15"/>
      <c r="BI31" s="15"/>
      <c r="BJ31" s="15"/>
      <c r="BK31" s="15">
        <v>1.8261000000000001</v>
      </c>
      <c r="BL31" s="15"/>
    </row>
    <row r="32" spans="1:64" ht="17.25" customHeight="1" x14ac:dyDescent="0.2">
      <c r="A32" s="38" t="s">
        <v>70</v>
      </c>
      <c r="B32" s="38" t="s">
        <v>58</v>
      </c>
      <c r="C32" s="38">
        <v>2377</v>
      </c>
      <c r="D32" s="12"/>
      <c r="E32" s="2"/>
      <c r="F32" s="3"/>
      <c r="G32" s="39">
        <v>66.599999999999994</v>
      </c>
      <c r="H32" s="40">
        <v>0</v>
      </c>
      <c r="I32" s="40">
        <v>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2.1800000000000002</v>
      </c>
      <c r="AE32" s="15">
        <v>2.71</v>
      </c>
      <c r="AF32" s="15">
        <v>1.7</v>
      </c>
      <c r="AG32" s="15">
        <v>1.64</v>
      </c>
      <c r="AH32" s="15">
        <v>2.5099999999999998</v>
      </c>
      <c r="AI32" s="15">
        <v>2.1</v>
      </c>
      <c r="AJ32" s="9"/>
      <c r="AK32" s="9">
        <f t="shared" si="1"/>
        <v>2.14</v>
      </c>
      <c r="AL32" s="16" t="s">
        <v>72</v>
      </c>
      <c r="AM32" s="15"/>
      <c r="AN32" s="15"/>
      <c r="AO32" s="14">
        <v>0.35299999999999998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0.53879999999999995</v>
      </c>
      <c r="AZ32" s="15">
        <v>3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0.26140000000000002</v>
      </c>
      <c r="BF32" s="15">
        <v>2.75</v>
      </c>
      <c r="BG32" s="15">
        <v>0.21060000000000001</v>
      </c>
      <c r="BH32" s="15"/>
      <c r="BI32" s="15"/>
      <c r="BJ32" s="15"/>
      <c r="BK32" s="15">
        <v>0.37019999999999997</v>
      </c>
      <c r="BL32" s="15" t="s">
        <v>73</v>
      </c>
    </row>
    <row r="33" spans="1:64" ht="17.25" customHeight="1" x14ac:dyDescent="0.2">
      <c r="A33" s="38" t="s">
        <v>70</v>
      </c>
      <c r="B33" s="38" t="s">
        <v>64</v>
      </c>
      <c r="C33" s="38">
        <v>2378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</v>
      </c>
      <c r="V33" s="15">
        <v>6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e">
        <f t="shared" si="1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0.15329999999999999</v>
      </c>
      <c r="AX33" s="15">
        <v>2</v>
      </c>
      <c r="AY33" s="15">
        <v>0.17849999999999999</v>
      </c>
      <c r="AZ33" s="15">
        <v>1.8</v>
      </c>
      <c r="BA33" s="15">
        <v>0.1671</v>
      </c>
      <c r="BB33" s="15">
        <v>1.5</v>
      </c>
      <c r="BC33" s="15">
        <v>0.16900000000000001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spans="1:64" ht="17.25" customHeight="1" x14ac:dyDescent="0.2">
      <c r="A34" s="38" t="s">
        <v>70</v>
      </c>
      <c r="B34" s="38" t="s">
        <v>64</v>
      </c>
      <c r="C34" s="38">
        <v>2379</v>
      </c>
      <c r="D34" s="12"/>
      <c r="E34" s="2"/>
      <c r="F34" s="3"/>
      <c r="G34" s="39">
        <v>33.5</v>
      </c>
      <c r="H34" s="40">
        <v>27.3</v>
      </c>
      <c r="I34" s="40">
        <v>18.899999999999999</v>
      </c>
      <c r="K34" s="31"/>
      <c r="L34" s="5"/>
      <c r="M34" s="3"/>
      <c r="N34" s="32"/>
      <c r="O34" s="32"/>
      <c r="U34" s="14">
        <v>0</v>
      </c>
      <c r="V34" s="15">
        <v>7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e">
        <f t="shared" si="1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spans="1:64" ht="17.25" customHeight="1" x14ac:dyDescent="0.2">
      <c r="A35" s="38" t="s">
        <v>70</v>
      </c>
      <c r="B35" s="38" t="s">
        <v>58</v>
      </c>
      <c r="C35" s="38">
        <v>2380</v>
      </c>
      <c r="D35" s="12"/>
      <c r="E35" s="2"/>
      <c r="F35" s="3"/>
      <c r="G35" s="39">
        <v>65.400000000000006</v>
      </c>
      <c r="H35" s="40">
        <v>50</v>
      </c>
      <c r="I35" s="40">
        <v>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1"/>
        <v>1.8649999999999998</v>
      </c>
      <c r="AL35" s="11"/>
      <c r="AM35" s="9"/>
      <c r="AN35" s="9"/>
      <c r="AO35" s="14">
        <v>0.54900000000000004</v>
      </c>
      <c r="AP35" s="15">
        <v>0.54900000000000004</v>
      </c>
      <c r="AQ35" s="15">
        <v>0.49</v>
      </c>
      <c r="AR35" s="15">
        <v>1.0309999999999999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0.30649999999999999</v>
      </c>
      <c r="AZ35" s="15">
        <v>2.87</v>
      </c>
      <c r="BA35" s="15">
        <v>0.14130000000000001</v>
      </c>
      <c r="BB35" s="15">
        <v>3.1389999999999998</v>
      </c>
      <c r="BC35" s="15">
        <v>0.21160000000000001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spans="1:64" ht="17.25" customHeight="1" x14ac:dyDescent="0.2">
      <c r="A36" s="12" t="s">
        <v>74</v>
      </c>
      <c r="B36" s="12" t="s">
        <v>64</v>
      </c>
      <c r="C36" s="12">
        <v>2337</v>
      </c>
      <c r="D36" s="12" t="s">
        <v>62</v>
      </c>
      <c r="E36" s="2">
        <v>10</v>
      </c>
      <c r="F36" s="3">
        <f t="shared" ref="F36:F52" si="2">E36/3.281</f>
        <v>3.047851264858275</v>
      </c>
      <c r="G36" s="4">
        <v>26.3</v>
      </c>
      <c r="H36" s="31">
        <v>0</v>
      </c>
      <c r="I36" s="31">
        <v>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e">
        <f t="shared" si="1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ht="17.25" customHeight="1" x14ac:dyDescent="0.2">
      <c r="A37" s="12" t="s">
        <v>74</v>
      </c>
      <c r="B37" s="12" t="s">
        <v>64</v>
      </c>
      <c r="C37" s="12">
        <v>2338</v>
      </c>
      <c r="D37" s="12" t="s">
        <v>59</v>
      </c>
      <c r="E37" s="2">
        <v>11.3</v>
      </c>
      <c r="F37" s="3">
        <f t="shared" si="2"/>
        <v>3.4440719292898505</v>
      </c>
      <c r="G37" s="4">
        <v>34.6</v>
      </c>
      <c r="H37" s="31">
        <v>0</v>
      </c>
      <c r="I37" s="31">
        <v>0</v>
      </c>
      <c r="K37" s="31">
        <v>1352.65</v>
      </c>
      <c r="L37" s="5" t="s">
        <v>60</v>
      </c>
      <c r="M37" s="3">
        <v>12.904999999999999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e">
        <f t="shared" si="1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spans="1:64" ht="17.25" customHeight="1" x14ac:dyDescent="0.2">
      <c r="A38" s="12" t="s">
        <v>74</v>
      </c>
      <c r="B38" s="12" t="s">
        <v>64</v>
      </c>
      <c r="C38" s="12">
        <v>2339</v>
      </c>
      <c r="D38" s="12" t="s">
        <v>62</v>
      </c>
      <c r="E38" s="2">
        <v>15.5</v>
      </c>
      <c r="F38" s="3">
        <f t="shared" si="2"/>
        <v>4.7241694605303257</v>
      </c>
      <c r="G38" s="4">
        <v>24.7</v>
      </c>
      <c r="H38" s="31">
        <v>0</v>
      </c>
      <c r="I38" s="31">
        <v>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e">
        <f t="shared" si="1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ht="17.25" customHeight="1" x14ac:dyDescent="0.2">
      <c r="A39" s="12" t="s">
        <v>74</v>
      </c>
      <c r="B39" s="12" t="s">
        <v>64</v>
      </c>
      <c r="C39" s="12">
        <v>2340</v>
      </c>
      <c r="D39" s="12" t="s">
        <v>62</v>
      </c>
      <c r="E39" s="2">
        <v>18</v>
      </c>
      <c r="F39" s="3">
        <f t="shared" si="2"/>
        <v>5.486132276744895</v>
      </c>
      <c r="G39" s="4">
        <v>32.299999999999997</v>
      </c>
      <c r="H39" s="31">
        <v>0</v>
      </c>
      <c r="I39" s="31">
        <v>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e">
        <f t="shared" si="1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ht="17.25" customHeight="1" x14ac:dyDescent="0.2">
      <c r="A40" s="12" t="s">
        <v>74</v>
      </c>
      <c r="B40" s="12" t="s">
        <v>64</v>
      </c>
      <c r="C40" s="12">
        <v>2341</v>
      </c>
      <c r="D40" s="12" t="s">
        <v>59</v>
      </c>
      <c r="E40" s="2">
        <v>19</v>
      </c>
      <c r="F40" s="3">
        <f t="shared" si="2"/>
        <v>5.790917403230722</v>
      </c>
      <c r="G40" s="4">
        <v>41.8</v>
      </c>
      <c r="H40" s="31">
        <v>0</v>
      </c>
      <c r="I40" s="31">
        <v>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e">
        <f t="shared" si="1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ht="17.25" customHeight="1" x14ac:dyDescent="0.2">
      <c r="A41" s="12" t="s">
        <v>74</v>
      </c>
      <c r="B41" s="12" t="s">
        <v>64</v>
      </c>
      <c r="C41" s="12">
        <v>2342</v>
      </c>
      <c r="D41" s="12" t="s">
        <v>62</v>
      </c>
      <c r="E41" s="2">
        <v>24.5</v>
      </c>
      <c r="F41" s="3">
        <f t="shared" si="2"/>
        <v>7.4672355989027732</v>
      </c>
      <c r="G41" s="4">
        <v>22.9</v>
      </c>
      <c r="H41" s="31">
        <v>28.6</v>
      </c>
      <c r="I41" s="31">
        <v>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e">
        <f t="shared" si="1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spans="1:64" ht="17.25" customHeight="1" x14ac:dyDescent="0.2">
      <c r="A42" s="12" t="s">
        <v>74</v>
      </c>
      <c r="B42" s="12" t="s">
        <v>64</v>
      </c>
      <c r="C42" s="12">
        <v>2343</v>
      </c>
      <c r="D42" s="12" t="s">
        <v>59</v>
      </c>
      <c r="E42" s="2">
        <v>64</v>
      </c>
      <c r="F42" s="3">
        <f t="shared" si="2"/>
        <v>19.506248095092957</v>
      </c>
      <c r="G42" s="4">
        <v>65.7</v>
      </c>
      <c r="H42" s="31">
        <v>19</v>
      </c>
      <c r="I42" s="31">
        <v>0</v>
      </c>
      <c r="K42" s="31">
        <v>985.68</v>
      </c>
      <c r="L42" s="5">
        <v>39.799999999999997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</v>
      </c>
      <c r="V42" s="15">
        <v>2</v>
      </c>
      <c r="W42" s="15">
        <v>1.2</v>
      </c>
      <c r="X42" s="15">
        <v>1.1000000000000001</v>
      </c>
      <c r="Y42" s="15">
        <v>1.1000000000000001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e">
        <f t="shared" si="1"/>
        <v>#DIV/0!</v>
      </c>
      <c r="AL42" s="16" t="s">
        <v>77</v>
      </c>
      <c r="AM42" s="15"/>
      <c r="AN42" s="15"/>
      <c r="AO42" s="14">
        <v>1.1599999999999999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spans="1:64" ht="17.25" customHeight="1" x14ac:dyDescent="0.2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</v>
      </c>
      <c r="F43" s="43">
        <f t="shared" si="2"/>
        <v>19.811033221578786</v>
      </c>
      <c r="G43" s="44">
        <v>64.8</v>
      </c>
      <c r="H43" s="45">
        <v>0</v>
      </c>
      <c r="I43" s="45">
        <v>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e">
        <f t="shared" si="1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ht="17.25" customHeight="1" x14ac:dyDescent="0.2">
      <c r="A44" s="12" t="s">
        <v>74</v>
      </c>
      <c r="B44" s="12" t="s">
        <v>64</v>
      </c>
      <c r="C44" s="12">
        <v>2344</v>
      </c>
      <c r="D44" s="12" t="s">
        <v>59</v>
      </c>
      <c r="E44" s="2">
        <v>76</v>
      </c>
      <c r="F44" s="3">
        <f t="shared" si="2"/>
        <v>23.163669612922888</v>
      </c>
      <c r="G44" s="4">
        <v>52.5</v>
      </c>
      <c r="H44" s="31">
        <v>0</v>
      </c>
      <c r="I44" s="31">
        <v>0</v>
      </c>
      <c r="K44" s="31">
        <v>467.59</v>
      </c>
      <c r="L44" s="5">
        <v>27.5</v>
      </c>
      <c r="M44" s="3">
        <v>8.5399999999999991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1.1399999999999999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e">
        <f t="shared" si="1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ht="17.25" customHeight="1" x14ac:dyDescent="0.2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</v>
      </c>
      <c r="F45" s="43">
        <f t="shared" si="2"/>
        <v>23.773239865894542</v>
      </c>
      <c r="G45" s="44">
        <v>31.4</v>
      </c>
      <c r="H45" s="45">
        <v>0</v>
      </c>
      <c r="I45" s="45">
        <v>0</v>
      </c>
      <c r="K45" s="45">
        <v>2164.75</v>
      </c>
      <c r="L45" s="46">
        <v>55.6</v>
      </c>
      <c r="M45" s="43">
        <v>12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e">
        <f t="shared" si="1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spans="1:64" ht="17.25" customHeight="1" x14ac:dyDescent="0.2">
      <c r="A46" s="12" t="s">
        <v>74</v>
      </c>
      <c r="B46" s="12" t="s">
        <v>58</v>
      </c>
      <c r="C46" s="34">
        <v>2345</v>
      </c>
      <c r="D46" s="12" t="s">
        <v>62</v>
      </c>
      <c r="E46" s="2">
        <v>85</v>
      </c>
      <c r="F46" s="3">
        <f t="shared" si="2"/>
        <v>25.906735751295336</v>
      </c>
      <c r="G46" s="4">
        <v>57.6</v>
      </c>
      <c r="H46" s="31">
        <v>58</v>
      </c>
      <c r="I46" s="31">
        <v>0</v>
      </c>
      <c r="K46" s="31">
        <v>3390.16</v>
      </c>
      <c r="L46" s="5">
        <v>70.7</v>
      </c>
      <c r="M46" s="3">
        <v>18.239999999999998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0.56399999999999995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1"/>
        <v>1.63</v>
      </c>
      <c r="AL46" s="11"/>
      <c r="AM46" s="9"/>
      <c r="AN46" s="9"/>
      <c r="AO46" s="14">
        <v>0.255</v>
      </c>
      <c r="AP46" s="15">
        <v>0.40699999999999997</v>
      </c>
      <c r="AQ46" s="15">
        <v>0.24299999999999999</v>
      </c>
      <c r="AR46" s="9"/>
      <c r="AS46" s="9"/>
      <c r="AT46" s="9"/>
      <c r="AU46" s="9"/>
      <c r="AV46" s="15">
        <v>1.0529999999999999</v>
      </c>
      <c r="AW46" s="15">
        <v>0.27493000000000001</v>
      </c>
      <c r="AX46" s="15">
        <v>1.6180000000000001</v>
      </c>
      <c r="AY46" s="15">
        <v>0.28510000000000002</v>
      </c>
      <c r="AZ46" s="15">
        <v>1.4</v>
      </c>
      <c r="BA46" s="15">
        <v>0.3105</v>
      </c>
      <c r="BB46" s="15">
        <v>1.02</v>
      </c>
      <c r="BC46" s="15">
        <v>0.23380000000000001</v>
      </c>
      <c r="BD46" s="15">
        <v>1.4930000000000001</v>
      </c>
      <c r="BE46" s="15">
        <v>0.19839999999999999</v>
      </c>
      <c r="BF46" s="15">
        <v>1.53</v>
      </c>
      <c r="BG46" s="15">
        <v>0.18060000000000001</v>
      </c>
      <c r="BH46" s="9"/>
      <c r="BI46" s="9"/>
      <c r="BJ46" s="9"/>
      <c r="BK46" s="9"/>
      <c r="BL46" s="9"/>
    </row>
    <row r="47" spans="1:64" ht="17.25" customHeight="1" x14ac:dyDescent="0.2">
      <c r="A47" s="12" t="s">
        <v>74</v>
      </c>
      <c r="B47" s="12" t="s">
        <v>64</v>
      </c>
      <c r="C47" s="12">
        <v>2346</v>
      </c>
      <c r="D47" s="12" t="s">
        <v>59</v>
      </c>
      <c r="E47" s="2">
        <v>115</v>
      </c>
      <c r="F47" s="3">
        <f t="shared" si="2"/>
        <v>35.050289545870157</v>
      </c>
      <c r="G47" s="4">
        <v>24.4</v>
      </c>
      <c r="H47" s="31">
        <v>0</v>
      </c>
      <c r="I47" s="31">
        <v>0</v>
      </c>
      <c r="K47" s="31">
        <v>1372.28</v>
      </c>
      <c r="L47" s="5">
        <v>45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</v>
      </c>
      <c r="V47" s="15">
        <v>0</v>
      </c>
      <c r="W47" s="9">
        <f>AVERAGE(0.96,1.3)</f>
        <v>1.1299999999999999</v>
      </c>
      <c r="X47" s="9">
        <f>AVERAGE(0.78,1.09)</f>
        <v>0.93500000000000005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e">
        <f t="shared" si="1"/>
        <v>#DIV/0!</v>
      </c>
      <c r="AL47" s="16" t="s">
        <v>82</v>
      </c>
      <c r="AM47" s="15"/>
      <c r="AN47" s="15"/>
      <c r="AO47" s="14">
        <v>1.1599999999999999</v>
      </c>
      <c r="AP47" s="15">
        <v>1.3320000000000001</v>
      </c>
      <c r="AQ47" s="15">
        <v>1.18</v>
      </c>
      <c r="AR47" s="15"/>
      <c r="AS47" s="15"/>
      <c r="AT47" s="15"/>
      <c r="AU47" s="15"/>
      <c r="AV47" s="15">
        <v>2.23</v>
      </c>
      <c r="AW47" s="15">
        <v>7.2900000000000006E-2</v>
      </c>
      <c r="AX47" s="15">
        <v>2.2599999999999998</v>
      </c>
      <c r="AY47" s="15">
        <v>0.14380000000000001</v>
      </c>
      <c r="AZ47" s="15">
        <v>2.4089999999999998</v>
      </c>
      <c r="BA47" s="15">
        <v>7.8100000000000003E-2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0.72440000000000004</v>
      </c>
      <c r="BL47" s="15"/>
    </row>
    <row r="48" spans="1:64" ht="17.25" customHeight="1" x14ac:dyDescent="0.2">
      <c r="A48" s="12" t="s">
        <v>74</v>
      </c>
      <c r="B48" s="12" t="s">
        <v>64</v>
      </c>
      <c r="C48" s="12">
        <v>2347</v>
      </c>
      <c r="D48" s="12" t="s">
        <v>62</v>
      </c>
      <c r="E48" s="2">
        <v>126</v>
      </c>
      <c r="F48" s="3">
        <f t="shared" si="2"/>
        <v>38.402925937214263</v>
      </c>
      <c r="G48" s="4">
        <v>33.4</v>
      </c>
      <c r="H48" s="31">
        <v>0</v>
      </c>
      <c r="I48" s="31">
        <v>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</v>
      </c>
      <c r="V48" s="15">
        <v>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1.4649999999999999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e">
        <f t="shared" si="1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0.26929999999999998</v>
      </c>
      <c r="AX48" s="15">
        <v>1.984</v>
      </c>
      <c r="AY48" s="15">
        <v>0.23499999999999999</v>
      </c>
      <c r="AZ48" s="15">
        <v>1.9410000000000001</v>
      </c>
      <c r="BA48" s="15">
        <v>0.183</v>
      </c>
      <c r="BB48" s="15">
        <v>1.9219999999999999</v>
      </c>
      <c r="BC48" s="15">
        <v>0.19120000000000001</v>
      </c>
      <c r="BD48" s="15"/>
      <c r="BE48" s="15"/>
      <c r="BF48" s="15"/>
      <c r="BG48" s="15"/>
      <c r="BH48" s="15"/>
      <c r="BI48" s="15"/>
      <c r="BJ48" s="15"/>
      <c r="BK48" s="15">
        <v>0.57189999999999996</v>
      </c>
      <c r="BL48" s="15"/>
    </row>
    <row r="49" spans="1:64" ht="17.25" customHeight="1" x14ac:dyDescent="0.2">
      <c r="A49" s="12" t="s">
        <v>74</v>
      </c>
      <c r="B49" s="12" t="s">
        <v>64</v>
      </c>
      <c r="C49" s="12">
        <v>2348</v>
      </c>
      <c r="D49" s="12" t="s">
        <v>62</v>
      </c>
      <c r="E49" s="2">
        <v>130.30000000000001</v>
      </c>
      <c r="F49" s="3">
        <f t="shared" si="2"/>
        <v>39.713501981103327</v>
      </c>
      <c r="G49" s="4">
        <v>41.5</v>
      </c>
      <c r="H49" s="31">
        <v>0</v>
      </c>
      <c r="I49" s="31">
        <v>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</v>
      </c>
      <c r="V49" s="15">
        <v>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e">
        <f t="shared" si="1"/>
        <v>#DIV/0!</v>
      </c>
      <c r="AL49" s="11"/>
      <c r="AM49" s="9"/>
      <c r="AN49" s="9"/>
      <c r="AO49" s="14">
        <v>1.97</v>
      </c>
      <c r="AP49" s="15">
        <v>2.36</v>
      </c>
      <c r="AQ49" s="15">
        <v>2.1800000000000002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spans="1:64" ht="17.25" customHeight="1" x14ac:dyDescent="0.2">
      <c r="A50" s="12" t="s">
        <v>74</v>
      </c>
      <c r="B50" s="12" t="s">
        <v>64</v>
      </c>
      <c r="C50" s="12">
        <v>2349</v>
      </c>
      <c r="D50" s="12" t="s">
        <v>59</v>
      </c>
      <c r="E50" s="2">
        <v>142</v>
      </c>
      <c r="F50" s="3">
        <f t="shared" si="2"/>
        <v>43.279487960987503</v>
      </c>
      <c r="G50" s="4">
        <v>29.9</v>
      </c>
      <c r="H50" s="31">
        <v>16.600000000000001</v>
      </c>
      <c r="I50" s="31">
        <v>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</v>
      </c>
      <c r="V50" s="15">
        <v>0</v>
      </c>
      <c r="W50" s="15">
        <v>1.64</v>
      </c>
      <c r="X50" s="15">
        <v>1.6</v>
      </c>
      <c r="Y50" s="15">
        <v>2.2000000000000002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e">
        <f t="shared" si="1"/>
        <v>#DIV/0!</v>
      </c>
      <c r="AL50" s="16" t="s">
        <v>85</v>
      </c>
      <c r="AM50" s="15"/>
      <c r="AN50" s="15"/>
      <c r="AO50" s="14">
        <v>2.57</v>
      </c>
      <c r="AP50" s="15">
        <v>2.2170000000000001</v>
      </c>
      <c r="AQ50" s="15">
        <v>2.5129999999999999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spans="1:64" ht="17.25" customHeight="1" x14ac:dyDescent="0.2">
      <c r="A51" s="12" t="s">
        <v>74</v>
      </c>
      <c r="B51" s="12" t="s">
        <v>64</v>
      </c>
      <c r="C51" s="12">
        <v>2350</v>
      </c>
      <c r="D51" s="12" t="s">
        <v>59</v>
      </c>
      <c r="E51" s="2">
        <v>154.1</v>
      </c>
      <c r="F51" s="3">
        <f t="shared" si="2"/>
        <v>46.967387991466012</v>
      </c>
      <c r="G51" s="4">
        <v>42.5</v>
      </c>
      <c r="H51" s="31">
        <v>0</v>
      </c>
      <c r="I51" s="31">
        <v>0</v>
      </c>
      <c r="K51" s="31">
        <f>((G51/2)^2)*PI()</f>
        <v>1418.6254326366409</v>
      </c>
      <c r="L51" s="5" t="s">
        <v>60</v>
      </c>
      <c r="M51" s="49">
        <v>8.7200000000000006</v>
      </c>
      <c r="N51" s="32">
        <v>0.2</v>
      </c>
      <c r="O51" s="12" t="s">
        <v>87</v>
      </c>
      <c r="P51" s="12"/>
      <c r="T51" s="33" t="s">
        <v>75</v>
      </c>
      <c r="U51" s="14">
        <v>1</v>
      </c>
      <c r="V51" s="15">
        <v>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e">
        <f t="shared" si="1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ht="17.25" customHeight="1" x14ac:dyDescent="0.2">
      <c r="A52" s="12" t="s">
        <v>74</v>
      </c>
      <c r="B52" s="12" t="s">
        <v>64</v>
      </c>
      <c r="C52" s="12">
        <v>2351</v>
      </c>
      <c r="D52" s="12" t="s">
        <v>62</v>
      </c>
      <c r="E52" s="2">
        <v>163</v>
      </c>
      <c r="F52" s="3">
        <f t="shared" si="2"/>
        <v>49.679975617189882</v>
      </c>
      <c r="G52" s="4">
        <v>26.4</v>
      </c>
      <c r="H52" s="31">
        <v>25.5</v>
      </c>
      <c r="I52" s="31">
        <v>0</v>
      </c>
      <c r="K52" s="31">
        <f>(((H52/2)^2)*PI())+(((G52/2)^2)*PI())</f>
        <v>1058.0962597106761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</v>
      </c>
      <c r="V52" s="15">
        <v>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e">
        <f t="shared" si="1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spans="1:64" ht="15.75" customHeight="1" x14ac:dyDescent="0.2">
      <c r="A53" s="38" t="s">
        <v>88</v>
      </c>
      <c r="B53" s="38" t="s">
        <v>64</v>
      </c>
      <c r="C53" s="38">
        <v>2375</v>
      </c>
      <c r="D53" s="12"/>
      <c r="E53" s="2"/>
      <c r="F53" s="3"/>
      <c r="G53" s="39">
        <v>45.8</v>
      </c>
      <c r="H53" s="40">
        <v>0</v>
      </c>
      <c r="I53" s="40">
        <v>0</v>
      </c>
      <c r="K53" s="31"/>
      <c r="L53" s="5"/>
      <c r="M53" s="3"/>
      <c r="N53" s="32"/>
      <c r="O53" s="32"/>
      <c r="U53" s="14">
        <v>1</v>
      </c>
      <c r="V53" s="15">
        <v>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spans="1:64" ht="15.75" customHeight="1" x14ac:dyDescent="0.2">
      <c r="A54" s="12" t="s">
        <v>90</v>
      </c>
      <c r="B54" s="12" t="s">
        <v>64</v>
      </c>
      <c r="C54" s="12">
        <v>2310</v>
      </c>
      <c r="D54" s="12" t="s">
        <v>62</v>
      </c>
      <c r="E54" s="2">
        <f>F54*3.281</f>
        <v>7.4</v>
      </c>
      <c r="F54" s="3">
        <v>2.2554099359951234</v>
      </c>
      <c r="G54" s="4">
        <v>35.700000000000003</v>
      </c>
      <c r="H54" s="31">
        <v>0</v>
      </c>
      <c r="I54" s="31">
        <v>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e">
        <f t="shared" ref="AK54:AK90" si="3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ht="17.25" customHeight="1" x14ac:dyDescent="0.2">
      <c r="A55" s="12" t="s">
        <v>90</v>
      </c>
      <c r="B55" s="12" t="s">
        <v>64</v>
      </c>
      <c r="C55" s="12">
        <v>2311</v>
      </c>
      <c r="D55" s="12" t="s">
        <v>59</v>
      </c>
      <c r="E55" s="2">
        <v>8.3000000000000007</v>
      </c>
      <c r="F55" s="3">
        <f t="shared" ref="F55:F59" si="4">E55/3.281</f>
        <v>2.5297165498323682</v>
      </c>
      <c r="G55" s="4">
        <v>17.8</v>
      </c>
      <c r="H55" s="31">
        <v>0</v>
      </c>
      <c r="I55" s="31">
        <v>0</v>
      </c>
      <c r="K55" s="31">
        <v>248.85</v>
      </c>
      <c r="L55" s="5" t="s">
        <v>60</v>
      </c>
      <c r="M55" s="3">
        <v>3.5680000000000001</v>
      </c>
      <c r="N55" s="32">
        <v>0.7</v>
      </c>
      <c r="O55" s="32">
        <v>0.5</v>
      </c>
      <c r="Q55" s="33">
        <v>4.3</v>
      </c>
      <c r="R55" s="33">
        <v>3.8</v>
      </c>
      <c r="S55" s="33">
        <v>4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e">
        <f t="shared" si="3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ht="17.25" customHeight="1" x14ac:dyDescent="0.2">
      <c r="A56" s="12" t="s">
        <v>90</v>
      </c>
      <c r="B56" s="12" t="s">
        <v>64</v>
      </c>
      <c r="C56" s="12">
        <v>2312</v>
      </c>
      <c r="D56" s="12" t="s">
        <v>59</v>
      </c>
      <c r="E56" s="2">
        <v>8.5</v>
      </c>
      <c r="F56" s="3">
        <f t="shared" si="4"/>
        <v>2.5906735751295336</v>
      </c>
      <c r="G56" s="4">
        <v>16.5</v>
      </c>
      <c r="H56" s="31">
        <v>0</v>
      </c>
      <c r="I56" s="31">
        <v>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e">
        <f t="shared" si="3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spans="1:64" ht="17.25" customHeight="1" x14ac:dyDescent="0.2">
      <c r="A57" s="12" t="s">
        <v>90</v>
      </c>
      <c r="B57" s="12" t="s">
        <v>64</v>
      </c>
      <c r="C57" s="12">
        <v>2313</v>
      </c>
      <c r="D57" s="12" t="s">
        <v>62</v>
      </c>
      <c r="E57" s="2">
        <v>10.9</v>
      </c>
      <c r="F57" s="3">
        <f t="shared" si="4"/>
        <v>3.3221578786955197</v>
      </c>
      <c r="G57" s="4">
        <v>31.5</v>
      </c>
      <c r="H57" s="31">
        <v>0</v>
      </c>
      <c r="I57" s="31">
        <v>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1.1399999999999999</v>
      </c>
      <c r="X57" s="9">
        <f>AVERAGE(1.02,1.55)</f>
        <v>1.2850000000000001</v>
      </c>
      <c r="Y57" s="9">
        <f>AVERAGE(1.57,1.44)</f>
        <v>1.5049999999999999</v>
      </c>
      <c r="Z57" s="15">
        <v>1.1200000000000001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e">
        <f t="shared" si="3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ht="17.25" customHeight="1" x14ac:dyDescent="0.2">
      <c r="A58" s="12" t="s">
        <v>90</v>
      </c>
      <c r="B58" s="12" t="s">
        <v>64</v>
      </c>
      <c r="C58" s="12">
        <v>2314</v>
      </c>
      <c r="D58" s="12" t="s">
        <v>59</v>
      </c>
      <c r="E58" s="2">
        <v>11.3</v>
      </c>
      <c r="F58" s="3">
        <f t="shared" si="4"/>
        <v>3.4440719292898505</v>
      </c>
      <c r="G58" s="4">
        <v>22.5</v>
      </c>
      <c r="H58" s="31">
        <v>0</v>
      </c>
      <c r="I58" s="31">
        <v>0</v>
      </c>
      <c r="K58" s="31">
        <v>397.61</v>
      </c>
      <c r="L58" s="5" t="s">
        <v>60</v>
      </c>
      <c r="M58" s="3">
        <v>7.6379999999999999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e">
        <f t="shared" si="3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spans="1:64" ht="17.25" customHeight="1" x14ac:dyDescent="0.2">
      <c r="A59" s="12" t="s">
        <v>90</v>
      </c>
      <c r="B59" s="12" t="s">
        <v>58</v>
      </c>
      <c r="C59" s="12">
        <v>2315</v>
      </c>
      <c r="D59" s="12" t="s">
        <v>59</v>
      </c>
      <c r="E59" s="2">
        <v>15</v>
      </c>
      <c r="F59" s="3">
        <f t="shared" si="4"/>
        <v>4.5717768972874122</v>
      </c>
      <c r="G59" s="4">
        <v>17.5</v>
      </c>
      <c r="H59" s="31">
        <v>8</v>
      </c>
      <c r="I59" s="31">
        <v>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e">
        <f t="shared" si="3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ht="17.25" customHeight="1" x14ac:dyDescent="0.2">
      <c r="A60" s="12" t="s">
        <v>90</v>
      </c>
      <c r="B60" s="12" t="s">
        <v>64</v>
      </c>
      <c r="C60" s="12">
        <v>2316</v>
      </c>
      <c r="D60" s="12" t="s">
        <v>59</v>
      </c>
      <c r="E60" s="2">
        <f>F60*3.281</f>
        <v>24.3</v>
      </c>
      <c r="F60" s="3">
        <v>7.4062785736056078</v>
      </c>
      <c r="G60" s="4">
        <v>20.3</v>
      </c>
      <c r="H60" s="31">
        <v>0</v>
      </c>
      <c r="I60" s="31">
        <v>0</v>
      </c>
      <c r="K60" s="31">
        <v>323.64999999999998</v>
      </c>
      <c r="L60" s="5" t="s">
        <v>60</v>
      </c>
      <c r="M60" s="3">
        <v>4.2309999999999999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e">
        <f t="shared" si="3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spans="1:64" ht="17.25" customHeight="1" x14ac:dyDescent="0.2">
      <c r="A61" s="12" t="s">
        <v>90</v>
      </c>
      <c r="B61" s="12" t="s">
        <v>64</v>
      </c>
      <c r="C61" s="12">
        <v>2317</v>
      </c>
      <c r="D61" s="12" t="s">
        <v>62</v>
      </c>
      <c r="E61" s="2">
        <v>28</v>
      </c>
      <c r="F61" s="3">
        <f t="shared" ref="F61:F64" si="5">E61/3.281</f>
        <v>8.5339835416031686</v>
      </c>
      <c r="G61" s="4">
        <v>28.5</v>
      </c>
      <c r="H61" s="31">
        <v>0</v>
      </c>
      <c r="I61" s="31">
        <v>0</v>
      </c>
      <c r="K61" s="31">
        <v>637.94000000000005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e">
        <f t="shared" si="3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ht="17.25" customHeight="1" x14ac:dyDescent="0.2">
      <c r="A62" s="12" t="s">
        <v>90</v>
      </c>
      <c r="B62" s="12" t="s">
        <v>64</v>
      </c>
      <c r="C62" s="12">
        <v>2318</v>
      </c>
      <c r="D62" s="12" t="s">
        <v>59</v>
      </c>
      <c r="E62" s="2">
        <v>28.9</v>
      </c>
      <c r="F62" s="3">
        <f t="shared" si="5"/>
        <v>8.8082901554404138</v>
      </c>
      <c r="G62" s="4">
        <v>28.8</v>
      </c>
      <c r="H62" s="31">
        <v>0</v>
      </c>
      <c r="I62" s="31">
        <v>0</v>
      </c>
      <c r="K62" s="31">
        <v>651.44000000000005</v>
      </c>
      <c r="L62" s="5" t="s">
        <v>60</v>
      </c>
      <c r="M62" s="3">
        <v>11.231999999999999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e">
        <f t="shared" si="3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ht="17.25" customHeight="1" x14ac:dyDescent="0.2">
      <c r="A63" s="12" t="s">
        <v>90</v>
      </c>
      <c r="B63" s="12" t="s">
        <v>64</v>
      </c>
      <c r="C63" s="12">
        <v>2319</v>
      </c>
      <c r="D63" s="12" t="s">
        <v>59</v>
      </c>
      <c r="E63" s="2">
        <v>30.6</v>
      </c>
      <c r="F63" s="3">
        <f t="shared" si="5"/>
        <v>9.3264248704663206</v>
      </c>
      <c r="G63" s="4">
        <v>14.1</v>
      </c>
      <c r="H63" s="31">
        <v>0</v>
      </c>
      <c r="I63" s="31">
        <v>0</v>
      </c>
      <c r="K63" s="31">
        <v>156.15</v>
      </c>
      <c r="L63" s="5" t="s">
        <v>60</v>
      </c>
      <c r="M63" s="3">
        <v>7.9859999999999998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e">
        <f t="shared" si="3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spans="1:64" ht="17.25" customHeight="1" x14ac:dyDescent="0.2">
      <c r="A64" s="12" t="s">
        <v>90</v>
      </c>
      <c r="B64" s="12" t="s">
        <v>58</v>
      </c>
      <c r="C64" s="12">
        <v>2320</v>
      </c>
      <c r="D64" s="12" t="s">
        <v>59</v>
      </c>
      <c r="E64" s="2">
        <v>37.200000000000003</v>
      </c>
      <c r="F64" s="3">
        <f t="shared" si="5"/>
        <v>11.338006705272782</v>
      </c>
      <c r="G64" s="4">
        <v>28</v>
      </c>
      <c r="H64" s="31">
        <v>0</v>
      </c>
      <c r="I64" s="31">
        <v>0</v>
      </c>
      <c r="K64" s="31">
        <v>615.75</v>
      </c>
      <c r="L64" s="5" t="s">
        <v>60</v>
      </c>
      <c r="M64" s="3">
        <v>10.826000000000001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e">
        <f t="shared" si="3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ht="17.25" customHeight="1" x14ac:dyDescent="0.2">
      <c r="A65" s="12" t="s">
        <v>90</v>
      </c>
      <c r="B65" s="12" t="s">
        <v>64</v>
      </c>
      <c r="C65" s="12">
        <v>2321</v>
      </c>
      <c r="D65" s="12" t="s">
        <v>62</v>
      </c>
      <c r="E65" s="2">
        <f>F65*3.281</f>
        <v>45.1</v>
      </c>
      <c r="F65" s="3">
        <v>13.74580920451082</v>
      </c>
      <c r="G65" s="4">
        <v>19.649999999999999</v>
      </c>
      <c r="H65" s="31">
        <v>0</v>
      </c>
      <c r="I65" s="31">
        <v>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e">
        <f t="shared" si="3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ht="17.25" customHeight="1" x14ac:dyDescent="0.2">
      <c r="A66" s="12" t="s">
        <v>90</v>
      </c>
      <c r="B66" s="12" t="s">
        <v>58</v>
      </c>
      <c r="C66" s="12">
        <v>2322</v>
      </c>
      <c r="D66" s="12" t="s">
        <v>59</v>
      </c>
      <c r="E66" s="2">
        <v>48.8</v>
      </c>
      <c r="F66" s="3">
        <f t="shared" ref="F66:F71" si="6">E66/3.281</f>
        <v>14.873514172508379</v>
      </c>
      <c r="G66" s="4">
        <v>25.5</v>
      </c>
      <c r="H66" s="31">
        <v>30.3</v>
      </c>
      <c r="I66" s="31">
        <v>0</v>
      </c>
      <c r="K66" s="31">
        <v>1231.77</v>
      </c>
      <c r="L66" s="5" t="s">
        <v>60</v>
      </c>
      <c r="M66" s="3">
        <v>8.6140000000000008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e">
        <f t="shared" si="3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spans="1:64" ht="17.25" customHeight="1" x14ac:dyDescent="0.2">
      <c r="A67" s="12" t="s">
        <v>90</v>
      </c>
      <c r="B67" s="12" t="s">
        <v>58</v>
      </c>
      <c r="C67" s="12">
        <v>2323</v>
      </c>
      <c r="D67" s="12" t="s">
        <v>62</v>
      </c>
      <c r="E67" s="2">
        <v>51.6</v>
      </c>
      <c r="F67" s="3">
        <f t="shared" si="6"/>
        <v>15.726912526668698</v>
      </c>
      <c r="G67" s="4">
        <v>25.5</v>
      </c>
      <c r="H67" s="31">
        <v>0</v>
      </c>
      <c r="I67" s="31">
        <v>0</v>
      </c>
      <c r="K67" s="31">
        <v>510.71</v>
      </c>
      <c r="L67" s="5" t="s">
        <v>60</v>
      </c>
      <c r="M67" s="3">
        <v>8.0399999999999991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e">
        <f t="shared" si="3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spans="1:64" ht="17.25" customHeight="1" x14ac:dyDescent="0.2">
      <c r="A68" s="12" t="s">
        <v>90</v>
      </c>
      <c r="B68" s="12" t="s">
        <v>64</v>
      </c>
      <c r="C68" s="12">
        <v>2324</v>
      </c>
      <c r="D68" s="12" t="s">
        <v>59</v>
      </c>
      <c r="E68" s="2">
        <v>60</v>
      </c>
      <c r="F68" s="3">
        <f t="shared" si="6"/>
        <v>18.287107589149649</v>
      </c>
      <c r="G68" s="4">
        <v>14.7</v>
      </c>
      <c r="H68" s="31">
        <v>0</v>
      </c>
      <c r="I68" s="31">
        <v>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e">
        <f t="shared" si="3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spans="1:64" ht="17.25" customHeight="1" x14ac:dyDescent="0.2">
      <c r="A69" s="12" t="s">
        <v>90</v>
      </c>
      <c r="B69" s="12" t="s">
        <v>64</v>
      </c>
      <c r="C69" s="12">
        <v>2325</v>
      </c>
      <c r="D69" s="12" t="s">
        <v>62</v>
      </c>
      <c r="E69" s="2">
        <v>60.9</v>
      </c>
      <c r="F69" s="3">
        <f t="shared" si="6"/>
        <v>18.561414202986892</v>
      </c>
      <c r="G69" s="4">
        <v>21.3</v>
      </c>
      <c r="H69" s="31">
        <v>25.7</v>
      </c>
      <c r="I69" s="31">
        <v>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e">
        <f t="shared" si="3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spans="1:64" ht="17.25" customHeight="1" x14ac:dyDescent="0.2">
      <c r="A70" s="12" t="s">
        <v>90</v>
      </c>
      <c r="B70" s="12" t="s">
        <v>64</v>
      </c>
      <c r="C70" s="12">
        <v>2327</v>
      </c>
      <c r="D70" s="12" t="s">
        <v>62</v>
      </c>
      <c r="E70" s="2">
        <v>77</v>
      </c>
      <c r="F70" s="3">
        <f t="shared" si="6"/>
        <v>23.468454739408717</v>
      </c>
      <c r="G70" s="4">
        <v>19.399999999999999</v>
      </c>
      <c r="H70" s="50"/>
      <c r="I70" s="31">
        <v>0</v>
      </c>
      <c r="K70" s="31">
        <v>295.58999999999997</v>
      </c>
      <c r="L70" s="5" t="s">
        <v>60</v>
      </c>
      <c r="M70" s="3">
        <v>5.8609999999999998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e">
        <f t="shared" si="3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spans="1:64" ht="17.25" customHeight="1" x14ac:dyDescent="0.2">
      <c r="A71" s="12" t="s">
        <v>90</v>
      </c>
      <c r="B71" s="12" t="s">
        <v>64</v>
      </c>
      <c r="C71" s="12">
        <v>2326</v>
      </c>
      <c r="D71" s="12" t="s">
        <v>62</v>
      </c>
      <c r="E71" s="2">
        <v>78.099999999999994</v>
      </c>
      <c r="F71" s="3">
        <f t="shared" si="6"/>
        <v>23.803718378543124</v>
      </c>
      <c r="G71" s="4">
        <v>12.1</v>
      </c>
      <c r="H71" s="31">
        <v>0</v>
      </c>
      <c r="I71" s="31">
        <v>0</v>
      </c>
      <c r="K71" s="31">
        <v>114.99</v>
      </c>
      <c r="L71" s="5" t="s">
        <v>60</v>
      </c>
      <c r="M71" s="3">
        <v>9.8940000000000001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e">
        <f t="shared" si="3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ht="17.25" customHeight="1" x14ac:dyDescent="0.2">
      <c r="A72" s="12" t="s">
        <v>90</v>
      </c>
      <c r="B72" s="12" t="s">
        <v>58</v>
      </c>
      <c r="C72" s="12">
        <v>2328</v>
      </c>
      <c r="D72" s="12" t="s">
        <v>62</v>
      </c>
      <c r="E72" s="2">
        <v>78.7</v>
      </c>
      <c r="F72" s="3"/>
      <c r="G72" s="4">
        <v>9.1</v>
      </c>
      <c r="H72" s="31">
        <v>13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e">
        <f t="shared" si="3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ht="17.25" customHeight="1" x14ac:dyDescent="0.2">
      <c r="A73" s="12" t="s">
        <v>90</v>
      </c>
      <c r="B73" s="12" t="s">
        <v>64</v>
      </c>
      <c r="C73" s="12">
        <v>2329</v>
      </c>
      <c r="D73" s="12" t="s">
        <v>62</v>
      </c>
      <c r="E73" s="2">
        <v>82.1</v>
      </c>
      <c r="F73" s="3">
        <v>25.967692776592504</v>
      </c>
      <c r="G73" s="4">
        <v>12</v>
      </c>
      <c r="H73" s="31">
        <v>0</v>
      </c>
      <c r="I73" s="31">
        <v>0</v>
      </c>
      <c r="K73" s="31">
        <v>113.1</v>
      </c>
      <c r="L73" s="5" t="s">
        <v>60</v>
      </c>
      <c r="M73" s="3">
        <v>7.3360000000000003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e">
        <f t="shared" si="3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spans="1:64" ht="17.25" customHeight="1" x14ac:dyDescent="0.2">
      <c r="A74" s="12" t="s">
        <v>90</v>
      </c>
      <c r="B74" s="12" t="s">
        <v>64</v>
      </c>
      <c r="C74" s="12">
        <v>2330</v>
      </c>
      <c r="D74" s="12" t="s">
        <v>62</v>
      </c>
      <c r="E74" s="2">
        <v>86.5</v>
      </c>
      <c r="F74" s="3"/>
      <c r="G74" s="4">
        <v>12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e">
        <f t="shared" si="3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spans="1:64" ht="15.75" customHeight="1" x14ac:dyDescent="0.2">
      <c r="A75" s="12" t="s">
        <v>90</v>
      </c>
      <c r="B75" s="12" t="s">
        <v>58</v>
      </c>
      <c r="C75" s="12">
        <v>2331</v>
      </c>
      <c r="D75" s="12" t="s">
        <v>59</v>
      </c>
      <c r="E75" s="2">
        <v>103.2</v>
      </c>
      <c r="F75" s="3">
        <f t="shared" ref="F75:F77" si="7">E75/3.281</f>
        <v>31.453825053337397</v>
      </c>
      <c r="G75" s="4">
        <v>36.200000000000003</v>
      </c>
      <c r="H75" s="31">
        <v>0</v>
      </c>
      <c r="I75" s="31">
        <v>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0.56000000000000005</v>
      </c>
      <c r="Z75" s="9"/>
      <c r="AA75" s="9"/>
      <c r="AB75" s="9"/>
      <c r="AC75" s="9"/>
      <c r="AD75" s="15">
        <v>2.5099999999999998</v>
      </c>
      <c r="AE75" s="15">
        <v>2.2999999999999998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3"/>
        <v>2.6120000000000001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0.30220000000000002</v>
      </c>
      <c r="AX75" s="15">
        <v>2.3420000000000001</v>
      </c>
      <c r="AY75" s="15">
        <v>0.25090000000000001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1.1843999999999999</v>
      </c>
      <c r="BL75" s="9"/>
    </row>
    <row r="76" spans="1:64" ht="15.75" customHeight="1" x14ac:dyDescent="0.2">
      <c r="A76" s="12" t="s">
        <v>90</v>
      </c>
      <c r="B76" s="12" t="s">
        <v>64</v>
      </c>
      <c r="C76" s="12">
        <v>2332</v>
      </c>
      <c r="D76" s="12" t="s">
        <v>62</v>
      </c>
      <c r="E76" s="2">
        <v>123</v>
      </c>
      <c r="F76" s="3">
        <f t="shared" si="7"/>
        <v>37.48857055775678</v>
      </c>
      <c r="G76" s="4">
        <v>85.5</v>
      </c>
      <c r="H76" s="31">
        <v>0</v>
      </c>
      <c r="I76" s="31">
        <v>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</v>
      </c>
      <c r="V76" s="15">
        <v>1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e">
        <f t="shared" si="3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ht="15.75" customHeight="1" x14ac:dyDescent="0.2">
      <c r="A77" s="12" t="s">
        <v>90</v>
      </c>
      <c r="B77" s="12" t="s">
        <v>64</v>
      </c>
      <c r="C77" s="12">
        <v>2333</v>
      </c>
      <c r="D77" s="12" t="s">
        <v>59</v>
      </c>
      <c r="E77" s="2">
        <v>125.6</v>
      </c>
      <c r="F77" s="3">
        <f t="shared" si="7"/>
        <v>38.281011886619929</v>
      </c>
      <c r="G77" s="4">
        <v>14.4</v>
      </c>
      <c r="H77" s="31">
        <v>0</v>
      </c>
      <c r="I77" s="31">
        <v>0</v>
      </c>
      <c r="K77" s="31">
        <v>162.86000000000001</v>
      </c>
      <c r="L77" s="5" t="s">
        <v>60</v>
      </c>
      <c r="M77" s="3">
        <v>5.6879999999999997</v>
      </c>
      <c r="N77" s="32">
        <v>0.7</v>
      </c>
      <c r="O77" s="32">
        <v>0.6</v>
      </c>
      <c r="T77" s="33" t="s">
        <v>75</v>
      </c>
      <c r="U77" s="14">
        <v>1</v>
      </c>
      <c r="V77" s="15">
        <v>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e">
        <f t="shared" si="3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spans="1:64" ht="15.75" customHeight="1" x14ac:dyDescent="0.2">
      <c r="A78" s="2" t="s">
        <v>90</v>
      </c>
      <c r="B78" s="3" t="s">
        <v>64</v>
      </c>
      <c r="C78" s="12">
        <v>2334</v>
      </c>
      <c r="D78" s="3" t="s">
        <v>62</v>
      </c>
      <c r="E78" s="12">
        <v>159</v>
      </c>
      <c r="F78" s="4">
        <v>48.460835111246567</v>
      </c>
      <c r="G78" s="12">
        <v>11.8</v>
      </c>
      <c r="H78" s="51">
        <v>0</v>
      </c>
      <c r="I78" s="51">
        <v>0</v>
      </c>
      <c r="K78" s="51">
        <v>109.36</v>
      </c>
      <c r="L78" s="5" t="s">
        <v>60</v>
      </c>
      <c r="M78" s="3">
        <v>7.3310000000000004</v>
      </c>
      <c r="N78" s="32">
        <v>0.5</v>
      </c>
      <c r="O78" s="32">
        <v>0.5</v>
      </c>
      <c r="P78" s="9" t="s">
        <v>97</v>
      </c>
      <c r="Q78" s="33">
        <v>4.9000000000000004</v>
      </c>
      <c r="R78" s="33">
        <v>5</v>
      </c>
      <c r="S78" s="33">
        <v>4.95</v>
      </c>
      <c r="T78" s="33" t="s">
        <v>75</v>
      </c>
      <c r="U78" s="14">
        <v>1</v>
      </c>
      <c r="V78" s="15">
        <v>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e">
        <f t="shared" si="3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spans="1:64" ht="15.75" customHeight="1" x14ac:dyDescent="0.2">
      <c r="A79" s="12" t="s">
        <v>90</v>
      </c>
      <c r="B79" s="12" t="s">
        <v>64</v>
      </c>
      <c r="C79" s="12">
        <v>2336</v>
      </c>
      <c r="D79" s="12" t="s">
        <v>62</v>
      </c>
      <c r="E79" s="2">
        <v>159</v>
      </c>
      <c r="F79" s="3">
        <f>E79/3.281</f>
        <v>48.460835111246567</v>
      </c>
      <c r="G79" s="4">
        <v>11.8</v>
      </c>
      <c r="H79" s="31">
        <v>0</v>
      </c>
      <c r="I79" s="31">
        <v>0</v>
      </c>
      <c r="K79" s="31">
        <v>109.36</v>
      </c>
      <c r="L79" s="5" t="s">
        <v>60</v>
      </c>
      <c r="M79" s="3">
        <v>7.3310000000000004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</v>
      </c>
      <c r="V79" s="15">
        <v>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e">
        <f t="shared" si="3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spans="1:64" ht="15.75" customHeight="1" x14ac:dyDescent="0.2">
      <c r="A80" s="12" t="s">
        <v>90</v>
      </c>
      <c r="B80" s="12" t="s">
        <v>64</v>
      </c>
      <c r="C80" s="12">
        <v>2335</v>
      </c>
      <c r="D80" s="12" t="s">
        <v>62</v>
      </c>
      <c r="E80" s="2">
        <f>F80*3.281</f>
        <v>160.1</v>
      </c>
      <c r="F80" s="3">
        <v>48.796098750380978</v>
      </c>
      <c r="G80" s="4">
        <v>25.6</v>
      </c>
      <c r="H80" s="31">
        <v>0</v>
      </c>
      <c r="I80" s="31">
        <v>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</v>
      </c>
      <c r="V80" s="15">
        <v>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e">
        <f t="shared" si="3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spans="1:64" ht="15.75" customHeight="1" x14ac:dyDescent="0.2">
      <c r="A81" s="38" t="s">
        <v>100</v>
      </c>
      <c r="B81" s="38" t="s">
        <v>64</v>
      </c>
      <c r="C81" s="38">
        <v>2374</v>
      </c>
      <c r="D81" s="12"/>
      <c r="E81" s="2"/>
      <c r="F81" s="3"/>
      <c r="G81" s="39">
        <v>36.200000000000003</v>
      </c>
      <c r="H81" s="40">
        <v>32.799999999999997</v>
      </c>
      <c r="I81" s="40">
        <v>0</v>
      </c>
      <c r="K81" s="31"/>
      <c r="L81" s="5"/>
      <c r="M81" s="3"/>
      <c r="N81" s="32"/>
      <c r="O81" s="32"/>
      <c r="P81" s="12"/>
      <c r="U81" s="14">
        <v>2</v>
      </c>
      <c r="V81" s="15">
        <v>2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e">
        <f t="shared" si="3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spans="1:64" ht="15.75" customHeight="1" x14ac:dyDescent="0.2">
      <c r="A82" s="12" t="s">
        <v>101</v>
      </c>
      <c r="B82" s="12" t="s">
        <v>58</v>
      </c>
      <c r="C82" s="34">
        <v>2301</v>
      </c>
      <c r="D82" s="12" t="s">
        <v>62</v>
      </c>
      <c r="E82" s="2">
        <v>7</v>
      </c>
      <c r="F82" s="3">
        <f>E82/3.281</f>
        <v>2.1334958854007922</v>
      </c>
      <c r="G82" s="4">
        <v>48.5</v>
      </c>
      <c r="H82" s="31">
        <v>32.6</v>
      </c>
      <c r="I82" s="31">
        <v>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</v>
      </c>
      <c r="R82" s="33">
        <v>2.9</v>
      </c>
      <c r="T82" s="33" t="s">
        <v>75</v>
      </c>
      <c r="U82" s="10"/>
      <c r="V82" s="9"/>
      <c r="W82" s="15">
        <v>1.1200000000000001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3"/>
        <v>1.8060000000000003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2.2599999999999998</v>
      </c>
      <c r="AW82" s="15">
        <v>0.51600000000000001</v>
      </c>
      <c r="AX82" s="15">
        <v>2.61</v>
      </c>
      <c r="AY82" s="15">
        <v>0.28820000000000001</v>
      </c>
      <c r="AZ82" s="15">
        <v>2.1120000000000001</v>
      </c>
      <c r="BA82" s="15">
        <v>0.3896</v>
      </c>
      <c r="BB82" s="15">
        <v>2.19</v>
      </c>
      <c r="BC82" s="15">
        <v>0.39779999999999999</v>
      </c>
      <c r="BD82" s="9"/>
      <c r="BE82" s="9"/>
      <c r="BF82" s="9"/>
      <c r="BG82" s="9"/>
      <c r="BH82" s="9"/>
      <c r="BI82" s="9"/>
      <c r="BJ82" s="9"/>
      <c r="BK82" s="15">
        <v>1.7593000000000001</v>
      </c>
      <c r="BL82" s="9"/>
    </row>
    <row r="83" spans="1:64" ht="15.75" customHeight="1" x14ac:dyDescent="0.2">
      <c r="A83" s="12" t="s">
        <v>101</v>
      </c>
      <c r="B83" s="12" t="s">
        <v>64</v>
      </c>
      <c r="C83" s="12">
        <v>2302</v>
      </c>
      <c r="D83" s="12" t="s">
        <v>59</v>
      </c>
      <c r="E83" s="2">
        <f t="shared" ref="E83:E84" si="8">F83*3.281</f>
        <v>13.4</v>
      </c>
      <c r="F83" s="3">
        <v>4.0841206949100881</v>
      </c>
      <c r="G83" s="4">
        <v>35.9</v>
      </c>
      <c r="H83" s="31">
        <v>0</v>
      </c>
      <c r="I83" s="31">
        <v>0</v>
      </c>
      <c r="K83" s="31">
        <v>1012.23</v>
      </c>
      <c r="L83" s="5" t="s">
        <v>60</v>
      </c>
      <c r="M83" s="3">
        <v>10.842000000000001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</v>
      </c>
      <c r="V83" s="15">
        <v>1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e">
        <f t="shared" si="3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spans="1:64" ht="15.75" customHeight="1" x14ac:dyDescent="0.2">
      <c r="A84" s="12" t="s">
        <v>101</v>
      </c>
      <c r="B84" s="12" t="s">
        <v>64</v>
      </c>
      <c r="C84" s="12">
        <v>2303</v>
      </c>
      <c r="D84" s="12" t="s">
        <v>62</v>
      </c>
      <c r="E84" s="2">
        <f t="shared" si="8"/>
        <v>18.600000000000001</v>
      </c>
      <c r="F84" s="3">
        <v>5.6690033526363912</v>
      </c>
      <c r="G84" s="4">
        <v>27.7</v>
      </c>
      <c r="H84" s="31">
        <v>0</v>
      </c>
      <c r="I84" s="31">
        <v>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</v>
      </c>
      <c r="V84" s="15">
        <v>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e">
        <f t="shared" si="3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spans="1:64" ht="17.25" customHeight="1" x14ac:dyDescent="0.2">
      <c r="A85" s="12" t="s">
        <v>101</v>
      </c>
      <c r="B85" s="12" t="s">
        <v>64</v>
      </c>
      <c r="C85" s="12">
        <v>2304</v>
      </c>
      <c r="D85" s="12" t="s">
        <v>59</v>
      </c>
      <c r="E85" s="2">
        <v>39</v>
      </c>
      <c r="F85" s="3">
        <f>E85/3.281</f>
        <v>11.886619932947271</v>
      </c>
      <c r="G85" s="4">
        <v>34</v>
      </c>
      <c r="H85" s="31">
        <v>0</v>
      </c>
      <c r="I85" s="31">
        <v>0</v>
      </c>
      <c r="K85" s="31">
        <v>907.92</v>
      </c>
      <c r="L85" s="5" t="s">
        <v>60</v>
      </c>
      <c r="M85" s="3">
        <v>24.338999999999999</v>
      </c>
      <c r="N85" s="32">
        <v>0.4</v>
      </c>
      <c r="O85" s="32">
        <v>0.4</v>
      </c>
      <c r="T85" s="33" t="s">
        <v>75</v>
      </c>
      <c r="U85" s="14">
        <v>0</v>
      </c>
      <c r="V85" s="15">
        <v>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e">
        <f t="shared" si="3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spans="1:64" ht="17.25" customHeight="1" x14ac:dyDescent="0.2">
      <c r="A86" s="12" t="s">
        <v>101</v>
      </c>
      <c r="B86" s="12" t="s">
        <v>64</v>
      </c>
      <c r="C86" s="12">
        <v>2305</v>
      </c>
      <c r="D86" s="36" t="s">
        <v>59</v>
      </c>
      <c r="E86" s="12">
        <v>50.5</v>
      </c>
      <c r="F86" s="3">
        <f>G86/3.281</f>
        <v>10.606522401706796</v>
      </c>
      <c r="G86" s="2">
        <v>34.799999999999997</v>
      </c>
      <c r="H86" s="52">
        <v>0</v>
      </c>
      <c r="I86" s="52">
        <v>0</v>
      </c>
      <c r="K86" s="52">
        <v>1165.1300000000001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</v>
      </c>
      <c r="V86" s="15">
        <v>1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e">
        <f t="shared" si="3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spans="1:64" ht="17.25" customHeight="1" x14ac:dyDescent="0.2">
      <c r="A87" s="12" t="s">
        <v>101</v>
      </c>
      <c r="B87" s="12" t="s">
        <v>64</v>
      </c>
      <c r="C87" s="12">
        <v>2306</v>
      </c>
      <c r="D87" s="12" t="s">
        <v>62</v>
      </c>
      <c r="E87" s="2">
        <v>71</v>
      </c>
      <c r="F87" s="3">
        <f>E87/3.281</f>
        <v>21.639743980493751</v>
      </c>
      <c r="G87" s="4">
        <v>33.799999999999997</v>
      </c>
      <c r="H87" s="31">
        <v>0</v>
      </c>
      <c r="I87" s="31">
        <v>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</v>
      </c>
      <c r="R87" s="33">
        <v>3.55</v>
      </c>
      <c r="S87" s="33">
        <v>3.4</v>
      </c>
      <c r="T87" s="33" t="s">
        <v>75</v>
      </c>
      <c r="U87" s="14">
        <v>1</v>
      </c>
      <c r="V87" s="15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e">
        <f t="shared" si="3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spans="1:64" ht="17.25" customHeight="1" x14ac:dyDescent="0.2">
      <c r="A88" s="12" t="s">
        <v>101</v>
      </c>
      <c r="B88" s="12" t="s">
        <v>64</v>
      </c>
      <c r="C88" s="12">
        <v>2307</v>
      </c>
      <c r="D88" s="12" t="s">
        <v>59</v>
      </c>
      <c r="E88" s="2">
        <f>F88*3.281</f>
        <v>81.400000000000006</v>
      </c>
      <c r="F88" s="3">
        <v>24.809509295946359</v>
      </c>
      <c r="G88" s="4">
        <v>44.5</v>
      </c>
      <c r="H88" s="31">
        <v>0</v>
      </c>
      <c r="I88" s="31">
        <v>0</v>
      </c>
      <c r="K88" s="31">
        <v>1555.28</v>
      </c>
      <c r="L88" s="5" t="s">
        <v>60</v>
      </c>
      <c r="M88" s="3">
        <v>9.4220000000000006</v>
      </c>
      <c r="N88" s="32">
        <v>0.6</v>
      </c>
      <c r="O88" s="32">
        <v>0.5</v>
      </c>
      <c r="Q88" s="33">
        <v>3.4</v>
      </c>
      <c r="R88" s="33">
        <v>3</v>
      </c>
      <c r="T88" s="33" t="s">
        <v>75</v>
      </c>
      <c r="U88" s="14">
        <v>0</v>
      </c>
      <c r="V88" s="15">
        <v>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e">
        <f t="shared" si="3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spans="1:64" ht="17.25" customHeight="1" x14ac:dyDescent="0.2">
      <c r="A89" s="12" t="s">
        <v>101</v>
      </c>
      <c r="B89" s="12" t="s">
        <v>64</v>
      </c>
      <c r="C89" s="12">
        <v>2308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</v>
      </c>
      <c r="I89" s="31">
        <v>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</v>
      </c>
      <c r="V89" s="15">
        <v>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e">
        <f t="shared" si="3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spans="1:64" ht="17.25" customHeight="1" x14ac:dyDescent="0.2">
      <c r="A90" s="12" t="s">
        <v>101</v>
      </c>
      <c r="B90" s="12" t="s">
        <v>64</v>
      </c>
      <c r="C90" s="12">
        <v>2309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</v>
      </c>
      <c r="I90" s="31">
        <v>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</v>
      </c>
      <c r="V90" s="15">
        <v>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e">
        <f t="shared" si="3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spans="1:64" ht="15.75" customHeight="1" x14ac:dyDescent="0.2">
      <c r="A91" s="53" t="s">
        <v>106</v>
      </c>
      <c r="B91" s="54" t="s">
        <v>64</v>
      </c>
      <c r="C91" s="55">
        <v>2370</v>
      </c>
      <c r="D91" s="3"/>
      <c r="E91" s="12"/>
      <c r="F91" s="4"/>
      <c r="G91" s="38">
        <v>47</v>
      </c>
      <c r="H91" s="56">
        <v>0</v>
      </c>
      <c r="I91" s="56">
        <v>0</v>
      </c>
      <c r="J91" s="57">
        <v>0.6</v>
      </c>
      <c r="K91" s="51"/>
      <c r="L91" s="5"/>
      <c r="M91" s="3"/>
      <c r="N91" s="32"/>
      <c r="O91" s="32"/>
      <c r="U91" s="14">
        <v>1</v>
      </c>
      <c r="V91" s="15">
        <v>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1.5620000000000001</v>
      </c>
      <c r="AP91" s="15">
        <v>1.3879999999999999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spans="1:64" ht="15.75" customHeight="1" x14ac:dyDescent="0.2">
      <c r="A92" s="53" t="s">
        <v>107</v>
      </c>
      <c r="B92" s="54" t="s">
        <v>64</v>
      </c>
      <c r="C92" s="55">
        <v>2371</v>
      </c>
      <c r="D92" s="3"/>
      <c r="E92" s="12"/>
      <c r="F92" s="4"/>
      <c r="G92" s="38">
        <v>97.8</v>
      </c>
      <c r="H92" s="56">
        <v>0</v>
      </c>
      <c r="I92" s="56">
        <v>0</v>
      </c>
      <c r="K92" s="51"/>
      <c r="L92" s="5"/>
      <c r="M92" s="3"/>
      <c r="N92" s="32"/>
      <c r="O92" s="32"/>
      <c r="U92" s="14">
        <v>0</v>
      </c>
      <c r="V92" s="15">
        <v>0</v>
      </c>
      <c r="W92" s="15">
        <v>1.26</v>
      </c>
      <c r="X92" s="15">
        <v>2.2000000000000002</v>
      </c>
      <c r="Y92" s="15">
        <v>1.89</v>
      </c>
      <c r="Z92" s="15">
        <v>1.0900000000000001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spans="1:64" ht="15.75" customHeight="1" x14ac:dyDescent="0.2">
      <c r="A93" s="53" t="s">
        <v>108</v>
      </c>
      <c r="B93" s="54" t="s">
        <v>64</v>
      </c>
      <c r="C93" s="55">
        <v>2372</v>
      </c>
      <c r="D93" s="3"/>
      <c r="E93" s="12"/>
      <c r="F93" s="4"/>
      <c r="G93" s="38">
        <v>47</v>
      </c>
      <c r="H93" s="56">
        <v>0</v>
      </c>
      <c r="I93" s="56">
        <v>0</v>
      </c>
      <c r="K93" s="51"/>
      <c r="L93" s="5"/>
      <c r="M93" s="3"/>
      <c r="N93" s="32"/>
      <c r="O93" s="32"/>
      <c r="U93" s="14">
        <v>1</v>
      </c>
      <c r="V93" s="15">
        <v>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spans="1:64" ht="15.75" customHeight="1" x14ac:dyDescent="0.2">
      <c r="A94" s="53" t="s">
        <v>110</v>
      </c>
      <c r="B94" s="54" t="s">
        <v>64</v>
      </c>
      <c r="C94" s="55">
        <v>2373</v>
      </c>
      <c r="D94" s="3"/>
      <c r="E94" s="12"/>
      <c r="F94" s="4"/>
      <c r="G94" s="38">
        <v>46.8</v>
      </c>
      <c r="H94" s="56">
        <v>0</v>
      </c>
      <c r="I94" s="56">
        <v>0</v>
      </c>
      <c r="K94" s="51"/>
      <c r="L94" s="5"/>
      <c r="M94" s="3"/>
      <c r="N94" s="32"/>
      <c r="O94" s="32"/>
      <c r="U94" s="14">
        <v>0</v>
      </c>
      <c r="V94" s="15">
        <v>1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spans="1:64" ht="15.75" customHeight="1" x14ac:dyDescent="0.2">
      <c r="A95" s="2" t="s">
        <v>112</v>
      </c>
      <c r="B95" s="3" t="s">
        <v>64</v>
      </c>
      <c r="C95" s="3"/>
      <c r="D95" s="3" t="s">
        <v>62</v>
      </c>
      <c r="E95" s="12">
        <v>1.6405000000000001</v>
      </c>
      <c r="F95" s="4">
        <v>0.5</v>
      </c>
      <c r="G95" s="12">
        <v>55.1</v>
      </c>
      <c r="H95" s="51">
        <v>0</v>
      </c>
      <c r="I95" s="51">
        <v>0</v>
      </c>
      <c r="K95" s="51">
        <v>637.94000000000005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e">
        <f t="shared" ref="AK95:AK110" si="9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spans="1:64" ht="15.75" customHeight="1" x14ac:dyDescent="0.2">
      <c r="A96" s="2" t="s">
        <v>112</v>
      </c>
      <c r="B96" s="3" t="s">
        <v>64</v>
      </c>
      <c r="C96" s="3"/>
      <c r="D96" s="3" t="s">
        <v>62</v>
      </c>
      <c r="E96" s="12">
        <v>91.868000000000009</v>
      </c>
      <c r="F96" s="4">
        <v>28</v>
      </c>
      <c r="G96" s="12">
        <v>17.600000000000001</v>
      </c>
      <c r="H96" s="51">
        <v>0</v>
      </c>
      <c r="I96" s="51">
        <v>0</v>
      </c>
      <c r="K96" s="51">
        <v>2384.48</v>
      </c>
      <c r="L96" s="5">
        <v>72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e">
        <f t="shared" si="9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spans="1:64" ht="15.75" customHeight="1" x14ac:dyDescent="0.2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</v>
      </c>
      <c r="G97" s="12">
        <v>15.2</v>
      </c>
      <c r="H97" s="51">
        <v>0</v>
      </c>
      <c r="I97" s="51">
        <v>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e">
        <f t="shared" si="9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spans="1:64" ht="15.75" customHeight="1" x14ac:dyDescent="0.2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</v>
      </c>
      <c r="G98" s="12">
        <v>27.9</v>
      </c>
      <c r="H98" s="51">
        <v>0</v>
      </c>
      <c r="I98" s="51">
        <v>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e">
        <f t="shared" si="9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spans="1:64" ht="15.75" customHeight="1" x14ac:dyDescent="0.2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</v>
      </c>
      <c r="G99" s="12">
        <v>28.5</v>
      </c>
      <c r="H99" s="51">
        <v>0</v>
      </c>
      <c r="I99" s="51">
        <v>0</v>
      </c>
      <c r="K99" s="51">
        <v>243.28</v>
      </c>
      <c r="L99" s="5">
        <v>18.3</v>
      </c>
      <c r="M99" s="3">
        <v>4.5999999999999996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e">
        <f t="shared" si="9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spans="1:64" ht="15.75" customHeight="1" x14ac:dyDescent="0.2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</v>
      </c>
      <c r="H100" s="51">
        <v>0</v>
      </c>
      <c r="I100" s="51">
        <v>0</v>
      </c>
      <c r="K100" s="51">
        <v>891.97</v>
      </c>
      <c r="L100" s="5">
        <v>42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e">
        <f t="shared" si="9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spans="1:64" ht="15.75" customHeight="1" x14ac:dyDescent="0.2">
      <c r="A101" s="2" t="s">
        <v>113</v>
      </c>
      <c r="B101" s="3" t="s">
        <v>64</v>
      </c>
      <c r="C101" s="3"/>
      <c r="D101" s="3" t="s">
        <v>59</v>
      </c>
      <c r="E101" s="12">
        <v>21.326499999999999</v>
      </c>
      <c r="F101" s="4">
        <v>6.5</v>
      </c>
      <c r="G101" s="12">
        <v>36</v>
      </c>
      <c r="H101" s="51">
        <v>0</v>
      </c>
      <c r="I101" s="51">
        <v>0</v>
      </c>
      <c r="K101" s="51">
        <v>907.92</v>
      </c>
      <c r="L101" s="5">
        <v>39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e">
        <f t="shared" si="9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spans="1:64" ht="15.75" customHeight="1" x14ac:dyDescent="0.2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</v>
      </c>
      <c r="G102" s="12">
        <v>70.2</v>
      </c>
      <c r="H102" s="51">
        <v>0</v>
      </c>
      <c r="I102" s="51">
        <v>0</v>
      </c>
      <c r="K102" s="51">
        <v>3870.47</v>
      </c>
      <c r="L102" s="5">
        <v>88</v>
      </c>
      <c r="M102" s="3">
        <v>18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e">
        <f t="shared" si="9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spans="1:64" ht="15.75" customHeight="1" x14ac:dyDescent="0.2">
      <c r="A103" s="2" t="s">
        <v>113</v>
      </c>
      <c r="B103" s="3" t="s">
        <v>64</v>
      </c>
      <c r="C103" s="3"/>
      <c r="D103" s="3" t="s">
        <v>62</v>
      </c>
      <c r="E103" s="12">
        <v>113.19450000000001</v>
      </c>
      <c r="F103" s="4">
        <v>34.5</v>
      </c>
      <c r="G103" s="12">
        <v>34</v>
      </c>
      <c r="H103" s="51">
        <v>0</v>
      </c>
      <c r="I103" s="51">
        <v>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e">
        <f t="shared" si="9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spans="1:64" ht="15.75" customHeight="1" x14ac:dyDescent="0.2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</v>
      </c>
      <c r="G104" s="12">
        <v>33.700000000000003</v>
      </c>
      <c r="H104" s="51">
        <v>0</v>
      </c>
      <c r="I104" s="51">
        <v>0</v>
      </c>
      <c r="K104" s="51">
        <v>2642.08</v>
      </c>
      <c r="L104" s="5">
        <v>70</v>
      </c>
      <c r="M104" s="3">
        <v>17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e">
        <f t="shared" si="9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4" ht="15.75" customHeight="1" x14ac:dyDescent="0.2">
      <c r="A105" s="12" t="s">
        <v>114</v>
      </c>
      <c r="B105" s="12" t="s">
        <v>58</v>
      </c>
      <c r="C105" s="12"/>
      <c r="D105" s="12" t="s">
        <v>115</v>
      </c>
      <c r="E105" s="2">
        <v>1</v>
      </c>
      <c r="F105" s="2" t="s">
        <v>115</v>
      </c>
      <c r="G105" s="4">
        <v>51.3</v>
      </c>
      <c r="H105" s="50">
        <v>32</v>
      </c>
      <c r="I105" s="50">
        <v>0</v>
      </c>
      <c r="K105" s="51">
        <v>2871.1722119999999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e">
        <f t="shared" si="9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spans="1:64" ht="15.75" customHeight="1" x14ac:dyDescent="0.2">
      <c r="A106" s="12" t="s">
        <v>114</v>
      </c>
      <c r="B106" s="12" t="s">
        <v>58</v>
      </c>
      <c r="C106" s="12"/>
      <c r="D106" s="12" t="s">
        <v>115</v>
      </c>
      <c r="E106" s="2">
        <v>2</v>
      </c>
      <c r="F106" s="2" t="s">
        <v>115</v>
      </c>
      <c r="G106" s="4">
        <v>77.900000000000006</v>
      </c>
      <c r="H106" s="50">
        <v>0</v>
      </c>
      <c r="I106" s="50">
        <v>0</v>
      </c>
      <c r="K106" s="51">
        <v>4766.1180690000001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e">
        <f t="shared" si="9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spans="1:64" ht="15.75" customHeight="1" x14ac:dyDescent="0.2">
      <c r="A107" s="2" t="s">
        <v>117</v>
      </c>
      <c r="B107" s="3" t="s">
        <v>64</v>
      </c>
      <c r="C107" s="58">
        <v>2381</v>
      </c>
      <c r="D107" s="3" t="s">
        <v>115</v>
      </c>
      <c r="E107" s="2"/>
      <c r="F107" s="3"/>
      <c r="G107" s="38">
        <v>36.6</v>
      </c>
      <c r="H107" s="59">
        <v>32.299999999999997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</v>
      </c>
      <c r="V107" s="15">
        <v>3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e">
        <f t="shared" si="9"/>
        <v>#DIV/0!</v>
      </c>
      <c r="AL107" s="16" t="s">
        <v>119</v>
      </c>
      <c r="AM107" s="15"/>
      <c r="AN107" s="15"/>
      <c r="AO107" s="14">
        <v>1.3160000000000001</v>
      </c>
      <c r="AP107" s="15">
        <v>1.3340000000000001</v>
      </c>
      <c r="AQ107" s="15"/>
      <c r="AR107" s="15"/>
      <c r="AS107" s="15"/>
      <c r="AT107" s="15"/>
      <c r="AU107" s="15"/>
      <c r="AV107" s="15">
        <v>1.8560000000000001</v>
      </c>
      <c r="AW107" s="15">
        <v>0.1124</v>
      </c>
      <c r="AX107" s="15">
        <v>1.829</v>
      </c>
      <c r="AY107" s="15">
        <v>6.5699999999999995E-2</v>
      </c>
      <c r="AZ107" s="15">
        <v>1.8180000000000001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0.79620000000000002</v>
      </c>
      <c r="BL107" s="15"/>
    </row>
    <row r="108" spans="1:64" ht="15.75" customHeight="1" x14ac:dyDescent="0.2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e">
        <f t="shared" si="9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ht="15.75" customHeight="1" x14ac:dyDescent="0.2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4.2699999999999996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e">
        <f t="shared" si="9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spans="1:64" ht="15.75" customHeight="1" x14ac:dyDescent="0.2">
      <c r="A110" s="2" t="s">
        <v>117</v>
      </c>
      <c r="B110" s="3" t="s">
        <v>64</v>
      </c>
      <c r="C110" s="58">
        <v>2382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</v>
      </c>
      <c r="V110" s="15">
        <v>6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e">
        <f t="shared" si="9"/>
        <v>#DIV/0!</v>
      </c>
      <c r="AL110" s="16" t="s">
        <v>123</v>
      </c>
      <c r="AM110" s="15"/>
      <c r="AN110" s="15"/>
      <c r="AO110" s="14">
        <v>0.79800000000000004</v>
      </c>
      <c r="AP110" s="15">
        <v>0.79100000000000004</v>
      </c>
      <c r="AQ110" s="15">
        <v>0.82099999999999995</v>
      </c>
      <c r="AR110" s="15"/>
      <c r="AS110" s="15"/>
      <c r="AT110" s="15"/>
      <c r="AU110" s="15"/>
      <c r="AV110" s="15">
        <v>2.0059999999999998</v>
      </c>
      <c r="AW110" s="15">
        <v>0.23799999999999999</v>
      </c>
      <c r="AX110" s="15">
        <v>2.23</v>
      </c>
      <c r="AY110" s="15">
        <v>0.1203</v>
      </c>
      <c r="AZ110" s="15">
        <v>1.9670000000000001</v>
      </c>
      <c r="BA110" s="15">
        <v>0.1832</v>
      </c>
      <c r="BB110" s="15">
        <v>2.0960000000000001</v>
      </c>
      <c r="BC110" s="15">
        <v>0.16719999999999999</v>
      </c>
      <c r="BD110" s="15"/>
      <c r="BE110" s="15"/>
      <c r="BF110" s="15"/>
      <c r="BG110" s="15"/>
      <c r="BH110" s="15"/>
      <c r="BI110" s="15"/>
      <c r="BJ110" s="15"/>
      <c r="BK110" s="15">
        <v>0.86319999999999997</v>
      </c>
      <c r="BL110" s="15" t="s">
        <v>124</v>
      </c>
    </row>
    <row r="111" spans="1:64" ht="15.75" customHeight="1" x14ac:dyDescent="0.2">
      <c r="A111" s="57" t="s">
        <v>125</v>
      </c>
      <c r="B111" s="54" t="s">
        <v>64</v>
      </c>
      <c r="C111" s="60">
        <v>2383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</v>
      </c>
      <c r="V111" s="15">
        <v>7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0.11169999999999999</v>
      </c>
      <c r="AX111" s="15">
        <v>2.16</v>
      </c>
      <c r="AY111" s="15">
        <v>0.10100000000000001</v>
      </c>
      <c r="AZ111" s="15">
        <v>2.4409999999999998</v>
      </c>
      <c r="BA111" s="15">
        <v>8.8999999999999996E-2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0.55379999999999996</v>
      </c>
      <c r="BL111" s="9"/>
    </row>
    <row r="112" spans="1:64" ht="15.75" customHeight="1" x14ac:dyDescent="0.2">
      <c r="A112" s="57" t="s">
        <v>126</v>
      </c>
      <c r="B112" s="54" t="s">
        <v>64</v>
      </c>
      <c r="C112" s="57">
        <v>2384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2.1970000000000001</v>
      </c>
      <c r="AW112" s="15">
        <v>3.3700000000000001E-2</v>
      </c>
      <c r="AX112" s="15">
        <v>2.23</v>
      </c>
      <c r="AY112" s="15">
        <v>4.82E-2</v>
      </c>
      <c r="AZ112" s="15">
        <v>2.16</v>
      </c>
      <c r="BA112" s="15">
        <v>6.3700000000000007E-2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0.29609999999999997</v>
      </c>
      <c r="BL112" s="9"/>
    </row>
    <row r="113" spans="1:64" ht="15.75" customHeight="1" x14ac:dyDescent="0.2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2.1309999999999998</v>
      </c>
      <c r="AW113" s="15">
        <v>0.4783</v>
      </c>
      <c r="AX113" s="15">
        <v>2.4420000000000002</v>
      </c>
      <c r="AY113" s="15">
        <v>0.75360000000000005</v>
      </c>
      <c r="AZ113" s="15">
        <v>2.2890000000000001</v>
      </c>
      <c r="BA113" s="15">
        <v>0.70489999999999997</v>
      </c>
      <c r="BB113" s="15">
        <v>2.4359999999999999</v>
      </c>
      <c r="BC113" s="15">
        <v>0.75929999999999997</v>
      </c>
      <c r="BD113" s="15">
        <v>2.629</v>
      </c>
      <c r="BE113" s="15">
        <v>0.36630000000000001</v>
      </c>
      <c r="BF113" s="15">
        <v>2.1419999999999999</v>
      </c>
      <c r="BG113" s="15">
        <v>0.56000000000000005</v>
      </c>
      <c r="BH113" s="15">
        <v>2.1379999999999999</v>
      </c>
      <c r="BI113" s="15">
        <v>0.47249999999999998</v>
      </c>
      <c r="BJ113" s="9"/>
      <c r="BK113" s="9"/>
      <c r="BL113" s="9"/>
    </row>
    <row r="114" spans="1:64" ht="15.75" customHeight="1" x14ac:dyDescent="0.2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0.19189999999999999</v>
      </c>
      <c r="AX114" s="15">
        <v>1.76</v>
      </c>
      <c r="AY114" s="15">
        <v>0.26419999999999999</v>
      </c>
      <c r="AZ114" s="15">
        <v>1.74</v>
      </c>
      <c r="BA114" s="15">
        <v>0.2412</v>
      </c>
      <c r="BB114" s="15">
        <v>1.7230000000000001</v>
      </c>
      <c r="BC114" s="15">
        <v>0.24479999999999999</v>
      </c>
      <c r="BD114" s="15">
        <v>1.95</v>
      </c>
      <c r="BE114" s="15">
        <v>0.21990000000000001</v>
      </c>
      <c r="BF114" s="15">
        <v>1.4379999999999999</v>
      </c>
      <c r="BG114" s="15">
        <v>0.20080000000000001</v>
      </c>
      <c r="BH114" s="15">
        <v>1.41</v>
      </c>
      <c r="BI114" s="15">
        <v>0.35370000000000001</v>
      </c>
      <c r="BJ114" s="9"/>
      <c r="BK114" s="9"/>
      <c r="BL114" s="9"/>
    </row>
    <row r="115" spans="1:64" ht="15.75" customHeight="1" x14ac:dyDescent="0.2">
      <c r="B115" s="54" t="s">
        <v>58</v>
      </c>
      <c r="C115" s="57">
        <v>2093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ht="15.75" customHeight="1" x14ac:dyDescent="0.2">
      <c r="B116" s="54" t="s">
        <v>58</v>
      </c>
      <c r="C116" s="57">
        <v>2092</v>
      </c>
      <c r="F116" s="2"/>
      <c r="G116" s="57">
        <v>146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spans="1:64" ht="15.75" customHeight="1" x14ac:dyDescent="0.2">
      <c r="B117" s="54" t="s">
        <v>58</v>
      </c>
      <c r="C117" s="57">
        <v>2091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spans="1:64" ht="15.75" customHeight="1" x14ac:dyDescent="0.2">
      <c r="B118" s="54" t="s">
        <v>129</v>
      </c>
      <c r="C118" s="57">
        <v>2090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spans="1:64" ht="15.75" customHeight="1" x14ac:dyDescent="0.2">
      <c r="B119" s="54" t="s">
        <v>58</v>
      </c>
      <c r="C119" s="57">
        <v>2089</v>
      </c>
      <c r="F119" s="2"/>
      <c r="G119" s="57">
        <v>167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spans="1:64" ht="15.75" customHeight="1" x14ac:dyDescent="0.2">
      <c r="B120" s="54" t="s">
        <v>64</v>
      </c>
      <c r="C120" s="57">
        <v>2088</v>
      </c>
      <c r="F120" s="2"/>
      <c r="G120" s="57">
        <v>67</v>
      </c>
      <c r="J120" s="39">
        <v>1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spans="1:64" ht="15.75" customHeight="1" x14ac:dyDescent="0.2">
      <c r="B121" s="54" t="s">
        <v>64</v>
      </c>
      <c r="C121" s="57">
        <v>2087</v>
      </c>
      <c r="F121" s="2"/>
      <c r="G121" s="57">
        <v>73.2</v>
      </c>
      <c r="J121" s="39">
        <v>1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spans="1:64" ht="15.75" customHeight="1" x14ac:dyDescent="0.2">
      <c r="B122" s="54" t="s">
        <v>64</v>
      </c>
      <c r="C122" s="57">
        <v>2086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spans="1:64" ht="15.75" customHeight="1" x14ac:dyDescent="0.2">
      <c r="B123" s="54" t="s">
        <v>64</v>
      </c>
      <c r="C123" s="57">
        <v>2085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spans="1:64" ht="15.75" customHeight="1" x14ac:dyDescent="0.2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spans="1:64" ht="15.75" customHeight="1" x14ac:dyDescent="0.2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spans="1:64" ht="15.75" customHeight="1" x14ac:dyDescent="0.2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spans="1:64" ht="15.75" customHeight="1" x14ac:dyDescent="0.2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spans="1:64" ht="15.75" customHeight="1" x14ac:dyDescent="0.2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spans="2:64" ht="15.75" customHeight="1" x14ac:dyDescent="0.2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spans="2:64" ht="15.75" customHeight="1" x14ac:dyDescent="0.2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spans="2:64" ht="15.75" customHeight="1" x14ac:dyDescent="0.2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spans="2:64" ht="15.75" customHeight="1" x14ac:dyDescent="0.2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spans="2:64" ht="15.75" customHeight="1" x14ac:dyDescent="0.2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spans="2:64" ht="15.75" customHeight="1" x14ac:dyDescent="0.2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spans="2:64" ht="15.75" customHeight="1" x14ac:dyDescent="0.2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spans="2:64" ht="15.75" customHeight="1" x14ac:dyDescent="0.2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spans="2:64" ht="15.75" customHeight="1" x14ac:dyDescent="0.2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spans="2:64" ht="15.75" customHeight="1" x14ac:dyDescent="0.2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spans="2:64" ht="15.75" customHeight="1" x14ac:dyDescent="0.2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spans="2:64" ht="15.75" customHeight="1" x14ac:dyDescent="0.2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spans="2:64" ht="15.75" customHeight="1" x14ac:dyDescent="0.2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spans="2:64" ht="15.75" customHeight="1" x14ac:dyDescent="0.2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spans="2:64" ht="15.75" customHeight="1" x14ac:dyDescent="0.2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spans="2:64" ht="15.75" customHeight="1" x14ac:dyDescent="0.2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spans="2:64" ht="15.75" customHeight="1" x14ac:dyDescent="0.2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spans="2:64" ht="15.75" customHeight="1" x14ac:dyDescent="0.2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spans="2:64" ht="15.75" customHeight="1" x14ac:dyDescent="0.2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spans="2:64" ht="15.75" customHeight="1" x14ac:dyDescent="0.2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spans="2:64" ht="15.75" customHeight="1" x14ac:dyDescent="0.2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spans="2:64" ht="15.75" customHeight="1" x14ac:dyDescent="0.2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spans="2:64" ht="15.75" customHeight="1" x14ac:dyDescent="0.2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spans="2:64" ht="15.75" customHeight="1" x14ac:dyDescent="0.2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spans="2:64" ht="15.75" customHeight="1" x14ac:dyDescent="0.2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spans="2:64" ht="15.75" customHeight="1" x14ac:dyDescent="0.2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spans="2:64" ht="15.75" customHeight="1" x14ac:dyDescent="0.2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spans="2:64" ht="15.75" customHeight="1" x14ac:dyDescent="0.2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spans="2:64" ht="15.75" customHeight="1" x14ac:dyDescent="0.2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spans="2:64" ht="15.75" customHeight="1" x14ac:dyDescent="0.2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spans="2:64" ht="15.75" customHeight="1" x14ac:dyDescent="0.2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spans="2:64" ht="15.75" customHeight="1" x14ac:dyDescent="0.2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spans="2:64" ht="15.75" customHeight="1" x14ac:dyDescent="0.2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spans="2:64" ht="15.75" customHeight="1" x14ac:dyDescent="0.2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spans="2:64" ht="15.75" customHeight="1" x14ac:dyDescent="0.2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spans="2:64" ht="15.75" customHeight="1" x14ac:dyDescent="0.2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spans="2:64" ht="15.75" customHeight="1" x14ac:dyDescent="0.2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spans="2:64" ht="15.75" customHeight="1" x14ac:dyDescent="0.2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spans="2:64" ht="15.75" customHeight="1" x14ac:dyDescent="0.2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spans="2:64" ht="15.75" customHeight="1" x14ac:dyDescent="0.2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spans="2:64" ht="15.75" customHeight="1" x14ac:dyDescent="0.2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spans="2:64" ht="15.75" customHeight="1" x14ac:dyDescent="0.2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spans="2:64" ht="15.75" customHeight="1" x14ac:dyDescent="0.2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spans="2:64" ht="15.75" customHeight="1" x14ac:dyDescent="0.2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spans="2:64" ht="15.75" customHeight="1" x14ac:dyDescent="0.2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spans="2:64" ht="15.75" customHeight="1" x14ac:dyDescent="0.2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spans="2:64" ht="15.75" customHeight="1" x14ac:dyDescent="0.2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spans="2:64" ht="15.75" customHeight="1" x14ac:dyDescent="0.2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spans="2:64" ht="15.75" customHeight="1" x14ac:dyDescent="0.2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spans="2:64" ht="15.75" customHeight="1" x14ac:dyDescent="0.2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spans="2:64" ht="15.75" customHeight="1" x14ac:dyDescent="0.2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spans="2:64" ht="15.75" customHeight="1" x14ac:dyDescent="0.2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spans="2:64" ht="15.75" customHeight="1" x14ac:dyDescent="0.2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spans="2:64" ht="15.75" customHeight="1" x14ac:dyDescent="0.2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spans="2:64" ht="15.75" customHeight="1" x14ac:dyDescent="0.2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spans="2:64" ht="15.75" customHeight="1" x14ac:dyDescent="0.2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spans="2:64" ht="15.75" customHeight="1" x14ac:dyDescent="0.2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spans="2:64" ht="15.75" customHeight="1" x14ac:dyDescent="0.2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spans="2:64" ht="15.75" customHeight="1" x14ac:dyDescent="0.2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spans="2:64" ht="15.75" customHeight="1" x14ac:dyDescent="0.2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spans="2:64" ht="15.75" customHeight="1" x14ac:dyDescent="0.2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spans="2:64" ht="15.75" customHeight="1" x14ac:dyDescent="0.2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spans="2:64" ht="15.75" customHeight="1" x14ac:dyDescent="0.2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spans="2:64" ht="15.75" customHeight="1" x14ac:dyDescent="0.2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spans="2:64" ht="15.75" customHeight="1" x14ac:dyDescent="0.2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spans="2:64" ht="15.75" customHeight="1" x14ac:dyDescent="0.2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spans="2:64" ht="15.75" customHeight="1" x14ac:dyDescent="0.2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spans="2:64" ht="15.75" customHeight="1" x14ac:dyDescent="0.2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spans="2:64" ht="15.75" customHeight="1" x14ac:dyDescent="0.2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spans="2:64" ht="15.75" customHeight="1" x14ac:dyDescent="0.2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spans="2:64" ht="15.75" customHeight="1" x14ac:dyDescent="0.2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spans="2:64" ht="15.75" customHeight="1" x14ac:dyDescent="0.2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spans="2:64" ht="15.75" customHeight="1" x14ac:dyDescent="0.2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spans="2:64" ht="15.75" customHeight="1" x14ac:dyDescent="0.2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spans="2:64" ht="15.75" customHeight="1" x14ac:dyDescent="0.2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spans="2:64" ht="15.75" customHeight="1" x14ac:dyDescent="0.2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spans="2:64" ht="15.75" customHeight="1" x14ac:dyDescent="0.2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spans="2:64" ht="15.75" customHeight="1" x14ac:dyDescent="0.2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spans="2:64" ht="15.75" customHeight="1" x14ac:dyDescent="0.2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spans="2:64" ht="15.75" customHeight="1" x14ac:dyDescent="0.2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spans="2:64" ht="15.75" customHeight="1" x14ac:dyDescent="0.2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spans="2:64" ht="15.75" customHeight="1" x14ac:dyDescent="0.2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spans="2:64" ht="15.75" customHeight="1" x14ac:dyDescent="0.2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spans="2:64" ht="15.75" customHeight="1" x14ac:dyDescent="0.2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spans="2:64" ht="15.75" customHeight="1" x14ac:dyDescent="0.2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spans="2:64" ht="15.75" customHeight="1" x14ac:dyDescent="0.2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spans="2:64" ht="15.75" customHeight="1" x14ac:dyDescent="0.2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spans="2:64" ht="15.75" customHeight="1" x14ac:dyDescent="0.2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spans="2:64" ht="15.75" customHeight="1" x14ac:dyDescent="0.2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spans="2:64" ht="15.75" customHeight="1" x14ac:dyDescent="0.2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spans="2:64" ht="15.75" customHeight="1" x14ac:dyDescent="0.2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spans="2:64" ht="15.75" customHeight="1" x14ac:dyDescent="0.2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spans="2:64" ht="15.75" customHeight="1" x14ac:dyDescent="0.2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spans="2:64" ht="15.75" customHeight="1" x14ac:dyDescent="0.2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spans="2:64" ht="15.75" customHeight="1" x14ac:dyDescent="0.2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spans="2:64" ht="15.75" customHeight="1" x14ac:dyDescent="0.2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spans="2:64" ht="15.75" customHeight="1" x14ac:dyDescent="0.2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spans="2:64" ht="15.75" customHeight="1" x14ac:dyDescent="0.2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spans="2:64" ht="15.75" customHeight="1" x14ac:dyDescent="0.2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spans="2:64" ht="15.75" customHeight="1" x14ac:dyDescent="0.2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spans="2:64" ht="15.75" customHeight="1" x14ac:dyDescent="0.2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spans="2:64" ht="15.75" customHeight="1" x14ac:dyDescent="0.2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spans="2:64" ht="15.75" customHeight="1" x14ac:dyDescent="0.2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spans="2:64" ht="15.75" customHeight="1" x14ac:dyDescent="0.2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spans="2:64" ht="15.75" customHeight="1" x14ac:dyDescent="0.2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spans="2:64" ht="15.75" customHeight="1" x14ac:dyDescent="0.2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spans="2:64" ht="15.75" customHeight="1" x14ac:dyDescent="0.2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spans="2:64" ht="15.75" customHeight="1" x14ac:dyDescent="0.2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spans="2:64" ht="15.75" customHeight="1" x14ac:dyDescent="0.2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spans="2:64" ht="15.75" customHeight="1" x14ac:dyDescent="0.2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spans="2:64" ht="15.75" customHeight="1" x14ac:dyDescent="0.2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spans="2:64" ht="15.75" customHeight="1" x14ac:dyDescent="0.2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spans="2:64" ht="15.75" customHeight="1" x14ac:dyDescent="0.2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spans="2:64" ht="15.75" customHeight="1" x14ac:dyDescent="0.2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spans="2:64" ht="15.75" customHeight="1" x14ac:dyDescent="0.2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spans="2:64" ht="15.75" customHeight="1" x14ac:dyDescent="0.2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spans="2:64" ht="15.75" customHeight="1" x14ac:dyDescent="0.2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spans="2:64" ht="15.75" customHeight="1" x14ac:dyDescent="0.2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spans="2:64" ht="15.75" customHeight="1" x14ac:dyDescent="0.2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spans="2:64" ht="15.75" customHeight="1" x14ac:dyDescent="0.2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spans="2:64" ht="15.75" customHeight="1" x14ac:dyDescent="0.2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spans="2:64" ht="15.75" customHeight="1" x14ac:dyDescent="0.2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spans="2:64" ht="15.75" customHeight="1" x14ac:dyDescent="0.2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spans="2:64" ht="15.75" customHeight="1" x14ac:dyDescent="0.2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spans="2:64" ht="15.75" customHeight="1" x14ac:dyDescent="0.2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spans="2:64" ht="15.75" customHeight="1" x14ac:dyDescent="0.2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spans="2:64" ht="15.75" customHeight="1" x14ac:dyDescent="0.2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spans="2:64" ht="15.75" customHeight="1" x14ac:dyDescent="0.2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spans="2:64" ht="15.75" customHeight="1" x14ac:dyDescent="0.2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spans="2:64" ht="15.75" customHeight="1" x14ac:dyDescent="0.2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spans="2:64" ht="15.75" customHeight="1" x14ac:dyDescent="0.2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spans="2:64" ht="15.75" customHeight="1" x14ac:dyDescent="0.2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spans="2:64" ht="15.75" customHeight="1" x14ac:dyDescent="0.2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spans="2:64" ht="15.75" customHeight="1" x14ac:dyDescent="0.2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spans="2:64" ht="15.75" customHeight="1" x14ac:dyDescent="0.2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spans="2:64" ht="15.75" customHeight="1" x14ac:dyDescent="0.2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spans="2:64" ht="15.75" customHeight="1" x14ac:dyDescent="0.2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spans="2:64" ht="15.75" customHeight="1" x14ac:dyDescent="0.2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spans="2:64" ht="15.75" customHeight="1" x14ac:dyDescent="0.2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spans="2:64" ht="15.75" customHeight="1" x14ac:dyDescent="0.2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spans="2:64" ht="15.75" customHeight="1" x14ac:dyDescent="0.2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spans="2:64" ht="15.75" customHeight="1" x14ac:dyDescent="0.2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spans="2:64" ht="15.75" customHeight="1" x14ac:dyDescent="0.2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spans="2:64" ht="15.75" customHeight="1" x14ac:dyDescent="0.2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spans="2:64" ht="15.75" customHeight="1" x14ac:dyDescent="0.2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spans="2:64" ht="15.75" customHeight="1" x14ac:dyDescent="0.2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spans="2:64" ht="15.75" customHeight="1" x14ac:dyDescent="0.2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spans="2:64" ht="15.75" customHeight="1" x14ac:dyDescent="0.2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spans="2:64" ht="15.75" customHeight="1" x14ac:dyDescent="0.2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spans="2:64" ht="15.75" customHeight="1" x14ac:dyDescent="0.2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spans="2:64" ht="15.75" customHeight="1" x14ac:dyDescent="0.2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spans="2:64" ht="15.75" customHeight="1" x14ac:dyDescent="0.2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spans="2:64" ht="15.75" customHeight="1" x14ac:dyDescent="0.2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spans="2:64" ht="15.75" customHeight="1" x14ac:dyDescent="0.2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spans="2:64" ht="15.75" customHeight="1" x14ac:dyDescent="0.2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spans="2:64" ht="15.75" customHeight="1" x14ac:dyDescent="0.2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spans="2:64" ht="15.75" customHeight="1" x14ac:dyDescent="0.2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spans="2:64" ht="15.75" customHeight="1" x14ac:dyDescent="0.2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spans="2:64" ht="15.75" customHeight="1" x14ac:dyDescent="0.2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spans="2:64" ht="15.75" customHeight="1" x14ac:dyDescent="0.2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spans="2:64" ht="15.75" customHeight="1" x14ac:dyDescent="0.2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spans="2:64" ht="15.75" customHeight="1" x14ac:dyDescent="0.2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spans="2:64" ht="15.75" customHeight="1" x14ac:dyDescent="0.2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spans="2:64" ht="15.75" customHeight="1" x14ac:dyDescent="0.2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spans="2:64" ht="15.75" customHeight="1" x14ac:dyDescent="0.2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spans="2:64" ht="15.75" customHeight="1" x14ac:dyDescent="0.2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spans="2:64" ht="15.75" customHeight="1" x14ac:dyDescent="0.2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spans="2:64" ht="15.75" customHeight="1" x14ac:dyDescent="0.2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spans="2:64" ht="15.75" customHeight="1" x14ac:dyDescent="0.2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spans="2:64" ht="15.75" customHeight="1" x14ac:dyDescent="0.2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spans="2:64" ht="15.75" customHeight="1" x14ac:dyDescent="0.2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spans="2:64" ht="15.75" customHeight="1" x14ac:dyDescent="0.2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spans="2:64" ht="15.75" customHeight="1" x14ac:dyDescent="0.2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spans="2:64" ht="15.75" customHeight="1" x14ac:dyDescent="0.2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spans="2:64" ht="15.75" customHeight="1" x14ac:dyDescent="0.2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spans="2:64" ht="15.75" customHeight="1" x14ac:dyDescent="0.2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spans="2:64" ht="15.75" customHeight="1" x14ac:dyDescent="0.2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spans="2:64" ht="15.75" customHeight="1" x14ac:dyDescent="0.2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spans="2:64" ht="15.75" customHeight="1" x14ac:dyDescent="0.2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spans="2:64" ht="15.75" customHeight="1" x14ac:dyDescent="0.2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spans="2:64" ht="15.75" customHeight="1" x14ac:dyDescent="0.2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spans="2:64" ht="15.75" customHeight="1" x14ac:dyDescent="0.2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spans="2:64" ht="15.75" customHeight="1" x14ac:dyDescent="0.2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spans="2:64" ht="15.75" customHeight="1" x14ac:dyDescent="0.2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spans="2:64" ht="15.75" customHeight="1" x14ac:dyDescent="0.2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spans="2:64" ht="15.75" customHeight="1" x14ac:dyDescent="0.2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spans="2:64" ht="15.75" customHeight="1" x14ac:dyDescent="0.2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spans="2:64" ht="15.75" customHeight="1" x14ac:dyDescent="0.2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spans="2:64" ht="15.75" customHeight="1" x14ac:dyDescent="0.2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spans="2:64" ht="15.75" customHeight="1" x14ac:dyDescent="0.2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spans="2:64" ht="15.75" customHeight="1" x14ac:dyDescent="0.2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spans="2:64" ht="15.75" customHeight="1" x14ac:dyDescent="0.2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spans="21:64" ht="15.75" customHeight="1" x14ac:dyDescent="0.2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spans="21:64" ht="15.75" customHeight="1" x14ac:dyDescent="0.2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spans="21:64" ht="15.75" customHeight="1" x14ac:dyDescent="0.2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spans="21:64" ht="15.75" customHeight="1" x14ac:dyDescent="0.2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spans="21:64" ht="15.75" customHeight="1" x14ac:dyDescent="0.2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spans="21:64" ht="15.75" customHeight="1" x14ac:dyDescent="0.2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spans="21:64" ht="15.75" customHeight="1" x14ac:dyDescent="0.2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spans="21:64" ht="15.75" customHeight="1" x14ac:dyDescent="0.2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spans="21:64" ht="15.75" customHeight="1" x14ac:dyDescent="0.2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spans="21:64" ht="15.75" customHeight="1" x14ac:dyDescent="0.2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spans="21:64" ht="15.75" customHeight="1" x14ac:dyDescent="0.2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spans="21:64" ht="15.75" customHeight="1" x14ac:dyDescent="0.2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spans="21:64" ht="15.75" customHeight="1" x14ac:dyDescent="0.2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spans="21:64" ht="15.75" customHeight="1" x14ac:dyDescent="0.2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spans="21:64" ht="15.75" customHeight="1" x14ac:dyDescent="0.2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spans="21:64" ht="15.75" customHeight="1" x14ac:dyDescent="0.2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spans="21:64" ht="15.75" customHeight="1" x14ac:dyDescent="0.2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spans="21:64" ht="15.75" customHeight="1" x14ac:dyDescent="0.2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spans="21:64" ht="15.75" customHeight="1" x14ac:dyDescent="0.2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spans="21:64" ht="15.75" customHeight="1" x14ac:dyDescent="0.2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spans="21:64" ht="15.75" customHeight="1" x14ac:dyDescent="0.2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spans="21:64" ht="15.75" customHeight="1" x14ac:dyDescent="0.2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spans="21:64" ht="15.75" customHeight="1" x14ac:dyDescent="0.2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spans="21:64" ht="15.75" customHeight="1" x14ac:dyDescent="0.2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spans="21:64" ht="15.75" customHeight="1" x14ac:dyDescent="0.2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spans="21:64" ht="15.75" customHeight="1" x14ac:dyDescent="0.2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spans="21:64" ht="15.75" customHeight="1" x14ac:dyDescent="0.2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spans="21:64" ht="15.75" customHeight="1" x14ac:dyDescent="0.2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spans="21:64" ht="15.75" customHeight="1" x14ac:dyDescent="0.2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spans="21:64" ht="15.75" customHeight="1" x14ac:dyDescent="0.2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spans="21:64" ht="15.75" customHeight="1" x14ac:dyDescent="0.2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spans="21:64" ht="15.75" customHeight="1" x14ac:dyDescent="0.2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spans="21:64" ht="15.75" customHeight="1" x14ac:dyDescent="0.2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spans="21:64" ht="15.75" customHeight="1" x14ac:dyDescent="0.2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spans="21:64" ht="15.75" customHeight="1" x14ac:dyDescent="0.2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spans="21:64" ht="15.75" customHeight="1" x14ac:dyDescent="0.2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spans="21:64" ht="15.75" customHeight="1" x14ac:dyDescent="0.2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spans="21:64" ht="15.75" customHeight="1" x14ac:dyDescent="0.2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spans="21:64" ht="15.75" customHeight="1" x14ac:dyDescent="0.2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spans="21:64" ht="15.75" customHeight="1" x14ac:dyDescent="0.2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spans="21:64" ht="15.75" customHeight="1" x14ac:dyDescent="0.2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spans="21:64" ht="15.75" customHeight="1" x14ac:dyDescent="0.2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spans="21:64" ht="15.75" customHeight="1" x14ac:dyDescent="0.2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spans="21:64" ht="15.75" customHeight="1" x14ac:dyDescent="0.2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spans="21:64" ht="15.75" customHeight="1" x14ac:dyDescent="0.2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spans="21:64" ht="15.75" customHeight="1" x14ac:dyDescent="0.2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spans="21:64" ht="15.75" customHeight="1" x14ac:dyDescent="0.2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spans="21:64" ht="15.75" customHeight="1" x14ac:dyDescent="0.2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spans="21:64" ht="15.75" customHeight="1" x14ac:dyDescent="0.2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spans="21:64" ht="15.75" customHeight="1" x14ac:dyDescent="0.2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spans="21:64" ht="15.75" customHeight="1" x14ac:dyDescent="0.2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spans="21:64" ht="15.75" customHeight="1" x14ac:dyDescent="0.2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spans="21:64" ht="15.75" customHeight="1" x14ac:dyDescent="0.2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spans="21:64" ht="15.75" customHeight="1" x14ac:dyDescent="0.2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spans="21:64" ht="15.75" customHeight="1" x14ac:dyDescent="0.2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spans="21:64" ht="15.75" customHeight="1" x14ac:dyDescent="0.2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spans="21:64" ht="15.75" customHeight="1" x14ac:dyDescent="0.2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spans="21:64" ht="15.75" customHeight="1" x14ac:dyDescent="0.2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spans="21:64" ht="15.75" customHeight="1" x14ac:dyDescent="0.2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spans="21:64" ht="15.75" customHeight="1" x14ac:dyDescent="0.2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spans="21:64" ht="15.75" customHeight="1" x14ac:dyDescent="0.2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spans="21:64" ht="15.75" customHeight="1" x14ac:dyDescent="0.2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spans="21:64" ht="15.75" customHeight="1" x14ac:dyDescent="0.2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spans="21:64" ht="15.75" customHeight="1" x14ac:dyDescent="0.2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spans="21:64" ht="15.75" customHeight="1" x14ac:dyDescent="0.2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spans="21:64" ht="15.75" customHeight="1" x14ac:dyDescent="0.2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spans="21:64" ht="15.75" customHeight="1" x14ac:dyDescent="0.2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spans="21:64" ht="15.75" customHeight="1" x14ac:dyDescent="0.2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spans="21:64" ht="15.75" customHeight="1" x14ac:dyDescent="0.2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spans="21:64" ht="15.75" customHeight="1" x14ac:dyDescent="0.2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spans="21:64" ht="15.75" customHeight="1" x14ac:dyDescent="0.2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spans="21:64" ht="15.75" customHeight="1" x14ac:dyDescent="0.2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spans="21:64" ht="15.75" customHeight="1" x14ac:dyDescent="0.2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spans="21:64" ht="15.75" customHeight="1" x14ac:dyDescent="0.2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spans="21:64" ht="15.75" customHeight="1" x14ac:dyDescent="0.2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spans="21:64" ht="15.75" customHeight="1" x14ac:dyDescent="0.2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spans="21:64" ht="15.75" customHeight="1" x14ac:dyDescent="0.2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spans="21:64" ht="15.75" customHeight="1" x14ac:dyDescent="0.2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spans="21:64" ht="15.75" customHeight="1" x14ac:dyDescent="0.2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spans="21:64" ht="15.75" customHeight="1" x14ac:dyDescent="0.2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spans="21:64" ht="15.75" customHeight="1" x14ac:dyDescent="0.2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spans="21:64" ht="15.75" customHeight="1" x14ac:dyDescent="0.2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spans="21:64" ht="15.75" customHeight="1" x14ac:dyDescent="0.2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spans="21:64" ht="15.75" customHeight="1" x14ac:dyDescent="0.2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spans="21:64" ht="15.75" customHeight="1" x14ac:dyDescent="0.2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spans="21:64" ht="15.75" customHeight="1" x14ac:dyDescent="0.2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spans="21:64" ht="15.75" customHeight="1" x14ac:dyDescent="0.2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spans="21:64" ht="15.75" customHeight="1" x14ac:dyDescent="0.2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spans="21:64" ht="15.75" customHeight="1" x14ac:dyDescent="0.2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spans="21:64" ht="15.75" customHeight="1" x14ac:dyDescent="0.2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spans="21:64" ht="15.75" customHeight="1" x14ac:dyDescent="0.2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spans="21:64" ht="15.75" customHeight="1" x14ac:dyDescent="0.2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spans="21:64" ht="15.75" customHeight="1" x14ac:dyDescent="0.2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spans="21:64" ht="15.75" customHeight="1" x14ac:dyDescent="0.2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spans="21:64" ht="15.75" customHeight="1" x14ac:dyDescent="0.2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spans="21:64" ht="15.75" customHeight="1" x14ac:dyDescent="0.2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spans="21:64" ht="15.75" customHeight="1" x14ac:dyDescent="0.2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spans="21:64" ht="15.75" customHeight="1" x14ac:dyDescent="0.2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spans="21:64" ht="15.75" customHeight="1" x14ac:dyDescent="0.2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spans="21:64" ht="15.75" customHeight="1" x14ac:dyDescent="0.2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spans="21:64" ht="15.75" customHeight="1" x14ac:dyDescent="0.2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spans="21:64" ht="15.75" customHeight="1" x14ac:dyDescent="0.2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spans="21:64" ht="15.75" customHeight="1" x14ac:dyDescent="0.2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spans="21:64" ht="15.75" customHeight="1" x14ac:dyDescent="0.2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spans="21:64" ht="15.75" customHeight="1" x14ac:dyDescent="0.2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spans="21:64" ht="15.75" customHeight="1" x14ac:dyDescent="0.2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spans="21:64" ht="15.75" customHeight="1" x14ac:dyDescent="0.2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spans="21:64" ht="15.75" customHeight="1" x14ac:dyDescent="0.2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spans="21:64" ht="15.75" customHeight="1" x14ac:dyDescent="0.2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spans="21:64" ht="15.75" customHeight="1" x14ac:dyDescent="0.2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spans="21:64" ht="15.75" customHeight="1" x14ac:dyDescent="0.2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spans="21:64" ht="15.75" customHeight="1" x14ac:dyDescent="0.2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spans="21:64" ht="15.75" customHeight="1" x14ac:dyDescent="0.2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spans="21:64" ht="15.75" customHeight="1" x14ac:dyDescent="0.2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spans="21:64" ht="15.75" customHeight="1" x14ac:dyDescent="0.2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spans="21:64" ht="15.75" customHeight="1" x14ac:dyDescent="0.2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spans="21:64" ht="15.75" customHeight="1" x14ac:dyDescent="0.2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spans="21:64" ht="15.75" customHeight="1" x14ac:dyDescent="0.2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spans="21:64" ht="15.75" customHeight="1" x14ac:dyDescent="0.2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spans="21:64" ht="15.75" customHeight="1" x14ac:dyDescent="0.2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spans="21:64" ht="15.75" customHeight="1" x14ac:dyDescent="0.2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spans="21:64" ht="15.75" customHeight="1" x14ac:dyDescent="0.2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spans="21:64" ht="15.75" customHeight="1" x14ac:dyDescent="0.2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spans="21:64" ht="15.75" customHeight="1" x14ac:dyDescent="0.2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spans="21:64" ht="15.75" customHeight="1" x14ac:dyDescent="0.2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spans="21:64" ht="15.75" customHeight="1" x14ac:dyDescent="0.2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spans="21:64" ht="15.75" customHeight="1" x14ac:dyDescent="0.2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spans="21:64" ht="15.75" customHeight="1" x14ac:dyDescent="0.2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spans="21:64" ht="15.75" customHeight="1" x14ac:dyDescent="0.2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spans="21:64" ht="15.75" customHeight="1" x14ac:dyDescent="0.2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spans="21:64" ht="15.75" customHeight="1" x14ac:dyDescent="0.2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spans="21:64" ht="15.75" customHeight="1" x14ac:dyDescent="0.2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spans="21:64" ht="15.75" customHeight="1" x14ac:dyDescent="0.2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spans="21:64" ht="15.75" customHeight="1" x14ac:dyDescent="0.2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spans="21:64" ht="15.75" customHeight="1" x14ac:dyDescent="0.2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spans="21:64" ht="15.75" customHeight="1" x14ac:dyDescent="0.2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spans="21:64" ht="15.75" customHeight="1" x14ac:dyDescent="0.2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spans="21:64" ht="15.75" customHeight="1" x14ac:dyDescent="0.2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spans="21:64" ht="15.75" customHeight="1" x14ac:dyDescent="0.2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spans="21:64" ht="15.75" customHeight="1" x14ac:dyDescent="0.2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spans="21:64" ht="15.75" customHeight="1" x14ac:dyDescent="0.2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spans="21:64" ht="15.75" customHeight="1" x14ac:dyDescent="0.2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spans="21:64" ht="15.75" customHeight="1" x14ac:dyDescent="0.2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spans="21:64" ht="15.75" customHeight="1" x14ac:dyDescent="0.2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spans="21:64" ht="15.75" customHeight="1" x14ac:dyDescent="0.2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spans="21:64" ht="15.75" customHeight="1" x14ac:dyDescent="0.2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spans="21:64" ht="15.75" customHeight="1" x14ac:dyDescent="0.2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spans="21:64" ht="15.75" customHeight="1" x14ac:dyDescent="0.2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spans="21:64" ht="15.75" customHeight="1" x14ac:dyDescent="0.2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spans="21:64" ht="15.75" customHeight="1" x14ac:dyDescent="0.2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spans="21:64" ht="15.75" customHeight="1" x14ac:dyDescent="0.2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spans="21:64" ht="15.75" customHeight="1" x14ac:dyDescent="0.2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spans="21:64" ht="15.75" customHeight="1" x14ac:dyDescent="0.2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spans="21:64" ht="15.75" customHeight="1" x14ac:dyDescent="0.2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spans="21:64" ht="15.75" customHeight="1" x14ac:dyDescent="0.2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spans="21:64" ht="15.75" customHeight="1" x14ac:dyDescent="0.2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spans="21:64" ht="15.75" customHeight="1" x14ac:dyDescent="0.2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spans="21:64" ht="15.75" customHeight="1" x14ac:dyDescent="0.2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spans="21:64" ht="15.75" customHeight="1" x14ac:dyDescent="0.2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spans="21:64" ht="15.75" customHeight="1" x14ac:dyDescent="0.2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spans="21:64" ht="15.75" customHeight="1" x14ac:dyDescent="0.2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spans="21:64" ht="15.75" customHeight="1" x14ac:dyDescent="0.2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spans="21:64" ht="15.75" customHeight="1" x14ac:dyDescent="0.2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spans="21:64" ht="15.75" customHeight="1" x14ac:dyDescent="0.2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spans="21:64" ht="15.75" customHeight="1" x14ac:dyDescent="0.2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spans="21:64" ht="15.75" customHeight="1" x14ac:dyDescent="0.2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spans="21:64" ht="15.75" customHeight="1" x14ac:dyDescent="0.2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spans="21:64" ht="15.75" customHeight="1" x14ac:dyDescent="0.2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spans="21:64" ht="15.75" customHeight="1" x14ac:dyDescent="0.2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spans="21:64" ht="15.75" customHeight="1" x14ac:dyDescent="0.2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spans="21:64" ht="15.75" customHeight="1" x14ac:dyDescent="0.2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spans="21:64" ht="15.75" customHeight="1" x14ac:dyDescent="0.2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spans="21:64" ht="15.75" customHeight="1" x14ac:dyDescent="0.2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spans="21:64" ht="15.75" customHeight="1" x14ac:dyDescent="0.2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spans="21:64" ht="15.75" customHeight="1" x14ac:dyDescent="0.2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spans="21:64" ht="15.75" customHeight="1" x14ac:dyDescent="0.2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spans="21:64" ht="15.75" customHeight="1" x14ac:dyDescent="0.2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spans="21:64" ht="15.75" customHeight="1" x14ac:dyDescent="0.2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spans="21:64" ht="15.75" customHeight="1" x14ac:dyDescent="0.2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spans="21:64" ht="15.75" customHeight="1" x14ac:dyDescent="0.2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spans="21:64" ht="15.75" customHeight="1" x14ac:dyDescent="0.2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spans="21:64" ht="15.75" customHeight="1" x14ac:dyDescent="0.2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spans="21:64" ht="15.75" customHeight="1" x14ac:dyDescent="0.2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spans="21:64" ht="15.75" customHeight="1" x14ac:dyDescent="0.2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spans="21:64" ht="15.75" customHeight="1" x14ac:dyDescent="0.2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spans="21:64" ht="15.75" customHeight="1" x14ac:dyDescent="0.2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spans="21:64" ht="15.75" customHeight="1" x14ac:dyDescent="0.2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spans="21:64" ht="15.75" customHeight="1" x14ac:dyDescent="0.2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spans="21:64" ht="15.75" customHeight="1" x14ac:dyDescent="0.2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spans="21:64" ht="15.75" customHeight="1" x14ac:dyDescent="0.2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spans="21:64" ht="15.75" customHeight="1" x14ac:dyDescent="0.2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spans="21:64" ht="15.75" customHeight="1" x14ac:dyDescent="0.2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spans="21:64" ht="15.75" customHeight="1" x14ac:dyDescent="0.2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spans="21:64" ht="15.75" customHeight="1" x14ac:dyDescent="0.2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spans="21:64" ht="15.75" customHeight="1" x14ac:dyDescent="0.2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spans="21:64" ht="15.75" customHeight="1" x14ac:dyDescent="0.2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spans="21:64" ht="15.75" customHeight="1" x14ac:dyDescent="0.2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spans="21:64" ht="15.75" customHeight="1" x14ac:dyDescent="0.2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spans="21:64" ht="15.75" customHeight="1" x14ac:dyDescent="0.2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spans="21:64" ht="15.75" customHeight="1" x14ac:dyDescent="0.2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spans="21:64" ht="15.75" customHeight="1" x14ac:dyDescent="0.2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spans="21:64" ht="15.75" customHeight="1" x14ac:dyDescent="0.2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spans="21:64" ht="15.75" customHeight="1" x14ac:dyDescent="0.2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spans="21:64" ht="15.75" customHeight="1" x14ac:dyDescent="0.2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spans="21:64" ht="15.75" customHeight="1" x14ac:dyDescent="0.2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spans="21:64" ht="15.75" customHeight="1" x14ac:dyDescent="0.2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spans="21:64" ht="15.75" customHeight="1" x14ac:dyDescent="0.2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spans="21:64" ht="15.75" customHeight="1" x14ac:dyDescent="0.2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spans="21:64" ht="15.75" customHeight="1" x14ac:dyDescent="0.2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spans="21:64" ht="15.75" customHeight="1" x14ac:dyDescent="0.2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spans="21:64" ht="15.75" customHeight="1" x14ac:dyDescent="0.2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spans="21:64" ht="15.75" customHeight="1" x14ac:dyDescent="0.2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spans="21:64" ht="15.75" customHeight="1" x14ac:dyDescent="0.2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spans="21:64" ht="15.75" customHeight="1" x14ac:dyDescent="0.2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spans="21:64" ht="15.75" customHeight="1" x14ac:dyDescent="0.2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spans="21:64" ht="15.75" customHeight="1" x14ac:dyDescent="0.2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spans="21:64" ht="15.75" customHeight="1" x14ac:dyDescent="0.2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spans="21:64" ht="15.75" customHeight="1" x14ac:dyDescent="0.2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spans="21:64" ht="15.75" customHeight="1" x14ac:dyDescent="0.2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spans="21:64" ht="15.75" customHeight="1" x14ac:dyDescent="0.2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spans="21:64" ht="15.75" customHeight="1" x14ac:dyDescent="0.2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spans="21:64" ht="15.75" customHeight="1" x14ac:dyDescent="0.2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spans="21:64" ht="15.75" customHeight="1" x14ac:dyDescent="0.2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spans="21:64" ht="15.75" customHeight="1" x14ac:dyDescent="0.2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spans="21:64" ht="15.75" customHeight="1" x14ac:dyDescent="0.2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spans="21:64" ht="15.75" customHeight="1" x14ac:dyDescent="0.2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spans="21:64" ht="15.75" customHeight="1" x14ac:dyDescent="0.2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spans="21:64" ht="15.75" customHeight="1" x14ac:dyDescent="0.2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spans="21:64" ht="15.75" customHeight="1" x14ac:dyDescent="0.2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spans="21:64" ht="15.75" customHeight="1" x14ac:dyDescent="0.2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spans="21:64" ht="15.75" customHeight="1" x14ac:dyDescent="0.2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spans="21:64" ht="15.75" customHeight="1" x14ac:dyDescent="0.2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spans="21:64" ht="15.75" customHeight="1" x14ac:dyDescent="0.2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spans="21:64" ht="15.75" customHeight="1" x14ac:dyDescent="0.2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spans="21:64" ht="15.75" customHeight="1" x14ac:dyDescent="0.2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spans="21:64" ht="15.75" customHeight="1" x14ac:dyDescent="0.2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spans="21:64" ht="15.75" customHeight="1" x14ac:dyDescent="0.2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spans="21:64" ht="15.75" customHeight="1" x14ac:dyDescent="0.2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spans="21:64" ht="15.75" customHeight="1" x14ac:dyDescent="0.2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spans="21:64" ht="15.75" customHeight="1" x14ac:dyDescent="0.2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spans="21:64" ht="15.75" customHeight="1" x14ac:dyDescent="0.2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spans="21:64" ht="15.75" customHeight="1" x14ac:dyDescent="0.2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spans="21:64" ht="15.75" customHeight="1" x14ac:dyDescent="0.2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spans="21:64" ht="15.75" customHeight="1" x14ac:dyDescent="0.2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spans="21:64" ht="15.75" customHeight="1" x14ac:dyDescent="0.2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spans="21:64" ht="15.75" customHeight="1" x14ac:dyDescent="0.2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spans="21:64" ht="15.75" customHeight="1" x14ac:dyDescent="0.2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spans="21:64" ht="15.75" customHeight="1" x14ac:dyDescent="0.2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spans="21:64" ht="15.75" customHeight="1" x14ac:dyDescent="0.2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spans="21:64" ht="15.75" customHeight="1" x14ac:dyDescent="0.2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spans="21:64" ht="15.75" customHeight="1" x14ac:dyDescent="0.2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spans="21:64" ht="15.75" customHeight="1" x14ac:dyDescent="0.2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spans="21:64" ht="15.75" customHeight="1" x14ac:dyDescent="0.2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spans="21:64" ht="15.75" customHeight="1" x14ac:dyDescent="0.2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spans="21:64" ht="15.75" customHeight="1" x14ac:dyDescent="0.2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spans="21:64" ht="15.75" customHeight="1" x14ac:dyDescent="0.2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spans="21:64" ht="15.75" customHeight="1" x14ac:dyDescent="0.2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spans="21:64" ht="15.75" customHeight="1" x14ac:dyDescent="0.2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spans="21:64" ht="15.75" customHeight="1" x14ac:dyDescent="0.2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spans="21:64" ht="15.75" customHeight="1" x14ac:dyDescent="0.2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spans="21:64" ht="15.75" customHeight="1" x14ac:dyDescent="0.2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spans="21:64" ht="15.75" customHeight="1" x14ac:dyDescent="0.2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spans="21:64" ht="15.75" customHeight="1" x14ac:dyDescent="0.2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spans="21:64" ht="15.75" customHeight="1" x14ac:dyDescent="0.2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spans="21:64" ht="15.75" customHeight="1" x14ac:dyDescent="0.2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spans="21:64" ht="15.75" customHeight="1" x14ac:dyDescent="0.2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spans="21:64" ht="15.75" customHeight="1" x14ac:dyDescent="0.2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spans="21:64" ht="15.75" customHeight="1" x14ac:dyDescent="0.2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spans="21:64" ht="15.75" customHeight="1" x14ac:dyDescent="0.2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spans="21:64" ht="15.75" customHeight="1" x14ac:dyDescent="0.2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spans="21:64" ht="15.75" customHeight="1" x14ac:dyDescent="0.2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spans="21:64" ht="15.75" customHeight="1" x14ac:dyDescent="0.2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spans="21:64" ht="15.75" customHeight="1" x14ac:dyDescent="0.2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spans="21:64" ht="15.75" customHeight="1" x14ac:dyDescent="0.2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spans="21:64" ht="15.75" customHeight="1" x14ac:dyDescent="0.2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spans="21:64" ht="15.75" customHeight="1" x14ac:dyDescent="0.2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spans="21:64" ht="15.75" customHeight="1" x14ac:dyDescent="0.2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spans="21:64" ht="15.75" customHeight="1" x14ac:dyDescent="0.2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spans="21:64" ht="15.75" customHeight="1" x14ac:dyDescent="0.2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spans="21:64" ht="15.75" customHeight="1" x14ac:dyDescent="0.2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spans="21:64" ht="15.75" customHeight="1" x14ac:dyDescent="0.2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spans="21:64" ht="15.75" customHeight="1" x14ac:dyDescent="0.2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spans="21:64" ht="15.75" customHeight="1" x14ac:dyDescent="0.2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spans="21:64" ht="15.75" customHeight="1" x14ac:dyDescent="0.2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spans="21:64" ht="15.75" customHeight="1" x14ac:dyDescent="0.2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spans="21:64" ht="15.75" customHeight="1" x14ac:dyDescent="0.2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spans="21:64" ht="15.75" customHeight="1" x14ac:dyDescent="0.2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spans="21:64" ht="15.75" customHeight="1" x14ac:dyDescent="0.2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spans="21:64" ht="15.75" customHeight="1" x14ac:dyDescent="0.2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spans="21:64" ht="15.75" customHeight="1" x14ac:dyDescent="0.2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spans="21:64" ht="15.75" customHeight="1" x14ac:dyDescent="0.2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spans="21:64" ht="15.75" customHeight="1" x14ac:dyDescent="0.2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spans="21:64" ht="15.75" customHeight="1" x14ac:dyDescent="0.2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spans="21:64" ht="15.75" customHeight="1" x14ac:dyDescent="0.2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spans="21:64" ht="15.75" customHeight="1" x14ac:dyDescent="0.2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spans="21:64" ht="15.75" customHeight="1" x14ac:dyDescent="0.2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spans="21:64" ht="15.75" customHeight="1" x14ac:dyDescent="0.2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spans="21:64" ht="15.75" customHeight="1" x14ac:dyDescent="0.2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spans="21:64" ht="15.75" customHeight="1" x14ac:dyDescent="0.2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spans="21:64" ht="15.75" customHeight="1" x14ac:dyDescent="0.2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spans="21:64" ht="15.75" customHeight="1" x14ac:dyDescent="0.2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spans="21:64" ht="15.75" customHeight="1" x14ac:dyDescent="0.2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spans="21:64" ht="15.75" customHeight="1" x14ac:dyDescent="0.2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spans="21:64" ht="15.75" customHeight="1" x14ac:dyDescent="0.2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spans="21:64" ht="15.75" customHeight="1" x14ac:dyDescent="0.2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spans="21:64" ht="15.75" customHeight="1" x14ac:dyDescent="0.2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spans="21:64" ht="15.75" customHeight="1" x14ac:dyDescent="0.2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spans="21:64" ht="15.75" customHeight="1" x14ac:dyDescent="0.2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spans="21:64" ht="15.75" customHeight="1" x14ac:dyDescent="0.2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spans="21:64" ht="15.75" customHeight="1" x14ac:dyDescent="0.2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spans="21:64" ht="15.75" customHeight="1" x14ac:dyDescent="0.2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spans="21:64" ht="15.75" customHeight="1" x14ac:dyDescent="0.2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spans="21:64" ht="15.75" customHeight="1" x14ac:dyDescent="0.2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spans="21:64" ht="15.75" customHeight="1" x14ac:dyDescent="0.2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spans="21:64" ht="15.75" customHeight="1" x14ac:dyDescent="0.2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spans="21:64" ht="15.75" customHeight="1" x14ac:dyDescent="0.2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spans="21:64" ht="15.75" customHeight="1" x14ac:dyDescent="0.2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spans="21:64" ht="15.75" customHeight="1" x14ac:dyDescent="0.2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spans="21:64" ht="15.75" customHeight="1" x14ac:dyDescent="0.2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spans="21:64" ht="15.75" customHeight="1" x14ac:dyDescent="0.2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spans="21:64" ht="15.75" customHeight="1" x14ac:dyDescent="0.2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spans="21:64" ht="15.75" customHeight="1" x14ac:dyDescent="0.2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spans="21:64" ht="15.75" customHeight="1" x14ac:dyDescent="0.2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spans="21:64" ht="15.75" customHeight="1" x14ac:dyDescent="0.2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spans="21:64" ht="15.75" customHeight="1" x14ac:dyDescent="0.2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spans="21:64" ht="15.75" customHeight="1" x14ac:dyDescent="0.2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spans="21:64" ht="15.75" customHeight="1" x14ac:dyDescent="0.2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spans="21:64" ht="15.75" customHeight="1" x14ac:dyDescent="0.2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spans="21:64" ht="15.75" customHeight="1" x14ac:dyDescent="0.2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spans="21:64" ht="15.75" customHeight="1" x14ac:dyDescent="0.2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spans="21:64" ht="15.75" customHeight="1" x14ac:dyDescent="0.2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spans="21:64" ht="15.75" customHeight="1" x14ac:dyDescent="0.2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spans="21:64" ht="15.75" customHeight="1" x14ac:dyDescent="0.2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spans="21:64" ht="15.75" customHeight="1" x14ac:dyDescent="0.2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spans="21:64" ht="15.75" customHeight="1" x14ac:dyDescent="0.2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spans="21:64" ht="15.75" customHeight="1" x14ac:dyDescent="0.2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spans="21:64" ht="15.75" customHeight="1" x14ac:dyDescent="0.2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spans="21:64" ht="15.75" customHeight="1" x14ac:dyDescent="0.2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spans="21:64" ht="15.75" customHeight="1" x14ac:dyDescent="0.2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spans="21:64" ht="15.75" customHeight="1" x14ac:dyDescent="0.2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spans="21:64" ht="15.75" customHeight="1" x14ac:dyDescent="0.2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spans="21:64" ht="15.75" customHeight="1" x14ac:dyDescent="0.2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spans="21:64" ht="15.75" customHeight="1" x14ac:dyDescent="0.2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spans="21:64" ht="15.75" customHeight="1" x14ac:dyDescent="0.2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spans="21:64" ht="15.75" customHeight="1" x14ac:dyDescent="0.2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spans="21:64" ht="15.75" customHeight="1" x14ac:dyDescent="0.2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spans="21:64" ht="15.75" customHeight="1" x14ac:dyDescent="0.2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spans="21:64" ht="15.75" customHeight="1" x14ac:dyDescent="0.2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spans="21:64" ht="15.75" customHeight="1" x14ac:dyDescent="0.2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spans="21:64" ht="15.75" customHeight="1" x14ac:dyDescent="0.2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spans="21:64" ht="15.75" customHeight="1" x14ac:dyDescent="0.2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spans="21:64" ht="15.75" customHeight="1" x14ac:dyDescent="0.2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spans="21:64" ht="15.75" customHeight="1" x14ac:dyDescent="0.2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spans="21:64" ht="15.75" customHeight="1" x14ac:dyDescent="0.2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spans="21:64" ht="15.75" customHeight="1" x14ac:dyDescent="0.2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spans="21:64" ht="15.75" customHeight="1" x14ac:dyDescent="0.2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spans="21:64" ht="15.75" customHeight="1" x14ac:dyDescent="0.2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spans="21:64" ht="15.75" customHeight="1" x14ac:dyDescent="0.2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spans="21:64" ht="15.75" customHeight="1" x14ac:dyDescent="0.2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spans="21:64" ht="15.75" customHeight="1" x14ac:dyDescent="0.2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spans="21:64" ht="15.75" customHeight="1" x14ac:dyDescent="0.2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spans="21:64" ht="15.75" customHeight="1" x14ac:dyDescent="0.2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spans="21:64" ht="15.75" customHeight="1" x14ac:dyDescent="0.2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spans="21:64" ht="15.75" customHeight="1" x14ac:dyDescent="0.2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spans="21:64" ht="15.75" customHeight="1" x14ac:dyDescent="0.2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spans="21:64" ht="15.75" customHeight="1" x14ac:dyDescent="0.2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spans="21:64" ht="15.75" customHeight="1" x14ac:dyDescent="0.2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spans="21:64" ht="15.75" customHeight="1" x14ac:dyDescent="0.2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spans="21:64" ht="15.75" customHeight="1" x14ac:dyDescent="0.2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spans="21:64" ht="15.75" customHeight="1" x14ac:dyDescent="0.2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spans="21:64" ht="15.75" customHeight="1" x14ac:dyDescent="0.2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spans="21:64" ht="15.75" customHeight="1" x14ac:dyDescent="0.2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spans="21:64" ht="15.75" customHeight="1" x14ac:dyDescent="0.2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spans="21:64" ht="15.75" customHeight="1" x14ac:dyDescent="0.2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spans="21:64" ht="15.75" customHeight="1" x14ac:dyDescent="0.2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spans="21:64" ht="15.75" customHeight="1" x14ac:dyDescent="0.2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spans="21:64" ht="15.75" customHeight="1" x14ac:dyDescent="0.2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spans="21:64" ht="15.75" customHeight="1" x14ac:dyDescent="0.2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spans="21:64" ht="15.75" customHeight="1" x14ac:dyDescent="0.2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spans="21:64" ht="15.75" customHeight="1" x14ac:dyDescent="0.2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spans="21:64" ht="15.75" customHeight="1" x14ac:dyDescent="0.2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spans="21:64" ht="15.75" customHeight="1" x14ac:dyDescent="0.2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spans="21:64" ht="15.75" customHeight="1" x14ac:dyDescent="0.2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spans="21:64" ht="15.75" customHeight="1" x14ac:dyDescent="0.2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spans="21:64" ht="15.75" customHeight="1" x14ac:dyDescent="0.2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spans="21:64" ht="15.75" customHeight="1" x14ac:dyDescent="0.2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spans="21:64" ht="15.75" customHeight="1" x14ac:dyDescent="0.2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spans="21:64" ht="15.75" customHeight="1" x14ac:dyDescent="0.2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spans="21:64" ht="15.75" customHeight="1" x14ac:dyDescent="0.2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spans="21:64" ht="15.75" customHeight="1" x14ac:dyDescent="0.2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spans="21:64" ht="15.75" customHeight="1" x14ac:dyDescent="0.2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spans="21:64" ht="15.75" customHeight="1" x14ac:dyDescent="0.2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spans="21:64" ht="15.75" customHeight="1" x14ac:dyDescent="0.2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spans="21:64" ht="15.75" customHeight="1" x14ac:dyDescent="0.2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spans="21:64" ht="15.75" customHeight="1" x14ac:dyDescent="0.2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spans="21:64" ht="15.75" customHeight="1" x14ac:dyDescent="0.2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spans="21:64" ht="15.75" customHeight="1" x14ac:dyDescent="0.2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spans="21:64" ht="15.75" customHeight="1" x14ac:dyDescent="0.2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spans="21:64" ht="15.75" customHeight="1" x14ac:dyDescent="0.2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spans="21:64" ht="15.75" customHeight="1" x14ac:dyDescent="0.2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spans="21:64" ht="15.75" customHeight="1" x14ac:dyDescent="0.2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spans="21:64" ht="15.75" customHeight="1" x14ac:dyDescent="0.2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spans="21:64" ht="15.75" customHeight="1" x14ac:dyDescent="0.2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spans="21:64" ht="15.75" customHeight="1" x14ac:dyDescent="0.2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spans="21:64" ht="15.75" customHeight="1" x14ac:dyDescent="0.2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spans="21:64" ht="15.75" customHeight="1" x14ac:dyDescent="0.2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spans="21:64" ht="15.75" customHeight="1" x14ac:dyDescent="0.2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spans="21:64" ht="15.75" customHeight="1" x14ac:dyDescent="0.2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spans="21:64" ht="15.75" customHeight="1" x14ac:dyDescent="0.2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spans="21:64" ht="15.75" customHeight="1" x14ac:dyDescent="0.2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spans="21:64" ht="15.75" customHeight="1" x14ac:dyDescent="0.2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spans="21:64" ht="15.75" customHeight="1" x14ac:dyDescent="0.2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spans="21:64" ht="15.75" customHeight="1" x14ac:dyDescent="0.2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spans="21:64" ht="15.75" customHeight="1" x14ac:dyDescent="0.2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spans="21:64" ht="15.75" customHeight="1" x14ac:dyDescent="0.2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spans="21:64" ht="15.75" customHeight="1" x14ac:dyDescent="0.2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spans="21:64" ht="15.75" customHeight="1" x14ac:dyDescent="0.2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spans="21:64" ht="15.75" customHeight="1" x14ac:dyDescent="0.2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spans="21:64" ht="15.75" customHeight="1" x14ac:dyDescent="0.2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spans="21:64" ht="15.75" customHeight="1" x14ac:dyDescent="0.2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spans="21:64" ht="15.75" customHeight="1" x14ac:dyDescent="0.2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spans="21:64" ht="15.75" customHeight="1" x14ac:dyDescent="0.2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spans="21:64" ht="15.75" customHeight="1" x14ac:dyDescent="0.2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spans="21:64" ht="15.75" customHeight="1" x14ac:dyDescent="0.2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spans="21:64" ht="15.75" customHeight="1" x14ac:dyDescent="0.2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spans="21:64" ht="15.75" customHeight="1" x14ac:dyDescent="0.2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spans="21:64" ht="15.75" customHeight="1" x14ac:dyDescent="0.2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spans="21:64" ht="15.75" customHeight="1" x14ac:dyDescent="0.2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spans="21:64" ht="15.75" customHeight="1" x14ac:dyDescent="0.2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spans="21:64" ht="15.75" customHeight="1" x14ac:dyDescent="0.2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spans="21:64" ht="15.75" customHeight="1" x14ac:dyDescent="0.2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spans="21:64" ht="15.75" customHeight="1" x14ac:dyDescent="0.2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spans="21:64" ht="15.75" customHeight="1" x14ac:dyDescent="0.2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spans="21:64" ht="15.75" customHeight="1" x14ac:dyDescent="0.2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spans="21:64" ht="15.75" customHeight="1" x14ac:dyDescent="0.2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spans="21:64" ht="15.75" customHeight="1" x14ac:dyDescent="0.2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spans="21:64" ht="15.75" customHeight="1" x14ac:dyDescent="0.2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spans="21:64" ht="15.75" customHeight="1" x14ac:dyDescent="0.2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spans="21:64" ht="15.75" customHeight="1" x14ac:dyDescent="0.2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spans="21:64" ht="15.75" customHeight="1" x14ac:dyDescent="0.2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spans="21:64" ht="15.75" customHeight="1" x14ac:dyDescent="0.2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spans="21:64" ht="15.75" customHeight="1" x14ac:dyDescent="0.2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spans="21:64" ht="15.75" customHeight="1" x14ac:dyDescent="0.2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spans="21:64" ht="15.75" customHeight="1" x14ac:dyDescent="0.2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spans="21:64" ht="15.75" customHeight="1" x14ac:dyDescent="0.2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spans="21:64" ht="15.75" customHeight="1" x14ac:dyDescent="0.2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spans="21:64" ht="15.75" customHeight="1" x14ac:dyDescent="0.2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spans="21:64" ht="15.75" customHeight="1" x14ac:dyDescent="0.2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spans="21:64" ht="15.75" customHeight="1" x14ac:dyDescent="0.2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spans="21:64" ht="15.75" customHeight="1" x14ac:dyDescent="0.2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spans="21:64" ht="15.75" customHeight="1" x14ac:dyDescent="0.2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spans="21:64" ht="15.75" customHeight="1" x14ac:dyDescent="0.2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spans="21:64" ht="15.75" customHeight="1" x14ac:dyDescent="0.2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spans="21:64" ht="15.75" customHeight="1" x14ac:dyDescent="0.2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spans="21:64" ht="15.75" customHeight="1" x14ac:dyDescent="0.2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spans="21:64" ht="15.75" customHeight="1" x14ac:dyDescent="0.2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spans="21:64" ht="15.75" customHeight="1" x14ac:dyDescent="0.2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spans="21:64" ht="15.75" customHeight="1" x14ac:dyDescent="0.2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spans="21:64" ht="15.75" customHeight="1" x14ac:dyDescent="0.2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spans="21:64" ht="15.75" customHeight="1" x14ac:dyDescent="0.2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spans="21:64" ht="15.75" customHeight="1" x14ac:dyDescent="0.2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spans="21:64" ht="15.75" customHeight="1" x14ac:dyDescent="0.2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spans="21:64" ht="15.75" customHeight="1" x14ac:dyDescent="0.2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spans="21:64" ht="15.75" customHeight="1" x14ac:dyDescent="0.2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spans="21:64" ht="15.75" customHeight="1" x14ac:dyDescent="0.2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spans="21:64" ht="15.75" customHeight="1" x14ac:dyDescent="0.2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spans="21:64" ht="15.75" customHeight="1" x14ac:dyDescent="0.2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spans="21:64" ht="15.75" customHeight="1" x14ac:dyDescent="0.2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spans="21:64" ht="15.75" customHeight="1" x14ac:dyDescent="0.2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spans="21:64" ht="15.75" customHeight="1" x14ac:dyDescent="0.2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spans="21:64" ht="15.75" customHeight="1" x14ac:dyDescent="0.2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spans="21:64" ht="15.75" customHeight="1" x14ac:dyDescent="0.2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spans="21:64" ht="15.75" customHeight="1" x14ac:dyDescent="0.2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spans="21:64" ht="15.75" customHeight="1" x14ac:dyDescent="0.2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spans="21:64" ht="15.75" customHeight="1" x14ac:dyDescent="0.2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spans="21:64" ht="15.75" customHeight="1" x14ac:dyDescent="0.2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spans="21:64" ht="15.75" customHeight="1" x14ac:dyDescent="0.2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spans="21:64" ht="15.75" customHeight="1" x14ac:dyDescent="0.2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spans="21:64" ht="15.75" customHeight="1" x14ac:dyDescent="0.2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spans="21:64" ht="15.75" customHeight="1" x14ac:dyDescent="0.2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spans="21:64" ht="15.75" customHeight="1" x14ac:dyDescent="0.2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spans="21:64" ht="15.75" customHeight="1" x14ac:dyDescent="0.2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spans="21:64" ht="15.75" customHeight="1" x14ac:dyDescent="0.2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spans="21:64" ht="15.75" customHeight="1" x14ac:dyDescent="0.2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spans="21:64" ht="15.75" customHeight="1" x14ac:dyDescent="0.2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spans="21:64" ht="15.75" customHeight="1" x14ac:dyDescent="0.2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spans="21:64" ht="15.75" customHeight="1" x14ac:dyDescent="0.2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spans="21:64" ht="15.75" customHeight="1" x14ac:dyDescent="0.2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spans="21:64" ht="15.75" customHeight="1" x14ac:dyDescent="0.2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spans="21:64" ht="15.75" customHeight="1" x14ac:dyDescent="0.2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spans="21:64" ht="15.75" customHeight="1" x14ac:dyDescent="0.2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spans="21:64" ht="15.75" customHeight="1" x14ac:dyDescent="0.2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spans="21:64" ht="15.75" customHeight="1" x14ac:dyDescent="0.2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spans="21:64" ht="15.75" customHeight="1" x14ac:dyDescent="0.2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spans="21:64" ht="15.75" customHeight="1" x14ac:dyDescent="0.2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spans="21:64" ht="15.75" customHeight="1" x14ac:dyDescent="0.2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spans="21:64" ht="15.75" customHeight="1" x14ac:dyDescent="0.2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spans="21:64" ht="15.75" customHeight="1" x14ac:dyDescent="0.2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spans="21:64" ht="15.75" customHeight="1" x14ac:dyDescent="0.2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spans="21:64" ht="15.75" customHeight="1" x14ac:dyDescent="0.2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spans="21:64" ht="15.75" customHeight="1" x14ac:dyDescent="0.2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spans="21:64" ht="15.75" customHeight="1" x14ac:dyDescent="0.2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spans="21:64" ht="15.75" customHeight="1" x14ac:dyDescent="0.2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spans="21:64" ht="15.75" customHeight="1" x14ac:dyDescent="0.2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spans="21:64" ht="15.75" customHeight="1" x14ac:dyDescent="0.2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spans="21:64" ht="15.75" customHeight="1" x14ac:dyDescent="0.2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spans="21:64" ht="15.75" customHeight="1" x14ac:dyDescent="0.2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spans="21:64" ht="15.75" customHeight="1" x14ac:dyDescent="0.2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spans="21:64" ht="15.75" customHeight="1" x14ac:dyDescent="0.2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spans="21:64" ht="15.75" customHeight="1" x14ac:dyDescent="0.2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spans="21:64" ht="15.75" customHeight="1" x14ac:dyDescent="0.2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spans="21:64" ht="15.75" customHeight="1" x14ac:dyDescent="0.2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spans="21:64" ht="15.75" customHeight="1" x14ac:dyDescent="0.2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spans="21:64" ht="15.75" customHeight="1" x14ac:dyDescent="0.2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spans="21:64" ht="15.75" customHeight="1" x14ac:dyDescent="0.2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spans="21:64" ht="15.75" customHeight="1" x14ac:dyDescent="0.2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spans="21:64" ht="15.75" customHeight="1" x14ac:dyDescent="0.2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spans="21:64" ht="15.75" customHeight="1" x14ac:dyDescent="0.2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spans="21:64" ht="15.75" customHeight="1" x14ac:dyDescent="0.2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spans="21:64" ht="15.75" customHeight="1" x14ac:dyDescent="0.2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spans="21:64" ht="15.75" customHeight="1" x14ac:dyDescent="0.2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spans="21:64" ht="15.75" customHeight="1" x14ac:dyDescent="0.2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spans="21:64" ht="15.75" customHeight="1" x14ac:dyDescent="0.2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spans="21:64" ht="15.75" customHeight="1" x14ac:dyDescent="0.2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spans="21:64" ht="15.75" customHeight="1" x14ac:dyDescent="0.2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spans="21:64" ht="15.75" customHeight="1" x14ac:dyDescent="0.2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spans="21:64" ht="15.75" customHeight="1" x14ac:dyDescent="0.2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spans="21:64" ht="15.75" customHeight="1" x14ac:dyDescent="0.2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spans="21:64" ht="15.75" customHeight="1" x14ac:dyDescent="0.2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spans="21:64" ht="15.75" customHeight="1" x14ac:dyDescent="0.2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spans="21:64" ht="15.75" customHeight="1" x14ac:dyDescent="0.2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spans="21:64" ht="15.75" customHeight="1" x14ac:dyDescent="0.2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spans="21:64" ht="15.75" customHeight="1" x14ac:dyDescent="0.2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spans="21:64" ht="15.75" customHeight="1" x14ac:dyDescent="0.2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spans="21:64" ht="15.75" customHeight="1" x14ac:dyDescent="0.2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spans="21:64" ht="15.75" customHeight="1" x14ac:dyDescent="0.2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spans="21:64" ht="15.75" customHeight="1" x14ac:dyDescent="0.2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spans="21:64" ht="15.75" customHeight="1" x14ac:dyDescent="0.2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spans="21:64" ht="15.75" customHeight="1" x14ac:dyDescent="0.2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spans="21:64" ht="15.75" customHeight="1" x14ac:dyDescent="0.2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spans="21:64" ht="15.75" customHeight="1" x14ac:dyDescent="0.2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spans="21:64" ht="15.75" customHeight="1" x14ac:dyDescent="0.2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spans="21:64" ht="15.75" customHeight="1" x14ac:dyDescent="0.2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spans="21:64" ht="15.75" customHeight="1" x14ac:dyDescent="0.2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spans="21:64" ht="15.75" customHeight="1" x14ac:dyDescent="0.2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spans="21:64" ht="15.75" customHeight="1" x14ac:dyDescent="0.2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spans="21:64" ht="15.75" customHeight="1" x14ac:dyDescent="0.2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spans="21:64" ht="15.75" customHeight="1" x14ac:dyDescent="0.2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spans="21:64" ht="15.75" customHeight="1" x14ac:dyDescent="0.2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spans="21:64" ht="15.75" customHeight="1" x14ac:dyDescent="0.2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spans="21:64" ht="15.75" customHeight="1" x14ac:dyDescent="0.2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spans="21:64" ht="15.75" customHeight="1" x14ac:dyDescent="0.2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spans="21:64" ht="15.75" customHeight="1" x14ac:dyDescent="0.2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spans="21:64" ht="15.75" customHeight="1" x14ac:dyDescent="0.2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spans="21:64" ht="15.75" customHeight="1" x14ac:dyDescent="0.2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spans="21:64" ht="15.75" customHeight="1" x14ac:dyDescent="0.2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spans="21:64" ht="15.75" customHeight="1" x14ac:dyDescent="0.2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spans="21:64" ht="15.75" customHeight="1" x14ac:dyDescent="0.2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spans="21:64" ht="15.75" customHeight="1" x14ac:dyDescent="0.2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spans="21:64" ht="15.75" customHeight="1" x14ac:dyDescent="0.2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spans="21:64" ht="15.75" customHeight="1" x14ac:dyDescent="0.2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spans="21:64" ht="15.75" customHeight="1" x14ac:dyDescent="0.2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spans="21:64" ht="15.75" customHeight="1" x14ac:dyDescent="0.2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spans="21:64" ht="15.75" customHeight="1" x14ac:dyDescent="0.2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spans="21:64" ht="15.75" customHeight="1" x14ac:dyDescent="0.2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spans="21:64" ht="15.75" customHeight="1" x14ac:dyDescent="0.2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spans="21:64" ht="15.75" customHeight="1" x14ac:dyDescent="0.2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spans="21:64" ht="15.75" customHeight="1" x14ac:dyDescent="0.2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spans="21:64" ht="15.75" customHeight="1" x14ac:dyDescent="0.2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spans="21:64" ht="15.75" customHeight="1" x14ac:dyDescent="0.2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spans="21:64" ht="15.75" customHeight="1" x14ac:dyDescent="0.2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spans="21:64" ht="15.75" customHeight="1" x14ac:dyDescent="0.2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spans="21:64" ht="15.75" customHeight="1" x14ac:dyDescent="0.2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spans="21:64" ht="15.75" customHeight="1" x14ac:dyDescent="0.2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spans="21:64" ht="15.75" customHeight="1" x14ac:dyDescent="0.2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spans="21:64" ht="15.75" customHeight="1" x14ac:dyDescent="0.2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spans="21:64" ht="15.75" customHeight="1" x14ac:dyDescent="0.2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spans="21:64" ht="15.75" customHeight="1" x14ac:dyDescent="0.2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spans="21:64" ht="15.75" customHeight="1" x14ac:dyDescent="0.2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spans="21:64" ht="15.75" customHeight="1" x14ac:dyDescent="0.2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spans="21:64" ht="15.75" customHeight="1" x14ac:dyDescent="0.2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spans="21:64" ht="15.75" customHeight="1" x14ac:dyDescent="0.2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spans="21:64" ht="15.75" customHeight="1" x14ac:dyDescent="0.2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spans="21:64" ht="15.75" customHeight="1" x14ac:dyDescent="0.2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spans="21:64" ht="15.75" customHeight="1" x14ac:dyDescent="0.2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spans="21:64" ht="15.75" customHeight="1" x14ac:dyDescent="0.2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spans="21:64" ht="15.75" customHeight="1" x14ac:dyDescent="0.2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spans="21:64" ht="15.75" customHeight="1" x14ac:dyDescent="0.2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spans="21:64" ht="15.75" customHeight="1" x14ac:dyDescent="0.2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spans="21:64" ht="15.75" customHeight="1" x14ac:dyDescent="0.2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spans="21:64" ht="15.75" customHeight="1" x14ac:dyDescent="0.2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spans="21:64" ht="15.75" customHeight="1" x14ac:dyDescent="0.2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spans="21:64" ht="15.75" customHeight="1" x14ac:dyDescent="0.2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spans="21:64" ht="15.75" customHeight="1" x14ac:dyDescent="0.2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spans="21:64" ht="15.75" customHeight="1" x14ac:dyDescent="0.2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spans="21:64" ht="15.75" customHeight="1" x14ac:dyDescent="0.2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spans="21:64" ht="15.75" customHeight="1" x14ac:dyDescent="0.2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spans="21:64" ht="15.75" customHeight="1" x14ac:dyDescent="0.2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spans="21:64" ht="15.75" customHeight="1" x14ac:dyDescent="0.2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spans="21:64" ht="15.75" customHeight="1" x14ac:dyDescent="0.2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spans="21:64" ht="15.75" customHeight="1" x14ac:dyDescent="0.2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spans="21:64" ht="15.75" customHeight="1" x14ac:dyDescent="0.2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spans="21:64" ht="15.75" customHeight="1" x14ac:dyDescent="0.2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spans="21:64" ht="15.75" customHeight="1" x14ac:dyDescent="0.2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spans="21:64" ht="15.75" customHeight="1" x14ac:dyDescent="0.2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spans="21:64" ht="15.75" customHeight="1" x14ac:dyDescent="0.2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spans="21:64" ht="15.75" customHeight="1" x14ac:dyDescent="0.2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spans="21:64" ht="15.75" customHeight="1" x14ac:dyDescent="0.2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spans="21:64" ht="15.75" customHeight="1" x14ac:dyDescent="0.2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spans="21:64" ht="15.75" customHeight="1" x14ac:dyDescent="0.2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spans="21:64" ht="15.75" customHeight="1" x14ac:dyDescent="0.2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spans="21:64" ht="15.75" customHeight="1" x14ac:dyDescent="0.2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spans="21:64" ht="15.75" customHeight="1" x14ac:dyDescent="0.2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spans="21:64" ht="15.75" customHeight="1" x14ac:dyDescent="0.2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spans="21:64" ht="15.75" customHeight="1" x14ac:dyDescent="0.2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spans="21:64" ht="15.75" customHeight="1" x14ac:dyDescent="0.2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spans="21:64" ht="15.75" customHeight="1" x14ac:dyDescent="0.2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spans="21:64" ht="15.75" customHeight="1" x14ac:dyDescent="0.2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spans="21:64" ht="15.75" customHeight="1" x14ac:dyDescent="0.2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spans="21:64" ht="15.75" customHeight="1" x14ac:dyDescent="0.2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spans="21:64" ht="15.75" customHeight="1" x14ac:dyDescent="0.2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spans="21:64" ht="15.75" customHeight="1" x14ac:dyDescent="0.2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spans="21:64" ht="15.75" customHeight="1" x14ac:dyDescent="0.2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spans="21:64" ht="15.75" customHeight="1" x14ac:dyDescent="0.2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spans="21:64" ht="15.75" customHeight="1" x14ac:dyDescent="0.2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spans="21:64" ht="15.75" customHeight="1" x14ac:dyDescent="0.2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spans="21:64" ht="15.75" customHeight="1" x14ac:dyDescent="0.2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spans="21:64" ht="15.75" customHeight="1" x14ac:dyDescent="0.2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spans="21:64" ht="15.75" customHeight="1" x14ac:dyDescent="0.2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spans="21:64" ht="15.75" customHeight="1" x14ac:dyDescent="0.2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spans="21:64" ht="15.75" customHeight="1" x14ac:dyDescent="0.2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spans="21:64" ht="15.75" customHeight="1" x14ac:dyDescent="0.2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spans="21:64" ht="15.75" customHeight="1" x14ac:dyDescent="0.2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spans="21:64" ht="15.75" customHeight="1" x14ac:dyDescent="0.2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spans="21:64" ht="15.75" customHeight="1" x14ac:dyDescent="0.2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spans="21:64" ht="15.75" customHeight="1" x14ac:dyDescent="0.2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spans="21:64" ht="15.75" customHeight="1" x14ac:dyDescent="0.2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spans="21:64" ht="15.75" customHeight="1" x14ac:dyDescent="0.2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spans="21:64" ht="15.75" customHeight="1" x14ac:dyDescent="0.2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spans="21:64" ht="15.75" customHeight="1" x14ac:dyDescent="0.2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spans="21:64" ht="15.75" customHeight="1" x14ac:dyDescent="0.2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spans="21:64" ht="15.75" customHeight="1" x14ac:dyDescent="0.2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spans="21:64" ht="15.75" customHeight="1" x14ac:dyDescent="0.2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spans="21:64" ht="15.75" customHeight="1" x14ac:dyDescent="0.2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spans="21:64" ht="15.75" customHeight="1" x14ac:dyDescent="0.2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spans="21:64" ht="15.75" customHeight="1" x14ac:dyDescent="0.2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spans="21:64" ht="15.75" customHeight="1" x14ac:dyDescent="0.2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spans="21:64" ht="15.75" customHeight="1" x14ac:dyDescent="0.2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spans="21:64" ht="15.75" customHeight="1" x14ac:dyDescent="0.2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spans="21:64" ht="15.75" customHeight="1" x14ac:dyDescent="0.2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spans="21:64" ht="15.75" customHeight="1" x14ac:dyDescent="0.2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spans="21:64" ht="15.75" customHeight="1" x14ac:dyDescent="0.2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spans="21:64" ht="15.75" customHeight="1" x14ac:dyDescent="0.2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spans="21:64" ht="15.75" customHeight="1" x14ac:dyDescent="0.2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spans="21:64" ht="15.75" customHeight="1" x14ac:dyDescent="0.2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spans="21:64" ht="15.75" customHeight="1" x14ac:dyDescent="0.2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spans="21:64" ht="15.75" customHeight="1" x14ac:dyDescent="0.2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spans="21:64" ht="15.75" customHeight="1" x14ac:dyDescent="0.2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spans="21:64" ht="15.75" customHeight="1" x14ac:dyDescent="0.2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spans="21:64" ht="15.75" customHeight="1" x14ac:dyDescent="0.2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spans="21:64" ht="15.75" customHeight="1" x14ac:dyDescent="0.2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spans="21:64" ht="15.75" customHeight="1" x14ac:dyDescent="0.2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spans="21:64" ht="15.75" customHeight="1" x14ac:dyDescent="0.2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spans="21:64" ht="15.75" customHeight="1" x14ac:dyDescent="0.2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spans="21:64" ht="15.75" customHeight="1" x14ac:dyDescent="0.2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spans="21:64" ht="15.75" customHeight="1" x14ac:dyDescent="0.2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spans="21:64" ht="15.75" customHeight="1" x14ac:dyDescent="0.2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spans="21:64" ht="15.75" customHeight="1" x14ac:dyDescent="0.2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spans="21:64" ht="15.75" customHeight="1" x14ac:dyDescent="0.2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spans="21:64" ht="15.75" customHeight="1" x14ac:dyDescent="0.2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spans="21:64" ht="15.75" customHeight="1" x14ac:dyDescent="0.2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spans="21:64" ht="15.75" customHeight="1" x14ac:dyDescent="0.2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spans="21:64" ht="15.75" customHeight="1" x14ac:dyDescent="0.2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spans="21:64" ht="15.75" customHeight="1" x14ac:dyDescent="0.2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spans="21:64" ht="15.75" customHeight="1" x14ac:dyDescent="0.2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spans="21:64" ht="15.75" customHeight="1" x14ac:dyDescent="0.2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spans="21:64" ht="15.75" customHeight="1" x14ac:dyDescent="0.2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spans="21:64" ht="15.75" customHeight="1" x14ac:dyDescent="0.2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spans="21:64" ht="15.75" customHeight="1" x14ac:dyDescent="0.2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spans="21:64" ht="15.75" customHeight="1" x14ac:dyDescent="0.2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spans="21:64" ht="15.75" customHeight="1" x14ac:dyDescent="0.2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spans="21:64" ht="15.75" customHeight="1" x14ac:dyDescent="0.2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spans="21:64" ht="15.75" customHeight="1" x14ac:dyDescent="0.2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spans="21:64" ht="15.75" customHeight="1" x14ac:dyDescent="0.2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spans="21:64" ht="15.75" customHeight="1" x14ac:dyDescent="0.2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spans="21:64" ht="15.75" customHeight="1" x14ac:dyDescent="0.2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spans="21:64" ht="15.75" customHeight="1" x14ac:dyDescent="0.2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spans="21:64" ht="15.75" customHeight="1" x14ac:dyDescent="0.2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spans="21:64" ht="15.75" customHeight="1" x14ac:dyDescent="0.2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spans="21:64" ht="15.75" customHeight="1" x14ac:dyDescent="0.2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spans="21:64" ht="15.75" customHeight="1" x14ac:dyDescent="0.2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horizontalCentered="1" gridLines="1"/>
  <pageMargins left="0.25" right="0.25" top="0.75" bottom="0.75" header="0" footer="0"/>
  <pageSetup pageOrder="overThenDown" orientation="landscape" cellComments="atEnd"/>
  <colBreaks count="2" manualBreakCount="2">
    <brk id="17" man="1"/>
    <brk id="3" man="1"/>
  </colBreak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F31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44635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AG7" s="33" t="e">
        <f t="shared" ref="AG7:AG136" si="0">AVERAGE(AB7,Y7,V7,S7,P7,M7,J7,G7)</f>
        <v>#DIV/0!</v>
      </c>
      <c r="BE7" s="33" t="e">
        <f t="shared" ref="BE7:BE136" si="1">AVERAGE(AZ7,AW7,AT7,AQ7,AN7,AK7,AH7)</f>
        <v>#DIV/0!</v>
      </c>
    </row>
    <row r="8" spans="1:58" x14ac:dyDescent="0.2">
      <c r="A8" s="12" t="s">
        <v>57</v>
      </c>
      <c r="B8" s="12" t="s">
        <v>58</v>
      </c>
      <c r="C8" s="12">
        <v>2353</v>
      </c>
      <c r="AG8" s="33" t="e">
        <f t="shared" si="0"/>
        <v>#DIV/0!</v>
      </c>
      <c r="BE8" s="33" t="e">
        <f t="shared" si="1"/>
        <v>#DIV/0!</v>
      </c>
    </row>
    <row r="9" spans="1:58" x14ac:dyDescent="0.2">
      <c r="A9" s="12" t="s">
        <v>57</v>
      </c>
      <c r="B9" s="12" t="s">
        <v>58</v>
      </c>
      <c r="C9" s="34">
        <v>2354</v>
      </c>
      <c r="AG9" s="33" t="e">
        <f t="shared" si="0"/>
        <v>#DIV/0!</v>
      </c>
      <c r="BE9" s="33" t="e">
        <f t="shared" si="1"/>
        <v>#DIV/0!</v>
      </c>
    </row>
    <row r="10" spans="1:58" x14ac:dyDescent="0.2">
      <c r="A10" s="12" t="s">
        <v>57</v>
      </c>
      <c r="B10" s="12" t="s">
        <v>64</v>
      </c>
      <c r="C10" s="12">
        <v>2355</v>
      </c>
      <c r="AG10" s="33" t="e">
        <f t="shared" si="0"/>
        <v>#DIV/0!</v>
      </c>
      <c r="BE10" s="33" t="e">
        <f t="shared" si="1"/>
        <v>#DIV/0!</v>
      </c>
    </row>
    <row r="11" spans="1:58" x14ac:dyDescent="0.2">
      <c r="A11" s="12" t="s">
        <v>57</v>
      </c>
      <c r="B11" s="12" t="s">
        <v>64</v>
      </c>
      <c r="C11" s="34" t="s">
        <v>65</v>
      </c>
      <c r="AG11" s="33" t="e">
        <f t="shared" si="0"/>
        <v>#DIV/0!</v>
      </c>
      <c r="BE11" s="33" t="e">
        <f t="shared" si="1"/>
        <v>#DIV/0!</v>
      </c>
    </row>
    <row r="12" spans="1:58" x14ac:dyDescent="0.2">
      <c r="A12" s="12" t="s">
        <v>57</v>
      </c>
      <c r="B12" s="12" t="s">
        <v>64</v>
      </c>
      <c r="C12" s="12">
        <v>2356</v>
      </c>
      <c r="AG12" s="33" t="e">
        <f t="shared" si="0"/>
        <v>#DIV/0!</v>
      </c>
      <c r="BE12" s="33" t="e">
        <f t="shared" si="1"/>
        <v>#DIV/0!</v>
      </c>
    </row>
    <row r="13" spans="1:58" x14ac:dyDescent="0.2">
      <c r="A13" s="12" t="s">
        <v>57</v>
      </c>
      <c r="B13" s="12" t="s">
        <v>64</v>
      </c>
      <c r="C13" s="12">
        <v>2357</v>
      </c>
      <c r="AG13" s="33" t="e">
        <f t="shared" si="0"/>
        <v>#DIV/0!</v>
      </c>
      <c r="BE13" s="33" t="e">
        <f t="shared" si="1"/>
        <v>#DIV/0!</v>
      </c>
    </row>
    <row r="14" spans="1:58" x14ac:dyDescent="0.2">
      <c r="A14" s="12" t="s">
        <v>57</v>
      </c>
      <c r="B14" s="12" t="s">
        <v>64</v>
      </c>
      <c r="C14" s="34" t="s">
        <v>65</v>
      </c>
      <c r="AG14" s="33" t="e">
        <f t="shared" si="0"/>
        <v>#DIV/0!</v>
      </c>
      <c r="BE14" s="33" t="e">
        <f t="shared" si="1"/>
        <v>#DIV/0!</v>
      </c>
    </row>
    <row r="15" spans="1:58" x14ac:dyDescent="0.2">
      <c r="A15" s="12" t="s">
        <v>57</v>
      </c>
      <c r="B15" s="12" t="s">
        <v>64</v>
      </c>
      <c r="C15" s="12">
        <v>2358</v>
      </c>
      <c r="AG15" s="33" t="e">
        <f t="shared" si="0"/>
        <v>#DIV/0!</v>
      </c>
      <c r="BE15" s="33" t="e">
        <f t="shared" si="1"/>
        <v>#DIV/0!</v>
      </c>
    </row>
    <row r="16" spans="1:58" x14ac:dyDescent="0.2">
      <c r="A16" s="12" t="s">
        <v>57</v>
      </c>
      <c r="B16" s="12" t="s">
        <v>64</v>
      </c>
      <c r="C16" s="12">
        <v>2359</v>
      </c>
      <c r="AG16" s="33" t="e">
        <f t="shared" si="0"/>
        <v>#DIV/0!</v>
      </c>
      <c r="BE16" s="33" t="e">
        <f t="shared" si="1"/>
        <v>#DIV/0!</v>
      </c>
    </row>
    <row r="17" spans="1:57" x14ac:dyDescent="0.2">
      <c r="A17" s="12" t="s">
        <v>57</v>
      </c>
      <c r="B17" s="12" t="s">
        <v>64</v>
      </c>
      <c r="C17" s="34" t="s">
        <v>65</v>
      </c>
      <c r="AG17" s="33" t="e">
        <f t="shared" si="0"/>
        <v>#DIV/0!</v>
      </c>
      <c r="BE17" s="33" t="e">
        <f t="shared" si="1"/>
        <v>#DIV/0!</v>
      </c>
    </row>
    <row r="18" spans="1:57" x14ac:dyDescent="0.2">
      <c r="A18" s="12" t="s">
        <v>57</v>
      </c>
      <c r="B18" s="12" t="s">
        <v>64</v>
      </c>
      <c r="C18" s="12">
        <v>2360</v>
      </c>
      <c r="AG18" s="33" t="e">
        <f t="shared" si="0"/>
        <v>#DIV/0!</v>
      </c>
      <c r="BE18" s="33" t="e">
        <f t="shared" si="1"/>
        <v>#DIV/0!</v>
      </c>
    </row>
    <row r="19" spans="1:57" x14ac:dyDescent="0.2">
      <c r="A19" s="12" t="s">
        <v>57</v>
      </c>
      <c r="B19" s="12" t="s">
        <v>64</v>
      </c>
      <c r="C19" s="12">
        <v>2361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0"/>
        <v>1.6133333333333333</v>
      </c>
      <c r="BE19" s="33" t="e">
        <f t="shared" si="1"/>
        <v>#DIV/0!</v>
      </c>
    </row>
    <row r="20" spans="1:57" x14ac:dyDescent="0.2">
      <c r="A20" s="12" t="s">
        <v>57</v>
      </c>
      <c r="B20" s="12" t="s">
        <v>64</v>
      </c>
      <c r="C20" s="34" t="s">
        <v>65</v>
      </c>
      <c r="AG20" s="33" t="e">
        <f t="shared" si="0"/>
        <v>#DIV/0!</v>
      </c>
      <c r="BE20" s="33" t="e">
        <f t="shared" si="1"/>
        <v>#DIV/0!</v>
      </c>
    </row>
    <row r="21" spans="1:57" x14ac:dyDescent="0.2">
      <c r="A21" s="12" t="s">
        <v>57</v>
      </c>
      <c r="B21" s="12" t="s">
        <v>64</v>
      </c>
      <c r="C21" s="12">
        <v>2362</v>
      </c>
      <c r="AG21" s="33" t="e">
        <f t="shared" si="0"/>
        <v>#DIV/0!</v>
      </c>
      <c r="BE21" s="33" t="e">
        <f t="shared" si="1"/>
        <v>#DIV/0!</v>
      </c>
    </row>
    <row r="22" spans="1:57" x14ac:dyDescent="0.2">
      <c r="A22" s="12" t="s">
        <v>57</v>
      </c>
      <c r="B22" s="12" t="s">
        <v>64</v>
      </c>
      <c r="C22" s="12">
        <v>2363</v>
      </c>
      <c r="AG22" s="33" t="e">
        <f t="shared" si="0"/>
        <v>#DIV/0!</v>
      </c>
      <c r="BE22" s="33" t="e">
        <f t="shared" si="1"/>
        <v>#DIV/0!</v>
      </c>
    </row>
    <row r="23" spans="1:57" x14ac:dyDescent="0.2">
      <c r="A23" s="12" t="s">
        <v>57</v>
      </c>
      <c r="B23" s="12" t="s">
        <v>64</v>
      </c>
      <c r="C23" s="12">
        <v>2364</v>
      </c>
      <c r="AG23" s="33" t="e">
        <f t="shared" si="0"/>
        <v>#DIV/0!</v>
      </c>
      <c r="BE23" s="33" t="e">
        <f t="shared" si="1"/>
        <v>#DIV/0!</v>
      </c>
    </row>
    <row r="24" spans="1:57" x14ac:dyDescent="0.2">
      <c r="A24" s="12" t="s">
        <v>57</v>
      </c>
      <c r="B24" s="12" t="s">
        <v>64</v>
      </c>
      <c r="C24" s="12">
        <v>2365</v>
      </c>
      <c r="G24" s="57">
        <v>1.54</v>
      </c>
      <c r="H24" s="57">
        <v>0.08</v>
      </c>
      <c r="I24" s="57">
        <v>3.2000000000000001E-2</v>
      </c>
      <c r="J24" s="33">
        <f>AVERAGE(1.68,0.82)</f>
        <v>1.25</v>
      </c>
      <c r="K24" s="57">
        <v>7.2099999999999997E-2</v>
      </c>
      <c r="L24" s="57">
        <v>2.9000000000000001E-2</v>
      </c>
      <c r="M24" s="57">
        <v>0.47499999999999998</v>
      </c>
      <c r="N24" s="57">
        <v>5.8900000000000001E-2</v>
      </c>
      <c r="O24" s="57">
        <v>2.4E-2</v>
      </c>
      <c r="P24" s="57">
        <v>1.85</v>
      </c>
      <c r="Q24" s="57">
        <v>0.03</v>
      </c>
      <c r="R24" s="57">
        <v>1.2E-2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7.3999999999999996E-2</v>
      </c>
      <c r="AG24" s="33">
        <f t="shared" si="0"/>
        <v>1.2330000000000001</v>
      </c>
      <c r="AH24" s="57">
        <v>1.89</v>
      </c>
      <c r="AI24" s="57">
        <v>0.1353</v>
      </c>
      <c r="AJ24" s="57">
        <v>0.06</v>
      </c>
      <c r="AK24" s="57">
        <v>2.0339999999999998</v>
      </c>
      <c r="AL24" s="57">
        <v>0.1318</v>
      </c>
      <c r="AM24" s="57">
        <v>5.3999999999999999E-2</v>
      </c>
      <c r="AN24" s="57">
        <v>2.3180000000000001</v>
      </c>
      <c r="AO24" s="57">
        <v>0.11840000000000001</v>
      </c>
      <c r="AP24" s="57">
        <v>4.9000000000000002E-2</v>
      </c>
      <c r="AQ24" s="57">
        <v>2.948</v>
      </c>
      <c r="AR24" s="57">
        <v>9.1200000000000003E-2</v>
      </c>
      <c r="AS24" s="57">
        <v>3.7999999999999999E-2</v>
      </c>
      <c r="AT24" s="57">
        <v>2.1469999999999998</v>
      </c>
      <c r="AU24" s="57">
        <v>0.28720000000000001</v>
      </c>
      <c r="AV24" s="57">
        <v>0.16</v>
      </c>
      <c r="BC24" s="57">
        <v>0.27350000000000002</v>
      </c>
      <c r="BD24" s="57">
        <v>0.111</v>
      </c>
      <c r="BE24" s="33">
        <f t="shared" si="1"/>
        <v>2.2673999999999999</v>
      </c>
    </row>
    <row r="25" spans="1:57" x14ac:dyDescent="0.2">
      <c r="A25" s="12" t="s">
        <v>57</v>
      </c>
      <c r="B25" s="12" t="s">
        <v>64</v>
      </c>
      <c r="C25" s="12">
        <v>2366</v>
      </c>
      <c r="AG25" s="33" t="e">
        <f t="shared" si="0"/>
        <v>#DIV/0!</v>
      </c>
      <c r="BE25" s="33" t="e">
        <f t="shared" si="1"/>
        <v>#DIV/0!</v>
      </c>
    </row>
    <row r="26" spans="1:57" x14ac:dyDescent="0.2">
      <c r="A26" s="12" t="s">
        <v>57</v>
      </c>
      <c r="B26" s="12" t="s">
        <v>64</v>
      </c>
      <c r="C26" s="34" t="s">
        <v>65</v>
      </c>
      <c r="AG26" s="33" t="e">
        <f t="shared" si="0"/>
        <v>#DIV/0!</v>
      </c>
      <c r="BE26" s="33" t="e">
        <f t="shared" si="1"/>
        <v>#DIV/0!</v>
      </c>
    </row>
    <row r="27" spans="1:57" x14ac:dyDescent="0.2">
      <c r="A27" s="12" t="s">
        <v>57</v>
      </c>
      <c r="B27" s="12" t="s">
        <v>64</v>
      </c>
      <c r="C27" s="12">
        <v>2367</v>
      </c>
      <c r="AG27" s="33" t="e">
        <f t="shared" si="0"/>
        <v>#DIV/0!</v>
      </c>
      <c r="AH27" s="57">
        <v>1.6</v>
      </c>
      <c r="AI27" s="57">
        <v>7.6999999999999999E-2</v>
      </c>
      <c r="AJ27" s="57">
        <v>3.1E-2</v>
      </c>
      <c r="AK27" s="33">
        <f>AVERAGE(3.076,2.66)</f>
        <v>2.8680000000000003</v>
      </c>
      <c r="AL27" s="57">
        <v>0.1065</v>
      </c>
      <c r="AM27" s="57">
        <v>3.9E-2</v>
      </c>
      <c r="AN27" s="57">
        <v>3.32</v>
      </c>
      <c r="AO27" s="57">
        <v>8.2100000000000006E-2</v>
      </c>
      <c r="AP27" s="57">
        <v>3.3000000000000002E-2</v>
      </c>
      <c r="AQ27" s="57">
        <v>2.29</v>
      </c>
      <c r="AR27" s="57">
        <v>6.5299999999999997E-2</v>
      </c>
      <c r="AS27" s="57">
        <v>2.5999999999999999E-2</v>
      </c>
      <c r="BC27" s="33">
        <f>0.1176+0.0549</f>
        <v>0.17249999999999999</v>
      </c>
      <c r="BD27" s="57">
        <v>7.0000000000000007E-2</v>
      </c>
      <c r="BE27" s="33">
        <f t="shared" si="1"/>
        <v>2.5194999999999999</v>
      </c>
    </row>
    <row r="28" spans="1:57" x14ac:dyDescent="0.2">
      <c r="A28" s="12" t="s">
        <v>57</v>
      </c>
      <c r="B28" s="12" t="s">
        <v>64</v>
      </c>
      <c r="C28" s="34" t="s">
        <v>65</v>
      </c>
      <c r="AG28" s="33" t="e">
        <f t="shared" si="0"/>
        <v>#DIV/0!</v>
      </c>
      <c r="BE28" s="33" t="e">
        <f t="shared" si="1"/>
        <v>#DIV/0!</v>
      </c>
    </row>
    <row r="29" spans="1:57" x14ac:dyDescent="0.2">
      <c r="A29" s="12" t="s">
        <v>57</v>
      </c>
      <c r="B29" s="12" t="s">
        <v>64</v>
      </c>
      <c r="C29" s="34" t="s">
        <v>65</v>
      </c>
      <c r="AG29" s="33" t="e">
        <f t="shared" si="0"/>
        <v>#DIV/0!</v>
      </c>
      <c r="BE29" s="33" t="e">
        <f t="shared" si="1"/>
        <v>#DIV/0!</v>
      </c>
    </row>
    <row r="30" spans="1:57" x14ac:dyDescent="0.2">
      <c r="A30" s="12" t="s">
        <v>57</v>
      </c>
      <c r="B30" s="12" t="s">
        <v>64</v>
      </c>
      <c r="C30" s="12">
        <v>2369</v>
      </c>
      <c r="G30" s="57">
        <v>1.514</v>
      </c>
      <c r="H30" s="57">
        <v>3.9800000000000002E-2</v>
      </c>
      <c r="I30" s="57">
        <v>1.6E-2</v>
      </c>
      <c r="J30" s="57">
        <v>0.89100000000000001</v>
      </c>
      <c r="K30" s="57">
        <v>2.0199999999999999E-2</v>
      </c>
      <c r="L30" s="57">
        <v>8.9999999999999993E-3</v>
      </c>
      <c r="M30" s="57">
        <v>1.53</v>
      </c>
      <c r="N30" s="57">
        <v>2.46E-2</v>
      </c>
      <c r="O30" s="57">
        <v>1.0999999999999999E-2</v>
      </c>
      <c r="AE30" s="57">
        <v>0.1071</v>
      </c>
      <c r="AF30" s="57">
        <v>4.3999999999999997E-2</v>
      </c>
      <c r="AG30" s="33">
        <f t="shared" si="0"/>
        <v>1.3116666666666668</v>
      </c>
      <c r="AH30" s="57">
        <v>2.41</v>
      </c>
      <c r="AI30" s="57">
        <v>6.5299999999999997E-2</v>
      </c>
      <c r="AJ30" s="57">
        <v>3.7999999999999999E-2</v>
      </c>
      <c r="AK30" s="57">
        <v>3.31</v>
      </c>
      <c r="AL30" s="57">
        <v>0.1908</v>
      </c>
      <c r="AM30" s="57">
        <v>8.6999999999999994E-2</v>
      </c>
      <c r="AN30" s="57">
        <v>2.75</v>
      </c>
      <c r="AO30" s="57">
        <v>6.25E-2</v>
      </c>
      <c r="AP30" s="57">
        <v>2.7E-2</v>
      </c>
      <c r="AQ30" s="57">
        <v>2.0299999999999998</v>
      </c>
      <c r="AR30" s="57">
        <v>9.7199999999999995E-2</v>
      </c>
      <c r="AS30" s="57">
        <v>0.04</v>
      </c>
      <c r="AT30" s="57">
        <v>1.76</v>
      </c>
      <c r="AU30" s="57">
        <v>0.10539999999999999</v>
      </c>
      <c r="AV30" s="57">
        <v>4.3999999999999997E-2</v>
      </c>
      <c r="BC30" s="57">
        <v>0.21879999999999999</v>
      </c>
      <c r="BD30" s="57">
        <v>8.7999999999999995E-2</v>
      </c>
      <c r="BE30" s="33">
        <f t="shared" si="1"/>
        <v>2.452</v>
      </c>
    </row>
    <row r="31" spans="1:57" x14ac:dyDescent="0.2">
      <c r="A31" s="38" t="s">
        <v>70</v>
      </c>
      <c r="B31" s="38" t="s">
        <v>58</v>
      </c>
      <c r="C31" s="38">
        <v>2376</v>
      </c>
      <c r="AG31" s="33" t="e">
        <f t="shared" si="0"/>
        <v>#DIV/0!</v>
      </c>
      <c r="BE31" s="33" t="e">
        <f t="shared" si="1"/>
        <v>#DIV/0!</v>
      </c>
    </row>
    <row r="32" spans="1:57" x14ac:dyDescent="0.2">
      <c r="A32" s="38" t="s">
        <v>70</v>
      </c>
      <c r="B32" s="38" t="s">
        <v>58</v>
      </c>
      <c r="C32" s="38">
        <v>2377</v>
      </c>
      <c r="AG32" s="33" t="e">
        <f t="shared" si="0"/>
        <v>#DIV/0!</v>
      </c>
      <c r="BE32" s="33" t="e">
        <f t="shared" si="1"/>
        <v>#DIV/0!</v>
      </c>
    </row>
    <row r="33" spans="1:57" x14ac:dyDescent="0.2">
      <c r="A33" s="38" t="s">
        <v>70</v>
      </c>
      <c r="B33" s="38" t="s">
        <v>64</v>
      </c>
      <c r="C33" s="38">
        <v>2378</v>
      </c>
      <c r="AG33" s="33" t="e">
        <f t="shared" si="0"/>
        <v>#DIV/0!</v>
      </c>
      <c r="BE33" s="33" t="e">
        <f t="shared" si="1"/>
        <v>#DIV/0!</v>
      </c>
    </row>
    <row r="34" spans="1:57" x14ac:dyDescent="0.2">
      <c r="A34" s="38" t="s">
        <v>70</v>
      </c>
      <c r="B34" s="38" t="s">
        <v>64</v>
      </c>
      <c r="C34" s="38">
        <v>2379</v>
      </c>
      <c r="AG34" s="33" t="e">
        <f t="shared" si="0"/>
        <v>#DIV/0!</v>
      </c>
      <c r="BE34" s="33" t="e">
        <f t="shared" si="1"/>
        <v>#DIV/0!</v>
      </c>
    </row>
    <row r="35" spans="1:57" x14ac:dyDescent="0.2">
      <c r="A35" s="38" t="s">
        <v>70</v>
      </c>
      <c r="B35" s="38" t="s">
        <v>58</v>
      </c>
      <c r="C35" s="38">
        <v>2380</v>
      </c>
      <c r="AG35" s="33" t="e">
        <f t="shared" si="0"/>
        <v>#DIV/0!</v>
      </c>
      <c r="BE35" s="33" t="e">
        <f t="shared" si="1"/>
        <v>#DIV/0!</v>
      </c>
    </row>
    <row r="36" spans="1:57" x14ac:dyDescent="0.2">
      <c r="A36" s="12" t="s">
        <v>74</v>
      </c>
      <c r="B36" s="12" t="s">
        <v>64</v>
      </c>
      <c r="C36" s="12">
        <v>2337</v>
      </c>
      <c r="AG36" s="33" t="e">
        <f t="shared" si="0"/>
        <v>#DIV/0!</v>
      </c>
      <c r="BE36" s="33" t="e">
        <f t="shared" si="1"/>
        <v>#DIV/0!</v>
      </c>
    </row>
    <row r="37" spans="1:57" x14ac:dyDescent="0.2">
      <c r="A37" s="12" t="s">
        <v>74</v>
      </c>
      <c r="B37" s="12" t="s">
        <v>64</v>
      </c>
      <c r="C37" s="12">
        <v>2338</v>
      </c>
      <c r="AG37" s="33" t="e">
        <f t="shared" si="0"/>
        <v>#DIV/0!</v>
      </c>
      <c r="BE37" s="33" t="e">
        <f t="shared" si="1"/>
        <v>#DIV/0!</v>
      </c>
    </row>
    <row r="38" spans="1:57" x14ac:dyDescent="0.2">
      <c r="A38" s="12" t="s">
        <v>74</v>
      </c>
      <c r="B38" s="12" t="s">
        <v>64</v>
      </c>
      <c r="C38" s="12">
        <v>2339</v>
      </c>
      <c r="AG38" s="33" t="e">
        <f t="shared" si="0"/>
        <v>#DIV/0!</v>
      </c>
      <c r="BE38" s="33" t="e">
        <f t="shared" si="1"/>
        <v>#DIV/0!</v>
      </c>
    </row>
    <row r="39" spans="1:57" x14ac:dyDescent="0.2">
      <c r="A39" s="12" t="s">
        <v>74</v>
      </c>
      <c r="B39" s="12" t="s">
        <v>64</v>
      </c>
      <c r="C39" s="12">
        <v>2340</v>
      </c>
      <c r="AG39" s="33" t="e">
        <f t="shared" si="0"/>
        <v>#DIV/0!</v>
      </c>
      <c r="BE39" s="33" t="e">
        <f t="shared" si="1"/>
        <v>#DIV/0!</v>
      </c>
    </row>
    <row r="40" spans="1:57" x14ac:dyDescent="0.2">
      <c r="A40" s="12" t="s">
        <v>74</v>
      </c>
      <c r="B40" s="12" t="s">
        <v>64</v>
      </c>
      <c r="C40" s="12">
        <v>2341</v>
      </c>
      <c r="AG40" s="33" t="e">
        <f t="shared" si="0"/>
        <v>#DIV/0!</v>
      </c>
      <c r="BE40" s="33" t="e">
        <f t="shared" si="1"/>
        <v>#DIV/0!</v>
      </c>
    </row>
    <row r="41" spans="1:57" x14ac:dyDescent="0.2">
      <c r="A41" s="12" t="s">
        <v>74</v>
      </c>
      <c r="B41" s="12" t="s">
        <v>64</v>
      </c>
      <c r="C41" s="12">
        <v>2342</v>
      </c>
      <c r="AG41" s="33" t="e">
        <f t="shared" si="0"/>
        <v>#DIV/0!</v>
      </c>
      <c r="BE41" s="33" t="e">
        <f t="shared" si="1"/>
        <v>#DIV/0!</v>
      </c>
    </row>
    <row r="42" spans="1:57" x14ac:dyDescent="0.2">
      <c r="A42" s="12" t="s">
        <v>74</v>
      </c>
      <c r="B42" s="12" t="s">
        <v>64</v>
      </c>
      <c r="C42" s="12">
        <v>2343</v>
      </c>
      <c r="AG42" s="33" t="e">
        <f t="shared" si="0"/>
        <v>#DIV/0!</v>
      </c>
      <c r="BE42" s="33" t="e">
        <f t="shared" si="1"/>
        <v>#DIV/0!</v>
      </c>
    </row>
    <row r="43" spans="1:57" x14ac:dyDescent="0.2">
      <c r="A43" s="41" t="s">
        <v>74</v>
      </c>
      <c r="B43" s="41" t="s">
        <v>64</v>
      </c>
      <c r="C43" s="41" t="s">
        <v>78</v>
      </c>
      <c r="AG43" s="33" t="e">
        <f t="shared" si="0"/>
        <v>#DIV/0!</v>
      </c>
      <c r="BE43" s="33" t="e">
        <f t="shared" si="1"/>
        <v>#DIV/0!</v>
      </c>
    </row>
    <row r="44" spans="1:57" x14ac:dyDescent="0.2">
      <c r="A44" s="12" t="s">
        <v>74</v>
      </c>
      <c r="B44" s="12" t="s">
        <v>64</v>
      </c>
      <c r="C44" s="12">
        <v>2344</v>
      </c>
      <c r="AG44" s="33" t="e">
        <f t="shared" si="0"/>
        <v>#DIV/0!</v>
      </c>
      <c r="BE44" s="33" t="e">
        <f t="shared" si="1"/>
        <v>#DIV/0!</v>
      </c>
    </row>
    <row r="45" spans="1:57" x14ac:dyDescent="0.2">
      <c r="A45" s="41" t="s">
        <v>74</v>
      </c>
      <c r="B45" s="41" t="s">
        <v>58</v>
      </c>
      <c r="C45" s="41" t="s">
        <v>78</v>
      </c>
      <c r="AG45" s="33" t="e">
        <f t="shared" si="0"/>
        <v>#DIV/0!</v>
      </c>
      <c r="BE45" s="33" t="e">
        <f t="shared" si="1"/>
        <v>#DIV/0!</v>
      </c>
    </row>
    <row r="46" spans="1:57" x14ac:dyDescent="0.2">
      <c r="A46" s="12" t="s">
        <v>74</v>
      </c>
      <c r="B46" s="12" t="s">
        <v>58</v>
      </c>
      <c r="C46" s="34">
        <v>2345</v>
      </c>
      <c r="AG46" s="33" t="e">
        <f t="shared" si="0"/>
        <v>#DIV/0!</v>
      </c>
      <c r="BE46" s="33" t="e">
        <f t="shared" si="1"/>
        <v>#DIV/0!</v>
      </c>
    </row>
    <row r="47" spans="1:57" x14ac:dyDescent="0.2">
      <c r="A47" s="12" t="s">
        <v>74</v>
      </c>
      <c r="B47" s="12" t="s">
        <v>64</v>
      </c>
      <c r="C47" s="12">
        <v>2346</v>
      </c>
      <c r="G47" s="57">
        <v>0.89</v>
      </c>
      <c r="H47" s="57">
        <v>0.1108</v>
      </c>
      <c r="I47" s="57">
        <v>6.5000000000000002E-2</v>
      </c>
      <c r="J47" s="57">
        <v>0.92500000000000004</v>
      </c>
      <c r="K47" s="57">
        <v>0.11559999999999999</v>
      </c>
      <c r="L47" s="57">
        <v>6.9000000000000006E-2</v>
      </c>
      <c r="M47" s="57">
        <v>1.22</v>
      </c>
      <c r="N47" s="57">
        <v>3.6700000000000003E-2</v>
      </c>
      <c r="O47" s="57">
        <v>1.6E-2</v>
      </c>
      <c r="P47" s="57">
        <v>3.9</v>
      </c>
      <c r="Q47" s="57" t="s">
        <v>60</v>
      </c>
      <c r="R47" s="57" t="s">
        <v>60</v>
      </c>
      <c r="AE47" s="57">
        <v>0.27310000000000001</v>
      </c>
      <c r="AF47" s="57">
        <v>0.156</v>
      </c>
      <c r="AG47" s="33">
        <f t="shared" si="0"/>
        <v>1.7337499999999999</v>
      </c>
      <c r="AH47" s="57">
        <v>1.819</v>
      </c>
      <c r="AI47" s="57">
        <v>8.2799999999999999E-2</v>
      </c>
      <c r="AJ47" s="57">
        <v>4.9000000000000002E-2</v>
      </c>
      <c r="AK47" s="57">
        <v>3.09</v>
      </c>
      <c r="AL47" s="57">
        <v>7.4399999999999994E-2</v>
      </c>
      <c r="AM47" s="57">
        <v>4.3999999999999997E-2</v>
      </c>
      <c r="AN47" s="57">
        <v>2.3050000000000002</v>
      </c>
      <c r="AO47" s="57">
        <v>7.8299999999999995E-2</v>
      </c>
      <c r="AP47" s="57">
        <v>4.4999999999999998E-2</v>
      </c>
      <c r="AQ47" s="57">
        <v>3.6030000000000002</v>
      </c>
      <c r="AR47" s="57">
        <v>0.11849999999999999</v>
      </c>
      <c r="AS47" s="57">
        <v>5.2999999999999999E-2</v>
      </c>
      <c r="AV47" s="57">
        <v>7.0999999999999994E-2</v>
      </c>
      <c r="BC47" s="57">
        <v>0.15390000000000001</v>
      </c>
      <c r="BD47" s="57">
        <v>9.0999999999999998E-2</v>
      </c>
      <c r="BE47" s="33">
        <f t="shared" si="1"/>
        <v>2.70425</v>
      </c>
    </row>
    <row r="48" spans="1:57" x14ac:dyDescent="0.2">
      <c r="A48" s="12" t="s">
        <v>74</v>
      </c>
      <c r="B48" s="12" t="s">
        <v>64</v>
      </c>
      <c r="C48" s="12">
        <v>2347</v>
      </c>
      <c r="AG48" s="33" t="e">
        <f t="shared" si="0"/>
        <v>#DIV/0!</v>
      </c>
      <c r="AH48" s="57">
        <v>1.24</v>
      </c>
      <c r="AI48" s="57">
        <v>2.1899999999999999E-2</v>
      </c>
      <c r="AJ48" s="57">
        <v>8.9999999999999993E-3</v>
      </c>
      <c r="AK48" s="57">
        <v>3.31</v>
      </c>
      <c r="AL48" s="57">
        <v>0.14660000000000001</v>
      </c>
      <c r="AM48" s="57">
        <v>0.01</v>
      </c>
      <c r="AN48" s="57">
        <v>1.68</v>
      </c>
      <c r="AO48" s="57">
        <v>1.49E-2</v>
      </c>
      <c r="AP48" s="57">
        <v>6.0000000000000001E-3</v>
      </c>
      <c r="AQ48" s="57">
        <v>1.66</v>
      </c>
      <c r="AR48" s="57">
        <v>1.7500000000000002E-2</v>
      </c>
      <c r="AS48" s="57">
        <v>7.0000000000000001E-3</v>
      </c>
      <c r="BC48" s="57">
        <v>0.48089999999999999</v>
      </c>
      <c r="BD48" s="57">
        <v>0.17599999999999999</v>
      </c>
      <c r="BE48" s="33">
        <f t="shared" si="1"/>
        <v>1.9725000000000001</v>
      </c>
    </row>
    <row r="49" spans="1:57" x14ac:dyDescent="0.2">
      <c r="A49" s="12" t="s">
        <v>74</v>
      </c>
      <c r="B49" s="12" t="s">
        <v>64</v>
      </c>
      <c r="C49" s="12">
        <v>2348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0"/>
        <v>1.4766666666666666</v>
      </c>
      <c r="BE49" s="33" t="e">
        <f t="shared" si="1"/>
        <v>#DIV/0!</v>
      </c>
    </row>
    <row r="50" spans="1:57" x14ac:dyDescent="0.2">
      <c r="A50" s="12" t="s">
        <v>74</v>
      </c>
      <c r="B50" s="12" t="s">
        <v>64</v>
      </c>
      <c r="C50" s="12">
        <v>2349</v>
      </c>
      <c r="G50" s="57">
        <v>1.29</v>
      </c>
      <c r="H50" s="57">
        <v>5.4199999999999998E-2</v>
      </c>
      <c r="I50" s="57">
        <v>3.3000000000000002E-2</v>
      </c>
      <c r="J50" s="57">
        <v>1.91</v>
      </c>
      <c r="K50" s="57">
        <v>5.0999999999999997E-2</v>
      </c>
      <c r="L50" s="57">
        <v>3.3000000000000002E-2</v>
      </c>
      <c r="M50" s="57">
        <v>1.43</v>
      </c>
      <c r="N50" s="57" t="s">
        <v>60</v>
      </c>
      <c r="AG50" s="33">
        <f t="shared" si="0"/>
        <v>1.5433333333333332</v>
      </c>
      <c r="AH50" s="57">
        <v>3.29</v>
      </c>
      <c r="AI50" s="57">
        <v>8.5599999999999996E-2</v>
      </c>
      <c r="AJ50" s="57">
        <v>5.1999999999999998E-2</v>
      </c>
      <c r="AK50" s="57">
        <v>3.42</v>
      </c>
      <c r="AL50" s="57">
        <v>0.11559999999999999</v>
      </c>
      <c r="AM50" s="57">
        <v>7.0000000000000007E-2</v>
      </c>
      <c r="BC50" s="57">
        <v>0.30580000000000002</v>
      </c>
      <c r="BD50" s="57">
        <v>0.186</v>
      </c>
      <c r="BE50" s="33">
        <f t="shared" si="1"/>
        <v>3.355</v>
      </c>
    </row>
    <row r="51" spans="1:57" x14ac:dyDescent="0.2">
      <c r="A51" s="12" t="s">
        <v>74</v>
      </c>
      <c r="B51" s="12" t="s">
        <v>64</v>
      </c>
      <c r="C51" s="12">
        <v>2350</v>
      </c>
      <c r="AG51" s="33" t="e">
        <f t="shared" si="0"/>
        <v>#DIV/0!</v>
      </c>
      <c r="BE51" s="33" t="e">
        <f t="shared" si="1"/>
        <v>#DIV/0!</v>
      </c>
    </row>
    <row r="52" spans="1:57" x14ac:dyDescent="0.2">
      <c r="A52" s="12" t="s">
        <v>74</v>
      </c>
      <c r="B52" s="12" t="s">
        <v>64</v>
      </c>
      <c r="C52" s="12">
        <v>2351</v>
      </c>
      <c r="AG52" s="33" t="e">
        <f t="shared" si="0"/>
        <v>#DIV/0!</v>
      </c>
      <c r="BE52" s="33" t="e">
        <f t="shared" si="1"/>
        <v>#DIV/0!</v>
      </c>
    </row>
    <row r="53" spans="1:57" x14ac:dyDescent="0.2">
      <c r="A53" s="38" t="s">
        <v>88</v>
      </c>
      <c r="B53" s="38" t="s">
        <v>64</v>
      </c>
      <c r="C53" s="38">
        <v>2375</v>
      </c>
      <c r="AG53" s="33" t="e">
        <f t="shared" si="0"/>
        <v>#DIV/0!</v>
      </c>
      <c r="BE53" s="33" t="e">
        <f t="shared" si="1"/>
        <v>#DIV/0!</v>
      </c>
    </row>
    <row r="54" spans="1:57" x14ac:dyDescent="0.2">
      <c r="A54" s="12" t="s">
        <v>90</v>
      </c>
      <c r="B54" s="12" t="s">
        <v>64</v>
      </c>
      <c r="C54" s="12">
        <v>2310</v>
      </c>
      <c r="AG54" s="33" t="e">
        <f t="shared" si="0"/>
        <v>#DIV/0!</v>
      </c>
      <c r="BE54" s="33" t="e">
        <f t="shared" si="1"/>
        <v>#DIV/0!</v>
      </c>
    </row>
    <row r="55" spans="1:57" x14ac:dyDescent="0.2">
      <c r="A55" s="12" t="s">
        <v>90</v>
      </c>
      <c r="B55" s="12" t="s">
        <v>64</v>
      </c>
      <c r="C55" s="12">
        <v>2311</v>
      </c>
      <c r="AG55" s="33" t="e">
        <f t="shared" si="0"/>
        <v>#DIV/0!</v>
      </c>
      <c r="BE55" s="33" t="e">
        <f t="shared" si="1"/>
        <v>#DIV/0!</v>
      </c>
    </row>
    <row r="56" spans="1:57" x14ac:dyDescent="0.2">
      <c r="A56" s="12" t="s">
        <v>90</v>
      </c>
      <c r="B56" s="12" t="s">
        <v>64</v>
      </c>
      <c r="C56" s="12">
        <v>2312</v>
      </c>
      <c r="AG56" s="33" t="e">
        <f t="shared" si="0"/>
        <v>#DIV/0!</v>
      </c>
      <c r="BE56" s="33" t="e">
        <f t="shared" si="1"/>
        <v>#DIV/0!</v>
      </c>
    </row>
    <row r="57" spans="1:57" x14ac:dyDescent="0.2">
      <c r="A57" s="12" t="s">
        <v>90</v>
      </c>
      <c r="B57" s="12" t="s">
        <v>64</v>
      </c>
      <c r="C57" s="12">
        <v>2313</v>
      </c>
      <c r="AG57" s="33" t="e">
        <f t="shared" si="0"/>
        <v>#DIV/0!</v>
      </c>
      <c r="BE57" s="33" t="e">
        <f t="shared" si="1"/>
        <v>#DIV/0!</v>
      </c>
    </row>
    <row r="58" spans="1:57" x14ac:dyDescent="0.2">
      <c r="A58" s="12" t="s">
        <v>90</v>
      </c>
      <c r="B58" s="12" t="s">
        <v>64</v>
      </c>
      <c r="C58" s="12">
        <v>2314</v>
      </c>
      <c r="AG58" s="33" t="e">
        <f t="shared" si="0"/>
        <v>#DIV/0!</v>
      </c>
      <c r="BE58" s="33" t="e">
        <f t="shared" si="1"/>
        <v>#DIV/0!</v>
      </c>
    </row>
    <row r="59" spans="1:57" x14ac:dyDescent="0.2">
      <c r="A59" s="12" t="s">
        <v>90</v>
      </c>
      <c r="B59" s="12" t="s">
        <v>58</v>
      </c>
      <c r="C59" s="12">
        <v>2315</v>
      </c>
      <c r="AG59" s="33" t="e">
        <f t="shared" si="0"/>
        <v>#DIV/0!</v>
      </c>
      <c r="BE59" s="33" t="e">
        <f t="shared" si="1"/>
        <v>#DIV/0!</v>
      </c>
    </row>
    <row r="60" spans="1:57" x14ac:dyDescent="0.2">
      <c r="A60" s="12" t="s">
        <v>90</v>
      </c>
      <c r="B60" s="12" t="s">
        <v>64</v>
      </c>
      <c r="C60" s="12">
        <v>2316</v>
      </c>
      <c r="AG60" s="33" t="e">
        <f t="shared" si="0"/>
        <v>#DIV/0!</v>
      </c>
      <c r="BE60" s="33" t="e">
        <f t="shared" si="1"/>
        <v>#DIV/0!</v>
      </c>
    </row>
    <row r="61" spans="1:57" x14ac:dyDescent="0.2">
      <c r="A61" s="12" t="s">
        <v>90</v>
      </c>
      <c r="B61" s="12" t="s">
        <v>64</v>
      </c>
      <c r="C61" s="12">
        <v>2317</v>
      </c>
      <c r="AG61" s="33" t="e">
        <f t="shared" si="0"/>
        <v>#DIV/0!</v>
      </c>
      <c r="BE61" s="33" t="e">
        <f t="shared" si="1"/>
        <v>#DIV/0!</v>
      </c>
    </row>
    <row r="62" spans="1:57" x14ac:dyDescent="0.2">
      <c r="A62" s="12" t="s">
        <v>90</v>
      </c>
      <c r="B62" s="12" t="s">
        <v>64</v>
      </c>
      <c r="C62" s="12">
        <v>2318</v>
      </c>
      <c r="AG62" s="33" t="e">
        <f t="shared" si="0"/>
        <v>#DIV/0!</v>
      </c>
      <c r="BE62" s="33" t="e">
        <f t="shared" si="1"/>
        <v>#DIV/0!</v>
      </c>
    </row>
    <row r="63" spans="1:57" x14ac:dyDescent="0.2">
      <c r="A63" s="12" t="s">
        <v>90</v>
      </c>
      <c r="B63" s="12" t="s">
        <v>64</v>
      </c>
      <c r="C63" s="12">
        <v>2319</v>
      </c>
      <c r="AG63" s="33" t="e">
        <f t="shared" si="0"/>
        <v>#DIV/0!</v>
      </c>
      <c r="BE63" s="33" t="e">
        <f t="shared" si="1"/>
        <v>#DIV/0!</v>
      </c>
    </row>
    <row r="64" spans="1:57" x14ac:dyDescent="0.2">
      <c r="A64" s="12" t="s">
        <v>90</v>
      </c>
      <c r="B64" s="12" t="s">
        <v>58</v>
      </c>
      <c r="C64" s="12">
        <v>2320</v>
      </c>
      <c r="AG64" s="33" t="e">
        <f t="shared" si="0"/>
        <v>#DIV/0!</v>
      </c>
      <c r="BE64" s="33" t="e">
        <f t="shared" si="1"/>
        <v>#DIV/0!</v>
      </c>
    </row>
    <row r="65" spans="1:57" x14ac:dyDescent="0.2">
      <c r="A65" s="12" t="s">
        <v>90</v>
      </c>
      <c r="B65" s="12" t="s">
        <v>64</v>
      </c>
      <c r="C65" s="12">
        <v>2321</v>
      </c>
      <c r="AG65" s="33" t="e">
        <f t="shared" si="0"/>
        <v>#DIV/0!</v>
      </c>
      <c r="BE65" s="33" t="e">
        <f t="shared" si="1"/>
        <v>#DIV/0!</v>
      </c>
    </row>
    <row r="66" spans="1:57" x14ac:dyDescent="0.2">
      <c r="A66" s="12" t="s">
        <v>90</v>
      </c>
      <c r="B66" s="12" t="s">
        <v>58</v>
      </c>
      <c r="C66" s="12">
        <v>2322</v>
      </c>
      <c r="AG66" s="33" t="e">
        <f t="shared" si="0"/>
        <v>#DIV/0!</v>
      </c>
      <c r="BE66" s="33" t="e">
        <f t="shared" si="1"/>
        <v>#DIV/0!</v>
      </c>
    </row>
    <row r="67" spans="1:57" x14ac:dyDescent="0.2">
      <c r="A67" s="12" t="s">
        <v>90</v>
      </c>
      <c r="B67" s="12" t="s">
        <v>58</v>
      </c>
      <c r="C67" s="12">
        <v>2323</v>
      </c>
      <c r="AG67" s="33" t="e">
        <f t="shared" si="0"/>
        <v>#DIV/0!</v>
      </c>
      <c r="BE67" s="33" t="e">
        <f t="shared" si="1"/>
        <v>#DIV/0!</v>
      </c>
    </row>
    <row r="68" spans="1:57" x14ac:dyDescent="0.2">
      <c r="A68" s="12" t="s">
        <v>90</v>
      </c>
      <c r="B68" s="12" t="s">
        <v>64</v>
      </c>
      <c r="C68" s="12">
        <v>2324</v>
      </c>
      <c r="AG68" s="33" t="e">
        <f t="shared" si="0"/>
        <v>#DIV/0!</v>
      </c>
      <c r="BE68" s="33" t="e">
        <f t="shared" si="1"/>
        <v>#DIV/0!</v>
      </c>
    </row>
    <row r="69" spans="1:57" x14ac:dyDescent="0.2">
      <c r="A69" s="12" t="s">
        <v>90</v>
      </c>
      <c r="B69" s="12" t="s">
        <v>64</v>
      </c>
      <c r="C69" s="12">
        <v>2325</v>
      </c>
      <c r="AG69" s="33" t="e">
        <f t="shared" si="0"/>
        <v>#DIV/0!</v>
      </c>
      <c r="BE69" s="33" t="e">
        <f t="shared" si="1"/>
        <v>#DIV/0!</v>
      </c>
    </row>
    <row r="70" spans="1:57" x14ac:dyDescent="0.2">
      <c r="A70" s="12" t="s">
        <v>90</v>
      </c>
      <c r="B70" s="12" t="s">
        <v>64</v>
      </c>
      <c r="C70" s="12">
        <v>2327</v>
      </c>
      <c r="AG70" s="33" t="e">
        <f t="shared" si="0"/>
        <v>#DIV/0!</v>
      </c>
      <c r="BE70" s="33" t="e">
        <f t="shared" si="1"/>
        <v>#DIV/0!</v>
      </c>
    </row>
    <row r="71" spans="1:57" x14ac:dyDescent="0.2">
      <c r="A71" s="12" t="s">
        <v>90</v>
      </c>
      <c r="B71" s="12" t="s">
        <v>64</v>
      </c>
      <c r="C71" s="12">
        <v>2326</v>
      </c>
      <c r="AG71" s="33" t="e">
        <f t="shared" si="0"/>
        <v>#DIV/0!</v>
      </c>
      <c r="BE71" s="33" t="e">
        <f t="shared" si="1"/>
        <v>#DIV/0!</v>
      </c>
    </row>
    <row r="72" spans="1:57" x14ac:dyDescent="0.2">
      <c r="A72" s="12" t="s">
        <v>90</v>
      </c>
      <c r="B72" s="12" t="s">
        <v>58</v>
      </c>
      <c r="C72" s="12">
        <v>2328</v>
      </c>
      <c r="AG72" s="33" t="e">
        <f t="shared" si="0"/>
        <v>#DIV/0!</v>
      </c>
      <c r="BE72" s="33" t="e">
        <f t="shared" si="1"/>
        <v>#DIV/0!</v>
      </c>
    </row>
    <row r="73" spans="1:57" x14ac:dyDescent="0.2">
      <c r="A73" s="12" t="s">
        <v>90</v>
      </c>
      <c r="B73" s="12" t="s">
        <v>64</v>
      </c>
      <c r="C73" s="12">
        <v>2329</v>
      </c>
      <c r="AG73" s="33" t="e">
        <f t="shared" si="0"/>
        <v>#DIV/0!</v>
      </c>
      <c r="BE73" s="33" t="e">
        <f t="shared" si="1"/>
        <v>#DIV/0!</v>
      </c>
    </row>
    <row r="74" spans="1:57" x14ac:dyDescent="0.2">
      <c r="A74" s="12" t="s">
        <v>90</v>
      </c>
      <c r="B74" s="12" t="s">
        <v>64</v>
      </c>
      <c r="C74" s="12">
        <v>2330</v>
      </c>
      <c r="AG74" s="33" t="e">
        <f t="shared" si="0"/>
        <v>#DIV/0!</v>
      </c>
      <c r="BE74" s="33" t="e">
        <f t="shared" si="1"/>
        <v>#DIV/0!</v>
      </c>
    </row>
    <row r="75" spans="1:57" x14ac:dyDescent="0.2">
      <c r="A75" s="12" t="s">
        <v>90</v>
      </c>
      <c r="B75" s="12" t="s">
        <v>58</v>
      </c>
      <c r="C75" s="12">
        <v>2331</v>
      </c>
      <c r="AG75" s="33" t="e">
        <f t="shared" si="0"/>
        <v>#DIV/0!</v>
      </c>
      <c r="BE75" s="33" t="e">
        <f t="shared" si="1"/>
        <v>#DIV/0!</v>
      </c>
    </row>
    <row r="76" spans="1:57" x14ac:dyDescent="0.2">
      <c r="A76" s="12" t="s">
        <v>90</v>
      </c>
      <c r="B76" s="12" t="s">
        <v>64</v>
      </c>
      <c r="C76" s="12">
        <v>2332</v>
      </c>
      <c r="AG76" s="33" t="e">
        <f t="shared" si="0"/>
        <v>#DIV/0!</v>
      </c>
      <c r="BE76" s="33" t="e">
        <f t="shared" si="1"/>
        <v>#DIV/0!</v>
      </c>
    </row>
    <row r="77" spans="1:57" x14ac:dyDescent="0.2">
      <c r="A77" s="12" t="s">
        <v>90</v>
      </c>
      <c r="B77" s="12" t="s">
        <v>64</v>
      </c>
      <c r="C77" s="12">
        <v>2333</v>
      </c>
      <c r="AG77" s="33" t="e">
        <f t="shared" si="0"/>
        <v>#DIV/0!</v>
      </c>
      <c r="BE77" s="33" t="e">
        <f t="shared" si="1"/>
        <v>#DIV/0!</v>
      </c>
    </row>
    <row r="78" spans="1:57" x14ac:dyDescent="0.2">
      <c r="A78" s="2" t="s">
        <v>90</v>
      </c>
      <c r="B78" s="3" t="s">
        <v>64</v>
      </c>
      <c r="C78" s="12">
        <v>2334</v>
      </c>
      <c r="AG78" s="33" t="e">
        <f t="shared" si="0"/>
        <v>#DIV/0!</v>
      </c>
      <c r="BE78" s="33" t="e">
        <f t="shared" si="1"/>
        <v>#DIV/0!</v>
      </c>
    </row>
    <row r="79" spans="1:57" x14ac:dyDescent="0.2">
      <c r="A79" s="12" t="s">
        <v>90</v>
      </c>
      <c r="B79" s="12" t="s">
        <v>64</v>
      </c>
      <c r="C79" s="12">
        <v>2336</v>
      </c>
      <c r="AG79" s="33" t="e">
        <f t="shared" si="0"/>
        <v>#DIV/0!</v>
      </c>
      <c r="BE79" s="33" t="e">
        <f t="shared" si="1"/>
        <v>#DIV/0!</v>
      </c>
    </row>
    <row r="80" spans="1:57" x14ac:dyDescent="0.2">
      <c r="A80" s="12" t="s">
        <v>90</v>
      </c>
      <c r="B80" s="12" t="s">
        <v>64</v>
      </c>
      <c r="C80" s="12">
        <v>2335</v>
      </c>
      <c r="AG80" s="33" t="e">
        <f t="shared" si="0"/>
        <v>#DIV/0!</v>
      </c>
      <c r="BE80" s="33" t="e">
        <f t="shared" si="1"/>
        <v>#DIV/0!</v>
      </c>
    </row>
    <row r="81" spans="1:57" x14ac:dyDescent="0.2">
      <c r="A81" s="38" t="s">
        <v>100</v>
      </c>
      <c r="B81" s="38" t="s">
        <v>64</v>
      </c>
      <c r="C81" s="38">
        <v>2374</v>
      </c>
      <c r="AG81" s="33" t="e">
        <f t="shared" si="0"/>
        <v>#DIV/0!</v>
      </c>
      <c r="BE81" s="33" t="e">
        <f t="shared" si="1"/>
        <v>#DIV/0!</v>
      </c>
    </row>
    <row r="82" spans="1:57" x14ac:dyDescent="0.2">
      <c r="A82" s="12" t="s">
        <v>101</v>
      </c>
      <c r="B82" s="12" t="s">
        <v>58</v>
      </c>
      <c r="C82" s="34">
        <v>2301</v>
      </c>
      <c r="AG82" s="33" t="e">
        <f t="shared" si="0"/>
        <v>#DIV/0!</v>
      </c>
      <c r="BE82" s="33" t="e">
        <f t="shared" si="1"/>
        <v>#DIV/0!</v>
      </c>
    </row>
    <row r="83" spans="1:57" x14ac:dyDescent="0.2">
      <c r="A83" s="12" t="s">
        <v>101</v>
      </c>
      <c r="B83" s="12" t="s">
        <v>64</v>
      </c>
      <c r="C83" s="12">
        <v>2302</v>
      </c>
      <c r="AG83" s="33" t="e">
        <f t="shared" si="0"/>
        <v>#DIV/0!</v>
      </c>
      <c r="BE83" s="33" t="e">
        <f t="shared" si="1"/>
        <v>#DIV/0!</v>
      </c>
    </row>
    <row r="84" spans="1:57" x14ac:dyDescent="0.2">
      <c r="A84" s="12" t="s">
        <v>101</v>
      </c>
      <c r="B84" s="12" t="s">
        <v>64</v>
      </c>
      <c r="C84" s="12">
        <v>2303</v>
      </c>
      <c r="AG84" s="33" t="e">
        <f t="shared" si="0"/>
        <v>#DIV/0!</v>
      </c>
      <c r="BE84" s="33" t="e">
        <f t="shared" si="1"/>
        <v>#DIV/0!</v>
      </c>
    </row>
    <row r="85" spans="1:57" x14ac:dyDescent="0.2">
      <c r="A85" s="12" t="s">
        <v>101</v>
      </c>
      <c r="B85" s="12" t="s">
        <v>64</v>
      </c>
      <c r="C85" s="12">
        <v>2304</v>
      </c>
      <c r="AG85" s="33" t="e">
        <f t="shared" si="0"/>
        <v>#DIV/0!</v>
      </c>
      <c r="BE85" s="33" t="e">
        <f t="shared" si="1"/>
        <v>#DIV/0!</v>
      </c>
    </row>
    <row r="86" spans="1:57" x14ac:dyDescent="0.2">
      <c r="A86" s="12" t="s">
        <v>101</v>
      </c>
      <c r="B86" s="12" t="s">
        <v>64</v>
      </c>
      <c r="C86" s="12">
        <v>2305</v>
      </c>
      <c r="AG86" s="33" t="e">
        <f t="shared" si="0"/>
        <v>#DIV/0!</v>
      </c>
      <c r="BE86" s="33" t="e">
        <f t="shared" si="1"/>
        <v>#DIV/0!</v>
      </c>
    </row>
    <row r="87" spans="1:57" x14ac:dyDescent="0.2">
      <c r="A87" s="12" t="s">
        <v>101</v>
      </c>
      <c r="B87" s="12" t="s">
        <v>64</v>
      </c>
      <c r="C87" s="12">
        <v>2306</v>
      </c>
      <c r="AG87" s="33" t="e">
        <f t="shared" si="0"/>
        <v>#DIV/0!</v>
      </c>
      <c r="BE87" s="33" t="e">
        <f t="shared" si="1"/>
        <v>#DIV/0!</v>
      </c>
    </row>
    <row r="88" spans="1:57" x14ac:dyDescent="0.2">
      <c r="A88" s="12" t="s">
        <v>101</v>
      </c>
      <c r="B88" s="12" t="s">
        <v>64</v>
      </c>
      <c r="C88" s="12">
        <v>2307</v>
      </c>
      <c r="AG88" s="33" t="e">
        <f t="shared" si="0"/>
        <v>#DIV/0!</v>
      </c>
      <c r="BE88" s="33" t="e">
        <f t="shared" si="1"/>
        <v>#DIV/0!</v>
      </c>
    </row>
    <row r="89" spans="1:57" x14ac:dyDescent="0.2">
      <c r="A89" s="12" t="s">
        <v>101</v>
      </c>
      <c r="B89" s="12" t="s">
        <v>64</v>
      </c>
      <c r="C89" s="12">
        <v>2308</v>
      </c>
      <c r="AG89" s="33" t="e">
        <f t="shared" si="0"/>
        <v>#DIV/0!</v>
      </c>
      <c r="BE89" s="33" t="e">
        <f t="shared" si="1"/>
        <v>#DIV/0!</v>
      </c>
    </row>
    <row r="90" spans="1:57" x14ac:dyDescent="0.2">
      <c r="A90" s="12" t="s">
        <v>101</v>
      </c>
      <c r="B90" s="12" t="s">
        <v>64</v>
      </c>
      <c r="C90" s="12">
        <v>2309</v>
      </c>
      <c r="AG90" s="33" t="e">
        <f t="shared" si="0"/>
        <v>#DIV/0!</v>
      </c>
      <c r="BE90" s="33" t="e">
        <f t="shared" si="1"/>
        <v>#DIV/0!</v>
      </c>
    </row>
    <row r="91" spans="1:57" x14ac:dyDescent="0.2">
      <c r="A91" s="53" t="s">
        <v>106</v>
      </c>
      <c r="B91" s="54" t="s">
        <v>64</v>
      </c>
      <c r="C91" s="55">
        <v>2370</v>
      </c>
      <c r="AG91" s="33" t="e">
        <f t="shared" si="0"/>
        <v>#DIV/0!</v>
      </c>
      <c r="BE91" s="33" t="e">
        <f t="shared" si="1"/>
        <v>#DIV/0!</v>
      </c>
    </row>
    <row r="92" spans="1:57" x14ac:dyDescent="0.2">
      <c r="A92" s="53" t="s">
        <v>107</v>
      </c>
      <c r="B92" s="54" t="s">
        <v>64</v>
      </c>
      <c r="C92" s="55">
        <v>2371</v>
      </c>
      <c r="AG92" s="33" t="e">
        <f t="shared" si="0"/>
        <v>#DIV/0!</v>
      </c>
      <c r="BE92" s="33" t="e">
        <f t="shared" si="1"/>
        <v>#DIV/0!</v>
      </c>
    </row>
    <row r="93" spans="1:57" x14ac:dyDescent="0.2">
      <c r="A93" s="53" t="s">
        <v>108</v>
      </c>
      <c r="B93" s="54" t="s">
        <v>64</v>
      </c>
      <c r="C93" s="55">
        <v>2372</v>
      </c>
      <c r="AG93" s="33" t="e">
        <f t="shared" si="0"/>
        <v>#DIV/0!</v>
      </c>
      <c r="BE93" s="33" t="e">
        <f t="shared" si="1"/>
        <v>#DIV/0!</v>
      </c>
    </row>
    <row r="94" spans="1:57" x14ac:dyDescent="0.2">
      <c r="A94" s="53" t="s">
        <v>110</v>
      </c>
      <c r="B94" s="54" t="s">
        <v>64</v>
      </c>
      <c r="C94" s="55">
        <v>2373</v>
      </c>
      <c r="AG94" s="33" t="e">
        <f t="shared" si="0"/>
        <v>#DIV/0!</v>
      </c>
      <c r="BE94" s="33" t="e">
        <f t="shared" si="1"/>
        <v>#DIV/0!</v>
      </c>
    </row>
    <row r="95" spans="1:57" x14ac:dyDescent="0.2">
      <c r="A95" s="2" t="s">
        <v>112</v>
      </c>
      <c r="B95" s="3" t="s">
        <v>64</v>
      </c>
      <c r="C95" s="3"/>
      <c r="AG95" s="33" t="e">
        <f t="shared" si="0"/>
        <v>#DIV/0!</v>
      </c>
      <c r="BE95" s="33" t="e">
        <f t="shared" si="1"/>
        <v>#DIV/0!</v>
      </c>
    </row>
    <row r="96" spans="1:57" x14ac:dyDescent="0.2">
      <c r="A96" s="2" t="s">
        <v>112</v>
      </c>
      <c r="B96" s="3" t="s">
        <v>64</v>
      </c>
      <c r="C96" s="3"/>
      <c r="AG96" s="33" t="e">
        <f t="shared" si="0"/>
        <v>#DIV/0!</v>
      </c>
      <c r="BE96" s="33" t="e">
        <f t="shared" si="1"/>
        <v>#DIV/0!</v>
      </c>
    </row>
    <row r="97" spans="1:57" x14ac:dyDescent="0.2">
      <c r="A97" s="2" t="s">
        <v>112</v>
      </c>
      <c r="B97" s="3" t="s">
        <v>64</v>
      </c>
      <c r="C97" s="3"/>
      <c r="AG97" s="33" t="e">
        <f t="shared" si="0"/>
        <v>#DIV/0!</v>
      </c>
      <c r="BE97" s="33" t="e">
        <f t="shared" si="1"/>
        <v>#DIV/0!</v>
      </c>
    </row>
    <row r="98" spans="1:57" x14ac:dyDescent="0.2">
      <c r="A98" s="2" t="s">
        <v>112</v>
      </c>
      <c r="B98" s="3" t="s">
        <v>64</v>
      </c>
      <c r="C98" s="3"/>
      <c r="AG98" s="33" t="e">
        <f t="shared" si="0"/>
        <v>#DIV/0!</v>
      </c>
      <c r="BE98" s="33" t="e">
        <f t="shared" si="1"/>
        <v>#DIV/0!</v>
      </c>
    </row>
    <row r="99" spans="1:57" x14ac:dyDescent="0.2">
      <c r="A99" s="2" t="s">
        <v>112</v>
      </c>
      <c r="B99" s="3" t="s">
        <v>64</v>
      </c>
      <c r="C99" s="3"/>
      <c r="AG99" s="33" t="e">
        <f t="shared" si="0"/>
        <v>#DIV/0!</v>
      </c>
      <c r="BE99" s="33" t="e">
        <f t="shared" si="1"/>
        <v>#DIV/0!</v>
      </c>
    </row>
    <row r="100" spans="1:57" x14ac:dyDescent="0.2">
      <c r="A100" s="2" t="s">
        <v>113</v>
      </c>
      <c r="B100" s="3" t="s">
        <v>64</v>
      </c>
      <c r="C100" s="3"/>
      <c r="AG100" s="33" t="e">
        <f t="shared" si="0"/>
        <v>#DIV/0!</v>
      </c>
      <c r="BE100" s="33" t="e">
        <f t="shared" si="1"/>
        <v>#DIV/0!</v>
      </c>
    </row>
    <row r="101" spans="1:57" x14ac:dyDescent="0.2">
      <c r="A101" s="2" t="s">
        <v>113</v>
      </c>
      <c r="B101" s="3" t="s">
        <v>64</v>
      </c>
      <c r="C101" s="3"/>
      <c r="AG101" s="33" t="e">
        <f t="shared" si="0"/>
        <v>#DIV/0!</v>
      </c>
      <c r="BE101" s="33" t="e">
        <f t="shared" si="1"/>
        <v>#DIV/0!</v>
      </c>
    </row>
    <row r="102" spans="1:57" x14ac:dyDescent="0.2">
      <c r="A102" s="2" t="s">
        <v>113</v>
      </c>
      <c r="B102" s="3" t="s">
        <v>64</v>
      </c>
      <c r="C102" s="3"/>
      <c r="AG102" s="33" t="e">
        <f t="shared" si="0"/>
        <v>#DIV/0!</v>
      </c>
      <c r="BE102" s="33" t="e">
        <f t="shared" si="1"/>
        <v>#DIV/0!</v>
      </c>
    </row>
    <row r="103" spans="1:57" x14ac:dyDescent="0.2">
      <c r="A103" s="2" t="s">
        <v>113</v>
      </c>
      <c r="B103" s="3" t="s">
        <v>64</v>
      </c>
      <c r="C103" s="3"/>
      <c r="AG103" s="33" t="e">
        <f t="shared" si="0"/>
        <v>#DIV/0!</v>
      </c>
      <c r="BE103" s="33" t="e">
        <f t="shared" si="1"/>
        <v>#DIV/0!</v>
      </c>
    </row>
    <row r="104" spans="1:57" x14ac:dyDescent="0.2">
      <c r="A104" s="2" t="s">
        <v>113</v>
      </c>
      <c r="B104" s="3" t="s">
        <v>64</v>
      </c>
      <c r="C104" s="3"/>
      <c r="AG104" s="33" t="e">
        <f t="shared" si="0"/>
        <v>#DIV/0!</v>
      </c>
      <c r="BE104" s="33" t="e">
        <f t="shared" si="1"/>
        <v>#DIV/0!</v>
      </c>
    </row>
    <row r="105" spans="1:57" x14ac:dyDescent="0.2">
      <c r="A105" s="12" t="s">
        <v>114</v>
      </c>
      <c r="B105" s="12" t="s">
        <v>58</v>
      </c>
      <c r="C105" s="12"/>
      <c r="AG105" s="33" t="e">
        <f t="shared" si="0"/>
        <v>#DIV/0!</v>
      </c>
      <c r="BE105" s="33" t="e">
        <f t="shared" si="1"/>
        <v>#DIV/0!</v>
      </c>
    </row>
    <row r="106" spans="1:57" x14ac:dyDescent="0.2">
      <c r="A106" s="12" t="s">
        <v>114</v>
      </c>
      <c r="B106" s="12" t="s">
        <v>58</v>
      </c>
      <c r="C106" s="12"/>
      <c r="AG106" s="33" t="e">
        <f t="shared" si="0"/>
        <v>#DIV/0!</v>
      </c>
      <c r="BE106" s="33" t="e">
        <f t="shared" si="1"/>
        <v>#DIV/0!</v>
      </c>
    </row>
    <row r="107" spans="1:57" x14ac:dyDescent="0.2">
      <c r="A107" s="2" t="s">
        <v>117</v>
      </c>
      <c r="B107" s="3" t="s">
        <v>64</v>
      </c>
      <c r="C107" s="58">
        <v>2381</v>
      </c>
      <c r="G107" s="57">
        <v>0.84099999999999997</v>
      </c>
      <c r="H107" s="57">
        <v>0.14199999999999999</v>
      </c>
      <c r="I107" s="57">
        <v>5.8000000000000003E-2</v>
      </c>
      <c r="J107" s="57">
        <v>1.32</v>
      </c>
      <c r="K107" s="57">
        <v>0.1173</v>
      </c>
      <c r="L107" s="57">
        <v>4.3999999999999997E-2</v>
      </c>
      <c r="M107" s="57">
        <v>1.35</v>
      </c>
      <c r="N107" s="57">
        <v>0.1452</v>
      </c>
      <c r="O107" s="57">
        <v>5.7000000000000002E-2</v>
      </c>
      <c r="P107" s="57">
        <v>1.226</v>
      </c>
      <c r="Q107" s="57">
        <v>0.23699999999999999</v>
      </c>
      <c r="R107" s="57">
        <v>0.105</v>
      </c>
      <c r="S107" s="57">
        <v>1.39</v>
      </c>
      <c r="T107" s="57">
        <v>0.1232</v>
      </c>
      <c r="U107" s="57">
        <v>4.8000000000000001E-2</v>
      </c>
      <c r="AE107" s="57">
        <v>0.1502</v>
      </c>
      <c r="AF107" s="57">
        <v>0.06</v>
      </c>
      <c r="AG107" s="33">
        <f t="shared" si="0"/>
        <v>1.2254</v>
      </c>
      <c r="AH107" s="57">
        <v>0.43</v>
      </c>
      <c r="AI107" s="57">
        <v>0.13039999999999999</v>
      </c>
      <c r="AJ107" s="57">
        <v>5.7000000000000002E-2</v>
      </c>
      <c r="AK107" s="57">
        <v>1.93</v>
      </c>
      <c r="AL107" s="57">
        <v>9.7799999999999998E-2</v>
      </c>
      <c r="AM107" s="57">
        <v>0.04</v>
      </c>
      <c r="AN107" s="57">
        <v>1.96</v>
      </c>
      <c r="AO107" s="57">
        <v>0.1348</v>
      </c>
      <c r="AP107" s="57">
        <v>6.2E-2</v>
      </c>
      <c r="AQ107" s="33">
        <f>AVERAGE(1.74,2.25)</f>
        <v>1.9950000000000001</v>
      </c>
      <c r="AR107" s="57">
        <v>0.15540000000000001</v>
      </c>
      <c r="AS107" s="57">
        <v>6.7000000000000004E-2</v>
      </c>
      <c r="AV107" s="57">
        <v>4.2000000000000003E-2</v>
      </c>
      <c r="BC107" s="57">
        <v>0.22500000000000001</v>
      </c>
      <c r="BD107" s="57">
        <v>0.109</v>
      </c>
      <c r="BE107" s="33">
        <f t="shared" si="1"/>
        <v>1.5787499999999999</v>
      </c>
    </row>
    <row r="108" spans="1:57" x14ac:dyDescent="0.2">
      <c r="A108" s="2" t="s">
        <v>117</v>
      </c>
      <c r="B108" s="3" t="s">
        <v>64</v>
      </c>
      <c r="C108" s="58"/>
      <c r="AG108" s="33" t="e">
        <f t="shared" si="0"/>
        <v>#DIV/0!</v>
      </c>
      <c r="BE108" s="33" t="e">
        <f t="shared" si="1"/>
        <v>#DIV/0!</v>
      </c>
    </row>
    <row r="109" spans="1:57" x14ac:dyDescent="0.2">
      <c r="A109" s="2" t="s">
        <v>117</v>
      </c>
      <c r="B109" s="3" t="s">
        <v>64</v>
      </c>
      <c r="C109" s="58"/>
      <c r="AG109" s="33" t="e">
        <f t="shared" si="0"/>
        <v>#DIV/0!</v>
      </c>
      <c r="BE109" s="33" t="e">
        <f t="shared" si="1"/>
        <v>#DIV/0!</v>
      </c>
    </row>
    <row r="110" spans="1:57" x14ac:dyDescent="0.2">
      <c r="A110" s="2" t="s">
        <v>117</v>
      </c>
      <c r="B110" s="3" t="s">
        <v>64</v>
      </c>
      <c r="C110" s="58">
        <v>2382</v>
      </c>
      <c r="G110" s="57">
        <v>0.81</v>
      </c>
      <c r="H110" s="57">
        <v>0.17380000000000001</v>
      </c>
      <c r="I110" s="57">
        <v>8.2000000000000003E-2</v>
      </c>
      <c r="J110" s="57">
        <v>0.77800000000000002</v>
      </c>
      <c r="K110" s="57">
        <v>0.21529999999999999</v>
      </c>
      <c r="L110" s="57">
        <v>0.1</v>
      </c>
      <c r="AE110" s="57">
        <v>0.62519999999999998</v>
      </c>
      <c r="AF110" s="57">
        <v>0.28699999999999998</v>
      </c>
      <c r="AG110" s="33">
        <f t="shared" si="0"/>
        <v>0.79400000000000004</v>
      </c>
      <c r="AH110" s="57">
        <v>2.7</v>
      </c>
      <c r="AI110" s="57">
        <v>0.18759999999999999</v>
      </c>
      <c r="AJ110" s="57">
        <v>9.5000000000000001E-2</v>
      </c>
      <c r="AK110" s="57">
        <v>2.69</v>
      </c>
      <c r="AL110" s="57">
        <v>0.1933</v>
      </c>
      <c r="AM110" s="57">
        <v>0.10100000000000001</v>
      </c>
      <c r="BC110" s="57">
        <v>0.7026</v>
      </c>
      <c r="BD110" s="57">
        <v>0.35499999999999998</v>
      </c>
      <c r="BE110" s="33">
        <f t="shared" si="1"/>
        <v>2.6950000000000003</v>
      </c>
    </row>
    <row r="111" spans="1:57" x14ac:dyDescent="0.2">
      <c r="A111" s="2" t="s">
        <v>117</v>
      </c>
      <c r="B111" s="54" t="s">
        <v>64</v>
      </c>
      <c r="C111" s="60">
        <v>2383</v>
      </c>
      <c r="AG111" s="33" t="e">
        <f t="shared" si="0"/>
        <v>#DIV/0!</v>
      </c>
      <c r="BE111" s="33" t="e">
        <f t="shared" si="1"/>
        <v>#DIV/0!</v>
      </c>
    </row>
    <row r="112" spans="1:57" x14ac:dyDescent="0.2">
      <c r="A112" s="2" t="s">
        <v>117</v>
      </c>
      <c r="B112" s="54" t="s">
        <v>64</v>
      </c>
      <c r="C112" s="57">
        <v>2384</v>
      </c>
      <c r="AG112" s="33" t="e">
        <f t="shared" si="0"/>
        <v>#DIV/0!</v>
      </c>
      <c r="AH112" s="57">
        <v>2.4900000000000002</v>
      </c>
      <c r="AI112" s="57">
        <v>8.8300000000000003E-2</v>
      </c>
      <c r="AJ112" s="57">
        <v>4.2999999999999997E-2</v>
      </c>
      <c r="AK112" s="57">
        <v>2.39</v>
      </c>
      <c r="AL112" s="57">
        <v>0.14749999999999999</v>
      </c>
      <c r="AM112" s="57">
        <v>7.0999999999999994E-2</v>
      </c>
      <c r="AN112" s="57">
        <v>1.9450000000000001</v>
      </c>
      <c r="AO112" s="57">
        <v>8.8400000000000006E-2</v>
      </c>
      <c r="AP112" s="57">
        <v>0.04</v>
      </c>
      <c r="AQ112" s="57">
        <v>2.032</v>
      </c>
      <c r="AR112" s="57">
        <v>9.3700000000000006E-2</v>
      </c>
      <c r="AS112" s="57">
        <v>4.5999999999999999E-2</v>
      </c>
      <c r="AT112" s="57">
        <v>2.504</v>
      </c>
      <c r="AU112" s="57">
        <v>8.6099999999999996E-2</v>
      </c>
      <c r="AV112" s="57">
        <v>4.2000000000000003E-2</v>
      </c>
      <c r="BC112" s="57">
        <v>8.1900000000000001E-2</v>
      </c>
      <c r="BD112" s="57">
        <v>3.9E-2</v>
      </c>
      <c r="BE112" s="33">
        <f t="shared" si="1"/>
        <v>2.2722000000000002</v>
      </c>
    </row>
    <row r="113" spans="1:57" x14ac:dyDescent="0.2">
      <c r="A113" s="57" t="s">
        <v>232</v>
      </c>
      <c r="B113" s="54" t="s">
        <v>64</v>
      </c>
      <c r="C113" s="57">
        <v>2004</v>
      </c>
      <c r="AG113" s="33" t="e">
        <f t="shared" si="0"/>
        <v>#DIV/0!</v>
      </c>
      <c r="BE113" s="33" t="e">
        <f t="shared" si="1"/>
        <v>#DIV/0!</v>
      </c>
    </row>
    <row r="114" spans="1:57" x14ac:dyDescent="0.2">
      <c r="A114" s="57" t="s">
        <v>232</v>
      </c>
      <c r="B114" s="54" t="s">
        <v>64</v>
      </c>
      <c r="C114" s="57">
        <v>2005</v>
      </c>
      <c r="AG114" s="33" t="e">
        <f t="shared" si="0"/>
        <v>#DIV/0!</v>
      </c>
      <c r="BE114" s="33" t="e">
        <f t="shared" si="1"/>
        <v>#DIV/0!</v>
      </c>
    </row>
    <row r="115" spans="1:57" x14ac:dyDescent="0.2">
      <c r="A115" s="57" t="s">
        <v>232</v>
      </c>
      <c r="B115" s="54" t="s">
        <v>64</v>
      </c>
      <c r="C115" s="57">
        <v>2006</v>
      </c>
      <c r="AG115" s="33" t="e">
        <f t="shared" si="0"/>
        <v>#DIV/0!</v>
      </c>
      <c r="BE115" s="33" t="e">
        <f t="shared" si="1"/>
        <v>#DIV/0!</v>
      </c>
    </row>
    <row r="116" spans="1:57" x14ac:dyDescent="0.2">
      <c r="A116" s="57" t="s">
        <v>232</v>
      </c>
      <c r="B116" s="54" t="s">
        <v>64</v>
      </c>
      <c r="C116" s="57">
        <v>2007</v>
      </c>
      <c r="AG116" s="33" t="e">
        <f t="shared" si="0"/>
        <v>#DIV/0!</v>
      </c>
      <c r="BE116" s="33" t="e">
        <f t="shared" si="1"/>
        <v>#DIV/0!</v>
      </c>
    </row>
    <row r="117" spans="1:57" x14ac:dyDescent="0.2">
      <c r="A117" s="57" t="s">
        <v>232</v>
      </c>
      <c r="B117" s="54" t="s">
        <v>234</v>
      </c>
      <c r="AG117" s="33" t="e">
        <f t="shared" si="0"/>
        <v>#DIV/0!</v>
      </c>
      <c r="BE117" s="33" t="e">
        <f t="shared" si="1"/>
        <v>#DIV/0!</v>
      </c>
    </row>
    <row r="118" spans="1:57" x14ac:dyDescent="0.2">
      <c r="A118" s="57" t="s">
        <v>235</v>
      </c>
      <c r="B118" s="54" t="s">
        <v>166</v>
      </c>
      <c r="G118" s="57">
        <v>2.1</v>
      </c>
      <c r="H118" s="57">
        <v>0.43080000000000002</v>
      </c>
      <c r="I118" s="57">
        <v>0.17100000000000001</v>
      </c>
      <c r="J118" s="57">
        <v>1.76</v>
      </c>
      <c r="K118" s="57">
        <v>0.66520000000000001</v>
      </c>
      <c r="L118" s="57">
        <v>0.218</v>
      </c>
      <c r="M118" s="57">
        <v>1.98</v>
      </c>
      <c r="N118" s="57">
        <v>0.48070000000000002</v>
      </c>
      <c r="O118" s="57">
        <v>0.222</v>
      </c>
      <c r="P118" s="57">
        <v>2.04</v>
      </c>
      <c r="Q118" s="57">
        <v>0.37340000000000001</v>
      </c>
      <c r="R118" s="57">
        <v>0.14799999999999999</v>
      </c>
      <c r="S118" s="57">
        <v>1.8</v>
      </c>
      <c r="T118" s="57">
        <v>0.33260000000000001</v>
      </c>
      <c r="U118" s="57">
        <v>0.11899999999999999</v>
      </c>
      <c r="AE118" s="57">
        <v>1.724</v>
      </c>
      <c r="AF118" s="57">
        <v>0.70899999999999996</v>
      </c>
      <c r="AG118" s="33">
        <f t="shared" si="0"/>
        <v>1.9359999999999999</v>
      </c>
      <c r="BE118" s="33" t="e">
        <f t="shared" si="1"/>
        <v>#DIV/0!</v>
      </c>
    </row>
    <row r="119" spans="1:57" x14ac:dyDescent="0.2">
      <c r="A119" s="57" t="s">
        <v>232</v>
      </c>
      <c r="B119" s="54" t="s">
        <v>166</v>
      </c>
      <c r="AG119" s="33" t="e">
        <f t="shared" si="0"/>
        <v>#DIV/0!</v>
      </c>
      <c r="BE119" s="33" t="e">
        <f t="shared" si="1"/>
        <v>#DIV/0!</v>
      </c>
    </row>
    <row r="120" spans="1:57" x14ac:dyDescent="0.2">
      <c r="A120" s="57" t="s">
        <v>236</v>
      </c>
      <c r="B120" s="54" t="s">
        <v>58</v>
      </c>
      <c r="C120" s="57">
        <v>2093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0.35320000000000001</v>
      </c>
      <c r="L120" s="57">
        <v>0.22900000000000001</v>
      </c>
      <c r="M120" s="57">
        <v>0.25</v>
      </c>
      <c r="N120" s="57">
        <v>0.28089999999999998</v>
      </c>
      <c r="O120" s="57">
        <v>0.17799999999999999</v>
      </c>
      <c r="P120" s="57">
        <v>0.18</v>
      </c>
      <c r="Q120" s="57">
        <v>0.36299999999999999</v>
      </c>
      <c r="R120" s="57">
        <v>0.22800000000000001</v>
      </c>
      <c r="AE120" s="57">
        <v>0.73450000000000004</v>
      </c>
      <c r="AF120" s="57">
        <v>0.47199999999999998</v>
      </c>
      <c r="AG120" s="33">
        <f t="shared" si="0"/>
        <v>0.32250000000000001</v>
      </c>
      <c r="BE120" s="33" t="e">
        <f t="shared" si="1"/>
        <v>#DIV/0!</v>
      </c>
    </row>
    <row r="121" spans="1:57" x14ac:dyDescent="0.2">
      <c r="A121" s="57" t="s">
        <v>236</v>
      </c>
      <c r="B121" s="54" t="s">
        <v>58</v>
      </c>
      <c r="C121" s="57">
        <v>2092</v>
      </c>
      <c r="G121" s="57">
        <v>0.28599999999999998</v>
      </c>
      <c r="H121" s="57">
        <v>0.23230000000000001</v>
      </c>
      <c r="I121" s="57">
        <v>0.14299999999999999</v>
      </c>
      <c r="J121" s="57">
        <v>0.2</v>
      </c>
      <c r="K121" s="57">
        <v>0.28210000000000002</v>
      </c>
      <c r="L121" s="57">
        <v>0.16500000000000001</v>
      </c>
      <c r="M121" s="57">
        <v>0.26400000000000001</v>
      </c>
      <c r="N121" s="57">
        <v>0.23499999999999999</v>
      </c>
      <c r="O121" s="57">
        <v>0.14299999999999999</v>
      </c>
      <c r="AE121" s="57">
        <v>1.3508</v>
      </c>
      <c r="AF121" s="57">
        <v>0.82399999999999995</v>
      </c>
      <c r="AG121" s="33">
        <f t="shared" si="0"/>
        <v>0.25</v>
      </c>
      <c r="BE121" s="33" t="e">
        <f t="shared" si="1"/>
        <v>#DIV/0!</v>
      </c>
    </row>
    <row r="122" spans="1:57" x14ac:dyDescent="0.2">
      <c r="A122" s="57" t="s">
        <v>236</v>
      </c>
      <c r="B122" s="54" t="s">
        <v>58</v>
      </c>
      <c r="C122" s="57">
        <v>2091</v>
      </c>
      <c r="G122" s="57">
        <v>0.373</v>
      </c>
      <c r="H122" s="57">
        <v>0.37890000000000001</v>
      </c>
      <c r="I122" s="57">
        <v>0.223</v>
      </c>
      <c r="J122" s="57">
        <v>0.29599999999999999</v>
      </c>
      <c r="K122" s="57">
        <v>0.40720000000000001</v>
      </c>
      <c r="L122" s="57">
        <v>0.23699999999999999</v>
      </c>
      <c r="M122" s="57">
        <v>0.27500000000000002</v>
      </c>
      <c r="N122" s="57">
        <v>0.3382</v>
      </c>
      <c r="O122" s="57">
        <v>0.19900000000000001</v>
      </c>
      <c r="AE122" s="57">
        <v>1.2568999999999999</v>
      </c>
      <c r="AF122" s="57">
        <v>0.75900000000000001</v>
      </c>
      <c r="AG122" s="33">
        <f t="shared" si="0"/>
        <v>0.31466666666666665</v>
      </c>
      <c r="BE122" s="33" t="e">
        <f t="shared" si="1"/>
        <v>#DIV/0!</v>
      </c>
    </row>
    <row r="123" spans="1:57" x14ac:dyDescent="0.2">
      <c r="A123" s="57" t="s">
        <v>236</v>
      </c>
      <c r="B123" s="54" t="s">
        <v>129</v>
      </c>
      <c r="C123" s="57">
        <v>2090</v>
      </c>
      <c r="G123" s="57">
        <v>1.74</v>
      </c>
      <c r="H123" s="57" t="s">
        <v>60</v>
      </c>
      <c r="J123" s="57">
        <v>0.57899999999999996</v>
      </c>
      <c r="K123" s="57" t="s">
        <v>60</v>
      </c>
      <c r="AG123" s="33">
        <f t="shared" si="0"/>
        <v>1.1595</v>
      </c>
      <c r="BE123" s="33" t="e">
        <f t="shared" si="1"/>
        <v>#DIV/0!</v>
      </c>
    </row>
    <row r="124" spans="1:57" x14ac:dyDescent="0.2">
      <c r="A124" s="57" t="s">
        <v>236</v>
      </c>
      <c r="B124" s="54" t="s">
        <v>58</v>
      </c>
      <c r="C124" s="57">
        <v>2089</v>
      </c>
      <c r="G124" s="57">
        <v>0.99</v>
      </c>
      <c r="H124" s="57">
        <v>0.42420000000000002</v>
      </c>
      <c r="I124" s="57">
        <v>0.25900000000000001</v>
      </c>
      <c r="J124" s="57">
        <v>1.5</v>
      </c>
      <c r="K124" s="57">
        <v>0.71230000000000004</v>
      </c>
      <c r="L124" s="57">
        <v>0.45</v>
      </c>
      <c r="M124" s="57">
        <v>1.5</v>
      </c>
      <c r="N124" s="57">
        <v>0.32190000000000002</v>
      </c>
      <c r="O124" s="57">
        <v>0.19500000000000001</v>
      </c>
      <c r="P124" s="57">
        <v>0.6</v>
      </c>
      <c r="Q124" s="57">
        <v>0.36049999999999999</v>
      </c>
      <c r="R124" s="57">
        <v>0.224</v>
      </c>
      <c r="S124" s="57">
        <v>0.45</v>
      </c>
      <c r="T124" s="57">
        <v>0.26300000000000001</v>
      </c>
      <c r="U124" s="57">
        <v>0.156</v>
      </c>
      <c r="V124" s="57">
        <v>0.32</v>
      </c>
      <c r="W124" s="57">
        <v>0.25059999999999999</v>
      </c>
      <c r="X124" s="57">
        <v>0.152</v>
      </c>
      <c r="Y124" s="57">
        <v>1.49</v>
      </c>
      <c r="Z124" s="57">
        <v>0.40460000000000002</v>
      </c>
      <c r="AA124" s="57">
        <v>0.25</v>
      </c>
      <c r="AB124" s="57">
        <v>1.19</v>
      </c>
      <c r="AC124" s="57">
        <v>0.19</v>
      </c>
      <c r="AD124" s="57">
        <v>0.11700000000000001</v>
      </c>
      <c r="AE124" s="57">
        <v>0.214</v>
      </c>
      <c r="AF124" s="57">
        <v>0.13100000000000001</v>
      </c>
      <c r="AG124" s="33">
        <f t="shared" si="0"/>
        <v>1.0049999999999999</v>
      </c>
      <c r="BE124" s="33" t="e">
        <f t="shared" si="1"/>
        <v>#DIV/0!</v>
      </c>
    </row>
    <row r="125" spans="1:57" x14ac:dyDescent="0.2">
      <c r="A125" s="57" t="s">
        <v>236</v>
      </c>
      <c r="B125" s="54" t="s">
        <v>64</v>
      </c>
      <c r="C125" s="57">
        <v>2088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0"/>
        <v>1.4166666666666667</v>
      </c>
      <c r="BE125" s="33" t="e">
        <f t="shared" si="1"/>
        <v>#DIV/0!</v>
      </c>
    </row>
    <row r="126" spans="1:57" x14ac:dyDescent="0.2">
      <c r="A126" s="57" t="s">
        <v>236</v>
      </c>
      <c r="B126" s="54" t="s">
        <v>64</v>
      </c>
      <c r="C126" s="57">
        <v>2087</v>
      </c>
      <c r="G126" s="57">
        <v>1.17</v>
      </c>
      <c r="H126" s="57" t="s">
        <v>60</v>
      </c>
      <c r="J126" s="57">
        <v>1.1299999999999999</v>
      </c>
      <c r="K126" s="57" t="s">
        <v>60</v>
      </c>
      <c r="AG126" s="33">
        <f t="shared" si="0"/>
        <v>1.1499999999999999</v>
      </c>
      <c r="BE126" s="33" t="e">
        <f t="shared" si="1"/>
        <v>#DIV/0!</v>
      </c>
    </row>
    <row r="127" spans="1:57" x14ac:dyDescent="0.2">
      <c r="A127" s="57" t="s">
        <v>236</v>
      </c>
      <c r="B127" s="54" t="s">
        <v>64</v>
      </c>
      <c r="C127" s="57">
        <v>2086</v>
      </c>
      <c r="G127" s="57">
        <v>0.45800000000000002</v>
      </c>
      <c r="H127" s="57" t="s">
        <v>60</v>
      </c>
      <c r="J127" s="57">
        <v>1.3</v>
      </c>
      <c r="K127" s="57" t="s">
        <v>60</v>
      </c>
      <c r="M127" s="57">
        <v>0.91600000000000004</v>
      </c>
      <c r="N127" s="57" t="s">
        <v>60</v>
      </c>
      <c r="P127" s="57">
        <v>1.07</v>
      </c>
      <c r="Q127" s="57" t="s">
        <v>60</v>
      </c>
      <c r="AG127" s="33">
        <f t="shared" si="0"/>
        <v>0.93600000000000017</v>
      </c>
      <c r="BE127" s="33" t="e">
        <f t="shared" si="1"/>
        <v>#DIV/0!</v>
      </c>
    </row>
    <row r="128" spans="1:57" x14ac:dyDescent="0.2">
      <c r="A128" s="57" t="s">
        <v>236</v>
      </c>
      <c r="B128" s="54" t="s">
        <v>64</v>
      </c>
      <c r="C128" s="57">
        <v>2085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1.1299999999999999</v>
      </c>
      <c r="N128" s="57" t="s">
        <v>60</v>
      </c>
      <c r="AG128" s="33">
        <f t="shared" si="0"/>
        <v>1.1796666666666666</v>
      </c>
      <c r="BE128" s="33" t="e">
        <f t="shared" si="1"/>
        <v>#DIV/0!</v>
      </c>
    </row>
    <row r="129" spans="1:57" x14ac:dyDescent="0.2">
      <c r="A129" s="57" t="s">
        <v>235</v>
      </c>
      <c r="B129" s="54" t="s">
        <v>64</v>
      </c>
      <c r="C129" s="57">
        <v>2020</v>
      </c>
      <c r="G129" s="57">
        <v>1.64</v>
      </c>
      <c r="H129" s="57">
        <v>0.17399999999999999</v>
      </c>
      <c r="I129" s="57">
        <v>8.6999999999999994E-2</v>
      </c>
      <c r="J129" s="57">
        <v>1.3149999999999999</v>
      </c>
      <c r="K129" s="57">
        <v>0.23599999999999999</v>
      </c>
      <c r="L129" s="57">
        <v>0.113</v>
      </c>
      <c r="M129" s="57">
        <v>1.786</v>
      </c>
      <c r="N129" s="57">
        <v>0.2114</v>
      </c>
      <c r="O129" s="57">
        <v>0.10299999999999999</v>
      </c>
      <c r="P129" s="57">
        <v>1.59</v>
      </c>
      <c r="Q129" s="57">
        <v>0.21390000000000001</v>
      </c>
      <c r="R129" s="57">
        <v>0.10199999999999999</v>
      </c>
      <c r="AE129" s="57">
        <v>0.64729999999999999</v>
      </c>
      <c r="AF129" s="57">
        <v>0.30399999999999999</v>
      </c>
      <c r="AG129" s="33">
        <f t="shared" si="0"/>
        <v>1.5827500000000001</v>
      </c>
      <c r="BE129" s="33" t="e">
        <f t="shared" si="1"/>
        <v>#DIV/0!</v>
      </c>
    </row>
    <row r="130" spans="1:57" x14ac:dyDescent="0.2">
      <c r="A130" s="57" t="s">
        <v>235</v>
      </c>
      <c r="B130" s="54" t="s">
        <v>64</v>
      </c>
      <c r="C130" s="57">
        <v>2021</v>
      </c>
      <c r="G130" s="57">
        <v>1.52</v>
      </c>
      <c r="H130" s="57">
        <v>0.12540000000000001</v>
      </c>
      <c r="I130" s="57">
        <v>5.5E-2</v>
      </c>
      <c r="J130" s="57">
        <v>1.1399999999999999</v>
      </c>
      <c r="K130" s="57">
        <v>0.15179999999999999</v>
      </c>
      <c r="L130" s="57">
        <v>6.0999999999999999E-2</v>
      </c>
      <c r="M130" s="57">
        <v>1.53</v>
      </c>
      <c r="N130" s="57">
        <v>0.20019999999999999</v>
      </c>
      <c r="O130" s="57">
        <v>7.8E-2</v>
      </c>
      <c r="AE130" s="57">
        <v>0.50490000000000002</v>
      </c>
      <c r="AF130" s="57">
        <v>0.21099999999999999</v>
      </c>
      <c r="AG130" s="33">
        <f t="shared" si="0"/>
        <v>1.3966666666666665</v>
      </c>
      <c r="BE130" s="33" t="e">
        <f t="shared" si="1"/>
        <v>#DIV/0!</v>
      </c>
    </row>
    <row r="131" spans="1:57" x14ac:dyDescent="0.2">
      <c r="A131" s="57" t="s">
        <v>235</v>
      </c>
      <c r="B131" s="54" t="s">
        <v>58</v>
      </c>
      <c r="C131" s="57">
        <v>2022</v>
      </c>
      <c r="G131" s="57">
        <v>0.92</v>
      </c>
      <c r="H131" s="57">
        <v>0.3054</v>
      </c>
      <c r="I131" s="57">
        <v>0.155</v>
      </c>
      <c r="J131" s="57">
        <v>0.55000000000000004</v>
      </c>
      <c r="K131" s="57">
        <v>0.37069999999999997</v>
      </c>
      <c r="L131" s="57">
        <v>0.216</v>
      </c>
      <c r="M131" s="57">
        <v>1.56</v>
      </c>
      <c r="N131" s="57">
        <v>0.30220000000000002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1.8374999999999999</v>
      </c>
      <c r="AF131" s="57">
        <v>1.0269999999999999</v>
      </c>
      <c r="AG131" s="33">
        <f t="shared" si="0"/>
        <v>1.0024999999999999</v>
      </c>
      <c r="BE131" s="33" t="e">
        <f t="shared" si="1"/>
        <v>#DIV/0!</v>
      </c>
    </row>
    <row r="132" spans="1:57" x14ac:dyDescent="0.2">
      <c r="A132" s="57" t="s">
        <v>235</v>
      </c>
      <c r="B132" s="54" t="s">
        <v>58</v>
      </c>
      <c r="C132" s="57">
        <v>2023</v>
      </c>
      <c r="G132" s="57">
        <v>0.78200000000000003</v>
      </c>
      <c r="H132" s="57">
        <v>0.29189999999999999</v>
      </c>
      <c r="I132" s="57">
        <v>0.14299999999999999</v>
      </c>
      <c r="J132" s="57">
        <v>0.64500000000000002</v>
      </c>
      <c r="K132" s="57">
        <v>0.40589999999999998</v>
      </c>
      <c r="L132" s="57">
        <v>0.188</v>
      </c>
      <c r="M132" s="57">
        <v>0.77900000000000003</v>
      </c>
      <c r="N132" s="57">
        <v>0.43709999999999999</v>
      </c>
      <c r="O132" s="57">
        <v>0.26100000000000001</v>
      </c>
      <c r="P132" s="57">
        <v>0.61699999999999999</v>
      </c>
      <c r="Q132" s="57">
        <v>0.308</v>
      </c>
      <c r="R132" s="57">
        <v>0.187</v>
      </c>
      <c r="AE132" s="57">
        <v>2.3073000000000001</v>
      </c>
      <c r="AF132" s="57">
        <v>1.21</v>
      </c>
      <c r="AG132" s="33">
        <f t="shared" si="0"/>
        <v>0.70574999999999999</v>
      </c>
      <c r="BE132" s="33" t="e">
        <f t="shared" si="1"/>
        <v>#DIV/0!</v>
      </c>
    </row>
    <row r="133" spans="1:57" x14ac:dyDescent="0.2">
      <c r="A133" s="57" t="s">
        <v>235</v>
      </c>
      <c r="B133" s="54" t="s">
        <v>64</v>
      </c>
      <c r="C133" s="57">
        <v>2024</v>
      </c>
      <c r="G133" s="57">
        <v>0.77</v>
      </c>
      <c r="H133" s="57">
        <v>0.27789999999999998</v>
      </c>
      <c r="I133" s="57">
        <v>0.11600000000000001</v>
      </c>
      <c r="J133" s="57">
        <v>0.9</v>
      </c>
      <c r="K133" s="57">
        <v>0.20380000000000001</v>
      </c>
      <c r="L133" s="57">
        <v>8.1000000000000003E-2</v>
      </c>
      <c r="M133" s="57">
        <v>1.26</v>
      </c>
      <c r="N133" s="57">
        <v>0.187</v>
      </c>
      <c r="O133" s="57">
        <v>7.2999999999999995E-2</v>
      </c>
      <c r="P133" s="57">
        <v>1.44</v>
      </c>
      <c r="Q133" s="57">
        <v>0.2177</v>
      </c>
      <c r="R133" s="57">
        <v>0.1</v>
      </c>
      <c r="AE133" s="57">
        <v>0.61580000000000001</v>
      </c>
      <c r="AF133" s="57">
        <v>0.23499999999999999</v>
      </c>
      <c r="AG133" s="33">
        <f t="shared" si="0"/>
        <v>1.0925</v>
      </c>
      <c r="BE133" s="33" t="e">
        <f t="shared" si="1"/>
        <v>#DIV/0!</v>
      </c>
    </row>
    <row r="134" spans="1:57" x14ac:dyDescent="0.2">
      <c r="A134" s="57" t="s">
        <v>235</v>
      </c>
      <c r="B134" s="54" t="s">
        <v>64</v>
      </c>
      <c r="C134" s="57">
        <v>2025</v>
      </c>
      <c r="G134" s="57">
        <v>1.1000000000000001</v>
      </c>
      <c r="H134" s="57">
        <v>0.10970000000000001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6.4000000000000001E-2</v>
      </c>
      <c r="P134" s="57">
        <v>1.5</v>
      </c>
      <c r="Q134" s="57">
        <v>9.7199999999999995E-2</v>
      </c>
      <c r="R134" s="57">
        <v>4.4999999999999998E-2</v>
      </c>
      <c r="AE134" s="57">
        <v>0.24840000000000001</v>
      </c>
      <c r="AF134" s="57">
        <v>0.113</v>
      </c>
      <c r="AG134" s="33">
        <f t="shared" si="0"/>
        <v>1.3424999999999998</v>
      </c>
      <c r="BE134" s="33" t="e">
        <f t="shared" si="1"/>
        <v>#DIV/0!</v>
      </c>
    </row>
    <row r="135" spans="1:57" x14ac:dyDescent="0.2">
      <c r="A135" s="57" t="s">
        <v>237</v>
      </c>
      <c r="B135" s="54" t="s">
        <v>64</v>
      </c>
      <c r="C135" s="57">
        <v>2026</v>
      </c>
      <c r="G135" s="57">
        <v>1.6</v>
      </c>
      <c r="H135" s="57">
        <v>0.13300000000000001</v>
      </c>
      <c r="I135" s="57">
        <v>0.05</v>
      </c>
      <c r="J135" s="57">
        <v>1.1499999999999999</v>
      </c>
      <c r="K135" s="57">
        <v>0.13270000000000001</v>
      </c>
      <c r="L135" s="57">
        <v>5.2999999999999999E-2</v>
      </c>
      <c r="M135" s="57">
        <v>1.59</v>
      </c>
      <c r="N135" s="57">
        <v>0.19089999999999999</v>
      </c>
      <c r="O135" s="57">
        <v>7.5999999999999998E-2</v>
      </c>
      <c r="P135" s="57">
        <v>1.43</v>
      </c>
      <c r="Q135" s="57">
        <v>0.16520000000000001</v>
      </c>
      <c r="R135" s="57">
        <v>6.8000000000000005E-2</v>
      </c>
      <c r="AE135" s="57">
        <v>0.75800000000000001</v>
      </c>
      <c r="AF135" s="57">
        <v>0.29699999999999999</v>
      </c>
      <c r="AG135" s="33">
        <f t="shared" si="0"/>
        <v>1.4424999999999999</v>
      </c>
      <c r="BE135" s="33" t="e">
        <f t="shared" si="1"/>
        <v>#DIV/0!</v>
      </c>
    </row>
    <row r="136" spans="1:57" x14ac:dyDescent="0.2">
      <c r="A136" s="57" t="s">
        <v>237</v>
      </c>
      <c r="B136" s="54" t="s">
        <v>64</v>
      </c>
      <c r="C136" s="57">
        <v>2027</v>
      </c>
      <c r="G136" s="57">
        <v>1.42</v>
      </c>
      <c r="H136" s="57">
        <v>9.6699999999999994E-2</v>
      </c>
      <c r="I136" s="57">
        <v>7.9000000000000001E-2</v>
      </c>
      <c r="J136" s="57">
        <v>1.6</v>
      </c>
      <c r="K136" s="57">
        <v>9.5799999999999996E-2</v>
      </c>
      <c r="L136" s="57">
        <v>9.4E-2</v>
      </c>
      <c r="M136" s="57">
        <v>1.55</v>
      </c>
      <c r="N136" s="57">
        <v>0.12479999999999999</v>
      </c>
      <c r="O136" s="57">
        <v>5.0999999999999997E-2</v>
      </c>
      <c r="P136" s="57">
        <v>1.4</v>
      </c>
      <c r="Q136" s="57">
        <v>0.17219999999999999</v>
      </c>
      <c r="S136" s="57">
        <v>1.32</v>
      </c>
      <c r="T136" s="57">
        <v>0.19020000000000001</v>
      </c>
      <c r="V136" s="57">
        <v>1.39</v>
      </c>
      <c r="W136" s="57">
        <v>0.1053</v>
      </c>
      <c r="AE136" s="57">
        <v>0.33379999999999999</v>
      </c>
      <c r="AF136" s="57">
        <v>0.14000000000000001</v>
      </c>
      <c r="AG136" s="33">
        <f t="shared" si="0"/>
        <v>1.4466666666666665</v>
      </c>
      <c r="BE136" s="33" t="e">
        <f t="shared" si="1"/>
        <v>#DIV/0!</v>
      </c>
    </row>
    <row r="137" spans="1:57" x14ac:dyDescent="0.2">
      <c r="A137" s="57" t="s">
        <v>237</v>
      </c>
      <c r="B137" s="54"/>
      <c r="C137" s="57">
        <v>2028</v>
      </c>
    </row>
    <row r="138" spans="1:57" x14ac:dyDescent="0.2">
      <c r="A138" s="57" t="s">
        <v>237</v>
      </c>
      <c r="B138" s="54"/>
      <c r="C138" s="57">
        <v>2029</v>
      </c>
    </row>
    <row r="139" spans="1:57" x14ac:dyDescent="0.2">
      <c r="A139" s="57" t="s">
        <v>237</v>
      </c>
      <c r="B139" s="54"/>
      <c r="C139" s="57">
        <v>2030</v>
      </c>
    </row>
    <row r="140" spans="1:57" x14ac:dyDescent="0.2">
      <c r="A140" s="57" t="s">
        <v>237</v>
      </c>
      <c r="B140" s="54"/>
      <c r="C140" s="57">
        <v>2031</v>
      </c>
    </row>
    <row r="141" spans="1:57" x14ac:dyDescent="0.2">
      <c r="A141" s="57" t="s">
        <v>238</v>
      </c>
      <c r="B141" s="54" t="s">
        <v>64</v>
      </c>
      <c r="C141" s="57">
        <v>2012</v>
      </c>
    </row>
    <row r="142" spans="1:57" x14ac:dyDescent="0.2">
      <c r="A142" s="57" t="s">
        <v>238</v>
      </c>
      <c r="B142" s="54" t="s">
        <v>64</v>
      </c>
      <c r="C142" s="57">
        <v>2013</v>
      </c>
    </row>
    <row r="143" spans="1:57" x14ac:dyDescent="0.2">
      <c r="A143" s="57" t="s">
        <v>238</v>
      </c>
      <c r="B143" s="54" t="s">
        <v>64</v>
      </c>
      <c r="C143" s="57">
        <v>2014</v>
      </c>
    </row>
    <row r="144" spans="1:57" x14ac:dyDescent="0.2">
      <c r="A144" s="57" t="s">
        <v>238</v>
      </c>
      <c r="B144" s="54" t="s">
        <v>64</v>
      </c>
      <c r="C144" s="57">
        <v>2015</v>
      </c>
    </row>
    <row r="145" spans="1:3" x14ac:dyDescent="0.2">
      <c r="A145" s="57" t="s">
        <v>238</v>
      </c>
      <c r="B145" s="54" t="s">
        <v>64</v>
      </c>
      <c r="C145" s="57">
        <v>1478</v>
      </c>
    </row>
    <row r="146" spans="1:3" x14ac:dyDescent="0.2">
      <c r="B146" s="3"/>
    </row>
    <row r="147" spans="1:3" x14ac:dyDescent="0.2">
      <c r="B147" s="3"/>
    </row>
    <row r="148" spans="1:3" x14ac:dyDescent="0.2">
      <c r="B148" s="3"/>
    </row>
    <row r="149" spans="1:3" x14ac:dyDescent="0.2">
      <c r="B149" s="3"/>
    </row>
    <row r="150" spans="1:3" x14ac:dyDescent="0.2">
      <c r="B150" s="3"/>
    </row>
    <row r="151" spans="1:3" x14ac:dyDescent="0.2">
      <c r="B151" s="3"/>
    </row>
    <row r="152" spans="1:3" x14ac:dyDescent="0.2">
      <c r="B152" s="3"/>
    </row>
    <row r="153" spans="1:3" x14ac:dyDescent="0.2">
      <c r="B153" s="3"/>
    </row>
    <row r="154" spans="1:3" x14ac:dyDescent="0.2">
      <c r="B154" s="3"/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F310"/>
  <sheetViews>
    <sheetView workbookViewId="0"/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44635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66" t="s">
        <v>205</v>
      </c>
      <c r="AF6" s="66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66" t="s">
        <v>229</v>
      </c>
      <c r="BD6" s="66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AE7" s="57">
        <v>3.5990000000000002</v>
      </c>
      <c r="AF7" s="57">
        <v>2.21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AE9" s="57">
        <v>5.2119999999999997</v>
      </c>
      <c r="AF9" s="57">
        <v>2.6629999999999998</v>
      </c>
      <c r="BC9" s="57">
        <v>0.21099999999999999</v>
      </c>
      <c r="BD9" s="57">
        <v>0.124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56" x14ac:dyDescent="0.2">
      <c r="A17" s="12" t="s">
        <v>57</v>
      </c>
      <c r="B17" s="12" t="s">
        <v>64</v>
      </c>
      <c r="C17" s="34" t="s">
        <v>65</v>
      </c>
    </row>
    <row r="18" spans="1:56" x14ac:dyDescent="0.2">
      <c r="A18" s="12" t="s">
        <v>57</v>
      </c>
      <c r="B18" s="12" t="s">
        <v>64</v>
      </c>
      <c r="C18" s="12">
        <v>2360</v>
      </c>
    </row>
    <row r="19" spans="1:56" x14ac:dyDescent="0.2">
      <c r="A19" s="12" t="s">
        <v>57</v>
      </c>
      <c r="B19" s="12" t="s">
        <v>64</v>
      </c>
      <c r="C19" s="12">
        <v>2361</v>
      </c>
    </row>
    <row r="20" spans="1:56" x14ac:dyDescent="0.2">
      <c r="A20" s="12" t="s">
        <v>57</v>
      </c>
      <c r="B20" s="12" t="s">
        <v>64</v>
      </c>
      <c r="C20" s="34" t="s">
        <v>65</v>
      </c>
    </row>
    <row r="21" spans="1:56" x14ac:dyDescent="0.2">
      <c r="A21" s="12" t="s">
        <v>57</v>
      </c>
      <c r="B21" s="12" t="s">
        <v>64</v>
      </c>
      <c r="C21" s="12">
        <v>2362</v>
      </c>
    </row>
    <row r="22" spans="1:56" x14ac:dyDescent="0.2">
      <c r="A22" s="12" t="s">
        <v>57</v>
      </c>
      <c r="B22" s="12" t="s">
        <v>64</v>
      </c>
      <c r="C22" s="12">
        <v>2363</v>
      </c>
    </row>
    <row r="23" spans="1:56" x14ac:dyDescent="0.2">
      <c r="A23" s="12" t="s">
        <v>57</v>
      </c>
      <c r="B23" s="12" t="s">
        <v>64</v>
      </c>
      <c r="C23" s="12">
        <v>2364</v>
      </c>
    </row>
    <row r="24" spans="1:56" x14ac:dyDescent="0.2">
      <c r="A24" s="12" t="s">
        <v>57</v>
      </c>
      <c r="B24" s="12" t="s">
        <v>64</v>
      </c>
      <c r="C24" s="12">
        <v>2365</v>
      </c>
      <c r="AE24" s="57">
        <v>1.7170000000000001</v>
      </c>
      <c r="AF24" s="57">
        <v>0.71199999999999997</v>
      </c>
      <c r="BC24" s="57">
        <v>1.099</v>
      </c>
      <c r="BD24" s="57">
        <v>0.48299999999999998</v>
      </c>
    </row>
    <row r="25" spans="1:56" x14ac:dyDescent="0.2">
      <c r="A25" s="12" t="s">
        <v>57</v>
      </c>
      <c r="B25" s="12" t="s">
        <v>64</v>
      </c>
      <c r="C25" s="12">
        <v>2366</v>
      </c>
    </row>
    <row r="26" spans="1:56" x14ac:dyDescent="0.2">
      <c r="A26" s="12" t="s">
        <v>57</v>
      </c>
      <c r="B26" s="12" t="s">
        <v>64</v>
      </c>
      <c r="C26" s="34" t="s">
        <v>65</v>
      </c>
    </row>
    <row r="27" spans="1:56" x14ac:dyDescent="0.2">
      <c r="A27" s="12" t="s">
        <v>57</v>
      </c>
      <c r="B27" s="12" t="s">
        <v>64</v>
      </c>
      <c r="C27" s="12">
        <v>2367</v>
      </c>
      <c r="BC27" s="57">
        <v>0.35899999999999999</v>
      </c>
      <c r="BD27" s="57">
        <v>0.14399999999999999</v>
      </c>
    </row>
    <row r="28" spans="1:56" x14ac:dyDescent="0.2">
      <c r="A28" s="12" t="s">
        <v>57</v>
      </c>
      <c r="B28" s="12" t="s">
        <v>64</v>
      </c>
      <c r="C28" s="34" t="s">
        <v>65</v>
      </c>
    </row>
    <row r="29" spans="1:56" x14ac:dyDescent="0.2">
      <c r="A29" s="12" t="s">
        <v>57</v>
      </c>
      <c r="B29" s="12" t="s">
        <v>64</v>
      </c>
      <c r="C29" s="34" t="s">
        <v>65</v>
      </c>
    </row>
    <row r="30" spans="1:56" x14ac:dyDescent="0.2">
      <c r="A30" s="12" t="s">
        <v>57</v>
      </c>
      <c r="B30" s="12" t="s">
        <v>64</v>
      </c>
      <c r="C30" s="12">
        <v>2369</v>
      </c>
      <c r="AE30" s="57">
        <v>2.5819999999999999</v>
      </c>
      <c r="AF30" s="57">
        <v>1.071</v>
      </c>
      <c r="BC30" s="57">
        <v>0.66900000000000004</v>
      </c>
      <c r="BD30" s="57">
        <v>0.28699999999999998</v>
      </c>
    </row>
    <row r="31" spans="1:56" x14ac:dyDescent="0.2">
      <c r="A31" s="38" t="s">
        <v>70</v>
      </c>
      <c r="B31" s="38" t="s">
        <v>58</v>
      </c>
      <c r="C31" s="38">
        <v>2376</v>
      </c>
      <c r="AE31" s="57">
        <v>4.2370000000000001</v>
      </c>
      <c r="AF31" s="57">
        <v>2.4540000000000002</v>
      </c>
      <c r="BC31" s="57">
        <v>1.0720000000000001</v>
      </c>
      <c r="BD31" s="57">
        <v>0.64100000000000001</v>
      </c>
    </row>
    <row r="32" spans="1:56" x14ac:dyDescent="0.2">
      <c r="A32" s="38" t="s">
        <v>70</v>
      </c>
      <c r="B32" s="38" t="s">
        <v>58</v>
      </c>
      <c r="C32" s="38">
        <v>2377</v>
      </c>
      <c r="AE32" s="57">
        <v>4.734</v>
      </c>
      <c r="AF32" s="57">
        <v>2.4889999999999999</v>
      </c>
      <c r="BC32" s="57">
        <v>2.6720000000000002</v>
      </c>
      <c r="BD32" s="57">
        <v>1.472</v>
      </c>
    </row>
    <row r="33" spans="1:56" x14ac:dyDescent="0.2">
      <c r="A33" s="38" t="s">
        <v>70</v>
      </c>
      <c r="B33" s="38" t="s">
        <v>64</v>
      </c>
      <c r="C33" s="38">
        <v>2378</v>
      </c>
      <c r="AE33" s="57">
        <v>2.0819999999999999</v>
      </c>
      <c r="AF33" s="57">
        <v>0.95099999999999996</v>
      </c>
      <c r="BC33" s="57">
        <v>2.2650000000000001</v>
      </c>
      <c r="BD33" s="57">
        <v>1.0780000000000001</v>
      </c>
    </row>
    <row r="34" spans="1:56" x14ac:dyDescent="0.2">
      <c r="A34" s="38" t="s">
        <v>70</v>
      </c>
      <c r="B34" s="38" t="s">
        <v>64</v>
      </c>
      <c r="C34" s="38">
        <v>2379</v>
      </c>
      <c r="AE34" s="57">
        <v>2.1640000000000001</v>
      </c>
      <c r="AF34" s="57">
        <v>0.98799999999999999</v>
      </c>
      <c r="BC34" s="57">
        <v>1.6950000000000001</v>
      </c>
      <c r="BD34" s="57">
        <v>0.84</v>
      </c>
    </row>
    <row r="35" spans="1:56" x14ac:dyDescent="0.2">
      <c r="A35" s="38" t="s">
        <v>70</v>
      </c>
      <c r="B35" s="38" t="s">
        <v>58</v>
      </c>
      <c r="C35" s="38">
        <v>2380</v>
      </c>
      <c r="AE35" s="57">
        <v>6.1550000000000002</v>
      </c>
      <c r="AF35" s="57">
        <v>3.5310000000000001</v>
      </c>
      <c r="BC35" s="57">
        <v>2.8029999999999999</v>
      </c>
      <c r="BD35" s="57">
        <v>1.597</v>
      </c>
    </row>
    <row r="36" spans="1:56" x14ac:dyDescent="0.2">
      <c r="A36" s="12" t="s">
        <v>74</v>
      </c>
      <c r="B36" s="12" t="s">
        <v>64</v>
      </c>
      <c r="C36" s="12">
        <v>2337</v>
      </c>
    </row>
    <row r="37" spans="1:56" x14ac:dyDescent="0.2">
      <c r="A37" s="12" t="s">
        <v>74</v>
      </c>
      <c r="B37" s="12" t="s">
        <v>64</v>
      </c>
      <c r="C37" s="12">
        <v>2338</v>
      </c>
    </row>
    <row r="38" spans="1:56" x14ac:dyDescent="0.2">
      <c r="A38" s="12" t="s">
        <v>74</v>
      </c>
      <c r="B38" s="12" t="s">
        <v>64</v>
      </c>
      <c r="C38" s="12">
        <v>2339</v>
      </c>
    </row>
    <row r="39" spans="1:56" x14ac:dyDescent="0.2">
      <c r="A39" s="12" t="s">
        <v>74</v>
      </c>
      <c r="B39" s="12" t="s">
        <v>64</v>
      </c>
      <c r="C39" s="12">
        <v>2340</v>
      </c>
    </row>
    <row r="40" spans="1:56" x14ac:dyDescent="0.2">
      <c r="A40" s="12" t="s">
        <v>74</v>
      </c>
      <c r="B40" s="12" t="s">
        <v>64</v>
      </c>
      <c r="C40" s="12">
        <v>2341</v>
      </c>
    </row>
    <row r="41" spans="1:56" x14ac:dyDescent="0.2">
      <c r="A41" s="12" t="s">
        <v>74</v>
      </c>
      <c r="B41" s="12" t="s">
        <v>64</v>
      </c>
      <c r="C41" s="12">
        <v>2342</v>
      </c>
    </row>
    <row r="42" spans="1:56" x14ac:dyDescent="0.2">
      <c r="A42" s="12" t="s">
        <v>74</v>
      </c>
      <c r="B42" s="12" t="s">
        <v>64</v>
      </c>
      <c r="C42" s="12">
        <v>2343</v>
      </c>
      <c r="AE42" s="57">
        <v>1.254</v>
      </c>
      <c r="AF42" s="57">
        <v>0.4</v>
      </c>
      <c r="BC42" s="57">
        <v>0.96399999999999997</v>
      </c>
      <c r="BD42" s="57">
        <v>0.36299999999999999</v>
      </c>
    </row>
    <row r="43" spans="1:56" x14ac:dyDescent="0.2">
      <c r="A43" s="41" t="s">
        <v>74</v>
      </c>
      <c r="B43" s="41" t="s">
        <v>64</v>
      </c>
      <c r="C43" s="41" t="s">
        <v>78</v>
      </c>
    </row>
    <row r="44" spans="1:56" x14ac:dyDescent="0.2">
      <c r="A44" s="12" t="s">
        <v>74</v>
      </c>
      <c r="B44" s="12" t="s">
        <v>64</v>
      </c>
      <c r="C44" s="12">
        <v>2344</v>
      </c>
    </row>
    <row r="45" spans="1:56" x14ac:dyDescent="0.2">
      <c r="A45" s="41" t="s">
        <v>74</v>
      </c>
      <c r="B45" s="41" t="s">
        <v>58</v>
      </c>
      <c r="C45" s="41" t="s">
        <v>78</v>
      </c>
    </row>
    <row r="46" spans="1:56" x14ac:dyDescent="0.2">
      <c r="A46" s="12" t="s">
        <v>74</v>
      </c>
      <c r="B46" s="12" t="s">
        <v>58</v>
      </c>
      <c r="C46" s="34">
        <v>2345</v>
      </c>
      <c r="AE46" s="57">
        <v>0.69399999999999995</v>
      </c>
      <c r="AF46" s="57">
        <v>0.39300000000000002</v>
      </c>
    </row>
    <row r="47" spans="1:56" x14ac:dyDescent="0.2">
      <c r="A47" s="12" t="s">
        <v>74</v>
      </c>
      <c r="B47" s="12" t="s">
        <v>64</v>
      </c>
      <c r="C47" s="12">
        <v>2346</v>
      </c>
      <c r="AE47" s="57">
        <v>0.46700000000000003</v>
      </c>
      <c r="AF47" s="57">
        <v>0.17199999999999999</v>
      </c>
      <c r="BC47" s="57">
        <v>0.16600000000000001</v>
      </c>
      <c r="BD47" s="57">
        <v>7.5999999999999998E-2</v>
      </c>
    </row>
    <row r="48" spans="1:56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56" x14ac:dyDescent="0.2">
      <c r="A65" s="12" t="s">
        <v>90</v>
      </c>
      <c r="B65" s="12" t="s">
        <v>64</v>
      </c>
      <c r="C65" s="12">
        <v>2321</v>
      </c>
    </row>
    <row r="66" spans="1:56" x14ac:dyDescent="0.2">
      <c r="A66" s="12" t="s">
        <v>90</v>
      </c>
      <c r="B66" s="12" t="s">
        <v>58</v>
      </c>
      <c r="C66" s="12">
        <v>2322</v>
      </c>
    </row>
    <row r="67" spans="1:56" x14ac:dyDescent="0.2">
      <c r="A67" s="12" t="s">
        <v>90</v>
      </c>
      <c r="B67" s="12" t="s">
        <v>58</v>
      </c>
      <c r="C67" s="12">
        <v>2323</v>
      </c>
    </row>
    <row r="68" spans="1:56" x14ac:dyDescent="0.2">
      <c r="A68" s="12" t="s">
        <v>90</v>
      </c>
      <c r="B68" s="12" t="s">
        <v>64</v>
      </c>
      <c r="C68" s="12">
        <v>2324</v>
      </c>
    </row>
    <row r="69" spans="1:56" x14ac:dyDescent="0.2">
      <c r="A69" s="12" t="s">
        <v>90</v>
      </c>
      <c r="B69" s="12" t="s">
        <v>64</v>
      </c>
      <c r="C69" s="12">
        <v>2325</v>
      </c>
    </row>
    <row r="70" spans="1:56" x14ac:dyDescent="0.2">
      <c r="A70" s="12" t="s">
        <v>90</v>
      </c>
      <c r="B70" s="12" t="s">
        <v>64</v>
      </c>
      <c r="C70" s="12">
        <v>2327</v>
      </c>
    </row>
    <row r="71" spans="1:56" x14ac:dyDescent="0.2">
      <c r="A71" s="12" t="s">
        <v>90</v>
      </c>
      <c r="B71" s="12" t="s">
        <v>64</v>
      </c>
      <c r="C71" s="12">
        <v>2326</v>
      </c>
    </row>
    <row r="72" spans="1:56" x14ac:dyDescent="0.2">
      <c r="A72" s="12" t="s">
        <v>90</v>
      </c>
      <c r="B72" s="12" t="s">
        <v>58</v>
      </c>
      <c r="C72" s="12">
        <v>2328</v>
      </c>
    </row>
    <row r="73" spans="1:56" x14ac:dyDescent="0.2">
      <c r="A73" s="12" t="s">
        <v>90</v>
      </c>
      <c r="B73" s="12" t="s">
        <v>64</v>
      </c>
      <c r="C73" s="12">
        <v>2329</v>
      </c>
    </row>
    <row r="74" spans="1:56" x14ac:dyDescent="0.2">
      <c r="A74" s="12" t="s">
        <v>90</v>
      </c>
      <c r="B74" s="12" t="s">
        <v>64</v>
      </c>
      <c r="C74" s="12">
        <v>2330</v>
      </c>
    </row>
    <row r="75" spans="1:56" x14ac:dyDescent="0.2">
      <c r="A75" s="12" t="s">
        <v>90</v>
      </c>
      <c r="B75" s="12" t="s">
        <v>58</v>
      </c>
      <c r="C75" s="12">
        <v>2331</v>
      </c>
      <c r="AE75" s="57">
        <v>2.0270000000000001</v>
      </c>
      <c r="AF75" s="57">
        <v>1.2230000000000001</v>
      </c>
      <c r="BC75" s="57">
        <v>1.0860000000000001</v>
      </c>
      <c r="BD75" s="57">
        <v>0.64700000000000002</v>
      </c>
    </row>
    <row r="76" spans="1:56" x14ac:dyDescent="0.2">
      <c r="A76" s="12" t="s">
        <v>90</v>
      </c>
      <c r="B76" s="12" t="s">
        <v>64</v>
      </c>
      <c r="C76" s="12">
        <v>2332</v>
      </c>
    </row>
    <row r="77" spans="1:56" x14ac:dyDescent="0.2">
      <c r="A77" s="12" t="s">
        <v>90</v>
      </c>
      <c r="B77" s="12" t="s">
        <v>64</v>
      </c>
      <c r="C77" s="12">
        <v>2333</v>
      </c>
    </row>
    <row r="78" spans="1:56" x14ac:dyDescent="0.2">
      <c r="A78" s="2" t="s">
        <v>90</v>
      </c>
      <c r="B78" s="3" t="s">
        <v>64</v>
      </c>
      <c r="C78" s="12">
        <v>2334</v>
      </c>
    </row>
    <row r="79" spans="1:56" x14ac:dyDescent="0.2">
      <c r="A79" s="12" t="s">
        <v>90</v>
      </c>
      <c r="B79" s="12" t="s">
        <v>64</v>
      </c>
      <c r="C79" s="12">
        <v>2336</v>
      </c>
    </row>
    <row r="80" spans="1:56" x14ac:dyDescent="0.2">
      <c r="A80" s="12" t="s">
        <v>90</v>
      </c>
      <c r="B80" s="12" t="s">
        <v>64</v>
      </c>
      <c r="C80" s="12">
        <v>2335</v>
      </c>
    </row>
    <row r="81" spans="1:56" x14ac:dyDescent="0.2">
      <c r="A81" s="38" t="s">
        <v>100</v>
      </c>
      <c r="B81" s="38" t="s">
        <v>64</v>
      </c>
      <c r="C81" s="38">
        <v>2374</v>
      </c>
    </row>
    <row r="82" spans="1:56" x14ac:dyDescent="0.2">
      <c r="A82" s="12" t="s">
        <v>101</v>
      </c>
      <c r="B82" s="12" t="s">
        <v>58</v>
      </c>
      <c r="C82" s="34">
        <v>2301</v>
      </c>
      <c r="AE82" s="57">
        <v>2.2999999999999998</v>
      </c>
      <c r="AF82" s="57">
        <v>1.3129999999999999</v>
      </c>
      <c r="BC82" s="57">
        <v>1.3560000000000001</v>
      </c>
      <c r="BD82" s="57">
        <v>0.78100000000000003</v>
      </c>
    </row>
    <row r="83" spans="1:56" x14ac:dyDescent="0.2">
      <c r="A83" s="12" t="s">
        <v>101</v>
      </c>
      <c r="B83" s="12" t="s">
        <v>64</v>
      </c>
      <c r="C83" s="12">
        <v>2302</v>
      </c>
    </row>
    <row r="84" spans="1:56" x14ac:dyDescent="0.2">
      <c r="A84" s="12" t="s">
        <v>101</v>
      </c>
      <c r="B84" s="12" t="s">
        <v>64</v>
      </c>
      <c r="C84" s="12">
        <v>2303</v>
      </c>
    </row>
    <row r="85" spans="1:56" x14ac:dyDescent="0.2">
      <c r="A85" s="12" t="s">
        <v>101</v>
      </c>
      <c r="B85" s="12" t="s">
        <v>64</v>
      </c>
      <c r="C85" s="12">
        <v>2304</v>
      </c>
    </row>
    <row r="86" spans="1:56" x14ac:dyDescent="0.2">
      <c r="A86" s="12" t="s">
        <v>101</v>
      </c>
      <c r="B86" s="12" t="s">
        <v>64</v>
      </c>
      <c r="C86" s="12">
        <v>2305</v>
      </c>
    </row>
    <row r="87" spans="1:56" x14ac:dyDescent="0.2">
      <c r="A87" s="12" t="s">
        <v>101</v>
      </c>
      <c r="B87" s="12" t="s">
        <v>64</v>
      </c>
      <c r="C87" s="12">
        <v>2306</v>
      </c>
    </row>
    <row r="88" spans="1:56" x14ac:dyDescent="0.2">
      <c r="A88" s="12" t="s">
        <v>101</v>
      </c>
      <c r="B88" s="12" t="s">
        <v>64</v>
      </c>
      <c r="C88" s="12">
        <v>2307</v>
      </c>
    </row>
    <row r="89" spans="1:56" x14ac:dyDescent="0.2">
      <c r="A89" s="12" t="s">
        <v>101</v>
      </c>
      <c r="B89" s="12" t="s">
        <v>64</v>
      </c>
      <c r="C89" s="12">
        <v>2308</v>
      </c>
    </row>
    <row r="90" spans="1:56" x14ac:dyDescent="0.2">
      <c r="A90" s="12" t="s">
        <v>101</v>
      </c>
      <c r="B90" s="12" t="s">
        <v>64</v>
      </c>
      <c r="C90" s="12">
        <v>2309</v>
      </c>
    </row>
    <row r="91" spans="1:56" x14ac:dyDescent="0.2">
      <c r="A91" s="53" t="s">
        <v>106</v>
      </c>
      <c r="B91" s="54" t="s">
        <v>64</v>
      </c>
      <c r="C91" s="55">
        <v>2370</v>
      </c>
    </row>
    <row r="92" spans="1:56" x14ac:dyDescent="0.2">
      <c r="A92" s="53" t="s">
        <v>107</v>
      </c>
      <c r="B92" s="54" t="s">
        <v>64</v>
      </c>
      <c r="C92" s="55">
        <v>2371</v>
      </c>
      <c r="AE92" s="57">
        <v>0.30199999999999999</v>
      </c>
      <c r="AF92" s="57">
        <v>9.5000000000000001E-2</v>
      </c>
    </row>
    <row r="93" spans="1:56" x14ac:dyDescent="0.2">
      <c r="A93" s="53" t="s">
        <v>108</v>
      </c>
      <c r="B93" s="54" t="s">
        <v>64</v>
      </c>
      <c r="C93" s="55">
        <v>2372</v>
      </c>
      <c r="AE93" s="57">
        <v>0.89200000000000002</v>
      </c>
      <c r="AF93" s="57">
        <v>0.29899999999999999</v>
      </c>
    </row>
    <row r="94" spans="1:56" x14ac:dyDescent="0.2">
      <c r="A94" s="53" t="s">
        <v>110</v>
      </c>
      <c r="B94" s="54" t="s">
        <v>64</v>
      </c>
      <c r="C94" s="55">
        <v>2373</v>
      </c>
      <c r="AE94" s="57">
        <v>1.0740000000000001</v>
      </c>
      <c r="AF94" s="57">
        <v>0.33300000000000002</v>
      </c>
    </row>
    <row r="95" spans="1:56" x14ac:dyDescent="0.2">
      <c r="A95" s="2" t="s">
        <v>112</v>
      </c>
      <c r="B95" s="3" t="s">
        <v>64</v>
      </c>
      <c r="C95" s="3"/>
    </row>
    <row r="96" spans="1:56" x14ac:dyDescent="0.2">
      <c r="A96" s="2" t="s">
        <v>112</v>
      </c>
      <c r="B96" s="3" t="s">
        <v>64</v>
      </c>
      <c r="C96" s="3"/>
    </row>
    <row r="97" spans="1:56" x14ac:dyDescent="0.2">
      <c r="A97" s="2" t="s">
        <v>112</v>
      </c>
      <c r="B97" s="3" t="s">
        <v>64</v>
      </c>
      <c r="C97" s="3"/>
    </row>
    <row r="98" spans="1:56" x14ac:dyDescent="0.2">
      <c r="A98" s="2" t="s">
        <v>112</v>
      </c>
      <c r="B98" s="3" t="s">
        <v>64</v>
      </c>
      <c r="C98" s="3"/>
    </row>
    <row r="99" spans="1:56" x14ac:dyDescent="0.2">
      <c r="A99" s="2" t="s">
        <v>112</v>
      </c>
      <c r="B99" s="3" t="s">
        <v>64</v>
      </c>
      <c r="C99" s="3"/>
    </row>
    <row r="100" spans="1:56" x14ac:dyDescent="0.2">
      <c r="A100" s="2" t="s">
        <v>113</v>
      </c>
      <c r="B100" s="3" t="s">
        <v>64</v>
      </c>
      <c r="C100" s="3"/>
    </row>
    <row r="101" spans="1:56" x14ac:dyDescent="0.2">
      <c r="A101" s="2" t="s">
        <v>113</v>
      </c>
      <c r="B101" s="3" t="s">
        <v>64</v>
      </c>
      <c r="C101" s="3"/>
    </row>
    <row r="102" spans="1:56" x14ac:dyDescent="0.2">
      <c r="A102" s="2" t="s">
        <v>113</v>
      </c>
      <c r="B102" s="3" t="s">
        <v>64</v>
      </c>
      <c r="C102" s="3"/>
    </row>
    <row r="103" spans="1:56" x14ac:dyDescent="0.2">
      <c r="A103" s="2" t="s">
        <v>113</v>
      </c>
      <c r="B103" s="3" t="s">
        <v>64</v>
      </c>
      <c r="C103" s="3"/>
    </row>
    <row r="104" spans="1:56" x14ac:dyDescent="0.2">
      <c r="A104" s="2" t="s">
        <v>113</v>
      </c>
      <c r="B104" s="3" t="s">
        <v>64</v>
      </c>
      <c r="C104" s="3"/>
    </row>
    <row r="105" spans="1:56" x14ac:dyDescent="0.2">
      <c r="A105" s="12" t="s">
        <v>114</v>
      </c>
      <c r="B105" s="12" t="s">
        <v>58</v>
      </c>
      <c r="C105" s="12"/>
    </row>
    <row r="106" spans="1:56" x14ac:dyDescent="0.2">
      <c r="A106" s="12" t="s">
        <v>114</v>
      </c>
      <c r="B106" s="12" t="s">
        <v>58</v>
      </c>
      <c r="C106" s="12"/>
    </row>
    <row r="107" spans="1:56" x14ac:dyDescent="0.2">
      <c r="A107" s="2" t="s">
        <v>117</v>
      </c>
      <c r="B107" s="3" t="s">
        <v>64</v>
      </c>
      <c r="C107" s="58">
        <v>2381</v>
      </c>
      <c r="AE107" s="57">
        <v>1.254</v>
      </c>
      <c r="AF107" s="57">
        <v>0.54500000000000004</v>
      </c>
      <c r="BC107" s="57">
        <v>0.74399999999999999</v>
      </c>
      <c r="BD107" s="57">
        <v>0.33900000000000002</v>
      </c>
    </row>
    <row r="108" spans="1:56" x14ac:dyDescent="0.2">
      <c r="A108" s="2" t="s">
        <v>117</v>
      </c>
      <c r="B108" s="3" t="s">
        <v>64</v>
      </c>
      <c r="C108" s="58"/>
    </row>
    <row r="109" spans="1:56" x14ac:dyDescent="0.2">
      <c r="A109" s="2" t="s">
        <v>117</v>
      </c>
      <c r="B109" s="3" t="s">
        <v>64</v>
      </c>
      <c r="C109" s="58"/>
    </row>
    <row r="110" spans="1:56" x14ac:dyDescent="0.2">
      <c r="A110" s="2" t="s">
        <v>117</v>
      </c>
      <c r="B110" s="3" t="s">
        <v>64</v>
      </c>
      <c r="C110" s="58">
        <v>2382</v>
      </c>
      <c r="AE110" s="57">
        <v>3.2509999999999999</v>
      </c>
      <c r="AF110" s="57">
        <v>1.4770000000000001</v>
      </c>
    </row>
    <row r="111" spans="1:56" x14ac:dyDescent="0.2">
      <c r="A111" s="2" t="s">
        <v>117</v>
      </c>
      <c r="B111" s="54" t="s">
        <v>64</v>
      </c>
      <c r="C111" s="60">
        <v>2383</v>
      </c>
      <c r="AE111" s="57">
        <v>3.7189999999999999</v>
      </c>
      <c r="AF111" s="57">
        <v>1.718</v>
      </c>
    </row>
    <row r="112" spans="1:56" x14ac:dyDescent="0.2">
      <c r="A112" s="2" t="s">
        <v>117</v>
      </c>
      <c r="B112" s="54" t="s">
        <v>64</v>
      </c>
      <c r="C112" s="57">
        <v>2384</v>
      </c>
      <c r="AE112" s="57">
        <v>1.2869999999999999</v>
      </c>
      <c r="AF112" s="57">
        <v>0.59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232</v>
      </c>
      <c r="B117" s="54" t="s">
        <v>234</v>
      </c>
    </row>
    <row r="118" spans="1:3" x14ac:dyDescent="0.2">
      <c r="A118" s="57" t="s">
        <v>235</v>
      </c>
      <c r="B118" s="54" t="s">
        <v>166</v>
      </c>
    </row>
    <row r="119" spans="1:3" x14ac:dyDescent="0.2">
      <c r="A119" s="57" t="s">
        <v>232</v>
      </c>
      <c r="B119" s="54" t="s">
        <v>166</v>
      </c>
    </row>
    <row r="120" spans="1:3" x14ac:dyDescent="0.2">
      <c r="A120" s="57" t="s">
        <v>236</v>
      </c>
      <c r="B120" s="54" t="s">
        <v>58</v>
      </c>
      <c r="C120" s="57">
        <v>2093</v>
      </c>
    </row>
    <row r="121" spans="1:3" x14ac:dyDescent="0.2">
      <c r="A121" s="57" t="s">
        <v>236</v>
      </c>
      <c r="B121" s="54" t="s">
        <v>58</v>
      </c>
      <c r="C121" s="57">
        <v>2092</v>
      </c>
    </row>
    <row r="122" spans="1:3" x14ac:dyDescent="0.2">
      <c r="A122" s="57" t="s">
        <v>236</v>
      </c>
      <c r="B122" s="54" t="s">
        <v>58</v>
      </c>
      <c r="C122" s="57">
        <v>2091</v>
      </c>
    </row>
    <row r="123" spans="1:3" x14ac:dyDescent="0.2">
      <c r="A123" s="57" t="s">
        <v>236</v>
      </c>
      <c r="B123" s="54" t="s">
        <v>129</v>
      </c>
      <c r="C123" s="57">
        <v>2090</v>
      </c>
    </row>
    <row r="124" spans="1:3" x14ac:dyDescent="0.2">
      <c r="A124" s="57" t="s">
        <v>236</v>
      </c>
      <c r="B124" s="54" t="s">
        <v>58</v>
      </c>
      <c r="C124" s="57">
        <v>2089</v>
      </c>
    </row>
    <row r="125" spans="1:3" x14ac:dyDescent="0.2">
      <c r="A125" s="57" t="s">
        <v>236</v>
      </c>
      <c r="B125" s="54" t="s">
        <v>64</v>
      </c>
      <c r="C125" s="57">
        <v>2088</v>
      </c>
    </row>
    <row r="126" spans="1:3" x14ac:dyDescent="0.2">
      <c r="A126" s="57" t="s">
        <v>236</v>
      </c>
      <c r="B126" s="54" t="s">
        <v>64</v>
      </c>
      <c r="C126" s="57">
        <v>2087</v>
      </c>
    </row>
    <row r="127" spans="1:3" x14ac:dyDescent="0.2">
      <c r="A127" s="57" t="s">
        <v>236</v>
      </c>
      <c r="B127" s="54" t="s">
        <v>64</v>
      </c>
      <c r="C127" s="57">
        <v>2086</v>
      </c>
    </row>
    <row r="128" spans="1:3" x14ac:dyDescent="0.2">
      <c r="A128" s="57" t="s">
        <v>236</v>
      </c>
      <c r="B128" s="54" t="s">
        <v>64</v>
      </c>
      <c r="C128" s="57">
        <v>2085</v>
      </c>
    </row>
    <row r="129" spans="1:3" x14ac:dyDescent="0.2">
      <c r="A129" s="57" t="s">
        <v>235</v>
      </c>
      <c r="B129" s="54" t="s">
        <v>64</v>
      </c>
      <c r="C129" s="57">
        <v>2020</v>
      </c>
    </row>
    <row r="130" spans="1:3" x14ac:dyDescent="0.2">
      <c r="A130" s="57" t="s">
        <v>235</v>
      </c>
      <c r="B130" s="54" t="s">
        <v>64</v>
      </c>
      <c r="C130" s="57">
        <v>2021</v>
      </c>
    </row>
    <row r="131" spans="1:3" x14ac:dyDescent="0.2">
      <c r="A131" s="57" t="s">
        <v>235</v>
      </c>
      <c r="B131" s="54" t="s">
        <v>58</v>
      </c>
      <c r="C131" s="57">
        <v>2022</v>
      </c>
    </row>
    <row r="132" spans="1:3" x14ac:dyDescent="0.2">
      <c r="A132" s="57" t="s">
        <v>235</v>
      </c>
      <c r="B132" s="54" t="s">
        <v>58</v>
      </c>
      <c r="C132" s="57">
        <v>2023</v>
      </c>
    </row>
    <row r="133" spans="1:3" x14ac:dyDescent="0.2">
      <c r="A133" s="57" t="s">
        <v>235</v>
      </c>
      <c r="B133" s="54" t="s">
        <v>64</v>
      </c>
      <c r="C133" s="57">
        <v>2024</v>
      </c>
    </row>
    <row r="134" spans="1:3" x14ac:dyDescent="0.2">
      <c r="A134" s="57" t="s">
        <v>235</v>
      </c>
      <c r="B134" s="54" t="s">
        <v>64</v>
      </c>
      <c r="C134" s="57">
        <v>2025</v>
      </c>
    </row>
    <row r="135" spans="1:3" x14ac:dyDescent="0.2">
      <c r="A135" s="57" t="s">
        <v>237</v>
      </c>
      <c r="B135" s="54" t="s">
        <v>64</v>
      </c>
      <c r="C135" s="57">
        <v>2026</v>
      </c>
    </row>
    <row r="136" spans="1:3" x14ac:dyDescent="0.2">
      <c r="A136" s="57" t="s">
        <v>237</v>
      </c>
      <c r="B136" s="54" t="s">
        <v>64</v>
      </c>
      <c r="C136" s="57">
        <v>2027</v>
      </c>
    </row>
    <row r="137" spans="1:3" x14ac:dyDescent="0.2">
      <c r="A137" s="57" t="s">
        <v>237</v>
      </c>
      <c r="B137" s="54"/>
      <c r="C137" s="57">
        <v>2028</v>
      </c>
    </row>
    <row r="138" spans="1:3" x14ac:dyDescent="0.2">
      <c r="A138" s="57" t="s">
        <v>237</v>
      </c>
      <c r="B138" s="54"/>
      <c r="C138" s="57">
        <v>2029</v>
      </c>
    </row>
    <row r="139" spans="1:3" x14ac:dyDescent="0.2">
      <c r="A139" s="57" t="s">
        <v>237</v>
      </c>
      <c r="B139" s="54"/>
      <c r="C139" s="57">
        <v>2030</v>
      </c>
    </row>
    <row r="140" spans="1:3" x14ac:dyDescent="0.2">
      <c r="A140" s="57" t="s">
        <v>237</v>
      </c>
      <c r="B140" s="54"/>
      <c r="C140" s="57">
        <v>2031</v>
      </c>
    </row>
    <row r="141" spans="1:3" x14ac:dyDescent="0.2">
      <c r="A141" s="57" t="s">
        <v>238</v>
      </c>
      <c r="B141" s="54" t="s">
        <v>64</v>
      </c>
      <c r="C141" s="57">
        <v>2012</v>
      </c>
    </row>
    <row r="142" spans="1:3" x14ac:dyDescent="0.2">
      <c r="A142" s="57" t="s">
        <v>238</v>
      </c>
      <c r="B142" s="54" t="s">
        <v>64</v>
      </c>
      <c r="C142" s="57">
        <v>2013</v>
      </c>
    </row>
    <row r="143" spans="1:3" x14ac:dyDescent="0.2">
      <c r="A143" s="57" t="s">
        <v>238</v>
      </c>
      <c r="B143" s="54" t="s">
        <v>64</v>
      </c>
      <c r="C143" s="57">
        <v>2014</v>
      </c>
    </row>
    <row r="144" spans="1:3" x14ac:dyDescent="0.2">
      <c r="A144" s="57" t="s">
        <v>238</v>
      </c>
      <c r="B144" s="54" t="s">
        <v>64</v>
      </c>
      <c r="C144" s="57">
        <v>2015</v>
      </c>
    </row>
    <row r="145" spans="1:56" x14ac:dyDescent="0.2">
      <c r="A145" s="57" t="s">
        <v>238</v>
      </c>
      <c r="B145" s="54" t="s">
        <v>64</v>
      </c>
      <c r="C145" s="57">
        <v>1478</v>
      </c>
    </row>
    <row r="146" spans="1:56" x14ac:dyDescent="0.2">
      <c r="B146" s="3"/>
      <c r="AE146" s="57">
        <v>3.2280000000000002</v>
      </c>
      <c r="AF146" s="57">
        <v>1.395</v>
      </c>
      <c r="BC146" s="57">
        <v>0.60799999999999998</v>
      </c>
      <c r="BD146" s="57">
        <v>0.28499999999999998</v>
      </c>
    </row>
    <row r="147" spans="1:56" x14ac:dyDescent="0.2">
      <c r="B147" s="3"/>
      <c r="AE147" s="57">
        <v>0.42599999999999999</v>
      </c>
      <c r="AF147" s="57">
        <v>0.129</v>
      </c>
    </row>
    <row r="148" spans="1:56" x14ac:dyDescent="0.2">
      <c r="B148" s="3"/>
      <c r="BC148" s="57">
        <v>0.66500000000000004</v>
      </c>
      <c r="BD148" s="57">
        <v>0.193</v>
      </c>
    </row>
    <row r="149" spans="1:56" x14ac:dyDescent="0.2">
      <c r="B149" s="3"/>
    </row>
    <row r="150" spans="1:56" x14ac:dyDescent="0.2">
      <c r="B150" s="3"/>
    </row>
    <row r="151" spans="1:56" x14ac:dyDescent="0.2">
      <c r="B151" s="3"/>
    </row>
    <row r="152" spans="1:56" x14ac:dyDescent="0.2">
      <c r="B152" s="3"/>
    </row>
    <row r="153" spans="1:56" x14ac:dyDescent="0.2">
      <c r="B153" s="3"/>
    </row>
    <row r="154" spans="1:56" x14ac:dyDescent="0.2">
      <c r="B154" s="3"/>
    </row>
    <row r="155" spans="1:56" x14ac:dyDescent="0.2">
      <c r="B155" s="3"/>
    </row>
    <row r="156" spans="1:56" x14ac:dyDescent="0.2">
      <c r="B156" s="3"/>
    </row>
    <row r="157" spans="1:56" x14ac:dyDescent="0.2">
      <c r="B157" s="3"/>
    </row>
    <row r="158" spans="1:56" x14ac:dyDescent="0.2">
      <c r="B158" s="3"/>
    </row>
    <row r="159" spans="1:56" x14ac:dyDescent="0.2">
      <c r="B159" s="3"/>
    </row>
    <row r="160" spans="1:56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F31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7" sqref="E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44650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G7" s="57">
        <v>0.69</v>
      </c>
      <c r="H7" s="57">
        <v>0.52580000000000005</v>
      </c>
      <c r="J7" s="57">
        <v>1.34</v>
      </c>
      <c r="K7" s="57">
        <v>0.88770000000000004</v>
      </c>
      <c r="M7" s="57">
        <v>0.60899999999999999</v>
      </c>
      <c r="N7" s="57">
        <v>0.67820000000000003</v>
      </c>
      <c r="P7" s="57">
        <v>0.52</v>
      </c>
      <c r="AE7" s="57">
        <v>1.373</v>
      </c>
      <c r="AF7" s="57">
        <v>0.88200000000000001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G9" s="57">
        <v>0.748</v>
      </c>
      <c r="H9" s="57">
        <v>2.6446000000000001</v>
      </c>
      <c r="J9" s="57">
        <v>0.87</v>
      </c>
      <c r="K9" s="57">
        <v>3.0135000000000001</v>
      </c>
      <c r="M9" s="57">
        <v>0.55400000000000005</v>
      </c>
      <c r="N9" s="57">
        <v>1.3947000000000001</v>
      </c>
      <c r="P9" s="57">
        <v>0.89</v>
      </c>
      <c r="S9" s="57">
        <v>1.02</v>
      </c>
      <c r="AE9" s="57">
        <v>1.3441000000000001</v>
      </c>
      <c r="AF9" s="57">
        <v>0.66900000000000004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2" x14ac:dyDescent="0.2">
      <c r="A17" s="12" t="s">
        <v>57</v>
      </c>
      <c r="B17" s="12" t="s">
        <v>64</v>
      </c>
      <c r="C17" s="34" t="s">
        <v>65</v>
      </c>
    </row>
    <row r="18" spans="1:32" x14ac:dyDescent="0.2">
      <c r="A18" s="12" t="s">
        <v>57</v>
      </c>
      <c r="B18" s="12" t="s">
        <v>64</v>
      </c>
      <c r="C18" s="12">
        <v>2360</v>
      </c>
      <c r="G18" s="57">
        <v>1.214</v>
      </c>
      <c r="H18" s="57">
        <v>1.0327999999999999</v>
      </c>
      <c r="J18" s="57">
        <v>0.97</v>
      </c>
      <c r="K18" s="57">
        <v>0.92879999999999996</v>
      </c>
      <c r="M18" s="57">
        <v>1.06</v>
      </c>
      <c r="N18" s="57">
        <v>1.2667999999999999</v>
      </c>
      <c r="AE18" s="57">
        <v>1.5724</v>
      </c>
      <c r="AF18" s="57">
        <v>0.75700000000000001</v>
      </c>
    </row>
    <row r="19" spans="1:32" x14ac:dyDescent="0.2">
      <c r="A19" s="12" t="s">
        <v>57</v>
      </c>
      <c r="B19" s="12" t="s">
        <v>64</v>
      </c>
      <c r="C19" s="12">
        <v>2361</v>
      </c>
    </row>
    <row r="20" spans="1:32" x14ac:dyDescent="0.2">
      <c r="A20" s="12" t="s">
        <v>57</v>
      </c>
      <c r="B20" s="12" t="s">
        <v>64</v>
      </c>
      <c r="C20" s="34" t="s">
        <v>65</v>
      </c>
    </row>
    <row r="21" spans="1:32" x14ac:dyDescent="0.2">
      <c r="A21" s="12" t="s">
        <v>57</v>
      </c>
      <c r="B21" s="12" t="s">
        <v>64</v>
      </c>
      <c r="C21" s="12">
        <v>2362</v>
      </c>
    </row>
    <row r="22" spans="1:32" x14ac:dyDescent="0.2">
      <c r="A22" s="12" t="s">
        <v>57</v>
      </c>
      <c r="B22" s="12" t="s">
        <v>64</v>
      </c>
      <c r="C22" s="12">
        <v>2363</v>
      </c>
    </row>
    <row r="23" spans="1:32" x14ac:dyDescent="0.2">
      <c r="A23" s="12" t="s">
        <v>57</v>
      </c>
      <c r="B23" s="12" t="s">
        <v>64</v>
      </c>
      <c r="C23" s="12">
        <v>2364</v>
      </c>
      <c r="H23" s="57">
        <v>0.43209999999999998</v>
      </c>
      <c r="K23" s="57">
        <v>1.1874</v>
      </c>
      <c r="N23" s="57">
        <v>0.99580000000000002</v>
      </c>
    </row>
    <row r="24" spans="1:32" x14ac:dyDescent="0.2">
      <c r="A24" s="12" t="s">
        <v>57</v>
      </c>
      <c r="B24" s="12" t="s">
        <v>64</v>
      </c>
      <c r="C24" s="12">
        <v>2365</v>
      </c>
      <c r="G24" s="57">
        <v>1.03</v>
      </c>
      <c r="J24" s="57">
        <v>1.1200000000000001</v>
      </c>
      <c r="M24" s="57">
        <v>1.1599999999999999</v>
      </c>
      <c r="AE24" s="57">
        <v>0.82709999999999995</v>
      </c>
      <c r="AF24" s="57">
        <v>0.39300000000000002</v>
      </c>
    </row>
    <row r="25" spans="1:32" x14ac:dyDescent="0.2">
      <c r="A25" s="12" t="s">
        <v>57</v>
      </c>
      <c r="B25" s="12" t="s">
        <v>64</v>
      </c>
      <c r="C25" s="12">
        <v>2366</v>
      </c>
    </row>
    <row r="26" spans="1:32" x14ac:dyDescent="0.2">
      <c r="A26" s="12" t="s">
        <v>57</v>
      </c>
      <c r="B26" s="12" t="s">
        <v>64</v>
      </c>
      <c r="C26" s="34" t="s">
        <v>65</v>
      </c>
    </row>
    <row r="27" spans="1:32" x14ac:dyDescent="0.2">
      <c r="A27" s="12" t="s">
        <v>57</v>
      </c>
      <c r="B27" s="12" t="s">
        <v>64</v>
      </c>
      <c r="C27" s="12">
        <v>2367</v>
      </c>
      <c r="G27" s="57">
        <v>1.1100000000000001</v>
      </c>
      <c r="H27" s="33">
        <f>0.161+1.5393</f>
        <v>1.7002999999999999</v>
      </c>
      <c r="J27" s="57">
        <v>1.1100000000000001</v>
      </c>
      <c r="K27" s="57">
        <v>0.94520000000000004</v>
      </c>
      <c r="N27" s="57">
        <v>0.74709999999999999</v>
      </c>
      <c r="AE27" s="57">
        <v>1.258</v>
      </c>
      <c r="AF27" s="57">
        <v>0.58099999999999996</v>
      </c>
    </row>
    <row r="28" spans="1:32" x14ac:dyDescent="0.2">
      <c r="A28" s="12" t="s">
        <v>57</v>
      </c>
      <c r="B28" s="12" t="s">
        <v>64</v>
      </c>
      <c r="C28" s="34" t="s">
        <v>65</v>
      </c>
    </row>
    <row r="29" spans="1:32" x14ac:dyDescent="0.2">
      <c r="A29" s="12" t="s">
        <v>57</v>
      </c>
      <c r="B29" s="12" t="s">
        <v>64</v>
      </c>
      <c r="C29" s="34" t="s">
        <v>65</v>
      </c>
    </row>
    <row r="30" spans="1:32" x14ac:dyDescent="0.2">
      <c r="A30" s="12" t="s">
        <v>57</v>
      </c>
      <c r="B30" s="12" t="s">
        <v>64</v>
      </c>
      <c r="C30" s="12">
        <v>2369</v>
      </c>
      <c r="G30" s="57">
        <v>1.21</v>
      </c>
      <c r="H30" s="57">
        <v>0.97</v>
      </c>
      <c r="J30" s="57">
        <v>0.98</v>
      </c>
      <c r="K30" s="57">
        <v>0.48199999999999998</v>
      </c>
      <c r="M30" s="57">
        <v>0.93</v>
      </c>
      <c r="N30" s="57">
        <v>0.44990000000000002</v>
      </c>
      <c r="P30" s="57">
        <v>1.06</v>
      </c>
      <c r="AE30" s="57">
        <v>0.8397</v>
      </c>
      <c r="AF30" s="57">
        <v>0.4</v>
      </c>
    </row>
    <row r="31" spans="1:32" x14ac:dyDescent="0.2">
      <c r="A31" s="38" t="s">
        <v>70</v>
      </c>
      <c r="B31" s="38" t="s">
        <v>58</v>
      </c>
      <c r="C31" s="38">
        <v>2376</v>
      </c>
      <c r="G31" s="57">
        <v>0.25</v>
      </c>
      <c r="H31" s="57">
        <v>3.3447</v>
      </c>
      <c r="J31" s="57">
        <v>0.35</v>
      </c>
      <c r="K31" s="57">
        <v>0.61539999999999995</v>
      </c>
      <c r="M31" s="57">
        <v>0.25</v>
      </c>
      <c r="N31" s="57">
        <v>1.4186000000000001</v>
      </c>
      <c r="AE31" s="57">
        <v>2.8144</v>
      </c>
      <c r="AF31" s="57">
        <v>1.7250000000000001</v>
      </c>
    </row>
    <row r="32" spans="1:32" x14ac:dyDescent="0.2">
      <c r="A32" s="38" t="s">
        <v>70</v>
      </c>
      <c r="B32" s="38" t="s">
        <v>58</v>
      </c>
      <c r="C32" s="38">
        <v>2377</v>
      </c>
      <c r="G32" s="57">
        <v>0.22</v>
      </c>
      <c r="H32" s="57">
        <v>0.92630000000000001</v>
      </c>
      <c r="J32" s="57">
        <v>0.3</v>
      </c>
      <c r="K32" s="57">
        <v>0.67559999999999998</v>
      </c>
      <c r="M32" s="57">
        <v>0.21</v>
      </c>
      <c r="N32" s="57">
        <v>1.7253000000000001</v>
      </c>
      <c r="AE32" s="33">
        <f>2.259-0.3092</f>
        <v>1.9498</v>
      </c>
      <c r="AF32" s="57">
        <v>1.2509999999999999</v>
      </c>
    </row>
    <row r="33" spans="1:32" x14ac:dyDescent="0.2">
      <c r="A33" s="38" t="s">
        <v>70</v>
      </c>
      <c r="B33" s="38" t="s">
        <v>64</v>
      </c>
      <c r="C33" s="38">
        <v>2378</v>
      </c>
      <c r="G33" s="57">
        <v>0.63</v>
      </c>
      <c r="H33" s="57">
        <v>0.91520000000000001</v>
      </c>
      <c r="J33" s="57">
        <v>0.55000000000000004</v>
      </c>
      <c r="K33" s="57">
        <v>1.1207</v>
      </c>
      <c r="M33" s="57">
        <v>0.55000000000000004</v>
      </c>
      <c r="N33" s="57">
        <v>0.27300000000000002</v>
      </c>
      <c r="P33" s="57">
        <v>0.61</v>
      </c>
      <c r="AE33" s="57">
        <v>1.4117999999999999</v>
      </c>
      <c r="AF33" s="57">
        <v>0.69699999999999995</v>
      </c>
    </row>
    <row r="34" spans="1:32" x14ac:dyDescent="0.2">
      <c r="A34" s="38" t="s">
        <v>70</v>
      </c>
      <c r="B34" s="38" t="s">
        <v>64</v>
      </c>
      <c r="C34" s="38">
        <v>2379</v>
      </c>
      <c r="G34" s="57">
        <v>0.6</v>
      </c>
      <c r="H34" s="57">
        <v>0.2175</v>
      </c>
      <c r="J34" s="57">
        <v>0.45</v>
      </c>
      <c r="K34" s="57">
        <v>0.46870000000000001</v>
      </c>
      <c r="M34" s="57">
        <v>0.55000000000000004</v>
      </c>
      <c r="N34" s="57">
        <v>0.50760000000000005</v>
      </c>
      <c r="P34" s="57">
        <v>0.4</v>
      </c>
      <c r="S34" s="57">
        <v>0.55000000000000004</v>
      </c>
      <c r="AE34" s="57">
        <v>1.5152000000000001</v>
      </c>
      <c r="AF34" s="57">
        <v>0.75600000000000001</v>
      </c>
    </row>
    <row r="35" spans="1:32" x14ac:dyDescent="0.2">
      <c r="A35" s="38" t="s">
        <v>70</v>
      </c>
      <c r="B35" s="38" t="s">
        <v>58</v>
      </c>
      <c r="C35" s="38">
        <v>2380</v>
      </c>
      <c r="G35" s="57">
        <v>0.27100000000000002</v>
      </c>
      <c r="H35" s="57">
        <v>0.74209999999999998</v>
      </c>
      <c r="J35" s="57">
        <v>0.36099999999999999</v>
      </c>
      <c r="K35" s="57">
        <v>2.6938</v>
      </c>
      <c r="M35" s="57">
        <v>0.24099999999999999</v>
      </c>
      <c r="N35" s="57">
        <v>2.1783000000000001</v>
      </c>
      <c r="P35" s="57">
        <v>0.183</v>
      </c>
      <c r="S35" s="57">
        <v>1.1759999999999999</v>
      </c>
      <c r="AE35" s="57">
        <v>1.7382</v>
      </c>
      <c r="AF35" s="57">
        <v>1.073</v>
      </c>
    </row>
    <row r="36" spans="1:32" x14ac:dyDescent="0.2">
      <c r="A36" s="12" t="s">
        <v>74</v>
      </c>
      <c r="B36" s="12" t="s">
        <v>64</v>
      </c>
      <c r="C36" s="12">
        <v>2337</v>
      </c>
    </row>
    <row r="37" spans="1:32" x14ac:dyDescent="0.2">
      <c r="A37" s="12" t="s">
        <v>74</v>
      </c>
      <c r="B37" s="12" t="s">
        <v>64</v>
      </c>
      <c r="C37" s="12">
        <v>2338</v>
      </c>
    </row>
    <row r="38" spans="1:32" x14ac:dyDescent="0.2">
      <c r="A38" s="12" t="s">
        <v>74</v>
      </c>
      <c r="B38" s="12" t="s">
        <v>64</v>
      </c>
      <c r="C38" s="12">
        <v>2339</v>
      </c>
    </row>
    <row r="39" spans="1:32" x14ac:dyDescent="0.2">
      <c r="A39" s="12" t="s">
        <v>74</v>
      </c>
      <c r="B39" s="12" t="s">
        <v>64</v>
      </c>
      <c r="C39" s="12">
        <v>2340</v>
      </c>
    </row>
    <row r="40" spans="1:32" x14ac:dyDescent="0.2">
      <c r="A40" s="12" t="s">
        <v>74</v>
      </c>
      <c r="B40" s="12" t="s">
        <v>64</v>
      </c>
      <c r="C40" s="12">
        <v>2341</v>
      </c>
    </row>
    <row r="41" spans="1:32" x14ac:dyDescent="0.2">
      <c r="A41" s="12" t="s">
        <v>74</v>
      </c>
      <c r="B41" s="12" t="s">
        <v>64</v>
      </c>
      <c r="C41" s="12">
        <v>2342</v>
      </c>
    </row>
    <row r="42" spans="1:32" x14ac:dyDescent="0.2">
      <c r="A42" s="12" t="s">
        <v>74</v>
      </c>
      <c r="B42" s="12" t="s">
        <v>64</v>
      </c>
      <c r="C42" s="12">
        <v>2343</v>
      </c>
      <c r="G42" s="57">
        <v>0.8</v>
      </c>
      <c r="H42" s="57">
        <v>0.7177</v>
      </c>
      <c r="J42" s="57">
        <v>1.05</v>
      </c>
      <c r="K42" s="57">
        <v>1.4125000000000001</v>
      </c>
      <c r="M42" s="57">
        <v>0.87</v>
      </c>
      <c r="N42" s="57">
        <v>0.3604</v>
      </c>
      <c r="AE42" s="57">
        <v>1.1816</v>
      </c>
      <c r="AF42" s="57">
        <v>0.47799999999999998</v>
      </c>
    </row>
    <row r="43" spans="1:32" x14ac:dyDescent="0.2">
      <c r="A43" s="41" t="s">
        <v>74</v>
      </c>
      <c r="B43" s="41" t="s">
        <v>64</v>
      </c>
      <c r="C43" s="41" t="s">
        <v>78</v>
      </c>
    </row>
    <row r="44" spans="1:32" x14ac:dyDescent="0.2">
      <c r="A44" s="12" t="s">
        <v>74</v>
      </c>
      <c r="B44" s="12" t="s">
        <v>64</v>
      </c>
      <c r="C44" s="12">
        <v>2344</v>
      </c>
    </row>
    <row r="45" spans="1:32" x14ac:dyDescent="0.2">
      <c r="A45" s="41" t="s">
        <v>74</v>
      </c>
      <c r="B45" s="41" t="s">
        <v>58</v>
      </c>
      <c r="C45" s="41" t="s">
        <v>78</v>
      </c>
    </row>
    <row r="46" spans="1:32" x14ac:dyDescent="0.2">
      <c r="A46" s="12" t="s">
        <v>74</v>
      </c>
      <c r="B46" s="12" t="s">
        <v>58</v>
      </c>
      <c r="C46" s="34">
        <v>2345</v>
      </c>
      <c r="G46" s="57">
        <v>0.23</v>
      </c>
      <c r="H46" s="57">
        <v>2.1682999999999999</v>
      </c>
      <c r="J46" s="57">
        <v>0.215</v>
      </c>
      <c r="K46" s="57">
        <v>2.4946999999999999</v>
      </c>
      <c r="N46" s="57">
        <v>1.72</v>
      </c>
      <c r="AE46" s="57">
        <v>0.3836</v>
      </c>
      <c r="AF46" s="57">
        <v>0.23200000000000001</v>
      </c>
    </row>
    <row r="47" spans="1:32" x14ac:dyDescent="0.2">
      <c r="A47" s="12" t="s">
        <v>74</v>
      </c>
      <c r="B47" s="12" t="s">
        <v>64</v>
      </c>
      <c r="C47" s="12">
        <v>2346</v>
      </c>
      <c r="G47" s="57">
        <v>1.1000000000000001</v>
      </c>
      <c r="H47" s="57">
        <v>0.59319999999999995</v>
      </c>
      <c r="J47" s="57">
        <v>1</v>
      </c>
      <c r="K47" s="57">
        <v>0.25590000000000002</v>
      </c>
      <c r="M47" s="57">
        <v>1.1000000000000001</v>
      </c>
      <c r="N47" s="57">
        <v>0.18279999999999999</v>
      </c>
      <c r="AE47" s="57">
        <v>0.37640000000000001</v>
      </c>
      <c r="AF47" s="57">
        <v>0.161</v>
      </c>
    </row>
    <row r="48" spans="1:32" x14ac:dyDescent="0.2">
      <c r="A48" s="12" t="s">
        <v>74</v>
      </c>
      <c r="B48" s="12" t="s">
        <v>64</v>
      </c>
      <c r="C48" s="12">
        <v>2347</v>
      </c>
      <c r="G48" s="57">
        <v>1.177</v>
      </c>
      <c r="H48" s="57">
        <v>1.6727000000000001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0.35570000000000002</v>
      </c>
      <c r="AF48" s="57">
        <v>0.151</v>
      </c>
    </row>
    <row r="49" spans="1:32" x14ac:dyDescent="0.2">
      <c r="A49" s="12" t="s">
        <v>74</v>
      </c>
      <c r="B49" s="12" t="s">
        <v>64</v>
      </c>
      <c r="C49" s="12">
        <v>2348</v>
      </c>
    </row>
    <row r="50" spans="1:32" x14ac:dyDescent="0.2">
      <c r="A50" s="12" t="s">
        <v>74</v>
      </c>
      <c r="B50" s="12" t="s">
        <v>64</v>
      </c>
      <c r="C50" s="12">
        <v>2349</v>
      </c>
    </row>
    <row r="51" spans="1:32" x14ac:dyDescent="0.2">
      <c r="A51" s="12" t="s">
        <v>74</v>
      </c>
      <c r="B51" s="12" t="s">
        <v>64</v>
      </c>
      <c r="C51" s="12">
        <v>2350</v>
      </c>
    </row>
    <row r="52" spans="1:32" x14ac:dyDescent="0.2">
      <c r="A52" s="12" t="s">
        <v>74</v>
      </c>
      <c r="B52" s="12" t="s">
        <v>64</v>
      </c>
      <c r="C52" s="12">
        <v>2351</v>
      </c>
    </row>
    <row r="53" spans="1:32" x14ac:dyDescent="0.2">
      <c r="A53" s="38" t="s">
        <v>88</v>
      </c>
      <c r="B53" s="38" t="s">
        <v>64</v>
      </c>
      <c r="C53" s="38">
        <v>2375</v>
      </c>
      <c r="G53" s="57">
        <v>1.01</v>
      </c>
      <c r="H53" s="57">
        <v>0.48709999999999998</v>
      </c>
      <c r="J53" s="57">
        <v>1.01</v>
      </c>
      <c r="K53" s="57">
        <v>0.4551</v>
      </c>
      <c r="M53" s="57">
        <v>1.2</v>
      </c>
      <c r="N53" s="57">
        <v>0.79330000000000001</v>
      </c>
      <c r="AE53" s="57">
        <v>0.53949999999999998</v>
      </c>
      <c r="AF53" s="57">
        <v>0.19900000000000001</v>
      </c>
    </row>
    <row r="54" spans="1:32" x14ac:dyDescent="0.2">
      <c r="A54" s="12" t="s">
        <v>90</v>
      </c>
      <c r="B54" s="12" t="s">
        <v>64</v>
      </c>
      <c r="C54" s="12">
        <v>2310</v>
      </c>
    </row>
    <row r="55" spans="1:32" x14ac:dyDescent="0.2">
      <c r="A55" s="12" t="s">
        <v>90</v>
      </c>
      <c r="B55" s="12" t="s">
        <v>64</v>
      </c>
      <c r="C55" s="12">
        <v>2311</v>
      </c>
    </row>
    <row r="56" spans="1:32" x14ac:dyDescent="0.2">
      <c r="A56" s="12" t="s">
        <v>90</v>
      </c>
      <c r="B56" s="12" t="s">
        <v>64</v>
      </c>
      <c r="C56" s="12">
        <v>2312</v>
      </c>
    </row>
    <row r="57" spans="1:32" x14ac:dyDescent="0.2">
      <c r="A57" s="12" t="s">
        <v>90</v>
      </c>
      <c r="B57" s="12" t="s">
        <v>64</v>
      </c>
      <c r="C57" s="12">
        <v>2313</v>
      </c>
    </row>
    <row r="58" spans="1:32" x14ac:dyDescent="0.2">
      <c r="A58" s="12" t="s">
        <v>90</v>
      </c>
      <c r="B58" s="12" t="s">
        <v>64</v>
      </c>
      <c r="C58" s="12">
        <v>2314</v>
      </c>
    </row>
    <row r="59" spans="1:32" x14ac:dyDescent="0.2">
      <c r="A59" s="12" t="s">
        <v>90</v>
      </c>
      <c r="B59" s="12" t="s">
        <v>58</v>
      </c>
      <c r="C59" s="12">
        <v>2315</v>
      </c>
    </row>
    <row r="60" spans="1:32" x14ac:dyDescent="0.2">
      <c r="A60" s="12" t="s">
        <v>90</v>
      </c>
      <c r="B60" s="12" t="s">
        <v>64</v>
      </c>
      <c r="C60" s="12">
        <v>2316</v>
      </c>
    </row>
    <row r="61" spans="1:32" x14ac:dyDescent="0.2">
      <c r="A61" s="12" t="s">
        <v>90</v>
      </c>
      <c r="B61" s="12" t="s">
        <v>64</v>
      </c>
      <c r="C61" s="12">
        <v>2317</v>
      </c>
    </row>
    <row r="62" spans="1:32" x14ac:dyDescent="0.2">
      <c r="A62" s="12" t="s">
        <v>90</v>
      </c>
      <c r="B62" s="12" t="s">
        <v>64</v>
      </c>
      <c r="C62" s="12">
        <v>2318</v>
      </c>
    </row>
    <row r="63" spans="1:32" x14ac:dyDescent="0.2">
      <c r="A63" s="12" t="s">
        <v>90</v>
      </c>
      <c r="B63" s="12" t="s">
        <v>64</v>
      </c>
      <c r="C63" s="12">
        <v>2319</v>
      </c>
    </row>
    <row r="64" spans="1:32" x14ac:dyDescent="0.2">
      <c r="A64" s="12" t="s">
        <v>90</v>
      </c>
      <c r="B64" s="12" t="s">
        <v>58</v>
      </c>
      <c r="C64" s="12">
        <v>2320</v>
      </c>
    </row>
    <row r="65" spans="1:32" x14ac:dyDescent="0.2">
      <c r="A65" s="12" t="s">
        <v>90</v>
      </c>
      <c r="B65" s="12" t="s">
        <v>64</v>
      </c>
      <c r="C65" s="12">
        <v>2321</v>
      </c>
    </row>
    <row r="66" spans="1:32" x14ac:dyDescent="0.2">
      <c r="A66" s="12" t="s">
        <v>90</v>
      </c>
      <c r="B66" s="12" t="s">
        <v>58</v>
      </c>
      <c r="C66" s="12">
        <v>2322</v>
      </c>
    </row>
    <row r="67" spans="1:32" x14ac:dyDescent="0.2">
      <c r="A67" s="12" t="s">
        <v>90</v>
      </c>
      <c r="B67" s="12" t="s">
        <v>58</v>
      </c>
      <c r="C67" s="12">
        <v>2323</v>
      </c>
    </row>
    <row r="68" spans="1:32" x14ac:dyDescent="0.2">
      <c r="A68" s="12" t="s">
        <v>90</v>
      </c>
      <c r="B68" s="12" t="s">
        <v>64</v>
      </c>
      <c r="C68" s="12">
        <v>2324</v>
      </c>
    </row>
    <row r="69" spans="1:32" x14ac:dyDescent="0.2">
      <c r="A69" s="12" t="s">
        <v>90</v>
      </c>
      <c r="B69" s="12" t="s">
        <v>64</v>
      </c>
      <c r="C69" s="12">
        <v>2325</v>
      </c>
    </row>
    <row r="70" spans="1:32" x14ac:dyDescent="0.2">
      <c r="A70" s="12" t="s">
        <v>90</v>
      </c>
      <c r="B70" s="12" t="s">
        <v>64</v>
      </c>
      <c r="C70" s="12">
        <v>2327</v>
      </c>
    </row>
    <row r="71" spans="1:32" x14ac:dyDescent="0.2">
      <c r="A71" s="12" t="s">
        <v>90</v>
      </c>
      <c r="B71" s="12" t="s">
        <v>64</v>
      </c>
      <c r="C71" s="12">
        <v>2326</v>
      </c>
    </row>
    <row r="72" spans="1:32" x14ac:dyDescent="0.2">
      <c r="A72" s="12" t="s">
        <v>90</v>
      </c>
      <c r="B72" s="12" t="s">
        <v>58</v>
      </c>
      <c r="C72" s="12">
        <v>2328</v>
      </c>
    </row>
    <row r="73" spans="1:32" x14ac:dyDescent="0.2">
      <c r="A73" s="12" t="s">
        <v>90</v>
      </c>
      <c r="B73" s="12" t="s">
        <v>64</v>
      </c>
      <c r="C73" s="12">
        <v>2329</v>
      </c>
    </row>
    <row r="74" spans="1:32" x14ac:dyDescent="0.2">
      <c r="A74" s="12" t="s">
        <v>90</v>
      </c>
      <c r="B74" s="12" t="s">
        <v>64</v>
      </c>
      <c r="C74" s="12">
        <v>2330</v>
      </c>
    </row>
    <row r="75" spans="1:32" x14ac:dyDescent="0.2">
      <c r="A75" s="12" t="s">
        <v>90</v>
      </c>
      <c r="B75" s="12" t="s">
        <v>58</v>
      </c>
      <c r="C75" s="12">
        <v>2331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0.42499999999999999</v>
      </c>
      <c r="N75" s="57">
        <v>0.99209999999999998</v>
      </c>
      <c r="AE75" s="57">
        <v>1.4611000000000001</v>
      </c>
      <c r="AF75" s="57">
        <v>0.90300000000000002</v>
      </c>
    </row>
    <row r="76" spans="1:32" x14ac:dyDescent="0.2">
      <c r="A76" s="12" t="s">
        <v>90</v>
      </c>
      <c r="B76" s="12" t="s">
        <v>64</v>
      </c>
      <c r="C76" s="12">
        <v>2332</v>
      </c>
    </row>
    <row r="77" spans="1:32" x14ac:dyDescent="0.2">
      <c r="A77" s="12" t="s">
        <v>90</v>
      </c>
      <c r="B77" s="12" t="s">
        <v>64</v>
      </c>
      <c r="C77" s="12">
        <v>2333</v>
      </c>
    </row>
    <row r="78" spans="1:32" x14ac:dyDescent="0.2">
      <c r="A78" s="2" t="s">
        <v>90</v>
      </c>
      <c r="B78" s="3" t="s">
        <v>64</v>
      </c>
      <c r="C78" s="12">
        <v>2334</v>
      </c>
    </row>
    <row r="79" spans="1:32" x14ac:dyDescent="0.2">
      <c r="A79" s="12" t="s">
        <v>90</v>
      </c>
      <c r="B79" s="12" t="s">
        <v>64</v>
      </c>
      <c r="C79" s="12">
        <v>2336</v>
      </c>
    </row>
    <row r="80" spans="1:32" x14ac:dyDescent="0.2">
      <c r="A80" s="12" t="s">
        <v>90</v>
      </c>
      <c r="B80" s="12" t="s">
        <v>64</v>
      </c>
      <c r="C80" s="12">
        <v>2335</v>
      </c>
    </row>
    <row r="81" spans="1:32" x14ac:dyDescent="0.2">
      <c r="A81" s="38" t="s">
        <v>100</v>
      </c>
      <c r="B81" s="38" t="s">
        <v>64</v>
      </c>
      <c r="C81" s="38">
        <v>2374</v>
      </c>
    </row>
    <row r="82" spans="1:32" x14ac:dyDescent="0.2">
      <c r="A82" s="12" t="s">
        <v>101</v>
      </c>
      <c r="B82" s="12" t="s">
        <v>58</v>
      </c>
      <c r="C82" s="34">
        <v>2301</v>
      </c>
      <c r="G82" s="57">
        <v>0.35</v>
      </c>
      <c r="H82" s="57">
        <v>1.6583000000000001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0.55000000000000004</v>
      </c>
      <c r="S82" s="57">
        <v>0.55000000000000004</v>
      </c>
      <c r="AE82" s="57">
        <v>1.8827</v>
      </c>
      <c r="AF82" s="57">
        <v>1.119</v>
      </c>
    </row>
    <row r="83" spans="1:32" x14ac:dyDescent="0.2">
      <c r="A83" s="12" t="s">
        <v>101</v>
      </c>
      <c r="B83" s="12" t="s">
        <v>64</v>
      </c>
      <c r="C83" s="12">
        <v>2302</v>
      </c>
    </row>
    <row r="84" spans="1:32" x14ac:dyDescent="0.2">
      <c r="A84" s="12" t="s">
        <v>101</v>
      </c>
      <c r="B84" s="12" t="s">
        <v>64</v>
      </c>
      <c r="C84" s="12">
        <v>2303</v>
      </c>
    </row>
    <row r="85" spans="1:32" x14ac:dyDescent="0.2">
      <c r="A85" s="12" t="s">
        <v>101</v>
      </c>
      <c r="B85" s="12" t="s">
        <v>64</v>
      </c>
      <c r="C85" s="12">
        <v>2304</v>
      </c>
    </row>
    <row r="86" spans="1:32" x14ac:dyDescent="0.2">
      <c r="A86" s="12" t="s">
        <v>101</v>
      </c>
      <c r="B86" s="12" t="s">
        <v>64</v>
      </c>
      <c r="C86" s="12">
        <v>2305</v>
      </c>
    </row>
    <row r="87" spans="1:32" x14ac:dyDescent="0.2">
      <c r="A87" s="12" t="s">
        <v>101</v>
      </c>
      <c r="B87" s="12" t="s">
        <v>64</v>
      </c>
      <c r="C87" s="12">
        <v>2306</v>
      </c>
    </row>
    <row r="88" spans="1:32" x14ac:dyDescent="0.2">
      <c r="A88" s="12" t="s">
        <v>101</v>
      </c>
      <c r="B88" s="12" t="s">
        <v>64</v>
      </c>
      <c r="C88" s="12">
        <v>2307</v>
      </c>
    </row>
    <row r="89" spans="1:32" x14ac:dyDescent="0.2">
      <c r="A89" s="12" t="s">
        <v>101</v>
      </c>
      <c r="B89" s="12" t="s">
        <v>64</v>
      </c>
      <c r="C89" s="12">
        <v>2308</v>
      </c>
    </row>
    <row r="90" spans="1:32" x14ac:dyDescent="0.2">
      <c r="A90" s="12" t="s">
        <v>101</v>
      </c>
      <c r="B90" s="12" t="s">
        <v>64</v>
      </c>
      <c r="C90" s="12">
        <v>2309</v>
      </c>
    </row>
    <row r="91" spans="1:32" x14ac:dyDescent="0.2">
      <c r="A91" s="53" t="s">
        <v>106</v>
      </c>
      <c r="B91" s="54" t="s">
        <v>64</v>
      </c>
      <c r="C91" s="55">
        <v>2370</v>
      </c>
      <c r="G91" s="57">
        <v>1.1299999999999999</v>
      </c>
      <c r="H91" s="57">
        <v>0.31830000000000003</v>
      </c>
      <c r="J91" s="57">
        <v>1.1499999999999999</v>
      </c>
      <c r="K91" s="57">
        <v>0.20219999999999999</v>
      </c>
      <c r="M91" s="57">
        <v>1.204</v>
      </c>
      <c r="N91" s="57">
        <v>0.5121</v>
      </c>
      <c r="AE91" s="57">
        <v>0.2422</v>
      </c>
      <c r="AF91" s="57">
        <v>9.2999999999999999E-2</v>
      </c>
    </row>
    <row r="92" spans="1:32" x14ac:dyDescent="0.2">
      <c r="A92" s="53" t="s">
        <v>107</v>
      </c>
      <c r="B92" s="54" t="s">
        <v>64</v>
      </c>
      <c r="C92" s="55">
        <v>2371</v>
      </c>
      <c r="G92" s="57">
        <v>0.38</v>
      </c>
      <c r="H92" s="57">
        <v>0.82679999999999998</v>
      </c>
      <c r="J92" s="57">
        <v>1.1000000000000001</v>
      </c>
      <c r="K92" s="57">
        <v>0.75360000000000005</v>
      </c>
      <c r="M92" s="57">
        <v>1.18</v>
      </c>
      <c r="N92" s="57">
        <v>1.3643000000000001</v>
      </c>
      <c r="P92" s="57">
        <v>1.1200000000000001</v>
      </c>
      <c r="AE92" s="57">
        <v>0.30130000000000001</v>
      </c>
      <c r="AF92" s="57">
        <v>0.11</v>
      </c>
    </row>
    <row r="93" spans="1:32" x14ac:dyDescent="0.2">
      <c r="A93" s="53" t="s">
        <v>108</v>
      </c>
      <c r="B93" s="54" t="s">
        <v>64</v>
      </c>
      <c r="C93" s="55">
        <v>2372</v>
      </c>
      <c r="G93" s="57">
        <v>1.41</v>
      </c>
      <c r="H93" s="57">
        <v>0.76380000000000003</v>
      </c>
      <c r="J93" s="57">
        <v>1.19</v>
      </c>
      <c r="K93" s="57">
        <v>0.88849999999999996</v>
      </c>
      <c r="M93" s="57">
        <v>1.25</v>
      </c>
      <c r="N93" s="57">
        <v>1.5595000000000001</v>
      </c>
      <c r="AE93" s="57">
        <v>0.45219999999999999</v>
      </c>
      <c r="AF93" s="57">
        <v>0.16700000000000001</v>
      </c>
    </row>
    <row r="94" spans="1:32" x14ac:dyDescent="0.2">
      <c r="A94" s="53" t="s">
        <v>110</v>
      </c>
      <c r="B94" s="54" t="s">
        <v>64</v>
      </c>
      <c r="C94" s="55">
        <v>2373</v>
      </c>
    </row>
    <row r="95" spans="1:32" x14ac:dyDescent="0.2">
      <c r="A95" s="2" t="s">
        <v>112</v>
      </c>
      <c r="B95" s="3" t="s">
        <v>64</v>
      </c>
      <c r="C95" s="3"/>
    </row>
    <row r="96" spans="1:32" x14ac:dyDescent="0.2">
      <c r="A96" s="2" t="s">
        <v>112</v>
      </c>
      <c r="B96" s="3" t="s">
        <v>64</v>
      </c>
      <c r="C96" s="3"/>
    </row>
    <row r="97" spans="1:32" x14ac:dyDescent="0.2">
      <c r="A97" s="2" t="s">
        <v>112</v>
      </c>
      <c r="B97" s="3" t="s">
        <v>64</v>
      </c>
      <c r="C97" s="3"/>
    </row>
    <row r="98" spans="1:32" x14ac:dyDescent="0.2">
      <c r="A98" s="2" t="s">
        <v>112</v>
      </c>
      <c r="B98" s="3" t="s">
        <v>64</v>
      </c>
      <c r="C98" s="3"/>
    </row>
    <row r="99" spans="1:32" x14ac:dyDescent="0.2">
      <c r="A99" s="2" t="s">
        <v>112</v>
      </c>
      <c r="B99" s="3" t="s">
        <v>64</v>
      </c>
      <c r="C99" s="3"/>
    </row>
    <row r="100" spans="1:32" x14ac:dyDescent="0.2">
      <c r="A100" s="2" t="s">
        <v>113</v>
      </c>
      <c r="B100" s="3" t="s">
        <v>64</v>
      </c>
      <c r="C100" s="3"/>
    </row>
    <row r="101" spans="1:32" x14ac:dyDescent="0.2">
      <c r="A101" s="2" t="s">
        <v>113</v>
      </c>
      <c r="B101" s="3" t="s">
        <v>64</v>
      </c>
      <c r="C101" s="3"/>
    </row>
    <row r="102" spans="1:32" x14ac:dyDescent="0.2">
      <c r="A102" s="2" t="s">
        <v>113</v>
      </c>
      <c r="B102" s="3" t="s">
        <v>64</v>
      </c>
      <c r="C102" s="3"/>
    </row>
    <row r="103" spans="1:32" x14ac:dyDescent="0.2">
      <c r="A103" s="2" t="s">
        <v>113</v>
      </c>
      <c r="B103" s="3" t="s">
        <v>64</v>
      </c>
      <c r="C103" s="3"/>
    </row>
    <row r="104" spans="1:32" x14ac:dyDescent="0.2">
      <c r="A104" s="2" t="s">
        <v>113</v>
      </c>
      <c r="B104" s="3" t="s">
        <v>64</v>
      </c>
      <c r="C104" s="3"/>
    </row>
    <row r="105" spans="1:32" x14ac:dyDescent="0.2">
      <c r="A105" s="12" t="s">
        <v>114</v>
      </c>
      <c r="B105" s="12" t="s">
        <v>58</v>
      </c>
      <c r="C105" s="12"/>
    </row>
    <row r="106" spans="1:32" x14ac:dyDescent="0.2">
      <c r="A106" s="12" t="s">
        <v>114</v>
      </c>
      <c r="B106" s="12" t="s">
        <v>58</v>
      </c>
      <c r="C106" s="12"/>
    </row>
    <row r="107" spans="1:32" x14ac:dyDescent="0.2">
      <c r="A107" s="2" t="s">
        <v>117</v>
      </c>
      <c r="B107" s="3" t="s">
        <v>64</v>
      </c>
      <c r="C107" s="58">
        <v>2381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 spans="1:32" x14ac:dyDescent="0.2">
      <c r="A108" s="2" t="s">
        <v>117</v>
      </c>
      <c r="B108" s="3" t="s">
        <v>64</v>
      </c>
      <c r="C108" s="58"/>
    </row>
    <row r="109" spans="1:32" x14ac:dyDescent="0.2">
      <c r="A109" s="2" t="s">
        <v>117</v>
      </c>
      <c r="B109" s="3" t="s">
        <v>64</v>
      </c>
      <c r="C109" s="58"/>
    </row>
    <row r="110" spans="1:32" x14ac:dyDescent="0.2">
      <c r="A110" s="2" t="s">
        <v>117</v>
      </c>
      <c r="B110" s="3" t="s">
        <v>64</v>
      </c>
      <c r="C110" s="58">
        <v>2382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0.98199999999999998</v>
      </c>
    </row>
    <row r="111" spans="1:32" x14ac:dyDescent="0.2">
      <c r="A111" s="2" t="s">
        <v>117</v>
      </c>
      <c r="B111" s="54" t="s">
        <v>64</v>
      </c>
      <c r="C111" s="60">
        <v>2383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1.1599999999999999</v>
      </c>
    </row>
    <row r="112" spans="1:32" x14ac:dyDescent="0.2">
      <c r="A112" s="2" t="s">
        <v>117</v>
      </c>
      <c r="B112" s="54" t="s">
        <v>64</v>
      </c>
      <c r="C112" s="57">
        <v>2384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1.2413000000000001</v>
      </c>
      <c r="AF112" s="57">
        <v>0.61899999999999999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232</v>
      </c>
      <c r="B117" s="54" t="s">
        <v>234</v>
      </c>
    </row>
    <row r="118" spans="1:3" x14ac:dyDescent="0.2">
      <c r="A118" s="57" t="s">
        <v>235</v>
      </c>
      <c r="B118" s="54" t="s">
        <v>166</v>
      </c>
    </row>
    <row r="119" spans="1:3" x14ac:dyDescent="0.2">
      <c r="A119" s="57" t="s">
        <v>232</v>
      </c>
      <c r="B119" s="54" t="s">
        <v>166</v>
      </c>
    </row>
    <row r="120" spans="1:3" x14ac:dyDescent="0.2">
      <c r="A120" s="57" t="s">
        <v>236</v>
      </c>
      <c r="B120" s="54" t="s">
        <v>58</v>
      </c>
      <c r="C120" s="57">
        <v>2093</v>
      </c>
    </row>
    <row r="121" spans="1:3" x14ac:dyDescent="0.2">
      <c r="A121" s="57" t="s">
        <v>236</v>
      </c>
      <c r="B121" s="54" t="s">
        <v>58</v>
      </c>
      <c r="C121" s="57">
        <v>2092</v>
      </c>
    </row>
    <row r="122" spans="1:3" x14ac:dyDescent="0.2">
      <c r="A122" s="57" t="s">
        <v>236</v>
      </c>
      <c r="B122" s="54" t="s">
        <v>58</v>
      </c>
      <c r="C122" s="57">
        <v>2091</v>
      </c>
    </row>
    <row r="123" spans="1:3" x14ac:dyDescent="0.2">
      <c r="A123" s="57" t="s">
        <v>236</v>
      </c>
      <c r="B123" s="54" t="s">
        <v>129</v>
      </c>
      <c r="C123" s="57">
        <v>2090</v>
      </c>
    </row>
    <row r="124" spans="1:3" x14ac:dyDescent="0.2">
      <c r="A124" s="57" t="s">
        <v>236</v>
      </c>
      <c r="B124" s="54" t="s">
        <v>58</v>
      </c>
      <c r="C124" s="57">
        <v>2089</v>
      </c>
    </row>
    <row r="125" spans="1:3" x14ac:dyDescent="0.2">
      <c r="A125" s="57" t="s">
        <v>236</v>
      </c>
      <c r="B125" s="54" t="s">
        <v>64</v>
      </c>
      <c r="C125" s="57">
        <v>2088</v>
      </c>
    </row>
    <row r="126" spans="1:3" x14ac:dyDescent="0.2">
      <c r="A126" s="57" t="s">
        <v>236</v>
      </c>
      <c r="B126" s="54" t="s">
        <v>64</v>
      </c>
      <c r="C126" s="57">
        <v>2087</v>
      </c>
    </row>
    <row r="127" spans="1:3" x14ac:dyDescent="0.2">
      <c r="A127" s="57" t="s">
        <v>236</v>
      </c>
      <c r="B127" s="54" t="s">
        <v>64</v>
      </c>
      <c r="C127" s="57">
        <v>2086</v>
      </c>
    </row>
    <row r="128" spans="1:3" x14ac:dyDescent="0.2">
      <c r="A128" s="57" t="s">
        <v>236</v>
      </c>
      <c r="B128" s="54" t="s">
        <v>64</v>
      </c>
      <c r="C128" s="57">
        <v>2085</v>
      </c>
    </row>
    <row r="129" spans="1:3" x14ac:dyDescent="0.2">
      <c r="A129" s="57" t="s">
        <v>235</v>
      </c>
      <c r="B129" s="54" t="s">
        <v>64</v>
      </c>
      <c r="C129" s="57">
        <v>2020</v>
      </c>
    </row>
    <row r="130" spans="1:3" x14ac:dyDescent="0.2">
      <c r="A130" s="57" t="s">
        <v>235</v>
      </c>
      <c r="B130" s="54" t="s">
        <v>64</v>
      </c>
      <c r="C130" s="57">
        <v>2021</v>
      </c>
    </row>
    <row r="131" spans="1:3" x14ac:dyDescent="0.2">
      <c r="A131" s="57" t="s">
        <v>235</v>
      </c>
      <c r="B131" s="54" t="s">
        <v>58</v>
      </c>
      <c r="C131" s="57">
        <v>2022</v>
      </c>
    </row>
    <row r="132" spans="1:3" x14ac:dyDescent="0.2">
      <c r="A132" s="57" t="s">
        <v>235</v>
      </c>
      <c r="B132" s="54" t="s">
        <v>58</v>
      </c>
      <c r="C132" s="57">
        <v>2023</v>
      </c>
    </row>
    <row r="133" spans="1:3" x14ac:dyDescent="0.2">
      <c r="A133" s="57" t="s">
        <v>235</v>
      </c>
      <c r="B133" s="54" t="s">
        <v>64</v>
      </c>
      <c r="C133" s="57">
        <v>2024</v>
      </c>
    </row>
    <row r="134" spans="1:3" x14ac:dyDescent="0.2">
      <c r="A134" s="57" t="s">
        <v>235</v>
      </c>
      <c r="B134" s="54" t="s">
        <v>64</v>
      </c>
      <c r="C134" s="57">
        <v>2025</v>
      </c>
    </row>
    <row r="135" spans="1:3" x14ac:dyDescent="0.2">
      <c r="A135" s="57" t="s">
        <v>237</v>
      </c>
      <c r="B135" s="54" t="s">
        <v>64</v>
      </c>
      <c r="C135" s="57">
        <v>2026</v>
      </c>
    </row>
    <row r="136" spans="1:3" x14ac:dyDescent="0.2">
      <c r="A136" s="57" t="s">
        <v>237</v>
      </c>
      <c r="B136" s="54" t="s">
        <v>64</v>
      </c>
      <c r="C136" s="57">
        <v>2027</v>
      </c>
    </row>
    <row r="137" spans="1:3" x14ac:dyDescent="0.2">
      <c r="A137" s="57" t="s">
        <v>237</v>
      </c>
      <c r="B137" s="54"/>
      <c r="C137" s="57">
        <v>2028</v>
      </c>
    </row>
    <row r="138" spans="1:3" x14ac:dyDescent="0.2">
      <c r="A138" s="57" t="s">
        <v>237</v>
      </c>
      <c r="B138" s="54"/>
      <c r="C138" s="57">
        <v>2029</v>
      </c>
    </row>
    <row r="139" spans="1:3" x14ac:dyDescent="0.2">
      <c r="A139" s="57" t="s">
        <v>237</v>
      </c>
      <c r="B139" s="54"/>
      <c r="C139" s="57">
        <v>2030</v>
      </c>
    </row>
    <row r="140" spans="1:3" x14ac:dyDescent="0.2">
      <c r="A140" s="57" t="s">
        <v>237</v>
      </c>
      <c r="B140" s="54"/>
      <c r="C140" s="57">
        <v>2031</v>
      </c>
    </row>
    <row r="141" spans="1:3" x14ac:dyDescent="0.2">
      <c r="A141" s="57" t="s">
        <v>238</v>
      </c>
      <c r="B141" s="54" t="s">
        <v>64</v>
      </c>
      <c r="C141" s="57">
        <v>2012</v>
      </c>
    </row>
    <row r="142" spans="1:3" x14ac:dyDescent="0.2">
      <c r="A142" s="57" t="s">
        <v>238</v>
      </c>
      <c r="B142" s="54" t="s">
        <v>64</v>
      </c>
      <c r="C142" s="57">
        <v>2013</v>
      </c>
    </row>
    <row r="143" spans="1:3" x14ac:dyDescent="0.2">
      <c r="A143" s="57" t="s">
        <v>238</v>
      </c>
      <c r="B143" s="54" t="s">
        <v>64</v>
      </c>
      <c r="C143" s="57">
        <v>2014</v>
      </c>
    </row>
    <row r="144" spans="1:3" x14ac:dyDescent="0.2">
      <c r="A144" s="57" t="s">
        <v>238</v>
      </c>
      <c r="B144" s="54" t="s">
        <v>64</v>
      </c>
      <c r="C144" s="57">
        <v>2015</v>
      </c>
    </row>
    <row r="145" spans="1:32" x14ac:dyDescent="0.2">
      <c r="A145" s="57" t="s">
        <v>238</v>
      </c>
      <c r="B145" s="54" t="s">
        <v>64</v>
      </c>
      <c r="C145" s="57">
        <v>1478</v>
      </c>
    </row>
    <row r="146" spans="1:32" x14ac:dyDescent="0.2">
      <c r="B146" s="54" t="s">
        <v>64</v>
      </c>
      <c r="C146" s="57">
        <v>2010</v>
      </c>
      <c r="G146" s="57">
        <v>0.51800000000000002</v>
      </c>
      <c r="J146" s="57">
        <v>0.47899999999999998</v>
      </c>
      <c r="M146" s="57">
        <v>0.51600000000000001</v>
      </c>
      <c r="AE146" s="57">
        <v>1.3442000000000001</v>
      </c>
      <c r="AF146" s="57">
        <v>0.64300000000000002</v>
      </c>
    </row>
    <row r="147" spans="1:32" x14ac:dyDescent="0.2">
      <c r="B147" s="54" t="s">
        <v>64</v>
      </c>
      <c r="C147" s="57">
        <v>2009</v>
      </c>
      <c r="G147" s="57">
        <v>1.18</v>
      </c>
      <c r="H147" s="57">
        <v>0.71870000000000001</v>
      </c>
      <c r="J147" s="57">
        <v>1.1200000000000001</v>
      </c>
      <c r="K147" s="57">
        <v>0.90849999999999997</v>
      </c>
      <c r="M147" s="57">
        <v>1.07</v>
      </c>
      <c r="N147" s="67">
        <v>12544</v>
      </c>
      <c r="AE147" s="57">
        <v>0.38150000000000001</v>
      </c>
      <c r="AF147" s="57">
        <v>0.161</v>
      </c>
    </row>
    <row r="148" spans="1:32" x14ac:dyDescent="0.2">
      <c r="B148" s="3"/>
    </row>
    <row r="149" spans="1:32" x14ac:dyDescent="0.2">
      <c r="B149" s="3"/>
    </row>
    <row r="150" spans="1:32" x14ac:dyDescent="0.2">
      <c r="B150" s="3"/>
    </row>
    <row r="151" spans="1:32" x14ac:dyDescent="0.2">
      <c r="B151" s="3"/>
    </row>
    <row r="152" spans="1:32" x14ac:dyDescent="0.2">
      <c r="B152" s="3"/>
    </row>
    <row r="153" spans="1:32" x14ac:dyDescent="0.2">
      <c r="B153" s="3"/>
    </row>
    <row r="154" spans="1:32" x14ac:dyDescent="0.2">
      <c r="B154" s="3"/>
    </row>
    <row r="155" spans="1:32" x14ac:dyDescent="0.2">
      <c r="B155" s="3"/>
    </row>
    <row r="156" spans="1:32" x14ac:dyDescent="0.2">
      <c r="B156" s="3"/>
    </row>
    <row r="157" spans="1:32" x14ac:dyDescent="0.2">
      <c r="B157" s="3"/>
    </row>
    <row r="158" spans="1:32" x14ac:dyDescent="0.2">
      <c r="B158" s="3"/>
    </row>
    <row r="159" spans="1:32" x14ac:dyDescent="0.2">
      <c r="B159" s="3"/>
    </row>
    <row r="160" spans="1:3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F315"/>
  <sheetViews>
    <sheetView workbookViewId="0">
      <pane xSplit="3" ySplit="6" topLeftCell="D112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44655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7" x14ac:dyDescent="0.2">
      <c r="A33" s="38" t="s">
        <v>70</v>
      </c>
      <c r="B33" s="38" t="s">
        <v>64</v>
      </c>
      <c r="C33" s="38">
        <v>2378</v>
      </c>
    </row>
    <row r="34" spans="1:7" x14ac:dyDescent="0.2">
      <c r="A34" s="38" t="s">
        <v>70</v>
      </c>
      <c r="B34" s="38" t="s">
        <v>64</v>
      </c>
      <c r="C34" s="38">
        <v>2379</v>
      </c>
    </row>
    <row r="35" spans="1:7" x14ac:dyDescent="0.2">
      <c r="A35" s="38" t="s">
        <v>70</v>
      </c>
      <c r="B35" s="38" t="s">
        <v>58</v>
      </c>
      <c r="C35" s="38">
        <v>2380</v>
      </c>
    </row>
    <row r="36" spans="1:7" x14ac:dyDescent="0.2">
      <c r="A36" s="12" t="s">
        <v>74</v>
      </c>
      <c r="B36" s="12" t="s">
        <v>64</v>
      </c>
      <c r="C36" s="12">
        <v>2337</v>
      </c>
    </row>
    <row r="37" spans="1:7" x14ac:dyDescent="0.2">
      <c r="A37" s="12" t="s">
        <v>74</v>
      </c>
      <c r="B37" s="12" t="s">
        <v>64</v>
      </c>
      <c r="C37" s="12">
        <v>2338</v>
      </c>
    </row>
    <row r="38" spans="1:7" x14ac:dyDescent="0.2">
      <c r="A38" s="12" t="s">
        <v>74</v>
      </c>
      <c r="B38" s="12" t="s">
        <v>64</v>
      </c>
      <c r="C38" s="12">
        <v>2339</v>
      </c>
    </row>
    <row r="39" spans="1:7" x14ac:dyDescent="0.2">
      <c r="A39" s="12" t="s">
        <v>74</v>
      </c>
      <c r="B39" s="12" t="s">
        <v>64</v>
      </c>
      <c r="C39" s="12">
        <v>2340</v>
      </c>
    </row>
    <row r="40" spans="1:7" x14ac:dyDescent="0.2">
      <c r="A40" s="12" t="s">
        <v>74</v>
      </c>
      <c r="B40" s="12" t="s">
        <v>64</v>
      </c>
      <c r="C40" s="12">
        <v>2341</v>
      </c>
    </row>
    <row r="41" spans="1:7" x14ac:dyDescent="0.2">
      <c r="A41" s="12" t="s">
        <v>74</v>
      </c>
      <c r="B41" s="12" t="s">
        <v>64</v>
      </c>
      <c r="C41" s="12">
        <v>2342</v>
      </c>
    </row>
    <row r="42" spans="1:7" x14ac:dyDescent="0.2">
      <c r="A42" s="12" t="s">
        <v>74</v>
      </c>
      <c r="B42" s="12" t="s">
        <v>64</v>
      </c>
      <c r="C42" s="12">
        <v>2343</v>
      </c>
    </row>
    <row r="43" spans="1:7" x14ac:dyDescent="0.2">
      <c r="A43" s="41" t="s">
        <v>74</v>
      </c>
      <c r="B43" s="41" t="s">
        <v>64</v>
      </c>
      <c r="C43" s="41" t="s">
        <v>78</v>
      </c>
    </row>
    <row r="44" spans="1:7" x14ac:dyDescent="0.2">
      <c r="A44" s="12" t="s">
        <v>74</v>
      </c>
      <c r="B44" s="12" t="s">
        <v>64</v>
      </c>
      <c r="C44" s="12">
        <v>2344</v>
      </c>
    </row>
    <row r="45" spans="1:7" x14ac:dyDescent="0.2">
      <c r="A45" s="41" t="s">
        <v>74</v>
      </c>
      <c r="B45" s="41" t="s">
        <v>58</v>
      </c>
      <c r="C45" s="41" t="s">
        <v>78</v>
      </c>
    </row>
    <row r="46" spans="1:7" x14ac:dyDescent="0.2">
      <c r="A46" s="12" t="s">
        <v>74</v>
      </c>
      <c r="B46" s="12" t="s">
        <v>58</v>
      </c>
      <c r="C46" s="34">
        <v>2345</v>
      </c>
      <c r="G46" s="57">
        <v>1.708</v>
      </c>
    </row>
    <row r="47" spans="1:7" x14ac:dyDescent="0.2">
      <c r="A47" s="12" t="s">
        <v>74</v>
      </c>
      <c r="B47" s="12" t="s">
        <v>64</v>
      </c>
      <c r="C47" s="12">
        <v>2346</v>
      </c>
    </row>
    <row r="48" spans="1:7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6" x14ac:dyDescent="0.2">
      <c r="A81" s="38" t="s">
        <v>100</v>
      </c>
      <c r="B81" s="38" t="s">
        <v>64</v>
      </c>
      <c r="C81" s="38">
        <v>2374</v>
      </c>
    </row>
    <row r="82" spans="1:36" x14ac:dyDescent="0.2">
      <c r="A82" s="12" t="s">
        <v>101</v>
      </c>
      <c r="B82" s="12" t="s">
        <v>58</v>
      </c>
      <c r="C82" s="34">
        <v>2301</v>
      </c>
      <c r="G82" s="57">
        <v>3.0430000000000001</v>
      </c>
      <c r="J82" s="57">
        <v>1.746</v>
      </c>
      <c r="M82" s="57">
        <v>1.9630000000000001</v>
      </c>
      <c r="AI82" s="57">
        <v>0.14480000000000001</v>
      </c>
      <c r="AJ82" s="57">
        <v>8.4099999999999994E-2</v>
      </c>
    </row>
    <row r="83" spans="1:36" x14ac:dyDescent="0.2">
      <c r="A83" s="12" t="s">
        <v>101</v>
      </c>
      <c r="B83" s="12" t="s">
        <v>64</v>
      </c>
      <c r="C83" s="12">
        <v>2302</v>
      </c>
    </row>
    <row r="84" spans="1:36" x14ac:dyDescent="0.2">
      <c r="A84" s="12" t="s">
        <v>101</v>
      </c>
      <c r="B84" s="12" t="s">
        <v>64</v>
      </c>
      <c r="C84" s="12">
        <v>2303</v>
      </c>
    </row>
    <row r="85" spans="1:36" x14ac:dyDescent="0.2">
      <c r="A85" s="12" t="s">
        <v>101</v>
      </c>
      <c r="B85" s="12" t="s">
        <v>64</v>
      </c>
      <c r="C85" s="12">
        <v>2304</v>
      </c>
    </row>
    <row r="86" spans="1:36" x14ac:dyDescent="0.2">
      <c r="A86" s="12" t="s">
        <v>101</v>
      </c>
      <c r="B86" s="12" t="s">
        <v>64</v>
      </c>
      <c r="C86" s="12">
        <v>2305</v>
      </c>
    </row>
    <row r="87" spans="1:36" x14ac:dyDescent="0.2">
      <c r="A87" s="12" t="s">
        <v>101</v>
      </c>
      <c r="B87" s="12" t="s">
        <v>64</v>
      </c>
      <c r="C87" s="12">
        <v>2306</v>
      </c>
    </row>
    <row r="88" spans="1:36" x14ac:dyDescent="0.2">
      <c r="A88" s="12" t="s">
        <v>101</v>
      </c>
      <c r="B88" s="12" t="s">
        <v>64</v>
      </c>
      <c r="C88" s="12">
        <v>2307</v>
      </c>
    </row>
    <row r="89" spans="1:36" x14ac:dyDescent="0.2">
      <c r="A89" s="12" t="s">
        <v>101</v>
      </c>
      <c r="B89" s="12" t="s">
        <v>64</v>
      </c>
      <c r="C89" s="12">
        <v>2308</v>
      </c>
    </row>
    <row r="90" spans="1:36" x14ac:dyDescent="0.2">
      <c r="A90" s="12" t="s">
        <v>101</v>
      </c>
      <c r="B90" s="12" t="s">
        <v>64</v>
      </c>
      <c r="C90" s="12">
        <v>2309</v>
      </c>
    </row>
    <row r="91" spans="1:36" x14ac:dyDescent="0.2">
      <c r="A91" s="53" t="s">
        <v>106</v>
      </c>
      <c r="B91" s="54" t="s">
        <v>64</v>
      </c>
      <c r="C91" s="55">
        <v>2370</v>
      </c>
    </row>
    <row r="92" spans="1:36" x14ac:dyDescent="0.2">
      <c r="A92" s="53" t="s">
        <v>107</v>
      </c>
      <c r="B92" s="54" t="s">
        <v>64</v>
      </c>
      <c r="C92" s="55">
        <v>2371</v>
      </c>
    </row>
    <row r="93" spans="1:36" x14ac:dyDescent="0.2">
      <c r="A93" s="53" t="s">
        <v>108</v>
      </c>
      <c r="B93" s="54" t="s">
        <v>64</v>
      </c>
      <c r="C93" s="55">
        <v>2372</v>
      </c>
    </row>
    <row r="94" spans="1:36" x14ac:dyDescent="0.2">
      <c r="A94" s="53" t="s">
        <v>110</v>
      </c>
      <c r="B94" s="54" t="s">
        <v>64</v>
      </c>
      <c r="C94" s="55">
        <v>2373</v>
      </c>
    </row>
    <row r="95" spans="1:36" x14ac:dyDescent="0.2">
      <c r="A95" s="2" t="s">
        <v>112</v>
      </c>
      <c r="B95" s="3" t="s">
        <v>64</v>
      </c>
      <c r="C95" s="3"/>
    </row>
    <row r="96" spans="1:36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56" x14ac:dyDescent="0.2">
      <c r="A113" s="57"/>
      <c r="B113" s="54" t="s">
        <v>64</v>
      </c>
      <c r="C113" s="57">
        <v>2385</v>
      </c>
      <c r="G113" s="57"/>
      <c r="J113" s="57"/>
      <c r="M113" s="57"/>
      <c r="P113" s="57"/>
      <c r="AE113" s="57"/>
      <c r="AF113" s="57"/>
      <c r="AH113" s="57"/>
      <c r="AI113" s="57">
        <v>0.12379999999999999</v>
      </c>
      <c r="AJ113" s="57">
        <v>4.9000000000000002E-2</v>
      </c>
      <c r="AK113" s="57"/>
      <c r="AL113" s="57">
        <v>0.1067</v>
      </c>
      <c r="AM113" s="57">
        <v>4.2999999999999997E-2</v>
      </c>
      <c r="AN113" s="57"/>
      <c r="AO113" s="57">
        <v>0.10199999999999999</v>
      </c>
      <c r="AP113" s="57">
        <v>4.1000000000000002E-2</v>
      </c>
    </row>
    <row r="114" spans="1:56" x14ac:dyDescent="0.2">
      <c r="A114" s="57" t="s">
        <v>232</v>
      </c>
      <c r="B114" s="54" t="s">
        <v>64</v>
      </c>
      <c r="C114" s="57">
        <v>2004</v>
      </c>
      <c r="G114" s="57">
        <v>0.40500000000000003</v>
      </c>
      <c r="J114" s="57">
        <v>0.28399999999999997</v>
      </c>
      <c r="M114" s="57">
        <v>0.39300000000000002</v>
      </c>
      <c r="P114" s="57">
        <v>0.47499999999999998</v>
      </c>
      <c r="AE114" s="57">
        <v>3.1082999999999998</v>
      </c>
      <c r="AF114" s="57">
        <v>1.5441</v>
      </c>
      <c r="AH114" s="57">
        <v>2.4</v>
      </c>
      <c r="AI114" s="57">
        <v>0.46689999999999998</v>
      </c>
      <c r="AJ114" s="57">
        <v>0.2606</v>
      </c>
      <c r="AK114" s="57">
        <v>2.35</v>
      </c>
      <c r="AL114" s="57">
        <v>0.59660000000000002</v>
      </c>
      <c r="AM114" s="57">
        <v>0.32700000000000001</v>
      </c>
      <c r="AN114" s="57">
        <v>2.4</v>
      </c>
      <c r="AO114" s="57">
        <v>0.23530000000000001</v>
      </c>
      <c r="AP114" s="57">
        <v>0.1331</v>
      </c>
    </row>
    <row r="115" spans="1:56" x14ac:dyDescent="0.2">
      <c r="A115" s="57" t="s">
        <v>232</v>
      </c>
      <c r="B115" s="54" t="s">
        <v>64</v>
      </c>
      <c r="C115" s="57">
        <v>2005</v>
      </c>
      <c r="G115" s="57">
        <v>0.42799999999999999</v>
      </c>
      <c r="J115" s="57">
        <v>0.43099999999999999</v>
      </c>
      <c r="AE115" s="57">
        <v>1.7037</v>
      </c>
      <c r="AF115" s="57">
        <v>0.83650000000000002</v>
      </c>
      <c r="AH115" s="57">
        <v>2.1</v>
      </c>
      <c r="AI115" s="57">
        <v>0.20380000000000001</v>
      </c>
      <c r="AJ115" s="57">
        <v>0.1104</v>
      </c>
      <c r="AK115" s="57">
        <v>2.15</v>
      </c>
      <c r="AL115" s="57">
        <v>0.25540000000000002</v>
      </c>
      <c r="AM115" s="57">
        <v>0.13789999999999999</v>
      </c>
      <c r="AN115" s="57">
        <v>2.15</v>
      </c>
      <c r="AO115" s="57">
        <v>0.31619999999999998</v>
      </c>
      <c r="AP115" s="57">
        <v>0.17</v>
      </c>
    </row>
    <row r="116" spans="1:56" x14ac:dyDescent="0.2">
      <c r="A116" s="57" t="s">
        <v>232</v>
      </c>
      <c r="B116" s="54" t="s">
        <v>64</v>
      </c>
      <c r="C116" s="57">
        <v>2006</v>
      </c>
      <c r="G116" s="57">
        <v>0.50900000000000001</v>
      </c>
      <c r="J116" s="57">
        <v>0.59199999999999997</v>
      </c>
      <c r="M116" s="57">
        <v>0.52100000000000002</v>
      </c>
      <c r="AE116" s="57">
        <v>3.7179000000000002</v>
      </c>
      <c r="AF116" s="57">
        <v>1.9004000000000001</v>
      </c>
      <c r="AH116" s="57">
        <v>2.1</v>
      </c>
      <c r="AI116" s="57">
        <v>0.1726</v>
      </c>
      <c r="AJ116" s="57">
        <v>9.5000000000000001E-2</v>
      </c>
      <c r="AK116" s="57">
        <v>2.1</v>
      </c>
      <c r="AL116" s="57">
        <v>0.16</v>
      </c>
      <c r="AM116" s="57">
        <v>8.7999999999999995E-2</v>
      </c>
      <c r="AN116" s="57">
        <v>2.2000000000000002</v>
      </c>
      <c r="AO116" s="57">
        <v>0.12379999999999999</v>
      </c>
      <c r="AP116" s="57">
        <v>6.8000000000000005E-2</v>
      </c>
    </row>
    <row r="117" spans="1:56" x14ac:dyDescent="0.2">
      <c r="A117" s="57" t="s">
        <v>232</v>
      </c>
      <c r="B117" s="54" t="s">
        <v>64</v>
      </c>
      <c r="C117" s="57">
        <v>2007</v>
      </c>
      <c r="G117" s="57">
        <v>0.4</v>
      </c>
      <c r="J117" s="57">
        <v>0.27100000000000002</v>
      </c>
      <c r="M117" s="57">
        <v>0.376</v>
      </c>
      <c r="P117" s="57">
        <v>0.42</v>
      </c>
      <c r="AE117" s="57">
        <v>2.8553999999999999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0.13100000000000001</v>
      </c>
    </row>
    <row r="118" spans="1:56" x14ac:dyDescent="0.2">
      <c r="A118" s="57" t="s">
        <v>233</v>
      </c>
      <c r="B118" s="54" t="s">
        <v>234</v>
      </c>
      <c r="G118" s="57">
        <v>8.7999999999999995E-2</v>
      </c>
      <c r="J118" s="57">
        <v>0.09</v>
      </c>
      <c r="M118" s="57">
        <v>9.0999999999999998E-2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 spans="1:56" x14ac:dyDescent="0.2">
      <c r="A119" s="57" t="s">
        <v>235</v>
      </c>
      <c r="B119" s="54" t="s">
        <v>234</v>
      </c>
      <c r="G119" s="57">
        <v>0.90400000000000003</v>
      </c>
      <c r="J119" s="57">
        <v>0.8</v>
      </c>
      <c r="M119" s="57">
        <v>0.94399999999999995</v>
      </c>
      <c r="P119" s="57">
        <v>0.82</v>
      </c>
      <c r="S119" s="57">
        <v>0.82599999999999996</v>
      </c>
      <c r="V119" s="57">
        <v>0.83099999999999996</v>
      </c>
      <c r="Y119" s="57">
        <v>0.86199999999999999</v>
      </c>
    </row>
    <row r="120" spans="1:56" x14ac:dyDescent="0.2">
      <c r="A120" s="57" t="s">
        <v>232</v>
      </c>
      <c r="B120" s="54" t="s">
        <v>234</v>
      </c>
      <c r="AH120" s="57">
        <v>1.45</v>
      </c>
      <c r="AI120" s="57">
        <v>0.20330000000000001</v>
      </c>
      <c r="AK120" s="57">
        <v>1.45</v>
      </c>
      <c r="BC120" s="57">
        <v>9.4600000000000004E-2</v>
      </c>
      <c r="BD120" s="57">
        <v>4.3999999999999997E-2</v>
      </c>
    </row>
    <row r="121" spans="1:56" x14ac:dyDescent="0.2">
      <c r="A121" s="57" t="s">
        <v>233</v>
      </c>
      <c r="B121" s="54" t="s">
        <v>166</v>
      </c>
      <c r="G121" s="57">
        <v>0.58399999999999996</v>
      </c>
      <c r="J121" s="57">
        <v>0.443</v>
      </c>
      <c r="M121" s="57">
        <v>0.71599999999999997</v>
      </c>
      <c r="P121" s="57">
        <v>0.99199999999999999</v>
      </c>
      <c r="S121" s="57">
        <v>0.44500000000000001</v>
      </c>
      <c r="V121" s="57"/>
      <c r="Y121" s="57"/>
      <c r="AB121" s="57"/>
    </row>
    <row r="122" spans="1:56" x14ac:dyDescent="0.2">
      <c r="A122" s="57" t="s">
        <v>235</v>
      </c>
      <c r="B122" s="54" t="s">
        <v>166</v>
      </c>
      <c r="G122" s="57">
        <v>0.38300000000000001</v>
      </c>
      <c r="J122" s="57">
        <v>0.59199999999999997</v>
      </c>
      <c r="M122" s="57">
        <v>0.57099999999999995</v>
      </c>
      <c r="P122" s="57">
        <v>0.65</v>
      </c>
      <c r="S122" s="57">
        <v>0.62</v>
      </c>
      <c r="V122" s="57">
        <v>0.71799999999999997</v>
      </c>
      <c r="Y122" s="57">
        <v>0.42799999999999999</v>
      </c>
      <c r="AB122" s="57">
        <v>0.60799999999999998</v>
      </c>
    </row>
    <row r="123" spans="1:56" x14ac:dyDescent="0.2">
      <c r="A123" s="57" t="s">
        <v>232</v>
      </c>
      <c r="B123" s="54" t="s">
        <v>166</v>
      </c>
      <c r="G123" s="57">
        <v>0.108</v>
      </c>
      <c r="J123" s="57">
        <v>0.32500000000000001</v>
      </c>
      <c r="M123" s="57">
        <v>0.44800000000000001</v>
      </c>
      <c r="P123" s="57">
        <v>0.58199999999999996</v>
      </c>
      <c r="S123" s="57">
        <v>0.74199999999999999</v>
      </c>
      <c r="V123" s="57">
        <v>0.56799999999999995</v>
      </c>
      <c r="Y123" s="57">
        <v>0.248</v>
      </c>
      <c r="AB123" s="57">
        <v>0.34300000000000003</v>
      </c>
      <c r="AI123" s="57">
        <v>0.49419999999999997</v>
      </c>
      <c r="AJ123" s="57">
        <v>0.192</v>
      </c>
      <c r="AL123" s="57">
        <v>0.3831</v>
      </c>
      <c r="AM123" s="57">
        <v>0.14299999999999999</v>
      </c>
      <c r="AO123" s="57">
        <v>0.46029999999999999</v>
      </c>
      <c r="AP123" s="57">
        <v>0.183</v>
      </c>
      <c r="AR123" s="57">
        <v>0.50900000000000001</v>
      </c>
      <c r="AS123" s="57">
        <v>0.20200000000000001</v>
      </c>
      <c r="AU123" s="57">
        <v>0.43140000000000001</v>
      </c>
      <c r="AV123" s="57">
        <v>0.17799999999999999</v>
      </c>
      <c r="AX123" s="57">
        <v>0.495</v>
      </c>
      <c r="AY123" s="57">
        <v>0.20200000000000001</v>
      </c>
      <c r="BA123" s="57">
        <v>0.3649</v>
      </c>
      <c r="BB123" s="57">
        <v>0.11799999999999999</v>
      </c>
    </row>
    <row r="124" spans="1:56" x14ac:dyDescent="0.2">
      <c r="A124" s="57" t="s">
        <v>236</v>
      </c>
      <c r="B124" s="54" t="s">
        <v>58</v>
      </c>
      <c r="C124" s="57">
        <v>2093</v>
      </c>
      <c r="G124" s="57">
        <v>0.19600000000000001</v>
      </c>
      <c r="J124" s="57">
        <v>0.111</v>
      </c>
      <c r="M124" s="57">
        <v>0.15</v>
      </c>
      <c r="P124" s="57">
        <v>0.16</v>
      </c>
      <c r="AE124" s="57">
        <v>2.9691000000000001</v>
      </c>
      <c r="AF124" s="57">
        <v>1.8387</v>
      </c>
      <c r="AI124" s="57">
        <v>0.2072</v>
      </c>
      <c r="AJ124" s="57">
        <v>0.13100000000000001</v>
      </c>
      <c r="AL124" s="57">
        <v>0.29470000000000002</v>
      </c>
      <c r="AM124" s="57">
        <v>0.189</v>
      </c>
      <c r="AO124" s="57">
        <v>0.24759999999999999</v>
      </c>
      <c r="AP124" s="57">
        <v>0.15720000000000001</v>
      </c>
    </row>
    <row r="125" spans="1:56" x14ac:dyDescent="0.2">
      <c r="A125" s="57" t="s">
        <v>236</v>
      </c>
      <c r="B125" s="54" t="s">
        <v>58</v>
      </c>
      <c r="C125" s="57">
        <v>2092</v>
      </c>
      <c r="G125" s="57">
        <v>0.108</v>
      </c>
      <c r="J125" s="57">
        <v>0.114</v>
      </c>
      <c r="M125" s="57">
        <v>0.106</v>
      </c>
      <c r="AE125" s="57">
        <v>3.1573000000000002</v>
      </c>
      <c r="AF125" s="57">
        <v>1.9077999999999999</v>
      </c>
      <c r="AI125" s="57">
        <v>0.25629999999999997</v>
      </c>
      <c r="AJ125" s="57">
        <v>0.1598</v>
      </c>
      <c r="AL125" s="57">
        <v>0.2228</v>
      </c>
      <c r="AM125" s="57">
        <v>0.13569999999999999</v>
      </c>
      <c r="AO125" s="57">
        <v>0.23469999999999999</v>
      </c>
      <c r="AP125" s="57">
        <v>0.14749999999999999</v>
      </c>
    </row>
    <row r="126" spans="1:56" x14ac:dyDescent="0.2">
      <c r="A126" s="57" t="s">
        <v>236</v>
      </c>
      <c r="B126" s="54" t="s">
        <v>58</v>
      </c>
      <c r="C126" s="57">
        <v>2091</v>
      </c>
      <c r="G126" s="57">
        <v>0.105</v>
      </c>
      <c r="J126" s="57">
        <v>0.15</v>
      </c>
      <c r="M126" s="57">
        <v>0.128</v>
      </c>
      <c r="P126" s="57">
        <v>0.13300000000000001</v>
      </c>
      <c r="AE126" s="57">
        <v>2.7202000000000002</v>
      </c>
      <c r="AF126" s="57">
        <v>1.661</v>
      </c>
      <c r="AI126" s="57">
        <v>0.15809999999999999</v>
      </c>
      <c r="AJ126" s="57">
        <v>9.7699999999999995E-2</v>
      </c>
      <c r="AL126" s="57">
        <v>0.30049999999999999</v>
      </c>
      <c r="AM126" s="57">
        <v>0.19220000000000001</v>
      </c>
      <c r="AO126" s="57">
        <v>0.20130000000000001</v>
      </c>
      <c r="AP126" s="57">
        <v>0.128</v>
      </c>
      <c r="AR126" s="57">
        <v>0.15640000000000001</v>
      </c>
      <c r="AS126" s="57">
        <v>9.69E-2</v>
      </c>
    </row>
    <row r="127" spans="1:56" x14ac:dyDescent="0.2">
      <c r="A127" s="57" t="s">
        <v>236</v>
      </c>
      <c r="B127" s="54" t="s">
        <v>129</v>
      </c>
      <c r="C127" s="57">
        <v>2090</v>
      </c>
      <c r="G127" s="57">
        <v>0.95599999999999996</v>
      </c>
      <c r="J127" s="57">
        <v>0.81599999999999995</v>
      </c>
      <c r="M127" s="57">
        <v>0.85199999999999998</v>
      </c>
      <c r="AE127" s="57">
        <v>3.8915000000000002</v>
      </c>
      <c r="AF127" s="57">
        <v>1.5882000000000001</v>
      </c>
      <c r="AI127" s="57">
        <v>0.245</v>
      </c>
      <c r="AJ127" s="57">
        <v>0.11509999999999999</v>
      </c>
      <c r="AL127" s="57">
        <v>0.1749</v>
      </c>
      <c r="AM127" s="57">
        <v>8.0199999999999994E-2</v>
      </c>
      <c r="AO127" s="57">
        <v>0.1308</v>
      </c>
      <c r="AP127" s="57">
        <v>5.4800000000000001E-2</v>
      </c>
    </row>
    <row r="128" spans="1:56" x14ac:dyDescent="0.2">
      <c r="A128" s="57" t="s">
        <v>236</v>
      </c>
      <c r="B128" s="54" t="s">
        <v>58</v>
      </c>
      <c r="C128" s="57">
        <v>2089</v>
      </c>
      <c r="G128" s="57">
        <v>0.27100000000000002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3.1377999999999999</v>
      </c>
      <c r="AF128" s="57">
        <v>1.8996</v>
      </c>
      <c r="AI128" s="57">
        <v>0.3085</v>
      </c>
      <c r="AJ128" s="57">
        <v>0.20469999999999999</v>
      </c>
      <c r="AL128" s="57">
        <v>0.29599999999999999</v>
      </c>
      <c r="AM128" s="57">
        <v>0.1837</v>
      </c>
      <c r="AO128" s="57">
        <v>0.2918</v>
      </c>
      <c r="AP128" s="57">
        <v>0.18529999999999999</v>
      </c>
      <c r="AR128" s="57">
        <v>0.35220000000000001</v>
      </c>
      <c r="AS128" s="57">
        <v>0.22389999999999999</v>
      </c>
    </row>
    <row r="129" spans="1:45" x14ac:dyDescent="0.2">
      <c r="A129" s="57" t="s">
        <v>236</v>
      </c>
      <c r="B129" s="54" t="s">
        <v>64</v>
      </c>
      <c r="C129" s="57">
        <v>2088</v>
      </c>
      <c r="G129" s="57">
        <v>0.19400000000000001</v>
      </c>
      <c r="J129" s="57">
        <v>0.20799999999999999</v>
      </c>
      <c r="M129" s="57">
        <v>0.219</v>
      </c>
      <c r="P129" s="57">
        <v>0.183</v>
      </c>
      <c r="AI129" s="57">
        <v>0.1174</v>
      </c>
      <c r="AJ129" s="57">
        <v>5.5E-2</v>
      </c>
      <c r="AL129" s="57">
        <v>0.1172</v>
      </c>
      <c r="AM129" s="57">
        <v>5.7000000000000002E-2</v>
      </c>
      <c r="AO129" s="57">
        <v>9.8100000000000007E-2</v>
      </c>
      <c r="AP129" s="57">
        <v>4.3999999999999997E-2</v>
      </c>
    </row>
    <row r="130" spans="1:45" x14ac:dyDescent="0.2">
      <c r="A130" s="57" t="s">
        <v>236</v>
      </c>
      <c r="B130" s="54" t="s">
        <v>64</v>
      </c>
      <c r="C130" s="57">
        <v>2087</v>
      </c>
      <c r="G130" s="57">
        <v>0.59799999999999998</v>
      </c>
      <c r="J130" s="57">
        <v>0.74</v>
      </c>
      <c r="M130" s="57">
        <v>0.51300000000000001</v>
      </c>
      <c r="AE130" s="57">
        <v>0.5595</v>
      </c>
      <c r="AF130" s="57">
        <v>0.1986</v>
      </c>
      <c r="AI130" s="57">
        <v>0.11260000000000001</v>
      </c>
      <c r="AJ130" s="57">
        <v>4.8000000000000001E-2</v>
      </c>
      <c r="AL130" s="57">
        <v>9.2999999999999999E-2</v>
      </c>
      <c r="AM130" s="57">
        <v>3.6999999999999998E-2</v>
      </c>
      <c r="AO130" s="57">
        <v>0.2112</v>
      </c>
      <c r="AP130" s="57">
        <v>9.0999999999999998E-2</v>
      </c>
    </row>
    <row r="131" spans="1:45" x14ac:dyDescent="0.2">
      <c r="A131" s="57" t="s">
        <v>236</v>
      </c>
      <c r="B131" s="54" t="s">
        <v>64</v>
      </c>
      <c r="C131" s="57">
        <v>2086</v>
      </c>
      <c r="G131" s="57">
        <v>0.88800000000000001</v>
      </c>
      <c r="J131" s="57">
        <v>0.625</v>
      </c>
      <c r="M131" s="57">
        <v>0.75600000000000001</v>
      </c>
      <c r="AE131" s="57">
        <v>0.73980000000000001</v>
      </c>
      <c r="AF131" s="57">
        <v>0.26200000000000001</v>
      </c>
      <c r="AH131" s="57">
        <v>1.4</v>
      </c>
      <c r="AI131" s="57">
        <v>0.1492</v>
      </c>
      <c r="AJ131" s="57">
        <v>5.8000000000000003E-2</v>
      </c>
      <c r="AK131" s="57">
        <v>0.8</v>
      </c>
      <c r="AL131" s="57">
        <v>0.14069999999999999</v>
      </c>
      <c r="AM131" s="57">
        <v>5.1999999999999998E-2</v>
      </c>
      <c r="AN131" s="57">
        <v>0.75</v>
      </c>
      <c r="AO131" s="57">
        <v>0.105</v>
      </c>
      <c r="AP131" s="57">
        <v>3.7999999999999999E-2</v>
      </c>
      <c r="AQ131" s="57">
        <v>0.5</v>
      </c>
      <c r="AR131" s="57">
        <v>0.1181</v>
      </c>
      <c r="AS131" s="57">
        <v>4.3999999999999997E-2</v>
      </c>
    </row>
    <row r="132" spans="1:45" x14ac:dyDescent="0.2">
      <c r="A132" s="57" t="s">
        <v>236</v>
      </c>
      <c r="B132" s="54" t="s">
        <v>64</v>
      </c>
      <c r="C132" s="57">
        <v>2085</v>
      </c>
      <c r="G132" s="57">
        <v>0.41799999999999998</v>
      </c>
      <c r="J132" s="57">
        <v>0.60499999999999998</v>
      </c>
      <c r="M132" s="57">
        <v>0.53100000000000003</v>
      </c>
      <c r="AE132" s="57">
        <v>2.5739000000000001</v>
      </c>
      <c r="AF132" s="57">
        <v>0.97060000000000002</v>
      </c>
    </row>
    <row r="133" spans="1:45" x14ac:dyDescent="0.2">
      <c r="A133" s="57" t="s">
        <v>235</v>
      </c>
      <c r="B133" s="54" t="s">
        <v>64</v>
      </c>
      <c r="C133" s="57">
        <v>2020</v>
      </c>
      <c r="G133" s="57">
        <v>0.41499999999999998</v>
      </c>
      <c r="J133" s="57">
        <v>0.48699999999999999</v>
      </c>
      <c r="M133" s="57">
        <v>0.998</v>
      </c>
      <c r="P133" s="57">
        <v>0.84499999999999997</v>
      </c>
      <c r="AE133" s="57">
        <v>0.65680000000000005</v>
      </c>
      <c r="AF133" s="57">
        <v>0.31909999999999999</v>
      </c>
      <c r="AH133" s="57">
        <v>2.2999999999999998</v>
      </c>
      <c r="AI133" s="57">
        <v>0.13239999999999999</v>
      </c>
      <c r="AJ133" s="57">
        <v>7.2999999999999995E-2</v>
      </c>
      <c r="AK133" s="57">
        <v>2.4</v>
      </c>
      <c r="AL133" s="57">
        <v>0.13700000000000001</v>
      </c>
      <c r="AM133" s="57">
        <v>7.5999999999999998E-2</v>
      </c>
      <c r="AN133" s="57">
        <v>2.6</v>
      </c>
      <c r="AO133" s="57">
        <v>0.14660000000000001</v>
      </c>
      <c r="AP133" s="57">
        <v>8.2000000000000003E-2</v>
      </c>
    </row>
    <row r="134" spans="1:45" x14ac:dyDescent="0.2">
      <c r="A134" s="57" t="s">
        <v>235</v>
      </c>
      <c r="B134" s="54" t="s">
        <v>64</v>
      </c>
      <c r="C134" s="57">
        <v>2021</v>
      </c>
      <c r="G134" s="57">
        <v>0.108</v>
      </c>
      <c r="J134" s="57">
        <v>0.13800000000000001</v>
      </c>
      <c r="M134" s="57">
        <v>0.108</v>
      </c>
      <c r="P134" s="57">
        <v>0.27900000000000003</v>
      </c>
      <c r="S134" s="57">
        <v>0.20799999999999999</v>
      </c>
      <c r="AE134" s="57">
        <v>1.9611000000000001</v>
      </c>
      <c r="AF134" s="57">
        <v>0.97760000000000002</v>
      </c>
      <c r="AH134" s="57">
        <v>2.95</v>
      </c>
      <c r="AI134" s="57">
        <v>8.6800000000000002E-2</v>
      </c>
      <c r="AJ134" s="57">
        <v>4.9000000000000002E-2</v>
      </c>
      <c r="AK134" s="57">
        <v>2.8</v>
      </c>
      <c r="AL134" s="57">
        <v>8.4599999999999995E-2</v>
      </c>
      <c r="AM134" s="57">
        <v>4.8000000000000001E-2</v>
      </c>
    </row>
    <row r="135" spans="1:45" x14ac:dyDescent="0.2">
      <c r="A135" s="57" t="s">
        <v>235</v>
      </c>
      <c r="B135" s="54" t="s">
        <v>58</v>
      </c>
      <c r="C135" s="57">
        <v>2022</v>
      </c>
      <c r="G135" s="57">
        <v>0.27800000000000002</v>
      </c>
      <c r="J135" s="57">
        <v>0.14699999999999999</v>
      </c>
      <c r="M135" s="57">
        <v>0.17</v>
      </c>
      <c r="P135" s="57">
        <v>0.156</v>
      </c>
      <c r="AE135" s="57">
        <v>2.7532000000000001</v>
      </c>
      <c r="AF135" s="57">
        <v>1.548</v>
      </c>
      <c r="AI135" s="57">
        <v>0.37540000000000001</v>
      </c>
      <c r="AJ135" s="57">
        <v>0.24199999999999999</v>
      </c>
      <c r="AL135" s="57">
        <v>0.28799999999999998</v>
      </c>
      <c r="AM135" s="57">
        <v>0.16500000000000001</v>
      </c>
      <c r="AO135" s="57">
        <v>0.22670000000000001</v>
      </c>
      <c r="AP135" s="57">
        <v>0.13100000000000001</v>
      </c>
    </row>
    <row r="136" spans="1:45" x14ac:dyDescent="0.2">
      <c r="A136" s="57" t="s">
        <v>235</v>
      </c>
      <c r="B136" s="54" t="s">
        <v>58</v>
      </c>
      <c r="C136" s="57">
        <v>2023</v>
      </c>
      <c r="G136" s="57">
        <v>0.39600000000000002</v>
      </c>
      <c r="J136" s="57">
        <v>0.503</v>
      </c>
      <c r="M136" s="57">
        <v>0.318</v>
      </c>
      <c r="P136" s="57">
        <v>0.17799999999999999</v>
      </c>
      <c r="S136" s="57">
        <v>0.22</v>
      </c>
      <c r="AE136" s="57">
        <v>2.8525</v>
      </c>
      <c r="AF136" s="57">
        <v>1.6865000000000001</v>
      </c>
      <c r="AI136" s="57">
        <v>0.6</v>
      </c>
      <c r="AJ136" s="57">
        <v>0.37569999999999998</v>
      </c>
      <c r="AL136" s="57">
        <v>0.2767</v>
      </c>
      <c r="AM136" s="57">
        <v>0.152</v>
      </c>
      <c r="AO136" s="57">
        <v>0.37209999999999999</v>
      </c>
      <c r="AP136" s="57">
        <v>0.20810000000000001</v>
      </c>
    </row>
    <row r="137" spans="1:45" x14ac:dyDescent="0.2">
      <c r="A137" s="57" t="s">
        <v>235</v>
      </c>
      <c r="B137" s="54" t="s">
        <v>64</v>
      </c>
      <c r="C137" s="57">
        <v>2024</v>
      </c>
      <c r="G137" s="57">
        <v>0.40500000000000003</v>
      </c>
      <c r="M137" s="57">
        <v>0.44500000000000001</v>
      </c>
      <c r="P137" s="57">
        <v>0.38900000000000001</v>
      </c>
      <c r="AE137" s="57">
        <v>2.3723999999999998</v>
      </c>
      <c r="AF137" s="57">
        <v>1.0731999999999999</v>
      </c>
      <c r="AH137" s="57">
        <v>2.2000000000000002</v>
      </c>
      <c r="AI137" s="57">
        <v>0.17469999999999999</v>
      </c>
      <c r="AJ137" s="57">
        <v>9.5000000000000001E-2</v>
      </c>
      <c r="AK137" s="57">
        <v>2.2999999999999998</v>
      </c>
      <c r="AL137" s="57">
        <v>0.19789999999999999</v>
      </c>
      <c r="AM137" s="57">
        <v>0.107</v>
      </c>
    </row>
    <row r="138" spans="1:45" x14ac:dyDescent="0.2">
      <c r="A138" s="57" t="s">
        <v>235</v>
      </c>
      <c r="B138" s="54" t="s">
        <v>64</v>
      </c>
      <c r="C138" s="57">
        <v>2025</v>
      </c>
      <c r="G138" s="57">
        <v>0.10100000000000001</v>
      </c>
      <c r="J138" s="57">
        <v>0.05</v>
      </c>
      <c r="M138" s="57">
        <v>0.12</v>
      </c>
      <c r="P138" s="57">
        <v>0.113</v>
      </c>
      <c r="S138" s="57">
        <v>0.14399999999999999</v>
      </c>
      <c r="AE138" s="57">
        <v>1.9108000000000001</v>
      </c>
      <c r="AF138" s="57">
        <v>0.98660000000000003</v>
      </c>
      <c r="AI138" s="57">
        <v>7.5200000000000003E-2</v>
      </c>
      <c r="AJ138" s="57">
        <v>4.1000000000000002E-2</v>
      </c>
      <c r="AL138" s="57">
        <v>5.33E-2</v>
      </c>
      <c r="AM138" s="57">
        <v>2.9000000000000001E-2</v>
      </c>
      <c r="AO138" s="57">
        <v>8.2100000000000006E-2</v>
      </c>
      <c r="AP138" s="57">
        <v>4.5999999999999999E-2</v>
      </c>
    </row>
    <row r="139" spans="1:45" x14ac:dyDescent="0.2">
      <c r="A139" s="57" t="s">
        <v>237</v>
      </c>
      <c r="B139" s="54" t="s">
        <v>64</v>
      </c>
      <c r="C139" s="57">
        <v>2026</v>
      </c>
      <c r="G139" s="57">
        <v>0.50800000000000001</v>
      </c>
      <c r="J139" s="57">
        <v>0.47499999999999998</v>
      </c>
      <c r="M139" s="57">
        <v>0.42399999999999999</v>
      </c>
      <c r="P139" s="57">
        <v>0.39100000000000001</v>
      </c>
      <c r="S139" s="57">
        <v>0.39400000000000002</v>
      </c>
      <c r="AH139" s="57">
        <v>2.2999999999999998</v>
      </c>
      <c r="AI139" s="57">
        <v>0.1134</v>
      </c>
      <c r="AJ139" s="57">
        <v>6.5000000000000002E-2</v>
      </c>
      <c r="AK139" s="57">
        <v>3.5</v>
      </c>
      <c r="AL139" s="57">
        <v>0.1009</v>
      </c>
      <c r="AM139" s="57">
        <v>5.8999999999999997E-2</v>
      </c>
      <c r="AN139" s="57">
        <v>2.5</v>
      </c>
      <c r="AO139" s="57">
        <v>8.8800000000000004E-2</v>
      </c>
      <c r="AP139" s="57">
        <v>5.0999999999999997E-2</v>
      </c>
      <c r="AQ139" s="57">
        <v>2.1</v>
      </c>
      <c r="AR139" s="57">
        <v>9.2899999999999996E-2</v>
      </c>
      <c r="AS139" s="57">
        <v>5.3999999999999999E-2</v>
      </c>
    </row>
    <row r="140" spans="1:45" x14ac:dyDescent="0.2">
      <c r="A140" s="57" t="s">
        <v>237</v>
      </c>
      <c r="B140" s="54" t="s">
        <v>64</v>
      </c>
      <c r="C140" s="57">
        <v>2027</v>
      </c>
      <c r="G140" s="57">
        <v>0.60799999999999998</v>
      </c>
      <c r="J140" s="57">
        <v>0.52800000000000002</v>
      </c>
      <c r="M140" s="57">
        <v>0.58199999999999996</v>
      </c>
      <c r="AE140" s="57">
        <v>2.3895</v>
      </c>
      <c r="AF140" s="57">
        <v>1.1726000000000001</v>
      </c>
      <c r="AI140" s="57">
        <v>8.8599999999999998E-2</v>
      </c>
      <c r="AJ140" s="57">
        <v>4.9000000000000002E-2</v>
      </c>
      <c r="AL140" s="57">
        <v>0.1187</v>
      </c>
      <c r="AM140" s="57">
        <v>6.8000000000000005E-2</v>
      </c>
      <c r="AO140" s="57">
        <v>0.1671</v>
      </c>
      <c r="AP140" s="57">
        <v>9.2999999999999999E-2</v>
      </c>
    </row>
    <row r="141" spans="1:45" x14ac:dyDescent="0.2">
      <c r="A141" s="57" t="s">
        <v>237</v>
      </c>
      <c r="B141" s="54"/>
      <c r="C141" s="57">
        <v>2028</v>
      </c>
      <c r="G141" s="57">
        <v>0.47499999999999998</v>
      </c>
      <c r="J141" s="57">
        <v>0.68799999999999994</v>
      </c>
      <c r="M141" s="57">
        <v>0.42799999999999999</v>
      </c>
      <c r="P141" s="57">
        <v>0.55600000000000005</v>
      </c>
      <c r="AE141" s="57">
        <v>2.0868000000000002</v>
      </c>
      <c r="AF141" s="57">
        <v>1.1283000000000001</v>
      </c>
      <c r="AI141" s="57">
        <v>0.15379999999999999</v>
      </c>
      <c r="AJ141" s="57">
        <v>9.0999999999999998E-2</v>
      </c>
      <c r="AL141" s="57">
        <v>0.2288</v>
      </c>
      <c r="AM141" s="57">
        <v>0.13200000000000001</v>
      </c>
      <c r="AO141" s="57">
        <v>0.20810000000000001</v>
      </c>
      <c r="AP141" s="57">
        <v>0.121</v>
      </c>
    </row>
    <row r="142" spans="1:45" x14ac:dyDescent="0.2">
      <c r="A142" s="57" t="s">
        <v>237</v>
      </c>
      <c r="B142" s="54"/>
      <c r="C142" s="57">
        <v>2029</v>
      </c>
      <c r="G142" s="57">
        <v>0.158</v>
      </c>
      <c r="J142" s="57">
        <v>0.215</v>
      </c>
      <c r="M142" s="57">
        <v>0.218</v>
      </c>
      <c r="P142" s="57">
        <v>0.32400000000000001</v>
      </c>
      <c r="S142" s="57">
        <v>0.25800000000000001</v>
      </c>
      <c r="AE142" s="57">
        <v>1.7182999999999999</v>
      </c>
      <c r="AF142" s="57">
        <v>0.87849999999999995</v>
      </c>
      <c r="AI142" s="57">
        <v>0.31180000000000002</v>
      </c>
      <c r="AJ142" s="57">
        <v>0.17899999999999999</v>
      </c>
      <c r="AL142" s="57">
        <v>0.31850000000000001</v>
      </c>
      <c r="AM142" s="57">
        <v>0.17499999999999999</v>
      </c>
      <c r="AO142" s="57">
        <v>0.32519999999999999</v>
      </c>
      <c r="AP142" s="57">
        <v>0.17899999999999999</v>
      </c>
    </row>
    <row r="143" spans="1:45" x14ac:dyDescent="0.2">
      <c r="A143" s="57" t="s">
        <v>237</v>
      </c>
      <c r="B143" s="54"/>
      <c r="C143" s="57">
        <v>2030</v>
      </c>
      <c r="G143" s="57">
        <v>6.5000000000000002E-2</v>
      </c>
      <c r="J143" s="57">
        <v>0.222</v>
      </c>
      <c r="M143" s="57">
        <v>0.26800000000000002</v>
      </c>
      <c r="P143" s="57">
        <v>0.18</v>
      </c>
      <c r="S143" s="57">
        <v>0.20799999999999999</v>
      </c>
      <c r="AE143" s="57">
        <v>2.6676000000000002</v>
      </c>
      <c r="AF143" s="57">
        <v>1.4601</v>
      </c>
      <c r="AI143" s="57">
        <v>0.1837</v>
      </c>
      <c r="AJ143" s="57">
        <v>0.105</v>
      </c>
      <c r="AL143" s="57">
        <v>0.31009999999999999</v>
      </c>
      <c r="AM143" s="57">
        <v>0.17799999999999999</v>
      </c>
      <c r="AO143" s="57">
        <v>0.3095</v>
      </c>
      <c r="AP143" s="57">
        <v>0.17899999999999999</v>
      </c>
    </row>
    <row r="144" spans="1:45" x14ac:dyDescent="0.2">
      <c r="A144" s="57" t="s">
        <v>237</v>
      </c>
      <c r="B144" s="54"/>
      <c r="C144" s="57">
        <v>2031</v>
      </c>
      <c r="G144" s="57">
        <v>0.21199999999999999</v>
      </c>
      <c r="J144" s="57">
        <v>0.188</v>
      </c>
      <c r="M144" s="57">
        <v>0.32800000000000001</v>
      </c>
      <c r="P144" s="57">
        <v>0.248</v>
      </c>
      <c r="AE144" s="57">
        <v>1.6819</v>
      </c>
      <c r="AF144" s="57">
        <v>0.85760000000000003</v>
      </c>
      <c r="AL144" s="57">
        <v>0.1399</v>
      </c>
      <c r="AM144" s="57">
        <v>8.1100000000000005E-2</v>
      </c>
      <c r="AO144" s="57">
        <v>0.1792</v>
      </c>
      <c r="AP144" s="57">
        <v>0.1024</v>
      </c>
    </row>
    <row r="145" spans="1:54" x14ac:dyDescent="0.2">
      <c r="A145" s="57" t="s">
        <v>238</v>
      </c>
      <c r="B145" s="54" t="s">
        <v>64</v>
      </c>
      <c r="C145" s="57">
        <v>2012</v>
      </c>
      <c r="G145" s="57">
        <v>0.36499999999999999</v>
      </c>
      <c r="J145" s="57">
        <v>0.23400000000000001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1.6767000000000001</v>
      </c>
      <c r="AI145" s="57">
        <v>0.1166</v>
      </c>
      <c r="AJ145" s="57">
        <v>4.8000000000000001E-2</v>
      </c>
      <c r="AL145" s="57">
        <v>0.1076</v>
      </c>
      <c r="AM145" s="57">
        <v>4.4999999999999998E-2</v>
      </c>
      <c r="AO145" s="57">
        <v>0.37269999999999998</v>
      </c>
      <c r="AP145" s="57">
        <v>0.159</v>
      </c>
    </row>
    <row r="146" spans="1:54" x14ac:dyDescent="0.2">
      <c r="A146" s="57" t="s">
        <v>238</v>
      </c>
      <c r="B146" s="54" t="s">
        <v>64</v>
      </c>
      <c r="C146" s="57">
        <v>2013</v>
      </c>
      <c r="G146" s="57">
        <v>0.71799999999999997</v>
      </c>
      <c r="J146" s="57">
        <v>0.55400000000000005</v>
      </c>
      <c r="M146" s="57">
        <v>0.628</v>
      </c>
      <c r="P146" s="57">
        <v>0.88600000000000001</v>
      </c>
      <c r="S146" s="57">
        <v>0.83599999999999997</v>
      </c>
      <c r="AE146" s="57">
        <v>2.2227000000000001</v>
      </c>
      <c r="AF146" s="57">
        <v>0.86609999999999998</v>
      </c>
      <c r="AH146" s="57">
        <v>1.45</v>
      </c>
      <c r="AI146" s="57">
        <v>0.1002</v>
      </c>
      <c r="AJ146" s="57">
        <v>4.7E-2</v>
      </c>
      <c r="AK146" s="57">
        <v>1.55</v>
      </c>
      <c r="AL146" s="57">
        <v>0.1381</v>
      </c>
      <c r="AM146" s="57">
        <v>5.8999999999999997E-2</v>
      </c>
      <c r="AN146" s="57">
        <v>1.8</v>
      </c>
      <c r="AO146" s="57">
        <v>6.5299999999999997E-2</v>
      </c>
      <c r="AP146" s="57">
        <v>2.7E-2</v>
      </c>
      <c r="AR146" s="57">
        <v>0.15290000000000001</v>
      </c>
      <c r="AS146" s="57">
        <v>6.6000000000000003E-2</v>
      </c>
    </row>
    <row r="147" spans="1:54" x14ac:dyDescent="0.2">
      <c r="A147" s="57" t="s">
        <v>238</v>
      </c>
      <c r="B147" s="54" t="s">
        <v>64</v>
      </c>
      <c r="C147" s="57">
        <v>2014</v>
      </c>
      <c r="G147" s="57">
        <v>0.70599999999999996</v>
      </c>
      <c r="J147" s="57">
        <v>1.1559999999999999</v>
      </c>
      <c r="M147" s="57">
        <v>1</v>
      </c>
      <c r="P147" s="57">
        <v>0.35499999999999998</v>
      </c>
      <c r="S147" s="57">
        <v>0.58599999999999997</v>
      </c>
      <c r="V147" s="57">
        <v>0.91900000000000004</v>
      </c>
      <c r="AE147" s="57">
        <v>2.1511999999999998</v>
      </c>
      <c r="AF147" s="57">
        <v>0.90510000000000002</v>
      </c>
      <c r="AH147" s="57">
        <v>2.1</v>
      </c>
      <c r="AI147" s="57">
        <v>7.7399999999999997E-2</v>
      </c>
      <c r="AJ147" s="57">
        <v>3.1199999999999999E-2</v>
      </c>
      <c r="AK147" s="57">
        <v>2.5</v>
      </c>
      <c r="AL147" s="57">
        <v>0.13619999999999999</v>
      </c>
      <c r="AM147" s="57">
        <v>6.5000000000000002E-2</v>
      </c>
      <c r="AN147" s="57">
        <v>2.8</v>
      </c>
    </row>
    <row r="148" spans="1:54" x14ac:dyDescent="0.2">
      <c r="A148" s="57" t="s">
        <v>238</v>
      </c>
      <c r="B148" s="54" t="s">
        <v>64</v>
      </c>
      <c r="C148" s="57">
        <v>2015</v>
      </c>
      <c r="G148" s="57">
        <v>0.498</v>
      </c>
      <c r="J148" s="57">
        <v>0.76800000000000002</v>
      </c>
      <c r="M148" s="57">
        <v>0.58699999999999997</v>
      </c>
      <c r="AE148" s="57">
        <v>1.8527</v>
      </c>
      <c r="AF148" s="57">
        <v>0.82520000000000004</v>
      </c>
      <c r="AI148" s="57">
        <v>0.52490000000000003</v>
      </c>
      <c r="AJ148" s="57">
        <v>0.27100000000000002</v>
      </c>
      <c r="AL148" s="57">
        <v>0.28760000000000002</v>
      </c>
      <c r="AM148" s="57">
        <v>0.14799999999999999</v>
      </c>
      <c r="AO148" s="57">
        <v>0.3881</v>
      </c>
      <c r="AP148" s="57">
        <v>0.20100000000000001</v>
      </c>
    </row>
    <row r="149" spans="1:54" x14ac:dyDescent="0.2">
      <c r="A149" s="57" t="s">
        <v>238</v>
      </c>
      <c r="B149" s="54" t="s">
        <v>64</v>
      </c>
      <c r="C149" s="57">
        <v>1478</v>
      </c>
      <c r="G149" s="57">
        <v>0.878</v>
      </c>
      <c r="J149" s="57">
        <v>0.40200000000000002</v>
      </c>
      <c r="M149" s="57">
        <v>0.76800000000000002</v>
      </c>
      <c r="P149" s="57">
        <v>0.51900000000000002</v>
      </c>
      <c r="S149" s="57">
        <v>0.28999999999999998</v>
      </c>
      <c r="AE149" s="57">
        <v>2.2850000000000001</v>
      </c>
      <c r="AF149" s="57">
        <v>0.83279999999999998</v>
      </c>
      <c r="AI149" s="57">
        <v>0.3916</v>
      </c>
      <c r="AJ149" s="57">
        <v>0.151</v>
      </c>
      <c r="AL149" s="57">
        <v>0.59819999999999995</v>
      </c>
      <c r="AM149" s="57">
        <v>0.23499999999999999</v>
      </c>
      <c r="AO149" s="57">
        <v>0.3972</v>
      </c>
      <c r="AP149" s="57">
        <v>0.156</v>
      </c>
    </row>
    <row r="150" spans="1:54" x14ac:dyDescent="0.2">
      <c r="B150" s="54"/>
      <c r="C150" s="57">
        <v>2011</v>
      </c>
      <c r="G150" s="57">
        <v>1.05</v>
      </c>
      <c r="J150" s="57">
        <v>0.61699999999999999</v>
      </c>
      <c r="M150" s="57">
        <v>0.90200000000000002</v>
      </c>
      <c r="AE150" s="57">
        <v>0.92500000000000004</v>
      </c>
      <c r="AF150" s="57">
        <v>0.46860000000000002</v>
      </c>
    </row>
    <row r="151" spans="1:54" x14ac:dyDescent="0.2">
      <c r="A151" s="57" t="s">
        <v>239</v>
      </c>
      <c r="B151" s="54" t="s">
        <v>64</v>
      </c>
      <c r="C151" s="57">
        <v>2010</v>
      </c>
    </row>
    <row r="152" spans="1:54" x14ac:dyDescent="0.2">
      <c r="A152" s="57" t="s">
        <v>240</v>
      </c>
      <c r="B152" s="54" t="s">
        <v>64</v>
      </c>
      <c r="C152" s="57">
        <v>2009</v>
      </c>
    </row>
    <row r="153" spans="1:54" x14ac:dyDescent="0.2">
      <c r="B153" s="3"/>
      <c r="C153" s="57">
        <v>2008</v>
      </c>
      <c r="G153" s="57">
        <v>0.69799999999999995</v>
      </c>
      <c r="J153" s="57">
        <v>0.65500000000000003</v>
      </c>
      <c r="AE153" s="57">
        <v>1.0185999999999999</v>
      </c>
      <c r="AF153" s="57">
        <v>0.52690000000000003</v>
      </c>
      <c r="AH153" s="57">
        <v>1.8</v>
      </c>
      <c r="AI153" s="57">
        <v>0.15010000000000001</v>
      </c>
      <c r="AJ153" s="57">
        <v>8.3000000000000004E-2</v>
      </c>
      <c r="AK153" s="57">
        <v>2.1</v>
      </c>
      <c r="AL153" s="57">
        <v>0.14499999999999999</v>
      </c>
      <c r="AM153" s="57">
        <v>8.1000000000000003E-2</v>
      </c>
      <c r="AN153" s="57">
        <v>1.75</v>
      </c>
      <c r="AO153" s="57">
        <v>8.7800000000000003E-2</v>
      </c>
      <c r="AP153" s="57">
        <v>4.8000000000000001E-2</v>
      </c>
    </row>
    <row r="154" spans="1:54" x14ac:dyDescent="0.2">
      <c r="A154" s="57" t="s">
        <v>257</v>
      </c>
      <c r="B154" s="54" t="s">
        <v>258</v>
      </c>
      <c r="AI154" s="57">
        <v>0.4501</v>
      </c>
      <c r="AJ154" s="57">
        <v>0.19500000000000001</v>
      </c>
      <c r="AL154" s="57">
        <v>0.33689999999999998</v>
      </c>
      <c r="AM154" s="57">
        <v>0.13</v>
      </c>
      <c r="AO154" s="57">
        <v>0.47010000000000002</v>
      </c>
      <c r="AP154" s="57">
        <v>0.19400000000000001</v>
      </c>
      <c r="AR154" s="57">
        <v>0.37530000000000002</v>
      </c>
      <c r="AS154" s="57">
        <v>0.153</v>
      </c>
      <c r="AU154" s="57">
        <v>0.52239999999999998</v>
      </c>
      <c r="AV154" s="57">
        <v>0.23</v>
      </c>
      <c r="AX154" s="57">
        <v>0.2636</v>
      </c>
      <c r="AY154" s="57">
        <v>9.69E-2</v>
      </c>
      <c r="BA154" s="57">
        <v>0.30759999999999998</v>
      </c>
      <c r="BB154" s="57">
        <v>0.12540000000000001</v>
      </c>
    </row>
    <row r="155" spans="1:54" x14ac:dyDescent="0.2">
      <c r="B155" s="3"/>
    </row>
    <row r="156" spans="1:54" x14ac:dyDescent="0.2">
      <c r="B156" s="3"/>
    </row>
    <row r="157" spans="1:54" x14ac:dyDescent="0.2">
      <c r="B157" s="3"/>
    </row>
    <row r="158" spans="1:54" x14ac:dyDescent="0.2">
      <c r="B158" s="3"/>
    </row>
    <row r="159" spans="1:54" x14ac:dyDescent="0.2">
      <c r="B159" s="3"/>
    </row>
    <row r="160" spans="1:54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F314"/>
  <sheetViews>
    <sheetView workbookViewId="0">
      <pane xSplit="3" ySplit="6" topLeftCell="D21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44655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233</v>
      </c>
      <c r="B117" s="54" t="s">
        <v>234</v>
      </c>
    </row>
    <row r="118" spans="1:3" x14ac:dyDescent="0.2">
      <c r="A118" s="57" t="s">
        <v>235</v>
      </c>
      <c r="B118" s="54" t="s">
        <v>234</v>
      </c>
    </row>
    <row r="119" spans="1:3" x14ac:dyDescent="0.2">
      <c r="A119" s="57" t="s">
        <v>232</v>
      </c>
      <c r="B119" s="54" t="s">
        <v>234</v>
      </c>
    </row>
    <row r="120" spans="1:3" x14ac:dyDescent="0.2">
      <c r="A120" s="57" t="s">
        <v>233</v>
      </c>
      <c r="B120" s="54" t="s">
        <v>166</v>
      </c>
    </row>
    <row r="121" spans="1:3" x14ac:dyDescent="0.2">
      <c r="A121" s="57" t="s">
        <v>235</v>
      </c>
      <c r="B121" s="54" t="s">
        <v>166</v>
      </c>
    </row>
    <row r="122" spans="1:3" x14ac:dyDescent="0.2">
      <c r="A122" s="57" t="s">
        <v>232</v>
      </c>
      <c r="B122" s="54" t="s">
        <v>166</v>
      </c>
    </row>
    <row r="123" spans="1:3" x14ac:dyDescent="0.2">
      <c r="A123" s="57" t="s">
        <v>236</v>
      </c>
      <c r="B123" s="54" t="s">
        <v>58</v>
      </c>
      <c r="C123" s="57">
        <v>2093</v>
      </c>
    </row>
    <row r="124" spans="1:3" x14ac:dyDescent="0.2">
      <c r="A124" s="57" t="s">
        <v>236</v>
      </c>
      <c r="B124" s="54" t="s">
        <v>58</v>
      </c>
      <c r="C124" s="57">
        <v>2092</v>
      </c>
    </row>
    <row r="125" spans="1:3" x14ac:dyDescent="0.2">
      <c r="A125" s="57" t="s">
        <v>236</v>
      </c>
      <c r="B125" s="54" t="s">
        <v>58</v>
      </c>
      <c r="C125" s="57">
        <v>2091</v>
      </c>
    </row>
    <row r="126" spans="1:3" x14ac:dyDescent="0.2">
      <c r="A126" s="57" t="s">
        <v>236</v>
      </c>
      <c r="B126" s="54" t="s">
        <v>129</v>
      </c>
      <c r="C126" s="57">
        <v>2090</v>
      </c>
    </row>
    <row r="127" spans="1:3" x14ac:dyDescent="0.2">
      <c r="A127" s="57" t="s">
        <v>236</v>
      </c>
      <c r="B127" s="54" t="s">
        <v>58</v>
      </c>
      <c r="C127" s="57">
        <v>2089</v>
      </c>
    </row>
    <row r="128" spans="1: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3"/>
    </row>
    <row r="154" spans="1:3" x14ac:dyDescent="0.2">
      <c r="B154" s="3"/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F314"/>
  <sheetViews>
    <sheetView tabSelected="1" workbookViewId="0">
      <pane xSplit="3" ySplit="6" topLeftCell="D122" activePane="bottomRight" state="frozen"/>
      <selection pane="topRight" activeCell="D1" sqref="D1"/>
      <selection pane="bottomLeft" activeCell="A7" sqref="A7"/>
      <selection pane="bottomRight" activeCell="I140" sqref="I140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38" t="s">
        <v>259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G7" s="57">
        <v>1.4119999999999999</v>
      </c>
      <c r="H7" s="57">
        <v>0.16739999999999999</v>
      </c>
      <c r="J7" s="57">
        <v>1.621</v>
      </c>
      <c r="K7" s="57">
        <v>0.2465</v>
      </c>
      <c r="M7" s="57">
        <v>2.0329999999999999</v>
      </c>
      <c r="N7" s="57">
        <v>0.1288</v>
      </c>
      <c r="P7" s="57">
        <v>0.84099999999999997</v>
      </c>
      <c r="Q7" s="57">
        <v>0.1198</v>
      </c>
      <c r="S7" s="57">
        <v>1.2350000000000001</v>
      </c>
      <c r="T7" s="57">
        <v>0.17299999999999999</v>
      </c>
      <c r="AE7" s="57">
        <v>0.24690000000000001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G9" s="57">
        <v>1.2310000000000001</v>
      </c>
      <c r="H9" s="57">
        <v>0.43099999999999999</v>
      </c>
      <c r="J9" s="57">
        <v>1.071</v>
      </c>
      <c r="K9" s="57">
        <v>0.39739999999999998</v>
      </c>
      <c r="M9" s="57">
        <v>2.2130000000000001</v>
      </c>
      <c r="N9" s="57">
        <v>0.52539999999999998</v>
      </c>
      <c r="P9" s="57">
        <v>1.2509999999999999</v>
      </c>
      <c r="Q9" s="57">
        <v>0.33350000000000002</v>
      </c>
      <c r="S9" s="57">
        <v>2.1850000000000001</v>
      </c>
      <c r="T9" s="57">
        <v>0.3775</v>
      </c>
      <c r="AE9" s="57">
        <v>0.88549999999999995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1" x14ac:dyDescent="0.2">
      <c r="A17" s="12" t="s">
        <v>57</v>
      </c>
      <c r="B17" s="12" t="s">
        <v>64</v>
      </c>
      <c r="C17" s="34" t="s">
        <v>65</v>
      </c>
    </row>
    <row r="18" spans="1:31" x14ac:dyDescent="0.2">
      <c r="A18" s="12" t="s">
        <v>57</v>
      </c>
      <c r="B18" s="12" t="s">
        <v>64</v>
      </c>
      <c r="C18" s="12">
        <v>2360</v>
      </c>
      <c r="G18" s="57">
        <v>1.3</v>
      </c>
      <c r="H18" s="57">
        <v>0.17180000000000001</v>
      </c>
      <c r="J18" s="57">
        <v>1.4</v>
      </c>
      <c r="K18" s="57">
        <v>0.1176</v>
      </c>
      <c r="M18" s="57">
        <v>1.4</v>
      </c>
      <c r="N18" s="57">
        <v>0.19600000000000001</v>
      </c>
      <c r="AE18" s="57">
        <v>0.80600000000000005</v>
      </c>
    </row>
    <row r="19" spans="1:31" x14ac:dyDescent="0.2">
      <c r="A19" s="12" t="s">
        <v>57</v>
      </c>
      <c r="B19" s="12" t="s">
        <v>64</v>
      </c>
      <c r="C19" s="12">
        <v>2361</v>
      </c>
    </row>
    <row r="20" spans="1:31" x14ac:dyDescent="0.2">
      <c r="A20" s="12" t="s">
        <v>57</v>
      </c>
      <c r="B20" s="12" t="s">
        <v>64</v>
      </c>
      <c r="C20" s="34" t="s">
        <v>65</v>
      </c>
    </row>
    <row r="21" spans="1:31" x14ac:dyDescent="0.2">
      <c r="A21" s="12" t="s">
        <v>57</v>
      </c>
      <c r="B21" s="12" t="s">
        <v>64</v>
      </c>
      <c r="C21" s="12">
        <v>2362</v>
      </c>
    </row>
    <row r="22" spans="1:31" x14ac:dyDescent="0.2">
      <c r="A22" s="12" t="s">
        <v>57</v>
      </c>
      <c r="B22" s="12" t="s">
        <v>64</v>
      </c>
      <c r="C22" s="12">
        <v>2363</v>
      </c>
    </row>
    <row r="23" spans="1:31" x14ac:dyDescent="0.2">
      <c r="A23" s="12" t="s">
        <v>57</v>
      </c>
      <c r="B23" s="12" t="s">
        <v>64</v>
      </c>
      <c r="C23" s="12">
        <v>2364</v>
      </c>
    </row>
    <row r="24" spans="1:31" x14ac:dyDescent="0.2">
      <c r="A24" s="12" t="s">
        <v>57</v>
      </c>
      <c r="B24" s="12" t="s">
        <v>64</v>
      </c>
      <c r="C24" s="12">
        <v>2365</v>
      </c>
      <c r="G24" s="57">
        <v>1.4</v>
      </c>
      <c r="H24" s="57">
        <v>0.14610000000000001</v>
      </c>
      <c r="J24" s="57">
        <v>1.4</v>
      </c>
      <c r="K24" s="57">
        <v>0.1409</v>
      </c>
      <c r="M24" s="57" t="s">
        <v>60</v>
      </c>
      <c r="N24" s="57">
        <v>0.127</v>
      </c>
      <c r="AE24" s="57">
        <v>0.62119999999999997</v>
      </c>
    </row>
    <row r="25" spans="1:31" x14ac:dyDescent="0.2">
      <c r="A25" s="12" t="s">
        <v>57</v>
      </c>
      <c r="B25" s="12" t="s">
        <v>64</v>
      </c>
      <c r="C25" s="12">
        <v>2366</v>
      </c>
    </row>
    <row r="26" spans="1:31" x14ac:dyDescent="0.2">
      <c r="A26" s="12" t="s">
        <v>57</v>
      </c>
      <c r="B26" s="12" t="s">
        <v>64</v>
      </c>
      <c r="C26" s="34" t="s">
        <v>65</v>
      </c>
    </row>
    <row r="27" spans="1:31" x14ac:dyDescent="0.2">
      <c r="A27" s="12" t="s">
        <v>57</v>
      </c>
      <c r="B27" s="12" t="s">
        <v>64</v>
      </c>
      <c r="C27" s="12">
        <v>2367</v>
      </c>
      <c r="G27" s="57">
        <v>1.6</v>
      </c>
      <c r="H27" s="57">
        <v>0.1053</v>
      </c>
      <c r="J27" s="57">
        <v>1</v>
      </c>
      <c r="K27" s="57">
        <v>8.6800000000000002E-2</v>
      </c>
      <c r="M27" s="57">
        <v>1.1000000000000001</v>
      </c>
      <c r="N27" s="57">
        <v>9.9299999999999999E-2</v>
      </c>
      <c r="P27" s="57">
        <v>1.1000000000000001</v>
      </c>
      <c r="Q27" s="57">
        <v>8.0699999999999994E-2</v>
      </c>
      <c r="AE27" s="57">
        <v>0.58640000000000003</v>
      </c>
    </row>
    <row r="28" spans="1:31" x14ac:dyDescent="0.2">
      <c r="A28" s="12" t="s">
        <v>57</v>
      </c>
      <c r="B28" s="12" t="s">
        <v>64</v>
      </c>
      <c r="C28" s="34" t="s">
        <v>65</v>
      </c>
    </row>
    <row r="29" spans="1:31" x14ac:dyDescent="0.2">
      <c r="A29" s="12" t="s">
        <v>57</v>
      </c>
      <c r="B29" s="12" t="s">
        <v>64</v>
      </c>
      <c r="C29" s="34" t="s">
        <v>65</v>
      </c>
    </row>
    <row r="30" spans="1:31" x14ac:dyDescent="0.2">
      <c r="A30" s="12" t="s">
        <v>57</v>
      </c>
      <c r="B30" s="12" t="s">
        <v>64</v>
      </c>
      <c r="C30" s="12">
        <v>2369</v>
      </c>
      <c r="G30" s="57">
        <v>1.6</v>
      </c>
      <c r="H30" s="57">
        <v>0.1047</v>
      </c>
      <c r="J30" s="57">
        <v>1.3</v>
      </c>
      <c r="K30" s="57">
        <v>0.1605</v>
      </c>
      <c r="M30" s="57">
        <v>1.5</v>
      </c>
      <c r="N30" s="57">
        <v>0.1007</v>
      </c>
      <c r="AE30" s="57">
        <v>0.83589999999999998</v>
      </c>
    </row>
    <row r="31" spans="1:31" x14ac:dyDescent="0.2">
      <c r="A31" s="38" t="s">
        <v>70</v>
      </c>
      <c r="B31" s="38" t="s">
        <v>58</v>
      </c>
      <c r="C31" s="38">
        <v>2376</v>
      </c>
      <c r="G31" s="57">
        <v>0.68899999999999995</v>
      </c>
      <c r="H31" s="57">
        <v>0.2742</v>
      </c>
      <c r="J31" s="57">
        <v>0.94699999999999995</v>
      </c>
      <c r="K31" s="57">
        <v>0.29170000000000001</v>
      </c>
      <c r="M31" s="57">
        <v>0.84899999999999998</v>
      </c>
      <c r="N31" s="57">
        <v>0.33169999999999999</v>
      </c>
      <c r="AE31" s="57">
        <v>1.5207999999999999</v>
      </c>
    </row>
    <row r="32" spans="1:31" x14ac:dyDescent="0.2">
      <c r="A32" s="38" t="s">
        <v>70</v>
      </c>
      <c r="B32" s="38" t="s">
        <v>58</v>
      </c>
      <c r="C32" s="38">
        <v>2377</v>
      </c>
      <c r="G32" s="57">
        <v>0.3</v>
      </c>
      <c r="H32" s="57">
        <v>0.49990000000000001</v>
      </c>
      <c r="J32" s="57">
        <v>1.1000000000000001</v>
      </c>
      <c r="K32" s="57">
        <v>0.30959999999999999</v>
      </c>
      <c r="M32" s="57">
        <v>1</v>
      </c>
      <c r="N32" s="57">
        <v>0.63690000000000002</v>
      </c>
      <c r="P32" s="57">
        <v>0.9</v>
      </c>
      <c r="Q32" s="57">
        <v>0.26219999999999999</v>
      </c>
      <c r="AE32" s="57">
        <v>1.7582</v>
      </c>
    </row>
    <row r="33" spans="1:31" x14ac:dyDescent="0.2">
      <c r="A33" s="38" t="s">
        <v>70</v>
      </c>
      <c r="B33" s="38" t="s">
        <v>64</v>
      </c>
      <c r="C33" s="38">
        <v>2378</v>
      </c>
      <c r="G33" s="57">
        <v>1.333</v>
      </c>
      <c r="H33" s="57">
        <v>0.1847</v>
      </c>
      <c r="J33" s="57">
        <v>1.3009999999999999</v>
      </c>
      <c r="K33" s="57">
        <v>0.1666</v>
      </c>
      <c r="M33" s="57">
        <v>1.2809999999999999</v>
      </c>
      <c r="N33" s="57">
        <v>0.14979999999999999</v>
      </c>
      <c r="AE33" s="57">
        <v>1.4300999999999999</v>
      </c>
    </row>
    <row r="34" spans="1:31" x14ac:dyDescent="0.2">
      <c r="A34" s="38" t="s">
        <v>70</v>
      </c>
      <c r="B34" s="38" t="s">
        <v>64</v>
      </c>
      <c r="C34" s="38">
        <v>2379</v>
      </c>
      <c r="G34" s="57">
        <v>1.212</v>
      </c>
      <c r="H34" s="57">
        <v>0.13020000000000001</v>
      </c>
      <c r="J34" s="57">
        <v>1.1100000000000001</v>
      </c>
      <c r="K34" s="57">
        <v>8.2799999999999999E-2</v>
      </c>
      <c r="M34" s="57">
        <v>1.2150000000000001</v>
      </c>
      <c r="N34" s="57">
        <v>0.1128</v>
      </c>
      <c r="AE34" s="57">
        <v>0.94120000000000004</v>
      </c>
    </row>
    <row r="35" spans="1:31" x14ac:dyDescent="0.2">
      <c r="A35" s="38" t="s">
        <v>70</v>
      </c>
      <c r="B35" s="38" t="s">
        <v>58</v>
      </c>
      <c r="C35" s="38">
        <v>2380</v>
      </c>
      <c r="G35" s="57">
        <v>1.841</v>
      </c>
      <c r="H35" s="57">
        <v>0.1128</v>
      </c>
      <c r="J35" s="57">
        <v>0.97399999999999998</v>
      </c>
      <c r="K35" s="57">
        <v>0.14599999999999999</v>
      </c>
      <c r="M35" s="57">
        <v>0.67</v>
      </c>
      <c r="N35" s="57">
        <v>0.23449999999999999</v>
      </c>
      <c r="P35" s="57">
        <v>0.96199999999999997</v>
      </c>
      <c r="Q35" s="57">
        <v>0.1459</v>
      </c>
      <c r="AE35" s="57">
        <v>3.7176</v>
      </c>
    </row>
    <row r="36" spans="1:31" x14ac:dyDescent="0.2">
      <c r="A36" s="12" t="s">
        <v>74</v>
      </c>
      <c r="B36" s="12" t="s">
        <v>64</v>
      </c>
      <c r="C36" s="12">
        <v>2337</v>
      </c>
    </row>
    <row r="37" spans="1:31" x14ac:dyDescent="0.2">
      <c r="A37" s="12" t="s">
        <v>74</v>
      </c>
      <c r="B37" s="12" t="s">
        <v>64</v>
      </c>
      <c r="C37" s="12">
        <v>2338</v>
      </c>
    </row>
    <row r="38" spans="1:31" x14ac:dyDescent="0.2">
      <c r="A38" s="12" t="s">
        <v>74</v>
      </c>
      <c r="B38" s="12" t="s">
        <v>64</v>
      </c>
      <c r="C38" s="12">
        <v>2339</v>
      </c>
    </row>
    <row r="39" spans="1:31" x14ac:dyDescent="0.2">
      <c r="A39" s="12" t="s">
        <v>74</v>
      </c>
      <c r="B39" s="12" t="s">
        <v>64</v>
      </c>
      <c r="C39" s="12">
        <v>2340</v>
      </c>
    </row>
    <row r="40" spans="1:31" x14ac:dyDescent="0.2">
      <c r="A40" s="12" t="s">
        <v>74</v>
      </c>
      <c r="B40" s="12" t="s">
        <v>64</v>
      </c>
      <c r="C40" s="12">
        <v>2341</v>
      </c>
    </row>
    <row r="41" spans="1:31" x14ac:dyDescent="0.2">
      <c r="A41" s="12" t="s">
        <v>74</v>
      </c>
      <c r="B41" s="12" t="s">
        <v>64</v>
      </c>
      <c r="C41" s="12">
        <v>2342</v>
      </c>
    </row>
    <row r="42" spans="1:31" x14ac:dyDescent="0.2">
      <c r="A42" s="12" t="s">
        <v>74</v>
      </c>
      <c r="B42" s="12" t="s">
        <v>64</v>
      </c>
      <c r="C42" s="12">
        <v>2343</v>
      </c>
      <c r="G42" s="57">
        <v>1.3</v>
      </c>
      <c r="H42" s="57">
        <v>0.317</v>
      </c>
      <c r="J42" s="57">
        <v>1.6</v>
      </c>
      <c r="K42" s="57">
        <v>0.21959999999999999</v>
      </c>
      <c r="M42" s="57">
        <v>1.6</v>
      </c>
      <c r="N42" s="57">
        <v>0.2838</v>
      </c>
      <c r="AE42" s="57">
        <v>1.3454999999999999</v>
      </c>
    </row>
    <row r="43" spans="1:31" x14ac:dyDescent="0.2">
      <c r="A43" s="41" t="s">
        <v>74</v>
      </c>
      <c r="B43" s="41" t="s">
        <v>64</v>
      </c>
      <c r="C43" s="41" t="s">
        <v>78</v>
      </c>
    </row>
    <row r="44" spans="1:31" x14ac:dyDescent="0.2">
      <c r="A44" s="12" t="s">
        <v>74</v>
      </c>
      <c r="B44" s="12" t="s">
        <v>64</v>
      </c>
      <c r="C44" s="12">
        <v>2344</v>
      </c>
    </row>
    <row r="45" spans="1:31" x14ac:dyDescent="0.2">
      <c r="A45" s="41" t="s">
        <v>74</v>
      </c>
      <c r="B45" s="41" t="s">
        <v>58</v>
      </c>
      <c r="C45" s="41" t="s">
        <v>78</v>
      </c>
    </row>
    <row r="46" spans="1:31" x14ac:dyDescent="0.2">
      <c r="A46" s="12" t="s">
        <v>74</v>
      </c>
      <c r="B46" s="12" t="s">
        <v>58</v>
      </c>
      <c r="C46" s="34">
        <v>2345</v>
      </c>
      <c r="G46" s="57">
        <v>0.6</v>
      </c>
      <c r="H46" s="57">
        <v>0.24460000000000001</v>
      </c>
      <c r="J46" s="57">
        <v>0.5</v>
      </c>
      <c r="K46" s="57">
        <v>0.16950000000000001</v>
      </c>
      <c r="M46" s="57">
        <v>0.5</v>
      </c>
      <c r="N46" s="57">
        <v>0.23330000000000001</v>
      </c>
      <c r="AE46" s="57">
        <v>1.3766</v>
      </c>
    </row>
    <row r="47" spans="1:31" x14ac:dyDescent="0.2">
      <c r="A47" s="12" t="s">
        <v>74</v>
      </c>
      <c r="B47" s="12" t="s">
        <v>64</v>
      </c>
      <c r="C47" s="12">
        <v>2346</v>
      </c>
      <c r="G47" s="57">
        <v>1.89</v>
      </c>
      <c r="H47" s="57">
        <v>0.41889999999999999</v>
      </c>
      <c r="J47" s="57">
        <v>1.9</v>
      </c>
      <c r="K47" s="57">
        <v>0.22320000000000001</v>
      </c>
      <c r="M47" s="57">
        <v>1.593</v>
      </c>
      <c r="N47" s="57">
        <v>0.1053</v>
      </c>
      <c r="P47" s="57">
        <v>1.72</v>
      </c>
      <c r="Q47" s="57">
        <v>7.9899999999999999E-2</v>
      </c>
      <c r="AE47" s="57">
        <v>0.50429999999999997</v>
      </c>
    </row>
    <row r="48" spans="1:31" x14ac:dyDescent="0.2">
      <c r="A48" s="12" t="s">
        <v>74</v>
      </c>
      <c r="B48" s="12" t="s">
        <v>64</v>
      </c>
      <c r="C48" s="12">
        <v>2347</v>
      </c>
      <c r="G48" s="57">
        <v>1.5</v>
      </c>
      <c r="H48" s="57">
        <v>0.1583</v>
      </c>
      <c r="J48" s="57">
        <v>1.8</v>
      </c>
      <c r="K48" s="57">
        <v>0.21379999999999999</v>
      </c>
      <c r="M48" s="57">
        <v>1.5</v>
      </c>
      <c r="N48" s="57">
        <v>0.1166</v>
      </c>
      <c r="AE48" s="57">
        <v>0.99790000000000001</v>
      </c>
    </row>
    <row r="49" spans="1:31" x14ac:dyDescent="0.2">
      <c r="A49" s="12" t="s">
        <v>74</v>
      </c>
      <c r="B49" s="12" t="s">
        <v>64</v>
      </c>
      <c r="C49" s="12">
        <v>2348</v>
      </c>
    </row>
    <row r="50" spans="1:31" x14ac:dyDescent="0.2">
      <c r="A50" s="12" t="s">
        <v>74</v>
      </c>
      <c r="B50" s="12" t="s">
        <v>64</v>
      </c>
      <c r="C50" s="12">
        <v>2349</v>
      </c>
    </row>
    <row r="51" spans="1:31" x14ac:dyDescent="0.2">
      <c r="A51" s="12" t="s">
        <v>74</v>
      </c>
      <c r="B51" s="12" t="s">
        <v>64</v>
      </c>
      <c r="C51" s="12">
        <v>2350</v>
      </c>
    </row>
    <row r="52" spans="1:31" x14ac:dyDescent="0.2">
      <c r="A52" s="12" t="s">
        <v>74</v>
      </c>
      <c r="B52" s="12" t="s">
        <v>64</v>
      </c>
      <c r="C52" s="12">
        <v>2351</v>
      </c>
    </row>
    <row r="53" spans="1:31" x14ac:dyDescent="0.2">
      <c r="A53" s="38" t="s">
        <v>88</v>
      </c>
      <c r="B53" s="38" t="s">
        <v>64</v>
      </c>
      <c r="C53" s="38">
        <v>2375</v>
      </c>
      <c r="G53" s="57">
        <v>1.5</v>
      </c>
      <c r="H53" s="57">
        <v>0.20630000000000001</v>
      </c>
      <c r="J53" s="57">
        <v>1.2</v>
      </c>
      <c r="K53" s="57">
        <v>0.1154</v>
      </c>
      <c r="M53" s="57">
        <v>1.3</v>
      </c>
      <c r="N53" s="57">
        <v>0.1633</v>
      </c>
      <c r="AE53" s="57">
        <v>0.79790000000000005</v>
      </c>
    </row>
    <row r="54" spans="1:31" x14ac:dyDescent="0.2">
      <c r="A54" s="12" t="s">
        <v>90</v>
      </c>
      <c r="B54" s="12" t="s">
        <v>64</v>
      </c>
      <c r="C54" s="12">
        <v>2310</v>
      </c>
    </row>
    <row r="55" spans="1:31" x14ac:dyDescent="0.2">
      <c r="A55" s="12" t="s">
        <v>90</v>
      </c>
      <c r="B55" s="12" t="s">
        <v>64</v>
      </c>
      <c r="C55" s="12">
        <v>2311</v>
      </c>
    </row>
    <row r="56" spans="1:31" x14ac:dyDescent="0.2">
      <c r="A56" s="12" t="s">
        <v>90</v>
      </c>
      <c r="B56" s="12" t="s">
        <v>64</v>
      </c>
      <c r="C56" s="12">
        <v>2312</v>
      </c>
    </row>
    <row r="57" spans="1:31" x14ac:dyDescent="0.2">
      <c r="A57" s="12" t="s">
        <v>90</v>
      </c>
      <c r="B57" s="12" t="s">
        <v>64</v>
      </c>
      <c r="C57" s="12">
        <v>2313</v>
      </c>
    </row>
    <row r="58" spans="1:31" x14ac:dyDescent="0.2">
      <c r="A58" s="12" t="s">
        <v>90</v>
      </c>
      <c r="B58" s="12" t="s">
        <v>64</v>
      </c>
      <c r="C58" s="12">
        <v>2314</v>
      </c>
    </row>
    <row r="59" spans="1:31" x14ac:dyDescent="0.2">
      <c r="A59" s="12" t="s">
        <v>90</v>
      </c>
      <c r="B59" s="12" t="s">
        <v>58</v>
      </c>
      <c r="C59" s="12">
        <v>2315</v>
      </c>
    </row>
    <row r="60" spans="1:31" x14ac:dyDescent="0.2">
      <c r="A60" s="12" t="s">
        <v>90</v>
      </c>
      <c r="B60" s="12" t="s">
        <v>64</v>
      </c>
      <c r="C60" s="12">
        <v>2316</v>
      </c>
    </row>
    <row r="61" spans="1:31" x14ac:dyDescent="0.2">
      <c r="A61" s="12" t="s">
        <v>90</v>
      </c>
      <c r="B61" s="12" t="s">
        <v>64</v>
      </c>
      <c r="C61" s="12">
        <v>2317</v>
      </c>
    </row>
    <row r="62" spans="1:31" x14ac:dyDescent="0.2">
      <c r="A62" s="12" t="s">
        <v>90</v>
      </c>
      <c r="B62" s="12" t="s">
        <v>64</v>
      </c>
      <c r="C62" s="12">
        <v>2318</v>
      </c>
    </row>
    <row r="63" spans="1:31" x14ac:dyDescent="0.2">
      <c r="A63" s="12" t="s">
        <v>90</v>
      </c>
      <c r="B63" s="12" t="s">
        <v>64</v>
      </c>
      <c r="C63" s="12">
        <v>2319</v>
      </c>
    </row>
    <row r="64" spans="1:31" x14ac:dyDescent="0.2">
      <c r="A64" s="12" t="s">
        <v>90</v>
      </c>
      <c r="B64" s="12" t="s">
        <v>58</v>
      </c>
      <c r="C64" s="12">
        <v>2320</v>
      </c>
    </row>
    <row r="65" spans="1:31" x14ac:dyDescent="0.2">
      <c r="A65" s="12" t="s">
        <v>90</v>
      </c>
      <c r="B65" s="12" t="s">
        <v>64</v>
      </c>
      <c r="C65" s="12">
        <v>2321</v>
      </c>
    </row>
    <row r="66" spans="1:31" x14ac:dyDescent="0.2">
      <c r="A66" s="12" t="s">
        <v>90</v>
      </c>
      <c r="B66" s="12" t="s">
        <v>58</v>
      </c>
      <c r="C66" s="12">
        <v>2322</v>
      </c>
    </row>
    <row r="67" spans="1:31" x14ac:dyDescent="0.2">
      <c r="A67" s="12" t="s">
        <v>90</v>
      </c>
      <c r="B67" s="12" t="s">
        <v>58</v>
      </c>
      <c r="C67" s="12">
        <v>2323</v>
      </c>
    </row>
    <row r="68" spans="1:31" x14ac:dyDescent="0.2">
      <c r="A68" s="12" t="s">
        <v>90</v>
      </c>
      <c r="B68" s="12" t="s">
        <v>64</v>
      </c>
      <c r="C68" s="12">
        <v>2324</v>
      </c>
    </row>
    <row r="69" spans="1:31" x14ac:dyDescent="0.2">
      <c r="A69" s="12" t="s">
        <v>90</v>
      </c>
      <c r="B69" s="12" t="s">
        <v>64</v>
      </c>
      <c r="C69" s="12">
        <v>2325</v>
      </c>
    </row>
    <row r="70" spans="1:31" x14ac:dyDescent="0.2">
      <c r="A70" s="12" t="s">
        <v>90</v>
      </c>
      <c r="B70" s="12" t="s">
        <v>64</v>
      </c>
      <c r="C70" s="12">
        <v>2327</v>
      </c>
    </row>
    <row r="71" spans="1:31" x14ac:dyDescent="0.2">
      <c r="A71" s="12" t="s">
        <v>90</v>
      </c>
      <c r="B71" s="12" t="s">
        <v>64</v>
      </c>
      <c r="C71" s="12">
        <v>2326</v>
      </c>
    </row>
    <row r="72" spans="1:31" x14ac:dyDescent="0.2">
      <c r="A72" s="12" t="s">
        <v>90</v>
      </c>
      <c r="B72" s="12" t="s">
        <v>58</v>
      </c>
      <c r="C72" s="12">
        <v>2328</v>
      </c>
    </row>
    <row r="73" spans="1:31" x14ac:dyDescent="0.2">
      <c r="A73" s="12" t="s">
        <v>90</v>
      </c>
      <c r="B73" s="12" t="s">
        <v>64</v>
      </c>
      <c r="C73" s="12">
        <v>2329</v>
      </c>
    </row>
    <row r="74" spans="1:31" x14ac:dyDescent="0.2">
      <c r="A74" s="12" t="s">
        <v>90</v>
      </c>
      <c r="B74" s="12" t="s">
        <v>64</v>
      </c>
      <c r="C74" s="12">
        <v>2330</v>
      </c>
    </row>
    <row r="75" spans="1:31" x14ac:dyDescent="0.2">
      <c r="A75" s="12" t="s">
        <v>90</v>
      </c>
      <c r="B75" s="12" t="s">
        <v>58</v>
      </c>
      <c r="C75" s="12">
        <v>2331</v>
      </c>
      <c r="G75" s="57">
        <v>1.4710000000000001</v>
      </c>
      <c r="H75" s="57">
        <v>0.219</v>
      </c>
      <c r="J75" s="57">
        <v>1.1499999999999999</v>
      </c>
      <c r="K75" s="57">
        <v>0.2296</v>
      </c>
      <c r="M75" s="57">
        <v>1.2889999999999999</v>
      </c>
      <c r="N75" s="57">
        <v>0.191</v>
      </c>
      <c r="AE75" s="57">
        <v>1.7242999999999999</v>
      </c>
    </row>
    <row r="76" spans="1:31" x14ac:dyDescent="0.2">
      <c r="A76" s="12" t="s">
        <v>90</v>
      </c>
      <c r="B76" s="12" t="s">
        <v>64</v>
      </c>
      <c r="C76" s="12">
        <v>2332</v>
      </c>
    </row>
    <row r="77" spans="1:31" x14ac:dyDescent="0.2">
      <c r="A77" s="12" t="s">
        <v>90</v>
      </c>
      <c r="B77" s="12" t="s">
        <v>64</v>
      </c>
      <c r="C77" s="12">
        <v>2333</v>
      </c>
    </row>
    <row r="78" spans="1:31" x14ac:dyDescent="0.2">
      <c r="A78" s="2" t="s">
        <v>90</v>
      </c>
      <c r="B78" s="3" t="s">
        <v>64</v>
      </c>
      <c r="C78" s="12">
        <v>2334</v>
      </c>
    </row>
    <row r="79" spans="1:31" x14ac:dyDescent="0.2">
      <c r="A79" s="12" t="s">
        <v>90</v>
      </c>
      <c r="B79" s="12" t="s">
        <v>64</v>
      </c>
      <c r="C79" s="12">
        <v>2336</v>
      </c>
    </row>
    <row r="80" spans="1:31" x14ac:dyDescent="0.2">
      <c r="A80" s="12" t="s">
        <v>90</v>
      </c>
      <c r="B80" s="12" t="s">
        <v>64</v>
      </c>
      <c r="C80" s="12">
        <v>2335</v>
      </c>
    </row>
    <row r="81" spans="1:31" x14ac:dyDescent="0.2">
      <c r="A81" s="38" t="s">
        <v>100</v>
      </c>
      <c r="B81" s="38" t="s">
        <v>64</v>
      </c>
      <c r="C81" s="38">
        <v>2374</v>
      </c>
    </row>
    <row r="82" spans="1:31" x14ac:dyDescent="0.2">
      <c r="A82" s="12" t="s">
        <v>101</v>
      </c>
      <c r="B82" s="12" t="s">
        <v>58</v>
      </c>
      <c r="C82" s="34">
        <v>2301</v>
      </c>
      <c r="G82" s="57">
        <v>1.36</v>
      </c>
      <c r="H82" s="57">
        <v>0.26290000000000002</v>
      </c>
      <c r="J82" s="57">
        <v>1.38</v>
      </c>
      <c r="K82" s="57">
        <v>0.31419999999999998</v>
      </c>
      <c r="M82" s="57">
        <v>1.3839999999999999</v>
      </c>
      <c r="N82" s="57">
        <v>0.37140000000000001</v>
      </c>
      <c r="AE82" s="57">
        <v>1.1618999999999999</v>
      </c>
    </row>
    <row r="83" spans="1:31" x14ac:dyDescent="0.2">
      <c r="A83" s="12" t="s">
        <v>101</v>
      </c>
      <c r="B83" s="12" t="s">
        <v>64</v>
      </c>
      <c r="C83" s="12">
        <v>2302</v>
      </c>
    </row>
    <row r="84" spans="1:31" x14ac:dyDescent="0.2">
      <c r="A84" s="12" t="s">
        <v>101</v>
      </c>
      <c r="B84" s="12" t="s">
        <v>64</v>
      </c>
      <c r="C84" s="12">
        <v>2303</v>
      </c>
    </row>
    <row r="85" spans="1:31" x14ac:dyDescent="0.2">
      <c r="A85" s="12" t="s">
        <v>101</v>
      </c>
      <c r="B85" s="12" t="s">
        <v>64</v>
      </c>
      <c r="C85" s="12">
        <v>2304</v>
      </c>
    </row>
    <row r="86" spans="1:31" x14ac:dyDescent="0.2">
      <c r="A86" s="12" t="s">
        <v>101</v>
      </c>
      <c r="B86" s="12" t="s">
        <v>64</v>
      </c>
      <c r="C86" s="12">
        <v>2305</v>
      </c>
    </row>
    <row r="87" spans="1:31" x14ac:dyDescent="0.2">
      <c r="A87" s="12" t="s">
        <v>101</v>
      </c>
      <c r="B87" s="12" t="s">
        <v>64</v>
      </c>
      <c r="C87" s="12">
        <v>2306</v>
      </c>
    </row>
    <row r="88" spans="1:31" x14ac:dyDescent="0.2">
      <c r="A88" s="12" t="s">
        <v>101</v>
      </c>
      <c r="B88" s="12" t="s">
        <v>64</v>
      </c>
      <c r="C88" s="12">
        <v>2307</v>
      </c>
    </row>
    <row r="89" spans="1:31" x14ac:dyDescent="0.2">
      <c r="A89" s="12" t="s">
        <v>101</v>
      </c>
      <c r="B89" s="12" t="s">
        <v>64</v>
      </c>
      <c r="C89" s="12">
        <v>2308</v>
      </c>
    </row>
    <row r="90" spans="1:31" x14ac:dyDescent="0.2">
      <c r="A90" s="12" t="s">
        <v>101</v>
      </c>
      <c r="B90" s="12" t="s">
        <v>64</v>
      </c>
      <c r="C90" s="12">
        <v>2309</v>
      </c>
    </row>
    <row r="91" spans="1:31" x14ac:dyDescent="0.2">
      <c r="A91" s="53" t="s">
        <v>106</v>
      </c>
      <c r="B91" s="54" t="s">
        <v>64</v>
      </c>
      <c r="C91" s="55">
        <v>2370</v>
      </c>
      <c r="G91" s="57">
        <v>1.45</v>
      </c>
      <c r="H91" s="57">
        <v>7.6600000000000001E-2</v>
      </c>
      <c r="J91" s="57">
        <v>1.4159999999999999</v>
      </c>
      <c r="K91" s="57">
        <v>6.4600000000000005E-2</v>
      </c>
      <c r="AE91" s="57">
        <v>0.32669999999999999</v>
      </c>
    </row>
    <row r="92" spans="1:31" x14ac:dyDescent="0.2">
      <c r="A92" s="53" t="s">
        <v>107</v>
      </c>
      <c r="B92" s="54" t="s">
        <v>64</v>
      </c>
      <c r="C92" s="55">
        <v>2371</v>
      </c>
      <c r="G92" s="57">
        <v>1.129</v>
      </c>
      <c r="H92" s="57">
        <v>0.158</v>
      </c>
      <c r="J92" s="57">
        <v>0.998</v>
      </c>
      <c r="K92" s="57">
        <v>9.3399999999999997E-2</v>
      </c>
      <c r="M92" s="57">
        <v>0.879</v>
      </c>
      <c r="N92" s="57">
        <v>0.14380000000000001</v>
      </c>
      <c r="AE92" s="57">
        <v>0.85970000000000002</v>
      </c>
    </row>
    <row r="93" spans="1:31" x14ac:dyDescent="0.2">
      <c r="A93" s="53" t="s">
        <v>108</v>
      </c>
      <c r="B93" s="54" t="s">
        <v>64</v>
      </c>
      <c r="C93" s="55">
        <v>2372</v>
      </c>
      <c r="G93" s="57">
        <v>1.2170000000000001</v>
      </c>
      <c r="H93" s="57">
        <v>0.1206</v>
      </c>
      <c r="J93" s="57">
        <v>1.1879999999999999</v>
      </c>
      <c r="K93" s="57">
        <v>0.12280000000000001</v>
      </c>
      <c r="M93" s="57">
        <v>1.228</v>
      </c>
      <c r="N93" s="57">
        <v>0.11940000000000001</v>
      </c>
      <c r="AE93" s="57">
        <v>0.67859999999999998</v>
      </c>
    </row>
    <row r="94" spans="1:31" x14ac:dyDescent="0.2">
      <c r="A94" s="53" t="s">
        <v>110</v>
      </c>
      <c r="B94" s="54" t="s">
        <v>64</v>
      </c>
      <c r="C94" s="55">
        <v>2373</v>
      </c>
    </row>
    <row r="95" spans="1:31" x14ac:dyDescent="0.2">
      <c r="A95" s="2" t="s">
        <v>112</v>
      </c>
      <c r="B95" s="3" t="s">
        <v>64</v>
      </c>
      <c r="C95" s="3"/>
    </row>
    <row r="96" spans="1:31" x14ac:dyDescent="0.2">
      <c r="A96" s="2" t="s">
        <v>112</v>
      </c>
      <c r="B96" s="3" t="s">
        <v>64</v>
      </c>
      <c r="C96" s="3"/>
    </row>
    <row r="97" spans="1:31" x14ac:dyDescent="0.2">
      <c r="A97" s="2" t="s">
        <v>112</v>
      </c>
      <c r="B97" s="3" t="s">
        <v>64</v>
      </c>
      <c r="C97" s="3"/>
    </row>
    <row r="98" spans="1:31" x14ac:dyDescent="0.2">
      <c r="A98" s="2" t="s">
        <v>112</v>
      </c>
      <c r="B98" s="3" t="s">
        <v>64</v>
      </c>
      <c r="C98" s="3"/>
    </row>
    <row r="99" spans="1:31" x14ac:dyDescent="0.2">
      <c r="A99" s="2" t="s">
        <v>112</v>
      </c>
      <c r="B99" s="3" t="s">
        <v>64</v>
      </c>
      <c r="C99" s="3"/>
    </row>
    <row r="100" spans="1:31" x14ac:dyDescent="0.2">
      <c r="A100" s="2" t="s">
        <v>113</v>
      </c>
      <c r="B100" s="3" t="s">
        <v>64</v>
      </c>
      <c r="C100" s="3"/>
    </row>
    <row r="101" spans="1:31" x14ac:dyDescent="0.2">
      <c r="A101" s="2" t="s">
        <v>113</v>
      </c>
      <c r="B101" s="3" t="s">
        <v>64</v>
      </c>
      <c r="C101" s="3"/>
    </row>
    <row r="102" spans="1:31" x14ac:dyDescent="0.2">
      <c r="A102" s="2" t="s">
        <v>113</v>
      </c>
      <c r="B102" s="3" t="s">
        <v>64</v>
      </c>
      <c r="C102" s="3"/>
    </row>
    <row r="103" spans="1:31" x14ac:dyDescent="0.2">
      <c r="A103" s="2" t="s">
        <v>113</v>
      </c>
      <c r="B103" s="3" t="s">
        <v>64</v>
      </c>
      <c r="C103" s="3"/>
    </row>
    <row r="104" spans="1:31" x14ac:dyDescent="0.2">
      <c r="A104" s="2" t="s">
        <v>113</v>
      </c>
      <c r="B104" s="3" t="s">
        <v>64</v>
      </c>
      <c r="C104" s="3"/>
    </row>
    <row r="105" spans="1:31" x14ac:dyDescent="0.2">
      <c r="A105" s="12" t="s">
        <v>114</v>
      </c>
      <c r="B105" s="12" t="s">
        <v>58</v>
      </c>
      <c r="C105" s="12"/>
    </row>
    <row r="106" spans="1:31" x14ac:dyDescent="0.2">
      <c r="A106" s="12" t="s">
        <v>114</v>
      </c>
      <c r="B106" s="12" t="s">
        <v>58</v>
      </c>
      <c r="C106" s="12"/>
    </row>
    <row r="107" spans="1:31" x14ac:dyDescent="0.2">
      <c r="A107" s="2" t="s">
        <v>117</v>
      </c>
      <c r="B107" s="3" t="s">
        <v>64</v>
      </c>
      <c r="C107" s="58">
        <v>2381</v>
      </c>
      <c r="G107" s="57">
        <v>1.4</v>
      </c>
      <c r="H107" s="57">
        <v>0.1492</v>
      </c>
      <c r="J107" s="57">
        <v>1.2</v>
      </c>
      <c r="K107" s="57">
        <v>0.15959999999999999</v>
      </c>
      <c r="M107" s="57">
        <v>1.6</v>
      </c>
      <c r="N107" s="57">
        <v>0.1804</v>
      </c>
      <c r="AE107" s="57">
        <v>0.81110000000000004</v>
      </c>
    </row>
    <row r="108" spans="1:31" x14ac:dyDescent="0.2">
      <c r="A108" s="2" t="s">
        <v>117</v>
      </c>
      <c r="B108" s="3" t="s">
        <v>64</v>
      </c>
      <c r="C108" s="58"/>
    </row>
    <row r="109" spans="1:31" x14ac:dyDescent="0.2">
      <c r="A109" s="2" t="s">
        <v>117</v>
      </c>
      <c r="B109" s="3" t="s">
        <v>64</v>
      </c>
      <c r="C109" s="58"/>
    </row>
    <row r="110" spans="1:31" x14ac:dyDescent="0.2">
      <c r="A110" s="2" t="s">
        <v>117</v>
      </c>
      <c r="B110" s="3" t="s">
        <v>64</v>
      </c>
      <c r="C110" s="58">
        <v>2382</v>
      </c>
      <c r="G110" s="57">
        <v>2.4500000000000002</v>
      </c>
      <c r="H110" s="57">
        <v>0.2082</v>
      </c>
      <c r="J110" s="57">
        <v>2.6</v>
      </c>
      <c r="K110" s="57">
        <v>0.21129999999999999</v>
      </c>
      <c r="M110" s="57">
        <v>1.4</v>
      </c>
      <c r="N110" s="57">
        <v>0.42670000000000002</v>
      </c>
      <c r="P110" s="57">
        <v>1.35</v>
      </c>
      <c r="Q110" s="57">
        <v>0.22409999999999999</v>
      </c>
      <c r="S110" s="57">
        <v>1.1000000000000001</v>
      </c>
      <c r="T110" s="57">
        <v>0.29249999999999998</v>
      </c>
      <c r="V110" s="57">
        <v>1.6</v>
      </c>
      <c r="W110" s="57">
        <v>0.1017</v>
      </c>
      <c r="Y110" s="57">
        <v>1.5</v>
      </c>
      <c r="Z110" s="57">
        <v>0.1953</v>
      </c>
      <c r="AE110" s="57">
        <v>0.19259999999999999</v>
      </c>
    </row>
    <row r="111" spans="1:31" x14ac:dyDescent="0.2">
      <c r="A111" s="2" t="s">
        <v>117</v>
      </c>
      <c r="B111" s="54" t="s">
        <v>64</v>
      </c>
      <c r="C111" s="60">
        <v>2383</v>
      </c>
      <c r="G111" s="57">
        <v>0.95099999999999996</v>
      </c>
      <c r="H111" s="57">
        <v>0.1729</v>
      </c>
      <c r="J111" s="57">
        <v>0.95</v>
      </c>
      <c r="K111" s="57">
        <v>0.1714</v>
      </c>
      <c r="M111" s="57" t="s">
        <v>60</v>
      </c>
      <c r="N111" s="57">
        <v>9.5799999999999996E-2</v>
      </c>
      <c r="AE111" s="57">
        <v>0.77649999999999997</v>
      </c>
    </row>
    <row r="112" spans="1:31" x14ac:dyDescent="0.2">
      <c r="A112" s="2" t="s">
        <v>117</v>
      </c>
      <c r="B112" s="54" t="s">
        <v>64</v>
      </c>
      <c r="C112" s="57">
        <v>2384</v>
      </c>
      <c r="G112" s="57">
        <v>1.1000000000000001</v>
      </c>
      <c r="H112" s="57">
        <v>0.19650000000000001</v>
      </c>
      <c r="J112" s="57">
        <v>1</v>
      </c>
      <c r="K112" s="57">
        <v>6.0100000000000001E-2</v>
      </c>
      <c r="M112" s="57">
        <v>1.1000000000000001</v>
      </c>
      <c r="N112" s="57">
        <v>0.11700000000000001</v>
      </c>
      <c r="AE112" s="57">
        <v>1.1212</v>
      </c>
    </row>
    <row r="113" spans="1:23" x14ac:dyDescent="0.2">
      <c r="A113" s="57" t="s">
        <v>232</v>
      </c>
      <c r="B113" s="54" t="s">
        <v>64</v>
      </c>
      <c r="C113" s="57">
        <v>2004</v>
      </c>
    </row>
    <row r="114" spans="1:23" x14ac:dyDescent="0.2">
      <c r="A114" s="57" t="s">
        <v>232</v>
      </c>
      <c r="B114" s="54" t="s">
        <v>64</v>
      </c>
      <c r="C114" s="57">
        <v>2005</v>
      </c>
    </row>
    <row r="115" spans="1:23" x14ac:dyDescent="0.2">
      <c r="A115" s="57" t="s">
        <v>232</v>
      </c>
      <c r="B115" s="54" t="s">
        <v>64</v>
      </c>
      <c r="C115" s="57">
        <v>2006</v>
      </c>
    </row>
    <row r="116" spans="1:23" x14ac:dyDescent="0.2">
      <c r="A116" s="57" t="s">
        <v>232</v>
      </c>
      <c r="B116" s="54" t="s">
        <v>64</v>
      </c>
      <c r="C116" s="57">
        <v>2007</v>
      </c>
    </row>
    <row r="117" spans="1:23" x14ac:dyDescent="0.2">
      <c r="A117" s="57" t="s">
        <v>233</v>
      </c>
      <c r="B117" s="54" t="s">
        <v>234</v>
      </c>
      <c r="G117" s="57">
        <v>1.52</v>
      </c>
      <c r="H117" s="57">
        <v>0.25269999999999998</v>
      </c>
      <c r="J117" s="57">
        <v>1.351</v>
      </c>
      <c r="K117" s="57">
        <v>0.1469</v>
      </c>
      <c r="M117" s="57">
        <v>1.7969999999999999</v>
      </c>
      <c r="N117" s="57">
        <v>0.19889999999999999</v>
      </c>
      <c r="P117" s="57">
        <v>1.139</v>
      </c>
      <c r="Q117" s="57">
        <v>0.16250000000000001</v>
      </c>
      <c r="S117" s="57">
        <v>1.1040000000000001</v>
      </c>
      <c r="T117" s="57">
        <v>6.7799999999999999E-2</v>
      </c>
    </row>
    <row r="118" spans="1:23" x14ac:dyDescent="0.2">
      <c r="A118" s="57" t="s">
        <v>235</v>
      </c>
      <c r="B118" s="54" t="s">
        <v>234</v>
      </c>
    </row>
    <row r="119" spans="1:23" x14ac:dyDescent="0.2">
      <c r="A119" s="57" t="s">
        <v>232</v>
      </c>
      <c r="B119" s="54" t="s">
        <v>234</v>
      </c>
    </row>
    <row r="120" spans="1:23" x14ac:dyDescent="0.2">
      <c r="A120" s="57" t="s">
        <v>233</v>
      </c>
      <c r="B120" s="54" t="s">
        <v>166</v>
      </c>
      <c r="G120" s="57">
        <v>2.2229999999999999</v>
      </c>
      <c r="H120" s="57">
        <v>0.74399999999999999</v>
      </c>
      <c r="J120" s="57">
        <v>2.0390000000000001</v>
      </c>
      <c r="K120" s="57">
        <v>0.38890000000000002</v>
      </c>
      <c r="M120" s="57">
        <v>2.1</v>
      </c>
      <c r="N120" s="57">
        <v>0.57040000000000002</v>
      </c>
      <c r="P120" s="57">
        <v>2.4430000000000001</v>
      </c>
      <c r="Q120" s="57">
        <v>0.3725</v>
      </c>
      <c r="S120" s="57">
        <v>2.1429999999999998</v>
      </c>
      <c r="T120" s="57">
        <v>0.58350000000000002</v>
      </c>
      <c r="V120" s="57">
        <v>2.3620000000000001</v>
      </c>
      <c r="W120" s="57">
        <v>0.42530000000000001</v>
      </c>
    </row>
    <row r="121" spans="1:23" x14ac:dyDescent="0.2">
      <c r="A121" s="57" t="s">
        <v>235</v>
      </c>
      <c r="B121" s="54" t="s">
        <v>166</v>
      </c>
    </row>
    <row r="122" spans="1:23" x14ac:dyDescent="0.2">
      <c r="A122" s="57" t="s">
        <v>232</v>
      </c>
      <c r="B122" s="54" t="s">
        <v>166</v>
      </c>
    </row>
    <row r="123" spans="1:23" x14ac:dyDescent="0.2">
      <c r="A123" s="57" t="s">
        <v>236</v>
      </c>
      <c r="B123" s="54" t="s">
        <v>58</v>
      </c>
      <c r="C123" s="57">
        <v>2093</v>
      </c>
    </row>
    <row r="124" spans="1:23" x14ac:dyDescent="0.2">
      <c r="A124" s="57" t="s">
        <v>236</v>
      </c>
      <c r="B124" s="54" t="s">
        <v>58</v>
      </c>
      <c r="C124" s="57">
        <v>2092</v>
      </c>
    </row>
    <row r="125" spans="1:23" x14ac:dyDescent="0.2">
      <c r="A125" s="57" t="s">
        <v>236</v>
      </c>
      <c r="B125" s="54" t="s">
        <v>58</v>
      </c>
      <c r="C125" s="57">
        <v>2091</v>
      </c>
    </row>
    <row r="126" spans="1:23" x14ac:dyDescent="0.2">
      <c r="A126" s="57" t="s">
        <v>236</v>
      </c>
      <c r="B126" s="54" t="s">
        <v>129</v>
      </c>
      <c r="C126" s="57">
        <v>2090</v>
      </c>
    </row>
    <row r="127" spans="1:23" x14ac:dyDescent="0.2">
      <c r="A127" s="57" t="s">
        <v>236</v>
      </c>
      <c r="B127" s="54" t="s">
        <v>58</v>
      </c>
      <c r="C127" s="57">
        <v>2089</v>
      </c>
    </row>
    <row r="128" spans="1:2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1" x14ac:dyDescent="0.2">
      <c r="A145" s="57" t="s">
        <v>238</v>
      </c>
      <c r="B145" s="54" t="s">
        <v>64</v>
      </c>
      <c r="C145" s="57">
        <v>2013</v>
      </c>
    </row>
    <row r="146" spans="1:31" x14ac:dyDescent="0.2">
      <c r="A146" s="57" t="s">
        <v>238</v>
      </c>
      <c r="B146" s="54" t="s">
        <v>64</v>
      </c>
      <c r="C146" s="57">
        <v>2014</v>
      </c>
    </row>
    <row r="147" spans="1:31" x14ac:dyDescent="0.2">
      <c r="A147" s="57" t="s">
        <v>238</v>
      </c>
      <c r="B147" s="54" t="s">
        <v>64</v>
      </c>
      <c r="C147" s="57">
        <v>2015</v>
      </c>
    </row>
    <row r="148" spans="1:31" x14ac:dyDescent="0.2">
      <c r="A148" s="57" t="s">
        <v>238</v>
      </c>
      <c r="B148" s="54" t="s">
        <v>64</v>
      </c>
      <c r="C148" s="57">
        <v>1478</v>
      </c>
    </row>
    <row r="149" spans="1:31" x14ac:dyDescent="0.2">
      <c r="B149" s="54"/>
      <c r="C149" s="57">
        <v>2011</v>
      </c>
      <c r="G149" s="57">
        <v>1.6</v>
      </c>
      <c r="H149" s="57">
        <v>0.124</v>
      </c>
      <c r="J149" s="57">
        <v>1.3</v>
      </c>
      <c r="K149" s="57">
        <v>0.13059999999999999</v>
      </c>
      <c r="M149" s="57">
        <v>1.6</v>
      </c>
      <c r="N149" s="57">
        <v>0.1235</v>
      </c>
      <c r="AE149" s="57">
        <v>1.1258999999999999</v>
      </c>
    </row>
    <row r="150" spans="1:31" x14ac:dyDescent="0.2">
      <c r="A150" s="57" t="s">
        <v>239</v>
      </c>
      <c r="B150" s="54" t="s">
        <v>64</v>
      </c>
      <c r="C150" s="57">
        <v>2010</v>
      </c>
      <c r="G150" s="57">
        <v>1.46</v>
      </c>
      <c r="H150" s="57">
        <v>0.2034</v>
      </c>
      <c r="J150" s="57">
        <v>1.29</v>
      </c>
      <c r="K150" s="57">
        <v>0.18140000000000001</v>
      </c>
      <c r="M150" s="57">
        <v>1.2150000000000001</v>
      </c>
      <c r="N150" s="57">
        <v>0.25559999999999999</v>
      </c>
      <c r="P150" s="57">
        <v>1.4159999999999999</v>
      </c>
      <c r="Q150" s="57">
        <v>0.12770000000000001</v>
      </c>
      <c r="AE150" s="57">
        <v>0.72060000000000002</v>
      </c>
    </row>
    <row r="151" spans="1:31" x14ac:dyDescent="0.2">
      <c r="A151" s="57" t="s">
        <v>240</v>
      </c>
      <c r="B151" s="54" t="s">
        <v>64</v>
      </c>
      <c r="C151" s="57">
        <v>2009</v>
      </c>
      <c r="G151" s="57">
        <v>1.2789999999999999</v>
      </c>
      <c r="H151" s="57">
        <v>0.111</v>
      </c>
      <c r="J151" s="57">
        <v>1.3009999999999999</v>
      </c>
      <c r="K151" s="57">
        <v>0.1331</v>
      </c>
      <c r="M151" s="57">
        <v>1.4</v>
      </c>
      <c r="N151" s="57">
        <v>0.15770000000000001</v>
      </c>
      <c r="AE151" s="57">
        <v>0.83950000000000002</v>
      </c>
    </row>
    <row r="152" spans="1:31" x14ac:dyDescent="0.2">
      <c r="B152" s="3"/>
      <c r="C152" s="57">
        <v>2008</v>
      </c>
    </row>
    <row r="153" spans="1:31" x14ac:dyDescent="0.2">
      <c r="B153" s="54"/>
    </row>
    <row r="154" spans="1:31" x14ac:dyDescent="0.2">
      <c r="B154" s="3"/>
    </row>
    <row r="155" spans="1:31" x14ac:dyDescent="0.2">
      <c r="B155" s="3"/>
    </row>
    <row r="156" spans="1:31" x14ac:dyDescent="0.2">
      <c r="B156" s="3"/>
    </row>
    <row r="157" spans="1:31" x14ac:dyDescent="0.2">
      <c r="B157" s="3"/>
    </row>
    <row r="158" spans="1:31" x14ac:dyDescent="0.2">
      <c r="B158" s="3"/>
    </row>
    <row r="159" spans="1:31" x14ac:dyDescent="0.2">
      <c r="B159" s="3"/>
    </row>
    <row r="160" spans="1:31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F314"/>
  <sheetViews>
    <sheetView workbookViewId="0">
      <pane xSplit="3" ySplit="6" topLeftCell="AV104" activePane="bottomRight" state="frozen"/>
      <selection pane="topRight" activeCell="D1" sqref="D1"/>
      <selection pane="bottomLeft" activeCell="A7" sqref="A7"/>
      <selection pane="bottomRight" activeCell="A123" sqref="A123:XFD123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38" t="s">
        <v>259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56" x14ac:dyDescent="0.2">
      <c r="A113" s="57" t="s">
        <v>232</v>
      </c>
      <c r="B113" s="54" t="s">
        <v>64</v>
      </c>
      <c r="C113" s="57">
        <v>2004</v>
      </c>
    </row>
    <row r="114" spans="1:56" x14ac:dyDescent="0.2">
      <c r="A114" s="57" t="s">
        <v>232</v>
      </c>
      <c r="B114" s="54" t="s">
        <v>64</v>
      </c>
      <c r="C114" s="57">
        <v>2005</v>
      </c>
    </row>
    <row r="115" spans="1:56" x14ac:dyDescent="0.2">
      <c r="A115" s="57" t="s">
        <v>232</v>
      </c>
      <c r="B115" s="54" t="s">
        <v>64</v>
      </c>
      <c r="C115" s="57">
        <v>2006</v>
      </c>
    </row>
    <row r="116" spans="1:56" x14ac:dyDescent="0.2">
      <c r="A116" s="57" t="s">
        <v>232</v>
      </c>
      <c r="B116" s="54" t="s">
        <v>64</v>
      </c>
      <c r="C116" s="57">
        <v>2007</v>
      </c>
    </row>
    <row r="117" spans="1:56" x14ac:dyDescent="0.2">
      <c r="A117" s="57" t="s">
        <v>233</v>
      </c>
      <c r="B117" s="54" t="s">
        <v>234</v>
      </c>
    </row>
    <row r="118" spans="1:56" x14ac:dyDescent="0.2">
      <c r="A118" s="57" t="s">
        <v>235</v>
      </c>
      <c r="B118" s="54" t="s">
        <v>234</v>
      </c>
    </row>
    <row r="119" spans="1:56" x14ac:dyDescent="0.2">
      <c r="A119" s="57" t="s">
        <v>232</v>
      </c>
      <c r="B119" s="54" t="s">
        <v>234</v>
      </c>
    </row>
    <row r="120" spans="1:56" x14ac:dyDescent="0.2">
      <c r="A120" s="57" t="s">
        <v>233</v>
      </c>
      <c r="B120" s="54" t="s">
        <v>166</v>
      </c>
    </row>
    <row r="121" spans="1:56" x14ac:dyDescent="0.2">
      <c r="A121" s="57" t="s">
        <v>235</v>
      </c>
      <c r="B121" s="54" t="s">
        <v>166</v>
      </c>
    </row>
    <row r="122" spans="1:56" x14ac:dyDescent="0.2">
      <c r="A122" s="57" t="s">
        <v>232</v>
      </c>
      <c r="B122" s="54" t="s">
        <v>166</v>
      </c>
    </row>
    <row r="123" spans="1:56" x14ac:dyDescent="0.2">
      <c r="A123" s="57" t="s">
        <v>236</v>
      </c>
      <c r="B123" s="54" t="s">
        <v>58</v>
      </c>
      <c r="C123" s="57">
        <v>2093</v>
      </c>
      <c r="BC123" s="57">
        <v>1.4139999999999999</v>
      </c>
      <c r="BD123" s="57">
        <v>0.83399999999999996</v>
      </c>
    </row>
    <row r="124" spans="1:56" x14ac:dyDescent="0.2">
      <c r="A124" s="57" t="s">
        <v>236</v>
      </c>
      <c r="B124" s="54" t="s">
        <v>58</v>
      </c>
      <c r="C124" s="57">
        <v>2092</v>
      </c>
    </row>
    <row r="125" spans="1:56" x14ac:dyDescent="0.2">
      <c r="A125" s="57" t="s">
        <v>236</v>
      </c>
      <c r="B125" s="54" t="s">
        <v>58</v>
      </c>
      <c r="C125" s="57">
        <v>2091</v>
      </c>
    </row>
    <row r="126" spans="1:56" x14ac:dyDescent="0.2">
      <c r="A126" s="57" t="s">
        <v>236</v>
      </c>
      <c r="B126" s="54" t="s">
        <v>129</v>
      </c>
      <c r="C126" s="57">
        <v>2090</v>
      </c>
    </row>
    <row r="127" spans="1:56" x14ac:dyDescent="0.2">
      <c r="A127" s="57" t="s">
        <v>236</v>
      </c>
      <c r="B127" s="54" t="s">
        <v>58</v>
      </c>
      <c r="C127" s="57">
        <v>2089</v>
      </c>
    </row>
    <row r="128" spans="1:56" x14ac:dyDescent="0.2">
      <c r="A128" s="57" t="s">
        <v>236</v>
      </c>
      <c r="B128" s="54" t="s">
        <v>64</v>
      </c>
      <c r="C128" s="57">
        <v>2088</v>
      </c>
      <c r="AE128" s="57">
        <v>1.9610000000000001</v>
      </c>
      <c r="AF128" s="57">
        <v>0.91300000000000003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54"/>
    </row>
    <row r="154" spans="1:3" x14ac:dyDescent="0.2">
      <c r="B154" s="3"/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F314"/>
  <sheetViews>
    <sheetView workbookViewId="0">
      <pane xSplit="3" ySplit="6" topLeftCell="AV83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38" t="s">
        <v>259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AE7" s="57">
        <v>2.02</v>
      </c>
      <c r="AF7" s="57">
        <v>1.2922</v>
      </c>
      <c r="BC7" s="57">
        <v>1.98</v>
      </c>
      <c r="BD7" s="57">
        <v>1.2816000000000001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AE9" s="57">
        <v>1.86</v>
      </c>
      <c r="AF9" s="57">
        <v>1.127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56" x14ac:dyDescent="0.2">
      <c r="A17" s="12" t="s">
        <v>57</v>
      </c>
      <c r="B17" s="12" t="s">
        <v>64</v>
      </c>
      <c r="C17" s="34" t="s">
        <v>65</v>
      </c>
    </row>
    <row r="18" spans="1:56" x14ac:dyDescent="0.2">
      <c r="A18" s="12" t="s">
        <v>57</v>
      </c>
      <c r="B18" s="12" t="s">
        <v>64</v>
      </c>
      <c r="C18" s="12">
        <v>2360</v>
      </c>
      <c r="AE18" s="57">
        <v>1.95</v>
      </c>
      <c r="AF18" s="57">
        <v>1.0463</v>
      </c>
      <c r="BC18" s="57">
        <v>0.85</v>
      </c>
      <c r="BD18" s="57">
        <v>0.48089999999999999</v>
      </c>
    </row>
    <row r="19" spans="1:56" x14ac:dyDescent="0.2">
      <c r="A19" s="12" t="s">
        <v>57</v>
      </c>
      <c r="B19" s="12" t="s">
        <v>64</v>
      </c>
      <c r="C19" s="12">
        <v>2361</v>
      </c>
    </row>
    <row r="20" spans="1:56" x14ac:dyDescent="0.2">
      <c r="A20" s="12" t="s">
        <v>57</v>
      </c>
      <c r="B20" s="12" t="s">
        <v>64</v>
      </c>
      <c r="C20" s="34" t="s">
        <v>65</v>
      </c>
    </row>
    <row r="21" spans="1:56" x14ac:dyDescent="0.2">
      <c r="A21" s="12" t="s">
        <v>57</v>
      </c>
      <c r="B21" s="12" t="s">
        <v>64</v>
      </c>
      <c r="C21" s="12">
        <v>2362</v>
      </c>
    </row>
    <row r="22" spans="1:56" x14ac:dyDescent="0.2">
      <c r="A22" s="12" t="s">
        <v>57</v>
      </c>
      <c r="B22" s="12" t="s">
        <v>64</v>
      </c>
      <c r="C22" s="12">
        <v>2363</v>
      </c>
    </row>
    <row r="23" spans="1:56" x14ac:dyDescent="0.2">
      <c r="A23" s="12" t="s">
        <v>57</v>
      </c>
      <c r="B23" s="12" t="s">
        <v>64</v>
      </c>
      <c r="C23" s="12">
        <v>2364</v>
      </c>
    </row>
    <row r="24" spans="1:56" x14ac:dyDescent="0.2">
      <c r="A24" s="12" t="s">
        <v>57</v>
      </c>
      <c r="B24" s="12" t="s">
        <v>64</v>
      </c>
      <c r="C24" s="12">
        <v>2365</v>
      </c>
      <c r="AE24" s="57">
        <v>0.96299999999999997</v>
      </c>
      <c r="AF24" s="57">
        <v>0.49320000000000003</v>
      </c>
      <c r="BC24" s="57">
        <v>0.92</v>
      </c>
      <c r="BD24" s="57">
        <v>0.4975</v>
      </c>
    </row>
    <row r="25" spans="1:56" x14ac:dyDescent="0.2">
      <c r="A25" s="12" t="s">
        <v>57</v>
      </c>
      <c r="B25" s="12" t="s">
        <v>64</v>
      </c>
      <c r="C25" s="12">
        <v>2366</v>
      </c>
    </row>
    <row r="26" spans="1:56" x14ac:dyDescent="0.2">
      <c r="A26" s="12" t="s">
        <v>57</v>
      </c>
      <c r="B26" s="12" t="s">
        <v>64</v>
      </c>
      <c r="C26" s="34" t="s">
        <v>65</v>
      </c>
    </row>
    <row r="27" spans="1:56" x14ac:dyDescent="0.2">
      <c r="A27" s="12" t="s">
        <v>57</v>
      </c>
      <c r="B27" s="12" t="s">
        <v>64</v>
      </c>
      <c r="C27" s="12">
        <v>2367</v>
      </c>
      <c r="AE27" s="57">
        <v>2.46</v>
      </c>
      <c r="AF27" s="57">
        <v>1.2522</v>
      </c>
      <c r="BC27" s="57">
        <v>0.78700000000000003</v>
      </c>
      <c r="BD27" s="57">
        <v>0.42470000000000002</v>
      </c>
    </row>
    <row r="28" spans="1:56" x14ac:dyDescent="0.2">
      <c r="A28" s="12" t="s">
        <v>57</v>
      </c>
      <c r="B28" s="12" t="s">
        <v>64</v>
      </c>
      <c r="C28" s="34" t="s">
        <v>65</v>
      </c>
    </row>
    <row r="29" spans="1:56" x14ac:dyDescent="0.2">
      <c r="A29" s="12" t="s">
        <v>57</v>
      </c>
      <c r="B29" s="12" t="s">
        <v>64</v>
      </c>
      <c r="C29" s="34" t="s">
        <v>65</v>
      </c>
    </row>
    <row r="30" spans="1:56" x14ac:dyDescent="0.2">
      <c r="A30" s="12" t="s">
        <v>57</v>
      </c>
      <c r="B30" s="12" t="s">
        <v>64</v>
      </c>
      <c r="C30" s="12">
        <v>2369</v>
      </c>
      <c r="AE30" s="57">
        <v>1.39</v>
      </c>
      <c r="AF30" s="57">
        <v>0.74070000000000003</v>
      </c>
      <c r="BC30" s="57">
        <v>1.88</v>
      </c>
      <c r="BD30" s="57">
        <v>1.0331999999999999</v>
      </c>
    </row>
    <row r="31" spans="1:56" x14ac:dyDescent="0.2">
      <c r="A31" s="38" t="s">
        <v>70</v>
      </c>
      <c r="B31" s="38" t="s">
        <v>58</v>
      </c>
      <c r="C31" s="38">
        <v>2376</v>
      </c>
      <c r="AE31" s="57">
        <v>5.51</v>
      </c>
      <c r="AF31" s="57">
        <v>3.3163</v>
      </c>
      <c r="BC31" s="57">
        <v>1.61</v>
      </c>
      <c r="BD31" s="57">
        <v>0.9889</v>
      </c>
    </row>
    <row r="32" spans="1:56" x14ac:dyDescent="0.2">
      <c r="A32" s="38" t="s">
        <v>70</v>
      </c>
      <c r="B32" s="38" t="s">
        <v>58</v>
      </c>
      <c r="C32" s="38">
        <v>2377</v>
      </c>
      <c r="AE32" s="57">
        <v>2.4700000000000002</v>
      </c>
      <c r="AF32" s="57">
        <v>1.5067999999999999</v>
      </c>
      <c r="BC32" s="57">
        <v>1.96</v>
      </c>
      <c r="BD32" s="57">
        <v>1.2068000000000001</v>
      </c>
    </row>
    <row r="33" spans="1:56" x14ac:dyDescent="0.2">
      <c r="A33" s="38" t="s">
        <v>70</v>
      </c>
      <c r="B33" s="38" t="s">
        <v>64</v>
      </c>
      <c r="C33" s="38">
        <v>2378</v>
      </c>
      <c r="AE33" s="57">
        <v>1.64</v>
      </c>
      <c r="AF33" s="57">
        <v>0.85860000000000003</v>
      </c>
      <c r="BC33" s="57">
        <v>2.1800000000000002</v>
      </c>
      <c r="BD33" s="57">
        <v>1.1816</v>
      </c>
    </row>
    <row r="34" spans="1:56" x14ac:dyDescent="0.2">
      <c r="A34" s="38" t="s">
        <v>70</v>
      </c>
      <c r="B34" s="38" t="s">
        <v>64</v>
      </c>
      <c r="C34" s="38">
        <v>2379</v>
      </c>
      <c r="AE34" s="57">
        <v>1.1100000000000001</v>
      </c>
      <c r="AF34" s="57">
        <v>0.60019999999999996</v>
      </c>
      <c r="BC34" s="57">
        <v>1.07</v>
      </c>
      <c r="BD34" s="57">
        <v>0.57789999999999997</v>
      </c>
    </row>
    <row r="35" spans="1:56" x14ac:dyDescent="0.2">
      <c r="A35" s="38" t="s">
        <v>70</v>
      </c>
      <c r="B35" s="38" t="s">
        <v>58</v>
      </c>
      <c r="C35" s="38">
        <v>2380</v>
      </c>
      <c r="AE35" s="57">
        <v>2.16</v>
      </c>
      <c r="AF35" s="57">
        <v>1.3604000000000001</v>
      </c>
      <c r="BC35" s="57">
        <v>1.36</v>
      </c>
      <c r="BD35" s="57">
        <v>0.85950000000000004</v>
      </c>
    </row>
    <row r="36" spans="1:56" x14ac:dyDescent="0.2">
      <c r="A36" s="12" t="s">
        <v>74</v>
      </c>
      <c r="B36" s="12" t="s">
        <v>64</v>
      </c>
      <c r="C36" s="12">
        <v>2337</v>
      </c>
    </row>
    <row r="37" spans="1:56" x14ac:dyDescent="0.2">
      <c r="A37" s="12" t="s">
        <v>74</v>
      </c>
      <c r="B37" s="12" t="s">
        <v>64</v>
      </c>
      <c r="C37" s="12">
        <v>2338</v>
      </c>
    </row>
    <row r="38" spans="1:56" x14ac:dyDescent="0.2">
      <c r="A38" s="12" t="s">
        <v>74</v>
      </c>
      <c r="B38" s="12" t="s">
        <v>64</v>
      </c>
      <c r="C38" s="12">
        <v>2339</v>
      </c>
    </row>
    <row r="39" spans="1:56" x14ac:dyDescent="0.2">
      <c r="A39" s="12" t="s">
        <v>74</v>
      </c>
      <c r="B39" s="12" t="s">
        <v>64</v>
      </c>
      <c r="C39" s="12">
        <v>2340</v>
      </c>
    </row>
    <row r="40" spans="1:56" x14ac:dyDescent="0.2">
      <c r="A40" s="12" t="s">
        <v>74</v>
      </c>
      <c r="B40" s="12" t="s">
        <v>64</v>
      </c>
      <c r="C40" s="12">
        <v>2341</v>
      </c>
    </row>
    <row r="41" spans="1:56" x14ac:dyDescent="0.2">
      <c r="A41" s="12" t="s">
        <v>74</v>
      </c>
      <c r="B41" s="12" t="s">
        <v>64</v>
      </c>
      <c r="C41" s="12">
        <v>2342</v>
      </c>
    </row>
    <row r="42" spans="1:56" x14ac:dyDescent="0.2">
      <c r="A42" s="12" t="s">
        <v>74</v>
      </c>
      <c r="B42" s="12" t="s">
        <v>64</v>
      </c>
      <c r="C42" s="12">
        <v>2343</v>
      </c>
      <c r="AE42" s="57">
        <v>2.04</v>
      </c>
      <c r="AF42" s="57">
        <v>1.052</v>
      </c>
      <c r="BC42" s="57">
        <v>1.25</v>
      </c>
      <c r="BD42" s="57" t="s">
        <v>260</v>
      </c>
    </row>
    <row r="43" spans="1:56" x14ac:dyDescent="0.2">
      <c r="A43" s="41" t="s">
        <v>74</v>
      </c>
      <c r="B43" s="41" t="s">
        <v>64</v>
      </c>
      <c r="C43" s="41" t="s">
        <v>78</v>
      </c>
    </row>
    <row r="44" spans="1:56" x14ac:dyDescent="0.2">
      <c r="A44" s="12" t="s">
        <v>74</v>
      </c>
      <c r="B44" s="12" t="s">
        <v>64</v>
      </c>
      <c r="C44" s="12">
        <v>2344</v>
      </c>
    </row>
    <row r="45" spans="1:56" x14ac:dyDescent="0.2">
      <c r="A45" s="41" t="s">
        <v>74</v>
      </c>
      <c r="B45" s="41" t="s">
        <v>58</v>
      </c>
      <c r="C45" s="41" t="s">
        <v>78</v>
      </c>
    </row>
    <row r="46" spans="1:56" x14ac:dyDescent="0.2">
      <c r="A46" s="12" t="s">
        <v>74</v>
      </c>
      <c r="B46" s="12" t="s">
        <v>58</v>
      </c>
      <c r="C46" s="34">
        <v>2345</v>
      </c>
      <c r="AE46" s="57">
        <v>2.2999999999999998</v>
      </c>
      <c r="AF46" s="57">
        <v>1.3892</v>
      </c>
      <c r="BC46" s="57">
        <v>1.56</v>
      </c>
      <c r="BD46" s="57">
        <v>0.91590000000000005</v>
      </c>
    </row>
    <row r="47" spans="1:56" x14ac:dyDescent="0.2">
      <c r="A47" s="12" t="s">
        <v>74</v>
      </c>
      <c r="B47" s="12" t="s">
        <v>64</v>
      </c>
      <c r="C47" s="12">
        <v>2346</v>
      </c>
      <c r="AE47" s="57">
        <v>1.33</v>
      </c>
      <c r="AF47" s="57">
        <v>0.72099999999999997</v>
      </c>
      <c r="BC47" s="57">
        <v>0.78</v>
      </c>
      <c r="BD47" s="57">
        <v>0.42430000000000001</v>
      </c>
    </row>
    <row r="48" spans="1:56" x14ac:dyDescent="0.2">
      <c r="A48" s="12" t="s">
        <v>74</v>
      </c>
      <c r="B48" s="12" t="s">
        <v>64</v>
      </c>
      <c r="C48" s="12">
        <v>2347</v>
      </c>
      <c r="AE48" s="57">
        <v>1.49</v>
      </c>
      <c r="AF48" s="57">
        <v>0.74790000000000001</v>
      </c>
      <c r="BC48" s="57">
        <v>1.27</v>
      </c>
      <c r="BD48" s="57">
        <v>0.65059999999999996</v>
      </c>
    </row>
    <row r="49" spans="1:32" x14ac:dyDescent="0.2">
      <c r="A49" s="12" t="s">
        <v>74</v>
      </c>
      <c r="B49" s="12" t="s">
        <v>64</v>
      </c>
      <c r="C49" s="12">
        <v>2348</v>
      </c>
    </row>
    <row r="50" spans="1:32" x14ac:dyDescent="0.2">
      <c r="A50" s="12" t="s">
        <v>74</v>
      </c>
      <c r="B50" s="12" t="s">
        <v>64</v>
      </c>
      <c r="C50" s="12">
        <v>2349</v>
      </c>
    </row>
    <row r="51" spans="1:32" x14ac:dyDescent="0.2">
      <c r="A51" s="12" t="s">
        <v>74</v>
      </c>
      <c r="B51" s="12" t="s">
        <v>64</v>
      </c>
      <c r="C51" s="12">
        <v>2350</v>
      </c>
    </row>
    <row r="52" spans="1:32" x14ac:dyDescent="0.2">
      <c r="A52" s="12" t="s">
        <v>74</v>
      </c>
      <c r="B52" s="12" t="s">
        <v>64</v>
      </c>
      <c r="C52" s="12">
        <v>2351</v>
      </c>
    </row>
    <row r="53" spans="1:32" x14ac:dyDescent="0.2">
      <c r="A53" s="38" t="s">
        <v>88</v>
      </c>
      <c r="B53" s="38" t="s">
        <v>64</v>
      </c>
      <c r="C53" s="38">
        <v>2375</v>
      </c>
      <c r="AE53" s="57">
        <v>1.1399999999999999</v>
      </c>
      <c r="AF53" s="57">
        <v>0.58179999999999998</v>
      </c>
    </row>
    <row r="54" spans="1:32" x14ac:dyDescent="0.2">
      <c r="A54" s="12" t="s">
        <v>90</v>
      </c>
      <c r="B54" s="12" t="s">
        <v>64</v>
      </c>
      <c r="C54" s="12">
        <v>2310</v>
      </c>
    </row>
    <row r="55" spans="1:32" x14ac:dyDescent="0.2">
      <c r="A55" s="12" t="s">
        <v>90</v>
      </c>
      <c r="B55" s="12" t="s">
        <v>64</v>
      </c>
      <c r="C55" s="12">
        <v>2311</v>
      </c>
    </row>
    <row r="56" spans="1:32" x14ac:dyDescent="0.2">
      <c r="A56" s="12" t="s">
        <v>90</v>
      </c>
      <c r="B56" s="12" t="s">
        <v>64</v>
      </c>
      <c r="C56" s="12">
        <v>2312</v>
      </c>
    </row>
    <row r="57" spans="1:32" x14ac:dyDescent="0.2">
      <c r="A57" s="12" t="s">
        <v>90</v>
      </c>
      <c r="B57" s="12" t="s">
        <v>64</v>
      </c>
      <c r="C57" s="12">
        <v>2313</v>
      </c>
    </row>
    <row r="58" spans="1:32" x14ac:dyDescent="0.2">
      <c r="A58" s="12" t="s">
        <v>90</v>
      </c>
      <c r="B58" s="12" t="s">
        <v>64</v>
      </c>
      <c r="C58" s="12">
        <v>2314</v>
      </c>
    </row>
    <row r="59" spans="1:32" x14ac:dyDescent="0.2">
      <c r="A59" s="12" t="s">
        <v>90</v>
      </c>
      <c r="B59" s="12" t="s">
        <v>58</v>
      </c>
      <c r="C59" s="12">
        <v>2315</v>
      </c>
    </row>
    <row r="60" spans="1:32" x14ac:dyDescent="0.2">
      <c r="A60" s="12" t="s">
        <v>90</v>
      </c>
      <c r="B60" s="12" t="s">
        <v>64</v>
      </c>
      <c r="C60" s="12">
        <v>2316</v>
      </c>
    </row>
    <row r="61" spans="1:32" x14ac:dyDescent="0.2">
      <c r="A61" s="12" t="s">
        <v>90</v>
      </c>
      <c r="B61" s="12" t="s">
        <v>64</v>
      </c>
      <c r="C61" s="12">
        <v>2317</v>
      </c>
    </row>
    <row r="62" spans="1:32" x14ac:dyDescent="0.2">
      <c r="A62" s="12" t="s">
        <v>90</v>
      </c>
      <c r="B62" s="12" t="s">
        <v>64</v>
      </c>
      <c r="C62" s="12">
        <v>2318</v>
      </c>
    </row>
    <row r="63" spans="1:32" x14ac:dyDescent="0.2">
      <c r="A63" s="12" t="s">
        <v>90</v>
      </c>
      <c r="B63" s="12" t="s">
        <v>64</v>
      </c>
      <c r="C63" s="12">
        <v>2319</v>
      </c>
    </row>
    <row r="64" spans="1:32" x14ac:dyDescent="0.2">
      <c r="A64" s="12" t="s">
        <v>90</v>
      </c>
      <c r="B64" s="12" t="s">
        <v>58</v>
      </c>
      <c r="C64" s="12">
        <v>2320</v>
      </c>
    </row>
    <row r="65" spans="1:56" x14ac:dyDescent="0.2">
      <c r="A65" s="12" t="s">
        <v>90</v>
      </c>
      <c r="B65" s="12" t="s">
        <v>64</v>
      </c>
      <c r="C65" s="12">
        <v>2321</v>
      </c>
    </row>
    <row r="66" spans="1:56" x14ac:dyDescent="0.2">
      <c r="A66" s="12" t="s">
        <v>90</v>
      </c>
      <c r="B66" s="12" t="s">
        <v>58</v>
      </c>
      <c r="C66" s="12">
        <v>2322</v>
      </c>
    </row>
    <row r="67" spans="1:56" x14ac:dyDescent="0.2">
      <c r="A67" s="12" t="s">
        <v>90</v>
      </c>
      <c r="B67" s="12" t="s">
        <v>58</v>
      </c>
      <c r="C67" s="12">
        <v>2323</v>
      </c>
    </row>
    <row r="68" spans="1:56" x14ac:dyDescent="0.2">
      <c r="A68" s="12" t="s">
        <v>90</v>
      </c>
      <c r="B68" s="12" t="s">
        <v>64</v>
      </c>
      <c r="C68" s="12">
        <v>2324</v>
      </c>
    </row>
    <row r="69" spans="1:56" x14ac:dyDescent="0.2">
      <c r="A69" s="12" t="s">
        <v>90</v>
      </c>
      <c r="B69" s="12" t="s">
        <v>64</v>
      </c>
      <c r="C69" s="12">
        <v>2325</v>
      </c>
    </row>
    <row r="70" spans="1:56" x14ac:dyDescent="0.2">
      <c r="A70" s="12" t="s">
        <v>90</v>
      </c>
      <c r="B70" s="12" t="s">
        <v>64</v>
      </c>
      <c r="C70" s="12">
        <v>2327</v>
      </c>
    </row>
    <row r="71" spans="1:56" x14ac:dyDescent="0.2">
      <c r="A71" s="12" t="s">
        <v>90</v>
      </c>
      <c r="B71" s="12" t="s">
        <v>64</v>
      </c>
      <c r="C71" s="12">
        <v>2326</v>
      </c>
    </row>
    <row r="72" spans="1:56" x14ac:dyDescent="0.2">
      <c r="A72" s="12" t="s">
        <v>90</v>
      </c>
      <c r="B72" s="12" t="s">
        <v>58</v>
      </c>
      <c r="C72" s="12">
        <v>2328</v>
      </c>
    </row>
    <row r="73" spans="1:56" x14ac:dyDescent="0.2">
      <c r="A73" s="12" t="s">
        <v>90</v>
      </c>
      <c r="B73" s="12" t="s">
        <v>64</v>
      </c>
      <c r="C73" s="12">
        <v>2329</v>
      </c>
    </row>
    <row r="74" spans="1:56" x14ac:dyDescent="0.2">
      <c r="A74" s="12" t="s">
        <v>90</v>
      </c>
      <c r="B74" s="12" t="s">
        <v>64</v>
      </c>
      <c r="C74" s="12">
        <v>2330</v>
      </c>
    </row>
    <row r="75" spans="1:56" x14ac:dyDescent="0.2">
      <c r="A75" s="12" t="s">
        <v>90</v>
      </c>
      <c r="B75" s="12" t="s">
        <v>58</v>
      </c>
      <c r="C75" s="12">
        <v>2331</v>
      </c>
      <c r="BC75" s="57">
        <v>1.3</v>
      </c>
      <c r="BD75" s="57">
        <v>0.80800000000000005</v>
      </c>
    </row>
    <row r="76" spans="1:56" x14ac:dyDescent="0.2">
      <c r="A76" s="12" t="s">
        <v>90</v>
      </c>
      <c r="B76" s="12" t="s">
        <v>64</v>
      </c>
      <c r="C76" s="12">
        <v>2332</v>
      </c>
    </row>
    <row r="77" spans="1:56" x14ac:dyDescent="0.2">
      <c r="A77" s="12" t="s">
        <v>90</v>
      </c>
      <c r="B77" s="12" t="s">
        <v>64</v>
      </c>
      <c r="C77" s="12">
        <v>2333</v>
      </c>
    </row>
    <row r="78" spans="1:56" x14ac:dyDescent="0.2">
      <c r="A78" s="2" t="s">
        <v>90</v>
      </c>
      <c r="B78" s="3" t="s">
        <v>64</v>
      </c>
      <c r="C78" s="12">
        <v>2334</v>
      </c>
    </row>
    <row r="79" spans="1:56" x14ac:dyDescent="0.2">
      <c r="A79" s="12" t="s">
        <v>90</v>
      </c>
      <c r="B79" s="12" t="s">
        <v>64</v>
      </c>
      <c r="C79" s="12">
        <v>2336</v>
      </c>
    </row>
    <row r="80" spans="1:56" x14ac:dyDescent="0.2">
      <c r="A80" s="12" t="s">
        <v>90</v>
      </c>
      <c r="B80" s="12" t="s">
        <v>64</v>
      </c>
      <c r="C80" s="12">
        <v>2335</v>
      </c>
    </row>
    <row r="81" spans="1:56" x14ac:dyDescent="0.2">
      <c r="A81" s="38" t="s">
        <v>100</v>
      </c>
      <c r="B81" s="38" t="s">
        <v>64</v>
      </c>
      <c r="C81" s="38">
        <v>2374</v>
      </c>
    </row>
    <row r="82" spans="1:56" x14ac:dyDescent="0.2">
      <c r="A82" s="12" t="s">
        <v>101</v>
      </c>
      <c r="B82" s="12" t="s">
        <v>58</v>
      </c>
      <c r="C82" s="34">
        <v>2301</v>
      </c>
      <c r="BC82" s="57">
        <v>1.74</v>
      </c>
      <c r="BD82" s="57">
        <v>1.0678000000000001</v>
      </c>
    </row>
    <row r="83" spans="1:56" x14ac:dyDescent="0.2">
      <c r="A83" s="12" t="s">
        <v>101</v>
      </c>
      <c r="B83" s="12" t="s">
        <v>64</v>
      </c>
      <c r="C83" s="12">
        <v>2302</v>
      </c>
    </row>
    <row r="84" spans="1:56" x14ac:dyDescent="0.2">
      <c r="A84" s="12" t="s">
        <v>101</v>
      </c>
      <c r="B84" s="12" t="s">
        <v>64</v>
      </c>
      <c r="C84" s="12">
        <v>2303</v>
      </c>
    </row>
    <row r="85" spans="1:56" x14ac:dyDescent="0.2">
      <c r="A85" s="12" t="s">
        <v>101</v>
      </c>
      <c r="B85" s="12" t="s">
        <v>64</v>
      </c>
      <c r="C85" s="12">
        <v>2304</v>
      </c>
    </row>
    <row r="86" spans="1:56" x14ac:dyDescent="0.2">
      <c r="A86" s="12" t="s">
        <v>101</v>
      </c>
      <c r="B86" s="12" t="s">
        <v>64</v>
      </c>
      <c r="C86" s="12">
        <v>2305</v>
      </c>
    </row>
    <row r="87" spans="1:56" x14ac:dyDescent="0.2">
      <c r="A87" s="12" t="s">
        <v>101</v>
      </c>
      <c r="B87" s="12" t="s">
        <v>64</v>
      </c>
      <c r="C87" s="12">
        <v>2306</v>
      </c>
    </row>
    <row r="88" spans="1:56" x14ac:dyDescent="0.2">
      <c r="A88" s="12" t="s">
        <v>101</v>
      </c>
      <c r="B88" s="12" t="s">
        <v>64</v>
      </c>
      <c r="C88" s="12">
        <v>2307</v>
      </c>
    </row>
    <row r="89" spans="1:56" x14ac:dyDescent="0.2">
      <c r="A89" s="12" t="s">
        <v>101</v>
      </c>
      <c r="B89" s="12" t="s">
        <v>64</v>
      </c>
      <c r="C89" s="12">
        <v>2308</v>
      </c>
    </row>
    <row r="90" spans="1:56" x14ac:dyDescent="0.2">
      <c r="A90" s="12" t="s">
        <v>101</v>
      </c>
      <c r="B90" s="12" t="s">
        <v>64</v>
      </c>
      <c r="C90" s="12">
        <v>2309</v>
      </c>
    </row>
    <row r="91" spans="1:56" x14ac:dyDescent="0.2">
      <c r="A91" s="53" t="s">
        <v>106</v>
      </c>
      <c r="B91" s="54" t="s">
        <v>64</v>
      </c>
      <c r="C91" s="55">
        <v>2370</v>
      </c>
      <c r="AE91" s="57">
        <v>1.81</v>
      </c>
      <c r="AF91" s="57">
        <v>0.93110000000000004</v>
      </c>
      <c r="BC91" s="57">
        <v>0.54</v>
      </c>
      <c r="BD91" s="57">
        <v>0.27939999999999998</v>
      </c>
    </row>
    <row r="92" spans="1:56" x14ac:dyDescent="0.2">
      <c r="A92" s="53" t="s">
        <v>107</v>
      </c>
      <c r="B92" s="54" t="s">
        <v>64</v>
      </c>
      <c r="C92" s="55">
        <v>2371</v>
      </c>
      <c r="AE92" s="57">
        <v>1.78</v>
      </c>
      <c r="AF92" s="57">
        <v>0.86550000000000005</v>
      </c>
      <c r="BC92" s="57">
        <v>0.93</v>
      </c>
      <c r="BD92" s="57">
        <v>0.48499999999999999</v>
      </c>
    </row>
    <row r="93" spans="1:56" x14ac:dyDescent="0.2">
      <c r="A93" s="53" t="s">
        <v>108</v>
      </c>
      <c r="B93" s="54" t="s">
        <v>64</v>
      </c>
      <c r="C93" s="55">
        <v>2372</v>
      </c>
      <c r="AE93" s="57">
        <v>1.31</v>
      </c>
      <c r="AF93" s="57">
        <v>0.68269999999999997</v>
      </c>
      <c r="BC93" s="57">
        <v>1.58</v>
      </c>
      <c r="BD93" s="57">
        <v>0.85640000000000005</v>
      </c>
    </row>
    <row r="94" spans="1:56" x14ac:dyDescent="0.2">
      <c r="A94" s="53" t="s">
        <v>110</v>
      </c>
      <c r="B94" s="54" t="s">
        <v>64</v>
      </c>
      <c r="C94" s="55">
        <v>2373</v>
      </c>
    </row>
    <row r="95" spans="1:56" x14ac:dyDescent="0.2">
      <c r="A95" s="2" t="s">
        <v>112</v>
      </c>
      <c r="B95" s="3" t="s">
        <v>64</v>
      </c>
      <c r="C95" s="3"/>
    </row>
    <row r="96" spans="1:56" x14ac:dyDescent="0.2">
      <c r="A96" s="2" t="s">
        <v>112</v>
      </c>
      <c r="B96" s="3" t="s">
        <v>64</v>
      </c>
      <c r="C96" s="3"/>
    </row>
    <row r="97" spans="1:56" x14ac:dyDescent="0.2">
      <c r="A97" s="2" t="s">
        <v>112</v>
      </c>
      <c r="B97" s="3" t="s">
        <v>64</v>
      </c>
      <c r="C97" s="3"/>
    </row>
    <row r="98" spans="1:56" x14ac:dyDescent="0.2">
      <c r="A98" s="2" t="s">
        <v>112</v>
      </c>
      <c r="B98" s="3" t="s">
        <v>64</v>
      </c>
      <c r="C98" s="3"/>
    </row>
    <row r="99" spans="1:56" x14ac:dyDescent="0.2">
      <c r="A99" s="2" t="s">
        <v>112</v>
      </c>
      <c r="B99" s="3" t="s">
        <v>64</v>
      </c>
      <c r="C99" s="3"/>
    </row>
    <row r="100" spans="1:56" x14ac:dyDescent="0.2">
      <c r="A100" s="2" t="s">
        <v>113</v>
      </c>
      <c r="B100" s="3" t="s">
        <v>64</v>
      </c>
      <c r="C100" s="3"/>
    </row>
    <row r="101" spans="1:56" x14ac:dyDescent="0.2">
      <c r="A101" s="2" t="s">
        <v>113</v>
      </c>
      <c r="B101" s="3" t="s">
        <v>64</v>
      </c>
      <c r="C101" s="3"/>
    </row>
    <row r="102" spans="1:56" x14ac:dyDescent="0.2">
      <c r="A102" s="2" t="s">
        <v>113</v>
      </c>
      <c r="B102" s="3" t="s">
        <v>64</v>
      </c>
      <c r="C102" s="3"/>
    </row>
    <row r="103" spans="1:56" x14ac:dyDescent="0.2">
      <c r="A103" s="2" t="s">
        <v>113</v>
      </c>
      <c r="B103" s="3" t="s">
        <v>64</v>
      </c>
      <c r="C103" s="3"/>
    </row>
    <row r="104" spans="1:56" x14ac:dyDescent="0.2">
      <c r="A104" s="2" t="s">
        <v>113</v>
      </c>
      <c r="B104" s="3" t="s">
        <v>64</v>
      </c>
      <c r="C104" s="3"/>
    </row>
    <row r="105" spans="1:56" x14ac:dyDescent="0.2">
      <c r="A105" s="12" t="s">
        <v>114</v>
      </c>
      <c r="B105" s="12" t="s">
        <v>58</v>
      </c>
      <c r="C105" s="12"/>
    </row>
    <row r="106" spans="1:56" x14ac:dyDescent="0.2">
      <c r="A106" s="12" t="s">
        <v>114</v>
      </c>
      <c r="B106" s="12" t="s">
        <v>58</v>
      </c>
      <c r="C106" s="12"/>
    </row>
    <row r="107" spans="1:56" x14ac:dyDescent="0.2">
      <c r="A107" s="2" t="s">
        <v>117</v>
      </c>
      <c r="B107" s="3" t="s">
        <v>64</v>
      </c>
      <c r="C107" s="58">
        <v>2381</v>
      </c>
      <c r="AE107" s="57">
        <v>1.61</v>
      </c>
      <c r="AF107" s="57">
        <v>0.85119999999999996</v>
      </c>
      <c r="BC107" s="57">
        <v>1.6</v>
      </c>
      <c r="BD107" s="57">
        <v>0.874</v>
      </c>
    </row>
    <row r="108" spans="1:56" x14ac:dyDescent="0.2">
      <c r="A108" s="2" t="s">
        <v>117</v>
      </c>
      <c r="B108" s="3" t="s">
        <v>64</v>
      </c>
      <c r="C108" s="58"/>
    </row>
    <row r="109" spans="1:56" x14ac:dyDescent="0.2">
      <c r="A109" s="2" t="s">
        <v>117</v>
      </c>
      <c r="B109" s="3" t="s">
        <v>64</v>
      </c>
      <c r="C109" s="58"/>
    </row>
    <row r="110" spans="1:56" x14ac:dyDescent="0.2">
      <c r="A110" s="2" t="s">
        <v>117</v>
      </c>
      <c r="B110" s="3" t="s">
        <v>64</v>
      </c>
      <c r="C110" s="58">
        <v>2382</v>
      </c>
      <c r="AE110" s="57">
        <v>1.26</v>
      </c>
      <c r="AF110" s="57">
        <v>0.72489999999999999</v>
      </c>
      <c r="BC110" s="57">
        <v>1.56</v>
      </c>
      <c r="BD110" s="57">
        <v>0.88470000000000004</v>
      </c>
    </row>
    <row r="111" spans="1:56" x14ac:dyDescent="0.2">
      <c r="A111" s="2" t="s">
        <v>117</v>
      </c>
      <c r="B111" s="54" t="s">
        <v>64</v>
      </c>
      <c r="C111" s="60">
        <v>2383</v>
      </c>
      <c r="AE111" s="57">
        <v>1.98</v>
      </c>
      <c r="AF111" s="57" t="s">
        <v>261</v>
      </c>
      <c r="BC111" s="57" t="s">
        <v>262</v>
      </c>
      <c r="BD111" s="57">
        <v>1.1097999999999999</v>
      </c>
    </row>
    <row r="112" spans="1:56" x14ac:dyDescent="0.2">
      <c r="A112" s="2" t="s">
        <v>117</v>
      </c>
      <c r="B112" s="54" t="s">
        <v>64</v>
      </c>
      <c r="C112" s="57">
        <v>2384</v>
      </c>
      <c r="AE112" s="57">
        <v>0.74099999999999999</v>
      </c>
      <c r="AF112" s="57">
        <v>0.39960000000000001</v>
      </c>
      <c r="BC112" s="57">
        <v>1.7</v>
      </c>
      <c r="BD112" s="57">
        <v>0.95150000000000001</v>
      </c>
    </row>
    <row r="113" spans="1:56" x14ac:dyDescent="0.2">
      <c r="A113" s="57" t="s">
        <v>232</v>
      </c>
      <c r="B113" s="54" t="s">
        <v>64</v>
      </c>
      <c r="C113" s="57">
        <v>2004</v>
      </c>
    </row>
    <row r="114" spans="1:56" x14ac:dyDescent="0.2">
      <c r="A114" s="57" t="s">
        <v>232</v>
      </c>
      <c r="B114" s="54" t="s">
        <v>64</v>
      </c>
      <c r="C114" s="57">
        <v>2005</v>
      </c>
    </row>
    <row r="115" spans="1:56" x14ac:dyDescent="0.2">
      <c r="A115" s="57" t="s">
        <v>232</v>
      </c>
      <c r="B115" s="54" t="s">
        <v>64</v>
      </c>
      <c r="C115" s="57">
        <v>2006</v>
      </c>
    </row>
    <row r="116" spans="1:56" x14ac:dyDescent="0.2">
      <c r="A116" s="57" t="s">
        <v>232</v>
      </c>
      <c r="B116" s="54" t="s">
        <v>64</v>
      </c>
      <c r="C116" s="57">
        <v>2007</v>
      </c>
    </row>
    <row r="117" spans="1:56" x14ac:dyDescent="0.2">
      <c r="A117" s="57" t="s">
        <v>233</v>
      </c>
      <c r="B117" s="54" t="s">
        <v>234</v>
      </c>
      <c r="AE117" s="57">
        <v>1.2</v>
      </c>
      <c r="AF117" s="57">
        <v>0.53139999999999998</v>
      </c>
      <c r="BC117" s="57">
        <v>0.63260000000000005</v>
      </c>
      <c r="BD117" s="57">
        <v>0.28100000000000003</v>
      </c>
    </row>
    <row r="118" spans="1:56" x14ac:dyDescent="0.2">
      <c r="A118" s="57" t="s">
        <v>235</v>
      </c>
      <c r="B118" s="54" t="s">
        <v>234</v>
      </c>
    </row>
    <row r="119" spans="1:56" x14ac:dyDescent="0.2">
      <c r="A119" s="57" t="s">
        <v>232</v>
      </c>
      <c r="B119" s="54" t="s">
        <v>234</v>
      </c>
    </row>
    <row r="120" spans="1:56" x14ac:dyDescent="0.2">
      <c r="A120" s="57" t="s">
        <v>233</v>
      </c>
      <c r="B120" s="54" t="s">
        <v>166</v>
      </c>
      <c r="AE120" s="57">
        <v>2.95</v>
      </c>
      <c r="AF120" s="57">
        <v>1.3339000000000001</v>
      </c>
      <c r="BC120" s="57">
        <v>2.6566000000000001</v>
      </c>
      <c r="BD120" s="57">
        <v>0.78</v>
      </c>
    </row>
    <row r="121" spans="1:56" x14ac:dyDescent="0.2">
      <c r="A121" s="57" t="s">
        <v>235</v>
      </c>
      <c r="B121" s="54" t="s">
        <v>166</v>
      </c>
    </row>
    <row r="122" spans="1:56" x14ac:dyDescent="0.2">
      <c r="A122" s="57" t="s">
        <v>232</v>
      </c>
      <c r="B122" s="54" t="s">
        <v>166</v>
      </c>
    </row>
    <row r="123" spans="1:56" x14ac:dyDescent="0.2">
      <c r="A123" s="57" t="s">
        <v>236</v>
      </c>
      <c r="B123" s="54" t="s">
        <v>58</v>
      </c>
      <c r="C123" s="57">
        <v>2093</v>
      </c>
    </row>
    <row r="124" spans="1:56" x14ac:dyDescent="0.2">
      <c r="A124" s="57" t="s">
        <v>236</v>
      </c>
      <c r="B124" s="54" t="s">
        <v>58</v>
      </c>
      <c r="C124" s="57">
        <v>2092</v>
      </c>
      <c r="AH124" s="57" t="s">
        <v>263</v>
      </c>
    </row>
    <row r="125" spans="1:56" x14ac:dyDescent="0.2">
      <c r="A125" s="57" t="s">
        <v>236</v>
      </c>
      <c r="B125" s="54" t="s">
        <v>58</v>
      </c>
      <c r="C125" s="57">
        <v>2091</v>
      </c>
    </row>
    <row r="126" spans="1:56" x14ac:dyDescent="0.2">
      <c r="A126" s="57" t="s">
        <v>236</v>
      </c>
      <c r="B126" s="54" t="s">
        <v>129</v>
      </c>
      <c r="C126" s="57">
        <v>2090</v>
      </c>
    </row>
    <row r="127" spans="1:56" x14ac:dyDescent="0.2">
      <c r="A127" s="57" t="s">
        <v>236</v>
      </c>
      <c r="B127" s="54" t="s">
        <v>58</v>
      </c>
      <c r="C127" s="57">
        <v>2089</v>
      </c>
    </row>
    <row r="128" spans="1:56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56" x14ac:dyDescent="0.2">
      <c r="A145" s="57" t="s">
        <v>238</v>
      </c>
      <c r="B145" s="54" t="s">
        <v>64</v>
      </c>
      <c r="C145" s="57">
        <v>2013</v>
      </c>
    </row>
    <row r="146" spans="1:56" x14ac:dyDescent="0.2">
      <c r="A146" s="57" t="s">
        <v>238</v>
      </c>
      <c r="B146" s="54" t="s">
        <v>64</v>
      </c>
      <c r="C146" s="57">
        <v>2014</v>
      </c>
    </row>
    <row r="147" spans="1:56" x14ac:dyDescent="0.2">
      <c r="A147" s="57" t="s">
        <v>238</v>
      </c>
      <c r="B147" s="54" t="s">
        <v>64</v>
      </c>
      <c r="C147" s="57">
        <v>2015</v>
      </c>
    </row>
    <row r="148" spans="1:56" x14ac:dyDescent="0.2">
      <c r="A148" s="57" t="s">
        <v>238</v>
      </c>
      <c r="B148" s="54" t="s">
        <v>64</v>
      </c>
      <c r="C148" s="57">
        <v>1478</v>
      </c>
    </row>
    <row r="149" spans="1:56" x14ac:dyDescent="0.2">
      <c r="B149" s="54"/>
      <c r="C149" s="57">
        <v>2011</v>
      </c>
      <c r="AE149" s="57">
        <v>1.55</v>
      </c>
      <c r="AF149" s="57">
        <v>0.84060000000000001</v>
      </c>
      <c r="BC149" s="57">
        <v>1.1399999999999999</v>
      </c>
      <c r="BD149" s="57">
        <v>0.64390000000000003</v>
      </c>
    </row>
    <row r="150" spans="1:56" x14ac:dyDescent="0.2">
      <c r="A150" s="57" t="s">
        <v>239</v>
      </c>
      <c r="B150" s="54" t="s">
        <v>64</v>
      </c>
      <c r="C150" s="57">
        <v>2010</v>
      </c>
      <c r="AE150" s="57">
        <v>1.62</v>
      </c>
      <c r="AF150" s="57">
        <v>0.85899999999999999</v>
      </c>
      <c r="BC150" s="57">
        <v>1.56</v>
      </c>
      <c r="BD150" s="57">
        <v>0.82599999999999996</v>
      </c>
    </row>
    <row r="151" spans="1:56" x14ac:dyDescent="0.2">
      <c r="A151" s="57" t="s">
        <v>240</v>
      </c>
      <c r="B151" s="54" t="s">
        <v>64</v>
      </c>
      <c r="C151" s="57">
        <v>2009</v>
      </c>
      <c r="AE151" s="68">
        <v>2.13</v>
      </c>
      <c r="AF151" s="68">
        <v>1.1295999999999999</v>
      </c>
      <c r="BC151" s="57">
        <v>1.35</v>
      </c>
      <c r="BD151" s="57">
        <v>0.73299999999999998</v>
      </c>
    </row>
    <row r="152" spans="1:56" x14ac:dyDescent="0.2">
      <c r="B152" s="3"/>
      <c r="C152" s="57">
        <v>2008</v>
      </c>
    </row>
    <row r="153" spans="1:56" x14ac:dyDescent="0.2">
      <c r="B153" s="54" t="s">
        <v>64</v>
      </c>
      <c r="C153" s="57">
        <v>2127</v>
      </c>
      <c r="AE153" s="57">
        <v>0.55000000000000004</v>
      </c>
      <c r="AF153" s="57">
        <v>0.28289999999999998</v>
      </c>
    </row>
    <row r="154" spans="1:56" x14ac:dyDescent="0.2">
      <c r="B154" s="3"/>
    </row>
    <row r="155" spans="1:56" x14ac:dyDescent="0.2">
      <c r="B155" s="3"/>
    </row>
    <row r="156" spans="1:56" x14ac:dyDescent="0.2">
      <c r="B156" s="3"/>
    </row>
    <row r="157" spans="1:56" x14ac:dyDescent="0.2">
      <c r="B157" s="3"/>
    </row>
    <row r="158" spans="1:56" x14ac:dyDescent="0.2">
      <c r="B158" s="3"/>
    </row>
    <row r="159" spans="1:56" x14ac:dyDescent="0.2">
      <c r="B159" s="3"/>
    </row>
    <row r="160" spans="1:56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BI314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  <col min="5" max="5" width="20.19921875" customWidth="1"/>
    <col min="57" max="57" width="14.796875" customWidth="1"/>
  </cols>
  <sheetData>
    <row r="1" spans="1:61" x14ac:dyDescent="0.2">
      <c r="A1" s="64" t="s">
        <v>178</v>
      </c>
      <c r="B1" s="1"/>
      <c r="C1" s="1"/>
    </row>
    <row r="3" spans="1:61" x14ac:dyDescent="0.2">
      <c r="A3" s="12" t="s">
        <v>1</v>
      </c>
      <c r="B3" s="38" t="s">
        <v>179</v>
      </c>
      <c r="C3" s="12"/>
    </row>
    <row r="4" spans="1:61" x14ac:dyDescent="0.2">
      <c r="A4" s="12" t="s">
        <v>3</v>
      </c>
      <c r="B4" s="38" t="s">
        <v>259</v>
      </c>
    </row>
    <row r="6" spans="1:61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  <c r="BG6" s="9"/>
      <c r="BH6" s="9"/>
      <c r="BI6" s="9"/>
    </row>
    <row r="7" spans="1:61" x14ac:dyDescent="0.2">
      <c r="A7" s="12" t="s">
        <v>57</v>
      </c>
      <c r="B7" s="12" t="s">
        <v>58</v>
      </c>
      <c r="C7" s="12">
        <v>2352</v>
      </c>
    </row>
    <row r="8" spans="1:61" x14ac:dyDescent="0.2">
      <c r="A8" s="12" t="s">
        <v>57</v>
      </c>
      <c r="B8" s="12" t="s">
        <v>58</v>
      </c>
      <c r="C8" s="12">
        <v>2353</v>
      </c>
    </row>
    <row r="9" spans="1:61" x14ac:dyDescent="0.2">
      <c r="A9" s="12" t="s">
        <v>57</v>
      </c>
      <c r="B9" s="12" t="s">
        <v>58</v>
      </c>
      <c r="C9" s="34">
        <v>2354</v>
      </c>
    </row>
    <row r="10" spans="1:61" x14ac:dyDescent="0.2">
      <c r="A10" s="12" t="s">
        <v>57</v>
      </c>
      <c r="B10" s="12" t="s">
        <v>64</v>
      </c>
      <c r="C10" s="12">
        <v>2355</v>
      </c>
    </row>
    <row r="11" spans="1:61" x14ac:dyDescent="0.2">
      <c r="A11" s="12" t="s">
        <v>57</v>
      </c>
      <c r="B11" s="12" t="s">
        <v>64</v>
      </c>
      <c r="C11" s="34" t="s">
        <v>65</v>
      </c>
    </row>
    <row r="12" spans="1:61" x14ac:dyDescent="0.2">
      <c r="A12" s="12" t="s">
        <v>57</v>
      </c>
      <c r="B12" s="12" t="s">
        <v>64</v>
      </c>
      <c r="C12" s="12">
        <v>2356</v>
      </c>
    </row>
    <row r="13" spans="1:61" x14ac:dyDescent="0.2">
      <c r="A13" s="12" t="s">
        <v>57</v>
      </c>
      <c r="B13" s="12" t="s">
        <v>64</v>
      </c>
      <c r="C13" s="12">
        <v>2357</v>
      </c>
    </row>
    <row r="14" spans="1:61" x14ac:dyDescent="0.2">
      <c r="A14" s="12" t="s">
        <v>57</v>
      </c>
      <c r="B14" s="12" t="s">
        <v>64</v>
      </c>
      <c r="C14" s="34" t="s">
        <v>65</v>
      </c>
    </row>
    <row r="15" spans="1:61" x14ac:dyDescent="0.2">
      <c r="A15" s="12" t="s">
        <v>57</v>
      </c>
      <c r="B15" s="12" t="s">
        <v>64</v>
      </c>
      <c r="C15" s="12">
        <v>2358</v>
      </c>
    </row>
    <row r="16" spans="1:61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58" x14ac:dyDescent="0.2">
      <c r="A113" s="57" t="s">
        <v>232</v>
      </c>
      <c r="B113" s="54" t="s">
        <v>64</v>
      </c>
      <c r="C113" s="57">
        <v>2004</v>
      </c>
      <c r="AE113" s="57">
        <v>1.762</v>
      </c>
      <c r="AF113" s="57">
        <v>0.9</v>
      </c>
      <c r="BC113" s="57">
        <v>1.0620000000000001</v>
      </c>
      <c r="BD113" s="57">
        <v>0.56200000000000006</v>
      </c>
    </row>
    <row r="114" spans="1:58" x14ac:dyDescent="0.2">
      <c r="A114" s="57" t="s">
        <v>232</v>
      </c>
      <c r="B114" s="54" t="s">
        <v>64</v>
      </c>
      <c r="C114" s="57">
        <v>2005</v>
      </c>
      <c r="AE114" s="57">
        <v>4.0759999999999996</v>
      </c>
      <c r="AF114" s="57">
        <v>2.0329999999999999</v>
      </c>
      <c r="BC114" s="57">
        <v>1.885</v>
      </c>
      <c r="BD114" s="57">
        <v>0.98399999999999999</v>
      </c>
    </row>
    <row r="115" spans="1:58" x14ac:dyDescent="0.2">
      <c r="A115" s="57" t="s">
        <v>232</v>
      </c>
      <c r="B115" s="54" t="s">
        <v>64</v>
      </c>
      <c r="C115" s="57">
        <v>2006</v>
      </c>
      <c r="AE115" s="57">
        <v>2.819</v>
      </c>
      <c r="AF115" s="57">
        <v>1.454</v>
      </c>
    </row>
    <row r="116" spans="1:58" x14ac:dyDescent="0.2">
      <c r="A116" s="57" t="s">
        <v>232</v>
      </c>
      <c r="B116" s="54" t="s">
        <v>64</v>
      </c>
      <c r="C116" s="57">
        <v>2007</v>
      </c>
      <c r="AE116" s="57">
        <v>2.169</v>
      </c>
      <c r="AF116" s="57">
        <v>1.1379999999999999</v>
      </c>
      <c r="BC116" s="57">
        <v>1.6140000000000001</v>
      </c>
      <c r="BD116" s="57">
        <v>0.86799999999999999</v>
      </c>
    </row>
    <row r="117" spans="1:58" x14ac:dyDescent="0.2">
      <c r="A117" s="57" t="s">
        <v>233</v>
      </c>
      <c r="B117" s="54" t="s">
        <v>234</v>
      </c>
      <c r="AE117" s="57">
        <v>0.751</v>
      </c>
      <c r="AF117" s="57">
        <v>0.33600000000000002</v>
      </c>
    </row>
    <row r="118" spans="1:58" x14ac:dyDescent="0.2">
      <c r="A118" s="57" t="s">
        <v>235</v>
      </c>
      <c r="B118" s="54" t="s">
        <v>234</v>
      </c>
    </row>
    <row r="119" spans="1:58" x14ac:dyDescent="0.2">
      <c r="A119" s="57" t="s">
        <v>232</v>
      </c>
      <c r="B119" s="54" t="s">
        <v>234</v>
      </c>
    </row>
    <row r="120" spans="1:58" x14ac:dyDescent="0.2">
      <c r="A120" s="57" t="s">
        <v>233</v>
      </c>
      <c r="B120" s="54" t="s">
        <v>166</v>
      </c>
    </row>
    <row r="121" spans="1:58" x14ac:dyDescent="0.2">
      <c r="A121" s="57" t="s">
        <v>235</v>
      </c>
      <c r="B121" s="54" t="s">
        <v>166</v>
      </c>
      <c r="AE121" s="57">
        <v>2.3319999999999999</v>
      </c>
      <c r="AF121" s="57">
        <v>1.0249999999999999</v>
      </c>
    </row>
    <row r="122" spans="1:58" x14ac:dyDescent="0.2">
      <c r="A122" s="57" t="s">
        <v>232</v>
      </c>
      <c r="B122" s="54" t="s">
        <v>166</v>
      </c>
      <c r="AE122" s="57">
        <v>1.329</v>
      </c>
      <c r="AF122" s="57">
        <v>0.59699999999999998</v>
      </c>
    </row>
    <row r="123" spans="1:58" x14ac:dyDescent="0.2">
      <c r="A123" s="57" t="s">
        <v>236</v>
      </c>
      <c r="B123" s="54" t="s">
        <v>58</v>
      </c>
      <c r="C123" s="57">
        <v>2093</v>
      </c>
      <c r="AE123" s="57">
        <v>3.2970000000000002</v>
      </c>
      <c r="AF123" s="57">
        <v>1.6930000000000001</v>
      </c>
      <c r="BC123" s="57">
        <v>2.0579999999999998</v>
      </c>
      <c r="BD123" s="57">
        <v>0.79800000000000004</v>
      </c>
    </row>
    <row r="124" spans="1:58" x14ac:dyDescent="0.2">
      <c r="A124" s="57" t="s">
        <v>236</v>
      </c>
      <c r="B124" s="54" t="s">
        <v>58</v>
      </c>
      <c r="C124" s="57">
        <v>2092</v>
      </c>
      <c r="AE124" s="57">
        <v>1.915</v>
      </c>
      <c r="AF124" s="57">
        <v>1.0249999999999999</v>
      </c>
      <c r="BF124" s="69" t="s">
        <v>264</v>
      </c>
    </row>
    <row r="125" spans="1:58" x14ac:dyDescent="0.2">
      <c r="A125" s="57" t="s">
        <v>236</v>
      </c>
      <c r="B125" s="54" t="s">
        <v>58</v>
      </c>
      <c r="C125" s="57">
        <v>2091</v>
      </c>
      <c r="AE125" s="57">
        <v>5.8479999999999999</v>
      </c>
      <c r="AF125" s="57">
        <v>2.806</v>
      </c>
      <c r="BC125" s="57">
        <v>1.8120000000000001</v>
      </c>
      <c r="BD125" s="57">
        <v>0.72899999999999998</v>
      </c>
      <c r="BF125" s="57" t="s">
        <v>265</v>
      </c>
    </row>
    <row r="126" spans="1:58" x14ac:dyDescent="0.2">
      <c r="A126" s="57" t="s">
        <v>236</v>
      </c>
      <c r="B126" s="54" t="s">
        <v>129</v>
      </c>
      <c r="C126" s="57">
        <v>2090</v>
      </c>
      <c r="AE126" s="57">
        <v>2.8860000000000001</v>
      </c>
      <c r="AF126" s="57">
        <v>1.353</v>
      </c>
      <c r="BC126" s="57">
        <v>1.6379999999999999</v>
      </c>
      <c r="BD126" s="57">
        <v>0.79200000000000004</v>
      </c>
    </row>
    <row r="127" spans="1:58" x14ac:dyDescent="0.2">
      <c r="A127" s="57" t="s">
        <v>236</v>
      </c>
      <c r="B127" s="54" t="s">
        <v>58</v>
      </c>
      <c r="C127" s="57">
        <v>2089</v>
      </c>
      <c r="AE127" s="57">
        <v>3.6480000000000001</v>
      </c>
      <c r="AF127" s="57">
        <v>1.91</v>
      </c>
      <c r="BC127" s="57">
        <v>1.03</v>
      </c>
      <c r="BD127" s="57">
        <v>0.38300000000000001</v>
      </c>
      <c r="BF127" s="57" t="s">
        <v>266</v>
      </c>
    </row>
    <row r="128" spans="1:58" x14ac:dyDescent="0.2">
      <c r="A128" s="57" t="s">
        <v>236</v>
      </c>
      <c r="B128" s="54" t="s">
        <v>64</v>
      </c>
      <c r="C128" s="57">
        <v>2088</v>
      </c>
      <c r="BC128" s="57">
        <v>1.264</v>
      </c>
      <c r="BD128" s="57">
        <v>0.61899999999999999</v>
      </c>
    </row>
    <row r="129" spans="1:61" x14ac:dyDescent="0.2">
      <c r="A129" s="57" t="s">
        <v>236</v>
      </c>
      <c r="B129" s="54" t="s">
        <v>64</v>
      </c>
      <c r="C129" s="57">
        <v>2087</v>
      </c>
      <c r="BC129" s="57">
        <v>2.762</v>
      </c>
      <c r="BD129" s="57">
        <v>1.3520000000000001</v>
      </c>
    </row>
    <row r="130" spans="1:61" x14ac:dyDescent="0.2">
      <c r="A130" s="57" t="s">
        <v>236</v>
      </c>
      <c r="B130" s="54" t="s">
        <v>64</v>
      </c>
      <c r="C130" s="57">
        <v>2086</v>
      </c>
      <c r="AE130" s="57">
        <v>1.1930000000000001</v>
      </c>
      <c r="AF130" s="57">
        <v>0.55100000000000005</v>
      </c>
      <c r="BC130" s="57">
        <v>1.5269999999999999</v>
      </c>
      <c r="BD130" s="57">
        <v>0.75700000000000001</v>
      </c>
    </row>
    <row r="131" spans="1:61" x14ac:dyDescent="0.2">
      <c r="A131" s="57" t="s">
        <v>236</v>
      </c>
      <c r="B131" s="54" t="s">
        <v>64</v>
      </c>
      <c r="C131" s="57">
        <v>2085</v>
      </c>
      <c r="BC131" s="57">
        <v>1.369</v>
      </c>
      <c r="BD131" s="57">
        <v>0.67500000000000004</v>
      </c>
    </row>
    <row r="132" spans="1:61" x14ac:dyDescent="0.2">
      <c r="A132" s="57" t="s">
        <v>235</v>
      </c>
      <c r="B132" s="54" t="s">
        <v>64</v>
      </c>
      <c r="C132" s="57">
        <v>2020</v>
      </c>
      <c r="AE132" s="57">
        <v>1.5369999999999999</v>
      </c>
      <c r="AF132" s="57">
        <v>0.76300000000000001</v>
      </c>
      <c r="BC132" s="57">
        <v>1.27</v>
      </c>
      <c r="BD132" s="57">
        <v>0.66200000000000003</v>
      </c>
    </row>
    <row r="133" spans="1:61" x14ac:dyDescent="0.2">
      <c r="A133" s="57" t="s">
        <v>235</v>
      </c>
      <c r="B133" s="54" t="s">
        <v>64</v>
      </c>
      <c r="C133" s="57">
        <v>2021</v>
      </c>
      <c r="AE133" s="57">
        <v>2.5750000000000002</v>
      </c>
      <c r="AF133" s="57">
        <v>1.288</v>
      </c>
      <c r="BC133" s="57">
        <v>1.075</v>
      </c>
      <c r="BD133" s="57">
        <v>0.55900000000000005</v>
      </c>
    </row>
    <row r="134" spans="1:61" x14ac:dyDescent="0.2">
      <c r="A134" s="57" t="s">
        <v>235</v>
      </c>
      <c r="B134" s="54" t="s">
        <v>58</v>
      </c>
      <c r="C134" s="57">
        <v>2022</v>
      </c>
      <c r="AE134" s="57">
        <v>4.7779999999999996</v>
      </c>
      <c r="AF134" s="57">
        <v>2.58</v>
      </c>
      <c r="BC134" s="68"/>
      <c r="BD134" s="68"/>
      <c r="BF134" s="69" t="s">
        <v>267</v>
      </c>
    </row>
    <row r="135" spans="1:61" x14ac:dyDescent="0.2">
      <c r="A135" s="57" t="s">
        <v>235</v>
      </c>
      <c r="B135" s="54" t="s">
        <v>58</v>
      </c>
      <c r="C135" s="57">
        <v>2023</v>
      </c>
      <c r="AE135" s="57">
        <v>5.0229999999999997</v>
      </c>
      <c r="AF135" s="57">
        <v>2.613</v>
      </c>
      <c r="BC135" s="57">
        <v>1.5009999999999999</v>
      </c>
      <c r="BD135" s="57">
        <v>0.78700000000000003</v>
      </c>
    </row>
    <row r="136" spans="1:61" x14ac:dyDescent="0.2">
      <c r="A136" s="57" t="s">
        <v>235</v>
      </c>
      <c r="B136" s="54" t="s">
        <v>64</v>
      </c>
      <c r="C136" s="57">
        <v>2024</v>
      </c>
      <c r="BC136" s="57">
        <v>1.8620000000000001</v>
      </c>
      <c r="BD136" s="57">
        <v>0.96299999999999997</v>
      </c>
    </row>
    <row r="137" spans="1:61" x14ac:dyDescent="0.2">
      <c r="A137" s="57" t="s">
        <v>235</v>
      </c>
      <c r="B137" s="54" t="s">
        <v>64</v>
      </c>
      <c r="C137" s="57">
        <v>2025</v>
      </c>
      <c r="AE137" s="57">
        <v>1.3560000000000001</v>
      </c>
      <c r="AF137" s="57">
        <v>0.66400000000000003</v>
      </c>
      <c r="BC137" s="57">
        <v>1.5549999999999999</v>
      </c>
      <c r="BD137" s="57">
        <v>0.80600000000000005</v>
      </c>
    </row>
    <row r="138" spans="1:61" x14ac:dyDescent="0.2">
      <c r="A138" s="57" t="s">
        <v>237</v>
      </c>
      <c r="B138" s="54" t="s">
        <v>64</v>
      </c>
      <c r="C138" s="57">
        <v>2026</v>
      </c>
      <c r="AE138" s="57">
        <v>1.679</v>
      </c>
      <c r="AF138" s="57">
        <v>0.86399999999999999</v>
      </c>
      <c r="BC138" s="57">
        <v>1.7450000000000001</v>
      </c>
      <c r="BD138" s="57">
        <v>0.94</v>
      </c>
    </row>
    <row r="139" spans="1:61" x14ac:dyDescent="0.2">
      <c r="A139" s="57" t="s">
        <v>237</v>
      </c>
      <c r="B139" s="54" t="s">
        <v>64</v>
      </c>
      <c r="C139" s="57">
        <v>2027</v>
      </c>
      <c r="AE139" s="57">
        <v>1.867</v>
      </c>
      <c r="AF139" s="57">
        <v>0.93600000000000005</v>
      </c>
      <c r="BC139" s="57">
        <v>0.94899999999999995</v>
      </c>
      <c r="BD139" s="57">
        <v>0.505</v>
      </c>
    </row>
    <row r="140" spans="1:61" x14ac:dyDescent="0.2">
      <c r="A140" s="57" t="s">
        <v>237</v>
      </c>
      <c r="B140" s="54"/>
      <c r="C140" s="57">
        <v>2028</v>
      </c>
      <c r="AE140" s="57">
        <v>3.19</v>
      </c>
      <c r="AF140" s="57">
        <v>1.724</v>
      </c>
      <c r="BC140" s="57">
        <v>1.716</v>
      </c>
      <c r="BD140" s="57">
        <v>0.93700000000000006</v>
      </c>
    </row>
    <row r="141" spans="1:61" x14ac:dyDescent="0.2">
      <c r="A141" s="57" t="s">
        <v>237</v>
      </c>
      <c r="B141" s="54"/>
      <c r="C141" s="57">
        <v>2029</v>
      </c>
      <c r="AE141" s="57">
        <v>3.2650000000000001</v>
      </c>
      <c r="AF141" s="57">
        <v>1.7809999999999999</v>
      </c>
      <c r="BC141" s="68"/>
      <c r="BD141" s="68"/>
      <c r="BF141" s="57" t="s">
        <v>268</v>
      </c>
      <c r="BG141" s="57"/>
      <c r="BH141" s="57"/>
      <c r="BI141" s="57"/>
    </row>
    <row r="142" spans="1:61" x14ac:dyDescent="0.2">
      <c r="A142" s="57" t="s">
        <v>237</v>
      </c>
      <c r="B142" s="54"/>
      <c r="C142" s="57">
        <v>2030</v>
      </c>
      <c r="AE142" s="57">
        <v>3.343</v>
      </c>
      <c r="AF142" s="57">
        <v>1.841</v>
      </c>
      <c r="BF142" s="57" t="s">
        <v>269</v>
      </c>
      <c r="BG142" s="57"/>
      <c r="BH142" s="57"/>
      <c r="BI142" s="57"/>
    </row>
    <row r="143" spans="1:61" x14ac:dyDescent="0.2">
      <c r="A143" s="57" t="s">
        <v>237</v>
      </c>
      <c r="B143" s="54"/>
      <c r="C143" s="57">
        <v>2031</v>
      </c>
    </row>
    <row r="144" spans="1:61" x14ac:dyDescent="0.2">
      <c r="A144" s="57" t="s">
        <v>238</v>
      </c>
      <c r="B144" s="54" t="s">
        <v>64</v>
      </c>
      <c r="C144" s="57">
        <v>2012</v>
      </c>
      <c r="AE144" s="68">
        <v>1.397</v>
      </c>
      <c r="AF144" s="68">
        <v>0.68400000000000005</v>
      </c>
      <c r="BC144" s="57">
        <v>1.0900000000000001</v>
      </c>
      <c r="BD144" s="57">
        <v>0.55300000000000005</v>
      </c>
    </row>
    <row r="145" spans="1:56" x14ac:dyDescent="0.2">
      <c r="A145" s="57" t="s">
        <v>238</v>
      </c>
      <c r="B145" s="54" t="s">
        <v>64</v>
      </c>
      <c r="C145" s="57">
        <v>2013</v>
      </c>
      <c r="AE145" s="57">
        <v>1.264</v>
      </c>
      <c r="AF145" s="57">
        <v>0.56699999999999995</v>
      </c>
      <c r="BC145" s="57">
        <v>1.8520000000000001</v>
      </c>
      <c r="BD145" s="57">
        <v>0.89500000000000002</v>
      </c>
    </row>
    <row r="146" spans="1:56" x14ac:dyDescent="0.2">
      <c r="A146" s="57" t="s">
        <v>238</v>
      </c>
      <c r="B146" s="54" t="s">
        <v>64</v>
      </c>
      <c r="C146" s="57">
        <v>2014</v>
      </c>
    </row>
    <row r="147" spans="1:56" x14ac:dyDescent="0.2">
      <c r="A147" s="57" t="s">
        <v>238</v>
      </c>
      <c r="B147" s="54" t="s">
        <v>64</v>
      </c>
      <c r="C147" s="57">
        <v>2015</v>
      </c>
      <c r="BC147" s="57">
        <v>1.216</v>
      </c>
      <c r="BD147" s="57">
        <v>0.61299999999999999</v>
      </c>
    </row>
    <row r="148" spans="1:56" x14ac:dyDescent="0.2">
      <c r="A148" s="57" t="s">
        <v>238</v>
      </c>
      <c r="B148" s="54" t="s">
        <v>64</v>
      </c>
      <c r="C148" s="57">
        <v>1478</v>
      </c>
      <c r="AE148" s="57">
        <v>1.7589999999999999</v>
      </c>
      <c r="AF148" s="57">
        <v>0.84699999999999998</v>
      </c>
      <c r="BC148" s="57">
        <v>1.7350000000000001</v>
      </c>
      <c r="BD148" s="57">
        <v>0.85899999999999999</v>
      </c>
    </row>
    <row r="149" spans="1:56" x14ac:dyDescent="0.2">
      <c r="B149" s="54"/>
      <c r="C149" s="57">
        <v>2011</v>
      </c>
    </row>
    <row r="150" spans="1:56" x14ac:dyDescent="0.2">
      <c r="A150" s="57" t="s">
        <v>239</v>
      </c>
      <c r="B150" s="54" t="s">
        <v>64</v>
      </c>
      <c r="C150" s="57">
        <v>2010</v>
      </c>
    </row>
    <row r="151" spans="1:56" x14ac:dyDescent="0.2">
      <c r="A151" s="57" t="s">
        <v>240</v>
      </c>
      <c r="B151" s="54" t="s">
        <v>64</v>
      </c>
      <c r="C151" s="57">
        <v>2009</v>
      </c>
    </row>
    <row r="152" spans="1:56" x14ac:dyDescent="0.2">
      <c r="B152" s="3"/>
      <c r="C152" s="57">
        <v>2008</v>
      </c>
    </row>
    <row r="153" spans="1:56" x14ac:dyDescent="0.2">
      <c r="B153" s="54" t="s">
        <v>64</v>
      </c>
      <c r="C153" s="57">
        <v>2032</v>
      </c>
      <c r="AE153" s="57">
        <v>2.15</v>
      </c>
      <c r="AF153" s="57">
        <v>1.093</v>
      </c>
      <c r="BC153" s="57">
        <v>1.4770000000000001</v>
      </c>
      <c r="BD153" s="57">
        <v>0.77400000000000002</v>
      </c>
    </row>
    <row r="154" spans="1:56" x14ac:dyDescent="0.2">
      <c r="B154" s="54" t="s">
        <v>64</v>
      </c>
      <c r="C154" s="57">
        <v>2385</v>
      </c>
      <c r="AE154" s="57">
        <v>3.145</v>
      </c>
      <c r="AF154" s="57">
        <v>1.496</v>
      </c>
    </row>
    <row r="155" spans="1:56" x14ac:dyDescent="0.2">
      <c r="B155" s="3"/>
    </row>
    <row r="156" spans="1:56" x14ac:dyDescent="0.2">
      <c r="B156" s="3"/>
    </row>
    <row r="157" spans="1:56" x14ac:dyDescent="0.2">
      <c r="B157" s="3"/>
    </row>
    <row r="158" spans="1:56" x14ac:dyDescent="0.2">
      <c r="B158" s="3"/>
    </row>
    <row r="159" spans="1:56" x14ac:dyDescent="0.2">
      <c r="B159" s="3"/>
    </row>
    <row r="160" spans="1:56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7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796875" customWidth="1"/>
    <col min="2" max="2" width="8.59765625" customWidth="1"/>
    <col min="3" max="3" width="7.796875" customWidth="1"/>
    <col min="4" max="4" width="6.59765625" customWidth="1"/>
    <col min="5" max="5" width="11" customWidth="1"/>
    <col min="6" max="7" width="8.19921875" customWidth="1"/>
    <col min="8" max="8" width="8.796875" customWidth="1"/>
    <col min="9" max="9" width="7.59765625" customWidth="1"/>
    <col min="10" max="10" width="8.796875" customWidth="1"/>
    <col min="11" max="11" width="8.19921875" customWidth="1"/>
    <col min="12" max="12" width="7.19921875" customWidth="1"/>
  </cols>
  <sheetData>
    <row r="1" spans="1:26" x14ac:dyDescent="0.2">
      <c r="A1" s="61" t="s">
        <v>12</v>
      </c>
      <c r="B1" s="61" t="s">
        <v>130</v>
      </c>
      <c r="C1" s="61" t="s">
        <v>131</v>
      </c>
      <c r="D1" s="61" t="s">
        <v>132</v>
      </c>
      <c r="E1" s="61" t="s">
        <v>133</v>
      </c>
      <c r="F1" s="61" t="s">
        <v>134</v>
      </c>
      <c r="G1" s="61" t="s">
        <v>135</v>
      </c>
      <c r="H1" s="61" t="s">
        <v>136</v>
      </c>
      <c r="I1" s="61" t="s">
        <v>137</v>
      </c>
      <c r="J1" s="61" t="s">
        <v>138</v>
      </c>
      <c r="K1" s="61" t="s">
        <v>139</v>
      </c>
      <c r="L1" s="61" t="s">
        <v>140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">
      <c r="A2" s="57" t="s">
        <v>59</v>
      </c>
      <c r="B2" s="57">
        <v>2345</v>
      </c>
      <c r="C2" s="57">
        <v>1</v>
      </c>
      <c r="D2" s="57">
        <v>1</v>
      </c>
      <c r="F2" s="57">
        <v>2.7010000000000001</v>
      </c>
      <c r="G2" s="57">
        <v>1.512</v>
      </c>
      <c r="H2" s="57">
        <v>0.83499999999999996</v>
      </c>
      <c r="I2" s="57">
        <v>0.442</v>
      </c>
      <c r="J2" s="57">
        <v>12.22</v>
      </c>
      <c r="K2" s="33">
        <f>AVERAGE(2.18,2.12,2.09,2.15)</f>
        <v>2.1350000000000002</v>
      </c>
      <c r="L2" s="63">
        <v>44628</v>
      </c>
    </row>
    <row r="3" spans="1:26" x14ac:dyDescent="0.2">
      <c r="A3" s="57" t="s">
        <v>59</v>
      </c>
      <c r="B3" s="57">
        <v>2380</v>
      </c>
      <c r="C3" s="57">
        <v>3</v>
      </c>
      <c r="D3" s="57">
        <v>1</v>
      </c>
      <c r="F3" s="57">
        <v>1.0669999999999999</v>
      </c>
      <c r="G3" s="57">
        <v>0.64700000000000002</v>
      </c>
      <c r="H3" s="57">
        <v>0.45300000000000001</v>
      </c>
      <c r="I3" s="57">
        <v>0.24</v>
      </c>
      <c r="J3" s="57">
        <v>7.29</v>
      </c>
      <c r="K3" s="33">
        <f>AVERAGE(1.69,1.64,1.57,1.59)</f>
        <v>1.6225000000000001</v>
      </c>
      <c r="L3" s="63">
        <v>44628</v>
      </c>
    </row>
    <row r="4" spans="1:26" x14ac:dyDescent="0.2">
      <c r="A4" s="57" t="s">
        <v>59</v>
      </c>
      <c r="B4" s="57">
        <v>2377</v>
      </c>
      <c r="C4" s="57">
        <v>1</v>
      </c>
      <c r="D4" s="57">
        <v>0</v>
      </c>
      <c r="F4" s="57">
        <v>0.52800000000000002</v>
      </c>
      <c r="G4" s="57">
        <v>0.14699999999999999</v>
      </c>
      <c r="H4" s="57">
        <v>6.5000000000000002E-2</v>
      </c>
      <c r="I4" s="57">
        <v>1.9E-2</v>
      </c>
      <c r="J4" s="57">
        <v>2.4700000000000002</v>
      </c>
      <c r="K4" s="33">
        <f>AVERAGE(0.91,0.75,0.86,0.91)</f>
        <v>0.85750000000000004</v>
      </c>
      <c r="L4" s="63">
        <v>44628</v>
      </c>
    </row>
    <row r="5" spans="1:26" x14ac:dyDescent="0.2">
      <c r="A5" s="57" t="s">
        <v>59</v>
      </c>
      <c r="B5" s="57">
        <v>2352</v>
      </c>
      <c r="C5" s="57">
        <v>1</v>
      </c>
      <c r="D5" s="57">
        <v>1</v>
      </c>
      <c r="F5" s="57">
        <v>1.105</v>
      </c>
      <c r="G5" s="57">
        <v>0.71699999999999997</v>
      </c>
      <c r="H5" s="57">
        <v>0.28299999999999997</v>
      </c>
      <c r="I5" s="57">
        <v>0.154</v>
      </c>
      <c r="J5" s="57">
        <v>8.31</v>
      </c>
      <c r="K5" s="33">
        <f>AVERAGE(1.37,1.38,1.37,1.5)</f>
        <v>1.405</v>
      </c>
      <c r="L5" s="63">
        <v>44628</v>
      </c>
    </row>
    <row r="6" spans="1:26" x14ac:dyDescent="0.2">
      <c r="A6" s="57" t="s">
        <v>141</v>
      </c>
      <c r="B6" s="57">
        <v>2004</v>
      </c>
      <c r="C6" s="57">
        <v>3</v>
      </c>
      <c r="D6" s="57">
        <v>0</v>
      </c>
      <c r="F6" s="57">
        <v>0.27400000000000002</v>
      </c>
      <c r="G6" s="57">
        <v>8.3000000000000004E-2</v>
      </c>
      <c r="H6" s="57">
        <v>5.6000000000000001E-2</v>
      </c>
      <c r="I6" s="57">
        <v>1.6E-2</v>
      </c>
      <c r="J6" s="57">
        <v>2.21</v>
      </c>
      <c r="K6" s="57" t="s">
        <v>60</v>
      </c>
      <c r="L6" s="63">
        <v>44628</v>
      </c>
    </row>
    <row r="7" spans="1:26" x14ac:dyDescent="0.2">
      <c r="A7" s="57" t="s">
        <v>59</v>
      </c>
      <c r="B7" s="57">
        <v>2354</v>
      </c>
      <c r="C7" s="57">
        <v>2</v>
      </c>
      <c r="D7" s="57">
        <v>1</v>
      </c>
      <c r="E7" s="57" t="s">
        <v>142</v>
      </c>
      <c r="F7" s="57">
        <v>1.073</v>
      </c>
      <c r="G7" s="57">
        <v>0.64300000000000002</v>
      </c>
      <c r="H7" s="57">
        <v>0.155</v>
      </c>
      <c r="I7" s="57">
        <v>7.9000000000000001E-2</v>
      </c>
      <c r="J7" s="57">
        <v>5.14</v>
      </c>
      <c r="K7" s="33">
        <f>AVERAGE(1.43,1.47,1.49,1.56)</f>
        <v>1.4874999999999998</v>
      </c>
      <c r="L7" s="63">
        <v>44628</v>
      </c>
    </row>
    <row r="8" spans="1:26" x14ac:dyDescent="0.2">
      <c r="A8" s="57" t="s">
        <v>59</v>
      </c>
      <c r="B8" s="57">
        <v>2377</v>
      </c>
      <c r="C8" s="57">
        <v>4</v>
      </c>
      <c r="D8" s="57">
        <v>1</v>
      </c>
      <c r="E8" s="57" t="s">
        <v>143</v>
      </c>
      <c r="F8" s="57">
        <v>0.20399999999999999</v>
      </c>
      <c r="G8" s="57">
        <v>0.123</v>
      </c>
      <c r="H8" s="57">
        <v>0.27900000000000003</v>
      </c>
      <c r="I8" s="57">
        <v>0.13200000000000001</v>
      </c>
      <c r="J8" s="57">
        <v>4.01</v>
      </c>
      <c r="K8" s="33">
        <f>AVERAGE(2.12,2.34,2.42,2.18)</f>
        <v>2.2650000000000001</v>
      </c>
      <c r="L8" s="63">
        <v>44628</v>
      </c>
    </row>
    <row r="9" spans="1:26" x14ac:dyDescent="0.2">
      <c r="A9" s="57" t="s">
        <v>59</v>
      </c>
      <c r="B9" s="57">
        <v>2354</v>
      </c>
      <c r="C9" s="57">
        <v>2</v>
      </c>
      <c r="D9" s="57">
        <v>1</v>
      </c>
      <c r="E9" s="57" t="s">
        <v>143</v>
      </c>
      <c r="F9" s="57">
        <v>0.20499999999999999</v>
      </c>
      <c r="G9" s="57">
        <v>0.114</v>
      </c>
      <c r="H9" s="57">
        <v>3.5999999999999997E-2</v>
      </c>
      <c r="I9" s="57">
        <v>1.7000000000000001E-2</v>
      </c>
      <c r="J9" s="57">
        <v>1.66</v>
      </c>
      <c r="K9" s="33">
        <f>AVERAGE(1.14,1.06,1.17,0.99)</f>
        <v>1.0900000000000001</v>
      </c>
      <c r="L9" s="63">
        <v>44628</v>
      </c>
    </row>
    <row r="10" spans="1:26" x14ac:dyDescent="0.2">
      <c r="A10" s="57" t="s">
        <v>59</v>
      </c>
      <c r="B10" s="57">
        <v>2354</v>
      </c>
      <c r="C10" s="57">
        <v>2</v>
      </c>
      <c r="D10" s="57">
        <v>2</v>
      </c>
      <c r="F10" s="57">
        <v>1.671</v>
      </c>
      <c r="G10" s="57">
        <v>0.98</v>
      </c>
      <c r="H10" s="57">
        <v>0.67900000000000005</v>
      </c>
      <c r="I10" s="57">
        <v>0.34599999999999997</v>
      </c>
      <c r="J10" s="57">
        <v>9.0399999999999991</v>
      </c>
      <c r="K10" s="33">
        <f>AVERAGE(1.81,1.82,1.76,1.84)</f>
        <v>1.8074999999999999</v>
      </c>
      <c r="L10" s="63">
        <v>44628</v>
      </c>
    </row>
    <row r="11" spans="1:26" x14ac:dyDescent="0.2">
      <c r="A11" s="57" t="s">
        <v>59</v>
      </c>
      <c r="B11" s="57">
        <v>2352</v>
      </c>
      <c r="C11" s="57">
        <v>4</v>
      </c>
      <c r="D11" s="57">
        <v>1</v>
      </c>
      <c r="F11" s="57">
        <v>1.3939999999999999</v>
      </c>
      <c r="G11" s="57">
        <v>0.87</v>
      </c>
      <c r="H11" s="57">
        <v>0.38200000000000001</v>
      </c>
      <c r="I11" s="57">
        <v>0.221</v>
      </c>
      <c r="J11" s="57">
        <v>11.76</v>
      </c>
      <c r="K11" s="33">
        <f>AVERAGE(1.69,1.71,1.72,1.76)</f>
        <v>1.72</v>
      </c>
      <c r="L11" s="63">
        <v>44628</v>
      </c>
    </row>
    <row r="12" spans="1:26" x14ac:dyDescent="0.2">
      <c r="A12" s="57" t="s">
        <v>59</v>
      </c>
      <c r="B12" s="57">
        <v>2376</v>
      </c>
      <c r="C12" s="57">
        <v>5</v>
      </c>
      <c r="D12" s="57">
        <v>1</v>
      </c>
      <c r="F12" s="57">
        <v>0.68100000000000005</v>
      </c>
      <c r="G12" s="57">
        <v>0.28299999999999997</v>
      </c>
      <c r="H12" s="57">
        <v>5.5E-2</v>
      </c>
      <c r="I12" s="57">
        <v>5.1999999999999998E-2</v>
      </c>
      <c r="J12" s="57">
        <v>2.82</v>
      </c>
      <c r="K12" s="33">
        <f>AVERAGE(1.43,1.32,1.27,1.34)</f>
        <v>1.3399999999999999</v>
      </c>
      <c r="L12" s="63">
        <v>44628</v>
      </c>
    </row>
    <row r="13" spans="1:26" x14ac:dyDescent="0.2">
      <c r="A13" s="57" t="s">
        <v>59</v>
      </c>
      <c r="B13" s="57">
        <v>2380</v>
      </c>
      <c r="C13" s="57">
        <v>2</v>
      </c>
      <c r="D13" s="57">
        <v>1</v>
      </c>
      <c r="E13" s="57" t="s">
        <v>142</v>
      </c>
      <c r="F13" s="57">
        <v>2.4500000000000002</v>
      </c>
      <c r="G13" s="57">
        <v>1.5</v>
      </c>
      <c r="H13" s="57">
        <v>0.56000000000000005</v>
      </c>
      <c r="I13" s="57">
        <v>0.27200000000000002</v>
      </c>
      <c r="J13" s="57">
        <v>8.24</v>
      </c>
      <c r="K13" s="33">
        <f>AVERAGE(2.27,1.86,1.89,1.84)</f>
        <v>1.9649999999999999</v>
      </c>
      <c r="L13" s="63">
        <v>44628</v>
      </c>
    </row>
    <row r="14" spans="1:26" x14ac:dyDescent="0.2">
      <c r="A14" s="57" t="s">
        <v>59</v>
      </c>
      <c r="B14" s="57">
        <v>2354</v>
      </c>
      <c r="C14" s="57">
        <v>1</v>
      </c>
      <c r="D14" s="57">
        <v>1</v>
      </c>
      <c r="F14" s="57">
        <v>0.69799999999999995</v>
      </c>
      <c r="G14" s="57">
        <v>0.39800000000000002</v>
      </c>
      <c r="H14" s="57">
        <v>0.10299999999999999</v>
      </c>
      <c r="I14" s="57">
        <v>4.7E-2</v>
      </c>
      <c r="J14" s="57">
        <v>3.81</v>
      </c>
      <c r="K14" s="33">
        <f>AVERAGE(0.97,1.03,1.18,1.1)</f>
        <v>1.0699999999999998</v>
      </c>
      <c r="L14" s="63">
        <v>44628</v>
      </c>
    </row>
    <row r="15" spans="1:26" x14ac:dyDescent="0.2">
      <c r="A15" s="57" t="s">
        <v>59</v>
      </c>
      <c r="B15" s="57">
        <v>2345</v>
      </c>
      <c r="C15" s="57">
        <v>2</v>
      </c>
      <c r="D15" s="57">
        <v>1</v>
      </c>
      <c r="F15" s="57">
        <v>0.93200000000000005</v>
      </c>
      <c r="G15" s="57">
        <v>0.52900000000000003</v>
      </c>
      <c r="H15" s="57">
        <v>0.35499999999999998</v>
      </c>
      <c r="I15" s="57">
        <v>0.17599999999999999</v>
      </c>
      <c r="J15" s="57">
        <v>4.87</v>
      </c>
      <c r="K15" s="33">
        <f>AVERAGE(1.74,1.99,1.84,1.81)</f>
        <v>1.8450000000000002</v>
      </c>
      <c r="L15" s="63">
        <v>44628</v>
      </c>
    </row>
    <row r="16" spans="1:26" x14ac:dyDescent="0.2">
      <c r="A16" s="57" t="s">
        <v>59</v>
      </c>
      <c r="B16" s="57">
        <v>2354</v>
      </c>
      <c r="C16" s="57">
        <v>4</v>
      </c>
      <c r="D16" s="57">
        <v>1</v>
      </c>
      <c r="F16" s="57">
        <v>0.46800000000000003</v>
      </c>
      <c r="G16" s="57">
        <v>0.26800000000000002</v>
      </c>
      <c r="H16" s="57">
        <v>0.107</v>
      </c>
      <c r="I16" s="57">
        <v>5.0999999999999997E-2</v>
      </c>
      <c r="J16" s="57">
        <v>4.53</v>
      </c>
      <c r="K16" s="33">
        <f>AVERAGE(1.21,1.08,1.01,1.02)</f>
        <v>1.08</v>
      </c>
      <c r="L16" s="63">
        <v>44628</v>
      </c>
    </row>
    <row r="17" spans="1:12" x14ac:dyDescent="0.2">
      <c r="A17" s="57" t="s">
        <v>59</v>
      </c>
      <c r="B17" s="57">
        <v>2376</v>
      </c>
      <c r="C17" s="57">
        <v>2</v>
      </c>
      <c r="D17" s="57">
        <v>1</v>
      </c>
      <c r="F17" s="57">
        <v>2.4039999999999999</v>
      </c>
      <c r="G17" s="57">
        <v>1.1559999999999999</v>
      </c>
      <c r="H17" s="57">
        <v>0.29099999999999998</v>
      </c>
      <c r="I17" s="57">
        <v>0.123</v>
      </c>
      <c r="J17" s="57">
        <v>5.27</v>
      </c>
      <c r="K17" s="33">
        <f>AVERAGE(1.56,1.57,1.58,1.63)</f>
        <v>1.585</v>
      </c>
      <c r="L17" s="63">
        <v>44628</v>
      </c>
    </row>
    <row r="18" spans="1:12" x14ac:dyDescent="0.2">
      <c r="A18" s="57" t="s">
        <v>141</v>
      </c>
      <c r="B18" s="57">
        <v>2004</v>
      </c>
      <c r="C18" s="57">
        <v>4</v>
      </c>
      <c r="D18" s="57">
        <v>0</v>
      </c>
      <c r="F18" s="57">
        <v>0.34899999999999998</v>
      </c>
      <c r="G18" s="57">
        <v>0.112</v>
      </c>
      <c r="H18" s="57">
        <v>9.4E-2</v>
      </c>
      <c r="I18" s="57">
        <v>2.3E-2</v>
      </c>
      <c r="J18" s="57">
        <v>2.78</v>
      </c>
      <c r="K18" s="57" t="s">
        <v>60</v>
      </c>
      <c r="L18" s="63">
        <v>44628</v>
      </c>
    </row>
    <row r="19" spans="1:12" x14ac:dyDescent="0.2">
      <c r="A19" s="57" t="s">
        <v>59</v>
      </c>
      <c r="B19" s="57">
        <v>2380</v>
      </c>
      <c r="C19" s="57">
        <v>1</v>
      </c>
      <c r="D19" s="57">
        <v>1</v>
      </c>
      <c r="E19" s="57" t="s">
        <v>142</v>
      </c>
      <c r="F19" s="57">
        <v>1.373</v>
      </c>
      <c r="G19" s="57">
        <v>0.85699999999999998</v>
      </c>
      <c r="H19" s="57">
        <v>0.215</v>
      </c>
      <c r="I19" s="57">
        <v>0.13100000000000001</v>
      </c>
      <c r="J19" s="57">
        <v>3.56</v>
      </c>
      <c r="K19" s="33">
        <f>AVERAGE(1.9,1.68,1.72,1.74)</f>
        <v>1.76</v>
      </c>
      <c r="L19" s="63">
        <v>44628</v>
      </c>
    </row>
    <row r="20" spans="1:12" x14ac:dyDescent="0.2">
      <c r="A20" s="57" t="s">
        <v>59</v>
      </c>
      <c r="B20" s="57">
        <v>2301</v>
      </c>
      <c r="C20" s="57">
        <v>3</v>
      </c>
      <c r="D20" s="57">
        <v>1</v>
      </c>
      <c r="F20" s="57">
        <v>5.2309999999999999</v>
      </c>
      <c r="G20" s="57">
        <v>2.8540000000000001</v>
      </c>
      <c r="H20" s="57">
        <v>0.70699999999999996</v>
      </c>
      <c r="I20" s="57">
        <v>0.35799999999999998</v>
      </c>
      <c r="J20" s="57">
        <v>11.05</v>
      </c>
      <c r="K20" s="33">
        <f>AVERAGE(2.19,2.16,2.18,2.29)</f>
        <v>2.2050000000000001</v>
      </c>
      <c r="L20" s="63">
        <v>44628</v>
      </c>
    </row>
    <row r="21" spans="1:12" x14ac:dyDescent="0.2">
      <c r="A21" s="57" t="s">
        <v>59</v>
      </c>
      <c r="B21" s="57">
        <v>2380</v>
      </c>
      <c r="C21" s="57">
        <v>4</v>
      </c>
      <c r="D21" s="57">
        <v>1</v>
      </c>
      <c r="F21" s="57">
        <v>0.95899999999999996</v>
      </c>
      <c r="G21" s="57">
        <v>0.58599999999999997</v>
      </c>
      <c r="H21" s="57">
        <v>0.32900000000000001</v>
      </c>
      <c r="I21" s="57">
        <v>0.191</v>
      </c>
      <c r="J21" s="57">
        <v>5.69</v>
      </c>
      <c r="K21" s="33">
        <f>AVERAGE(1.65,1.53,1.85,1.83)</f>
        <v>1.7149999999999999</v>
      </c>
      <c r="L21" s="63">
        <v>44628</v>
      </c>
    </row>
    <row r="22" spans="1:12" x14ac:dyDescent="0.2">
      <c r="A22" s="57" t="s">
        <v>59</v>
      </c>
      <c r="B22" s="57">
        <v>2376</v>
      </c>
      <c r="C22" s="57">
        <v>6</v>
      </c>
      <c r="D22" s="57">
        <v>1</v>
      </c>
      <c r="F22" s="57">
        <v>0.48</v>
      </c>
      <c r="G22" s="57">
        <v>0.97899999999999998</v>
      </c>
      <c r="H22" s="57">
        <v>9.4E-2</v>
      </c>
      <c r="I22" s="57">
        <v>0.14000000000000001</v>
      </c>
      <c r="J22" s="57">
        <v>5.58</v>
      </c>
      <c r="K22" s="33">
        <f>AVERAGE(1.6,1.62,1.5,1.63)</f>
        <v>1.5875000000000001</v>
      </c>
      <c r="L22" s="63">
        <v>44628</v>
      </c>
    </row>
    <row r="23" spans="1:12" x14ac:dyDescent="0.2">
      <c r="A23" s="57" t="s">
        <v>59</v>
      </c>
      <c r="B23" s="57">
        <v>2376</v>
      </c>
      <c r="C23" s="57">
        <v>1</v>
      </c>
      <c r="D23" s="57">
        <v>1</v>
      </c>
      <c r="F23" s="57">
        <v>1.671</v>
      </c>
      <c r="G23" s="57">
        <v>1.375</v>
      </c>
      <c r="H23" s="57">
        <v>0.26500000000000001</v>
      </c>
      <c r="I23" s="57">
        <v>0.14899999999999999</v>
      </c>
      <c r="J23" s="57">
        <v>5.57</v>
      </c>
      <c r="K23" s="33">
        <f>AVERAGE(1.75,1.66,1.66,1.71)</f>
        <v>1.6950000000000001</v>
      </c>
      <c r="L23" s="63">
        <v>44628</v>
      </c>
    </row>
    <row r="24" spans="1:12" x14ac:dyDescent="0.2">
      <c r="A24" s="57" t="s">
        <v>141</v>
      </c>
      <c r="B24" s="57">
        <v>2005</v>
      </c>
      <c r="C24" s="57">
        <v>3</v>
      </c>
      <c r="D24" s="57">
        <v>0</v>
      </c>
      <c r="F24" s="57">
        <v>2.0670000000000002</v>
      </c>
      <c r="G24" s="57">
        <v>0.68899999999999995</v>
      </c>
      <c r="H24" s="57">
        <v>0.214</v>
      </c>
      <c r="I24" s="57">
        <v>6.6000000000000003E-2</v>
      </c>
      <c r="J24" s="57">
        <v>3.47</v>
      </c>
      <c r="K24" s="57" t="s">
        <v>60</v>
      </c>
      <c r="L24" s="63">
        <v>44628</v>
      </c>
    </row>
    <row r="25" spans="1:12" x14ac:dyDescent="0.2">
      <c r="A25" s="57" t="s">
        <v>59</v>
      </c>
      <c r="B25" s="57">
        <v>2377</v>
      </c>
      <c r="C25" s="57">
        <v>1</v>
      </c>
      <c r="D25" s="57">
        <v>1</v>
      </c>
      <c r="E25" s="57" t="s">
        <v>142</v>
      </c>
      <c r="F25" s="57">
        <v>0.33700000000000002</v>
      </c>
      <c r="G25" s="57">
        <v>0.19400000000000001</v>
      </c>
      <c r="H25" s="57">
        <v>0.23200000000000001</v>
      </c>
      <c r="I25" s="57">
        <v>0.11</v>
      </c>
      <c r="J25" s="57">
        <v>4.05</v>
      </c>
      <c r="K25" s="33">
        <f>AVERAGE(1.66,1.76,1.8,1.81)</f>
        <v>1.7574999999999998</v>
      </c>
      <c r="L25" s="63">
        <v>44628</v>
      </c>
    </row>
    <row r="26" spans="1:12" x14ac:dyDescent="0.2">
      <c r="A26" s="57" t="s">
        <v>59</v>
      </c>
      <c r="B26" s="57">
        <v>2377</v>
      </c>
      <c r="C26" s="57">
        <v>1</v>
      </c>
      <c r="D26" s="57">
        <v>1</v>
      </c>
      <c r="E26" s="57" t="s">
        <v>143</v>
      </c>
      <c r="F26" s="57">
        <v>0.16900000000000001</v>
      </c>
      <c r="G26" s="57">
        <v>9.4E-2</v>
      </c>
      <c r="H26" s="57">
        <v>5.7000000000000002E-2</v>
      </c>
      <c r="I26" s="57">
        <v>2.7E-2</v>
      </c>
      <c r="J26" s="57">
        <v>1.83</v>
      </c>
      <c r="K26" s="33">
        <f>AVERAGE(1.12,1,1.13,1.04)</f>
        <v>1.0725</v>
      </c>
      <c r="L26" s="63">
        <v>44628</v>
      </c>
    </row>
    <row r="27" spans="1:12" x14ac:dyDescent="0.2">
      <c r="A27" s="57" t="s">
        <v>59</v>
      </c>
      <c r="B27" s="57">
        <v>2354</v>
      </c>
      <c r="C27" s="57">
        <v>1</v>
      </c>
      <c r="D27" s="57">
        <v>0</v>
      </c>
      <c r="F27" s="57">
        <v>0.29899999999999999</v>
      </c>
      <c r="G27" s="57">
        <v>8.5999999999999993E-2</v>
      </c>
      <c r="H27" s="57">
        <v>4.3999999999999997E-2</v>
      </c>
      <c r="I27" s="57">
        <v>1.2E-2</v>
      </c>
      <c r="J27" s="57">
        <v>2.31</v>
      </c>
      <c r="K27" s="33">
        <f>AVERAGE(0.49,0.45,0.42,0.47)</f>
        <v>0.45749999999999996</v>
      </c>
      <c r="L27" s="63">
        <v>44628</v>
      </c>
    </row>
    <row r="28" spans="1:12" x14ac:dyDescent="0.2">
      <c r="A28" s="57" t="s">
        <v>141</v>
      </c>
      <c r="B28" s="57">
        <v>2006</v>
      </c>
      <c r="C28" s="57">
        <v>3</v>
      </c>
      <c r="D28" s="57">
        <v>0</v>
      </c>
      <c r="F28" s="57">
        <v>0.55000000000000004</v>
      </c>
      <c r="G28" s="57">
        <v>0.16900000000000001</v>
      </c>
      <c r="H28" s="57">
        <v>4.2000000000000003E-2</v>
      </c>
      <c r="I28" s="57">
        <v>1.2E-2</v>
      </c>
      <c r="J28" s="57">
        <v>1.1000000000000001</v>
      </c>
      <c r="K28" s="57" t="s">
        <v>60</v>
      </c>
      <c r="L28" s="63">
        <v>44628</v>
      </c>
    </row>
    <row r="29" spans="1:12" x14ac:dyDescent="0.2">
      <c r="A29" s="57" t="s">
        <v>59</v>
      </c>
      <c r="B29" s="57">
        <v>2377</v>
      </c>
      <c r="C29" s="57">
        <v>6</v>
      </c>
      <c r="D29" s="57">
        <v>1</v>
      </c>
      <c r="F29" s="57">
        <v>0.69799999999999995</v>
      </c>
      <c r="G29" s="57">
        <v>0.38600000000000001</v>
      </c>
      <c r="H29" s="57">
        <v>0.155</v>
      </c>
      <c r="I29" s="57">
        <v>7.6999999999999999E-2</v>
      </c>
      <c r="J29" s="57">
        <v>5.13</v>
      </c>
      <c r="K29" s="33">
        <f>AVERAGE(1.39,1.43,1.53,1.59)</f>
        <v>1.4849999999999999</v>
      </c>
      <c r="L29" s="63">
        <v>44628</v>
      </c>
    </row>
    <row r="30" spans="1:12" x14ac:dyDescent="0.2">
      <c r="A30" s="57" t="s">
        <v>59</v>
      </c>
      <c r="B30" s="57">
        <v>2331</v>
      </c>
      <c r="C30" s="57">
        <v>6</v>
      </c>
      <c r="D30" s="57">
        <v>1</v>
      </c>
      <c r="F30" s="57">
        <v>0.64400000000000002</v>
      </c>
      <c r="G30" s="57">
        <v>0.36599999999999999</v>
      </c>
      <c r="H30" s="57">
        <v>0.16400000000000001</v>
      </c>
      <c r="I30" s="57">
        <v>8.2000000000000003E-2</v>
      </c>
      <c r="J30" s="57">
        <v>4.53</v>
      </c>
      <c r="K30" s="33">
        <f>AVERAGE(1.26,1.38,1.33,1.35)</f>
        <v>1.33</v>
      </c>
      <c r="L30" s="63">
        <v>44628</v>
      </c>
    </row>
    <row r="31" spans="1:12" x14ac:dyDescent="0.2">
      <c r="A31" s="57" t="s">
        <v>59</v>
      </c>
      <c r="B31" s="57">
        <v>2376</v>
      </c>
      <c r="C31" s="57">
        <v>3</v>
      </c>
      <c r="D31" s="57">
        <v>1</v>
      </c>
      <c r="F31" s="57">
        <v>2.0350000000000001</v>
      </c>
      <c r="G31" s="57">
        <v>1.0589999999999999</v>
      </c>
      <c r="H31" s="57">
        <v>0.24299999999999999</v>
      </c>
      <c r="I31" s="57">
        <v>0.122</v>
      </c>
      <c r="J31" s="57">
        <v>5.16</v>
      </c>
      <c r="K31" s="33">
        <f>AVERAGE(1.57,1.58,1.59,1.61)</f>
        <v>1.5875000000000001</v>
      </c>
      <c r="L31" s="63">
        <v>44628</v>
      </c>
    </row>
    <row r="32" spans="1:12" x14ac:dyDescent="0.2">
      <c r="A32" s="57" t="s">
        <v>59</v>
      </c>
      <c r="B32" s="57">
        <v>2377</v>
      </c>
      <c r="C32" s="57">
        <v>3</v>
      </c>
      <c r="D32" s="57">
        <v>2</v>
      </c>
      <c r="F32" s="57">
        <v>2.3340000000000001</v>
      </c>
      <c r="G32" s="57">
        <v>1.341</v>
      </c>
      <c r="H32" s="57">
        <v>0.84699999999999998</v>
      </c>
      <c r="I32" s="57">
        <v>0.435</v>
      </c>
      <c r="J32" s="57">
        <v>12.85</v>
      </c>
      <c r="K32" s="33">
        <f>AVERAGE(2.08,2.25,2.57,2.19)</f>
        <v>2.2725</v>
      </c>
      <c r="L32" s="63">
        <v>44628</v>
      </c>
    </row>
    <row r="33" spans="1:12" x14ac:dyDescent="0.2">
      <c r="A33" s="57" t="s">
        <v>59</v>
      </c>
      <c r="B33" s="57">
        <v>2377</v>
      </c>
      <c r="C33" s="57">
        <v>2</v>
      </c>
      <c r="D33" s="57">
        <v>2</v>
      </c>
      <c r="F33" s="57">
        <v>1.143</v>
      </c>
      <c r="G33" s="57">
        <v>0.69599999999999995</v>
      </c>
      <c r="H33" s="57">
        <v>0.28799999999999998</v>
      </c>
      <c r="I33" s="57">
        <v>0.15</v>
      </c>
      <c r="J33" s="57">
        <v>3.81</v>
      </c>
      <c r="K33" s="33">
        <f>AVERAGE(1.83,1.6,1.64,1.9)</f>
        <v>1.7425000000000002</v>
      </c>
      <c r="L33" s="63">
        <v>44628</v>
      </c>
    </row>
    <row r="34" spans="1:12" x14ac:dyDescent="0.2">
      <c r="A34" s="57" t="s">
        <v>59</v>
      </c>
      <c r="B34" s="57">
        <v>2345</v>
      </c>
      <c r="C34" s="57">
        <v>6</v>
      </c>
      <c r="D34" s="57">
        <v>1</v>
      </c>
      <c r="F34" s="57">
        <v>2.8639999999999999</v>
      </c>
      <c r="G34" s="57">
        <v>1.609</v>
      </c>
      <c r="H34" s="57">
        <v>0.70599999999999996</v>
      </c>
      <c r="I34" s="57">
        <v>0.33400000000000002</v>
      </c>
      <c r="J34" s="57">
        <v>10.24</v>
      </c>
      <c r="K34" s="33">
        <f>AVERAGE(1.96,1.81,1.86,2.03)</f>
        <v>1.915</v>
      </c>
      <c r="L34" s="63">
        <v>44628</v>
      </c>
    </row>
    <row r="35" spans="1:12" x14ac:dyDescent="0.2">
      <c r="A35" s="57" t="s">
        <v>59</v>
      </c>
      <c r="B35" s="57">
        <v>2354</v>
      </c>
      <c r="C35" s="57">
        <v>4</v>
      </c>
      <c r="D35" s="57">
        <v>2</v>
      </c>
      <c r="F35" s="57">
        <v>0.36399999999999999</v>
      </c>
      <c r="G35" s="57">
        <v>0.218</v>
      </c>
      <c r="H35" s="57">
        <v>0.192</v>
      </c>
      <c r="I35" s="57">
        <v>9.4E-2</v>
      </c>
      <c r="J35" s="57">
        <v>3.38</v>
      </c>
      <c r="K35" s="33">
        <f>AVERAGE(1.58,1.69,1.58,1.55)</f>
        <v>1.5999999999999999</v>
      </c>
      <c r="L35" s="63">
        <v>44628</v>
      </c>
    </row>
    <row r="36" spans="1:12" x14ac:dyDescent="0.2">
      <c r="A36" s="57" t="s">
        <v>59</v>
      </c>
      <c r="B36" s="57">
        <v>2301</v>
      </c>
      <c r="C36" s="57">
        <v>5</v>
      </c>
      <c r="D36" s="57">
        <v>1</v>
      </c>
      <c r="F36" s="57">
        <v>0.99</v>
      </c>
      <c r="G36" s="57">
        <v>0.55900000000000005</v>
      </c>
      <c r="H36" s="57">
        <v>9.7000000000000003E-2</v>
      </c>
      <c r="I36" s="57">
        <v>4.7E-2</v>
      </c>
      <c r="J36" s="57">
        <v>1.99</v>
      </c>
      <c r="K36" s="33">
        <f>AVERAGE(1.52,1.45,1.37,1.42)</f>
        <v>1.44</v>
      </c>
      <c r="L36" s="63">
        <v>44628</v>
      </c>
    </row>
    <row r="37" spans="1:12" x14ac:dyDescent="0.2">
      <c r="A37" s="57" t="s">
        <v>141</v>
      </c>
      <c r="B37" s="57">
        <v>2005</v>
      </c>
      <c r="C37" s="57">
        <v>1</v>
      </c>
      <c r="D37" s="57">
        <v>0</v>
      </c>
      <c r="F37" s="57">
        <v>0.69</v>
      </c>
      <c r="G37" s="57">
        <v>0.21</v>
      </c>
      <c r="H37" s="57">
        <v>8.1000000000000003E-2</v>
      </c>
      <c r="I37" s="57">
        <v>2.4E-2</v>
      </c>
      <c r="J37" s="57">
        <v>2.5099999999999998</v>
      </c>
      <c r="K37" s="57" t="s">
        <v>60</v>
      </c>
      <c r="L37" s="63">
        <v>44628</v>
      </c>
    </row>
    <row r="38" spans="1:12" x14ac:dyDescent="0.2">
      <c r="A38" s="57" t="s">
        <v>59</v>
      </c>
      <c r="B38" s="57">
        <v>2377</v>
      </c>
      <c r="C38" s="57">
        <v>4</v>
      </c>
      <c r="D38" s="57">
        <v>0</v>
      </c>
      <c r="E38" s="57" t="s">
        <v>142</v>
      </c>
      <c r="F38" s="57">
        <v>1.419</v>
      </c>
      <c r="G38" s="57">
        <v>0.38500000000000001</v>
      </c>
      <c r="H38" s="57">
        <v>8.6999999999999994E-2</v>
      </c>
      <c r="I38" s="57">
        <v>2.7E-2</v>
      </c>
      <c r="J38" s="57">
        <v>2.91</v>
      </c>
      <c r="K38" s="33">
        <f>AVERAGE(1.12,1.02,1.04,0.97)</f>
        <v>1.0375000000000001</v>
      </c>
      <c r="L38" s="63">
        <v>44628</v>
      </c>
    </row>
    <row r="39" spans="1:12" x14ac:dyDescent="0.2">
      <c r="A39" s="57" t="s">
        <v>59</v>
      </c>
      <c r="B39" s="57">
        <v>2331</v>
      </c>
      <c r="C39" s="57">
        <v>4</v>
      </c>
      <c r="D39" s="57">
        <v>1</v>
      </c>
      <c r="F39" s="57">
        <v>1.716</v>
      </c>
      <c r="G39" s="57">
        <v>0.95599999999999996</v>
      </c>
      <c r="H39" s="57">
        <v>0.28799999999999998</v>
      </c>
      <c r="I39" s="57">
        <v>0.14099999999999999</v>
      </c>
      <c r="J39" s="57">
        <v>4.95</v>
      </c>
      <c r="K39" s="33">
        <f>AVERAGE(1.51,1.54,1.67,1.45)</f>
        <v>1.5425</v>
      </c>
      <c r="L39" s="63">
        <v>44628</v>
      </c>
    </row>
    <row r="40" spans="1:12" x14ac:dyDescent="0.2">
      <c r="A40" s="57" t="s">
        <v>59</v>
      </c>
      <c r="B40" s="57">
        <v>2352</v>
      </c>
      <c r="C40" s="57">
        <v>2</v>
      </c>
      <c r="D40" s="57">
        <v>1</v>
      </c>
      <c r="F40" s="57">
        <v>1.452</v>
      </c>
      <c r="G40" s="57">
        <v>0.90400000000000003</v>
      </c>
      <c r="H40" s="57">
        <v>0.50800000000000001</v>
      </c>
      <c r="I40" s="57">
        <v>0.29799999999999999</v>
      </c>
      <c r="J40" s="57">
        <v>13.53</v>
      </c>
      <c r="K40" s="33">
        <f>AVERAGE(1.88,1.97,1.9,1.91)</f>
        <v>1.915</v>
      </c>
      <c r="L40" s="63">
        <v>44628</v>
      </c>
    </row>
    <row r="41" spans="1:12" x14ac:dyDescent="0.2">
      <c r="A41" s="57" t="s">
        <v>59</v>
      </c>
      <c r="B41" s="57">
        <v>2345</v>
      </c>
      <c r="C41" s="57">
        <v>4</v>
      </c>
      <c r="D41" s="57">
        <v>1</v>
      </c>
      <c r="F41" s="57">
        <v>1.958</v>
      </c>
      <c r="G41" s="57">
        <v>1.07</v>
      </c>
      <c r="H41" s="57">
        <v>0.28799999999999998</v>
      </c>
      <c r="I41" s="57">
        <v>0.14399999999999999</v>
      </c>
      <c r="J41" s="57">
        <v>5.96</v>
      </c>
      <c r="K41" s="33">
        <f>AVERAGE(1.43,1.41,1.5,1.51)</f>
        <v>1.4624999999999999</v>
      </c>
      <c r="L41" s="63">
        <v>44628</v>
      </c>
    </row>
    <row r="42" spans="1:12" x14ac:dyDescent="0.2">
      <c r="A42" s="57" t="s">
        <v>59</v>
      </c>
      <c r="B42" s="57">
        <v>2352</v>
      </c>
      <c r="C42" s="57">
        <v>3</v>
      </c>
      <c r="D42" s="57">
        <v>1</v>
      </c>
      <c r="F42" s="57">
        <v>1.661</v>
      </c>
      <c r="G42" s="57">
        <v>1.08</v>
      </c>
      <c r="H42" s="57">
        <v>0.46300000000000002</v>
      </c>
      <c r="I42" s="57">
        <v>0.25700000000000001</v>
      </c>
      <c r="J42" s="57">
        <v>10.7</v>
      </c>
      <c r="K42" s="33">
        <f>AVERAGE(1.74,1.73,1.69,1.7)</f>
        <v>1.7150000000000001</v>
      </c>
      <c r="L42" s="63">
        <v>44628</v>
      </c>
    </row>
    <row r="43" spans="1:12" x14ac:dyDescent="0.2">
      <c r="A43" s="57" t="s">
        <v>141</v>
      </c>
      <c r="B43" s="57">
        <v>2005</v>
      </c>
      <c r="C43" s="57">
        <v>4</v>
      </c>
      <c r="D43" s="57">
        <v>0</v>
      </c>
      <c r="F43" s="57">
        <v>0.82799999999999996</v>
      </c>
      <c r="G43" s="57">
        <v>0.251</v>
      </c>
      <c r="H43" s="57">
        <v>0.10299999999999999</v>
      </c>
      <c r="I43" s="57">
        <v>2.9000000000000001E-2</v>
      </c>
      <c r="J43" s="57">
        <v>2.2599999999999998</v>
      </c>
      <c r="K43" s="57" t="s">
        <v>60</v>
      </c>
      <c r="L43" s="63">
        <v>44628</v>
      </c>
    </row>
    <row r="44" spans="1:12" x14ac:dyDescent="0.2">
      <c r="A44" s="57" t="s">
        <v>59</v>
      </c>
      <c r="B44" s="57">
        <v>2345</v>
      </c>
      <c r="C44" s="57">
        <v>3</v>
      </c>
      <c r="D44" s="57">
        <v>1</v>
      </c>
      <c r="F44" s="57">
        <v>1.903</v>
      </c>
      <c r="G44" s="57">
        <v>1.0680000000000001</v>
      </c>
      <c r="H44" s="57">
        <v>0.44600000000000001</v>
      </c>
      <c r="I44" s="57">
        <v>0.221</v>
      </c>
      <c r="J44" s="57">
        <v>6.18</v>
      </c>
      <c r="K44" s="33">
        <f>AVERAGE(1.6,1.63,1.78,2.03)</f>
        <v>1.7599999999999998</v>
      </c>
      <c r="L44" s="63">
        <v>44628</v>
      </c>
    </row>
    <row r="45" spans="1:12" x14ac:dyDescent="0.2">
      <c r="A45" s="57" t="s">
        <v>59</v>
      </c>
      <c r="B45" s="57">
        <v>2354</v>
      </c>
      <c r="C45" s="57">
        <v>3</v>
      </c>
      <c r="D45" s="57">
        <v>1</v>
      </c>
      <c r="F45" s="57">
        <v>1.619</v>
      </c>
      <c r="G45" s="57">
        <v>0.98199999999999998</v>
      </c>
      <c r="H45" s="57">
        <v>0.47199999999999998</v>
      </c>
      <c r="I45" s="57">
        <v>0.24399999999999999</v>
      </c>
      <c r="J45" s="57">
        <v>7.82</v>
      </c>
      <c r="K45" s="33">
        <f>AVERAGE(2.32,2.24,2.51,2.48)</f>
        <v>2.3875000000000002</v>
      </c>
      <c r="L45" s="63">
        <v>44628</v>
      </c>
    </row>
    <row r="46" spans="1:12" x14ac:dyDescent="0.2">
      <c r="A46" s="57" t="s">
        <v>59</v>
      </c>
      <c r="B46" s="57">
        <v>2331</v>
      </c>
      <c r="C46" s="57">
        <v>2</v>
      </c>
      <c r="D46" s="57">
        <v>1</v>
      </c>
      <c r="F46" s="57">
        <v>1.85</v>
      </c>
      <c r="G46" s="57">
        <v>1.0569999999999999</v>
      </c>
      <c r="H46" s="57">
        <v>0.38400000000000001</v>
      </c>
      <c r="I46" s="57">
        <v>0.193</v>
      </c>
      <c r="J46" s="57">
        <v>5.68</v>
      </c>
      <c r="K46" s="33">
        <f>AVERAGE(1.8,1.8,1.86,1.85)</f>
        <v>1.8275000000000001</v>
      </c>
      <c r="L46" s="63">
        <v>44628</v>
      </c>
    </row>
    <row r="47" spans="1:12" x14ac:dyDescent="0.2">
      <c r="A47" s="57" t="s">
        <v>59</v>
      </c>
      <c r="B47" s="57">
        <v>2377</v>
      </c>
      <c r="C47" s="57">
        <v>3</v>
      </c>
      <c r="D47" s="57">
        <v>1</v>
      </c>
      <c r="F47" s="57">
        <v>1.3959999999999999</v>
      </c>
      <c r="G47" s="57">
        <v>0.77</v>
      </c>
      <c r="H47" s="57">
        <v>0.39400000000000002</v>
      </c>
      <c r="I47" s="57">
        <v>0.17599999999999999</v>
      </c>
      <c r="J47" s="57">
        <v>7.43</v>
      </c>
      <c r="K47" s="33">
        <f>AVERAGE(2.05,1.98,1.98,2.02)</f>
        <v>2.0074999999999998</v>
      </c>
      <c r="L47" s="63">
        <v>44628</v>
      </c>
    </row>
    <row r="48" spans="1:12" x14ac:dyDescent="0.2">
      <c r="A48" s="57" t="s">
        <v>141</v>
      </c>
      <c r="B48" s="57">
        <v>2004</v>
      </c>
      <c r="C48" s="57">
        <v>2</v>
      </c>
      <c r="D48" s="57">
        <v>0</v>
      </c>
      <c r="F48" s="57">
        <v>0.23799999999999999</v>
      </c>
      <c r="G48" s="57">
        <v>4.4999999999999998E-2</v>
      </c>
      <c r="H48" s="57">
        <v>7.3999999999999996E-2</v>
      </c>
      <c r="I48" s="57">
        <v>1.2999999999999999E-2</v>
      </c>
      <c r="J48" s="57">
        <v>1.64</v>
      </c>
      <c r="K48" s="57" t="s">
        <v>60</v>
      </c>
      <c r="L48" s="63">
        <v>44628</v>
      </c>
    </row>
    <row r="49" spans="1:12" x14ac:dyDescent="0.2">
      <c r="A49" s="57" t="s">
        <v>59</v>
      </c>
      <c r="B49" s="57">
        <v>2377</v>
      </c>
      <c r="C49" s="57">
        <v>4</v>
      </c>
      <c r="D49" s="57">
        <v>1</v>
      </c>
      <c r="F49" s="57">
        <v>1.7969999999999999</v>
      </c>
      <c r="G49" s="57">
        <v>1.0009999999999999</v>
      </c>
      <c r="H49" s="57">
        <v>0.71899999999999997</v>
      </c>
      <c r="I49" s="57">
        <v>0.34</v>
      </c>
      <c r="J49" s="57">
        <v>8.7100000000000009</v>
      </c>
      <c r="K49" s="33">
        <f>AVERAGE(2.08,2.26,2.34,2.1)</f>
        <v>2.1949999999999998</v>
      </c>
      <c r="L49" s="63">
        <v>44628</v>
      </c>
    </row>
    <row r="50" spans="1:12" x14ac:dyDescent="0.2">
      <c r="A50" s="57" t="s">
        <v>59</v>
      </c>
      <c r="B50" s="57">
        <v>2301</v>
      </c>
      <c r="C50" s="57">
        <v>6</v>
      </c>
      <c r="D50" s="57">
        <v>1</v>
      </c>
      <c r="F50" s="57">
        <v>3.7839999999999998</v>
      </c>
      <c r="G50" s="57">
        <v>2.0310000000000001</v>
      </c>
      <c r="H50" s="57">
        <v>0.57199999999999995</v>
      </c>
      <c r="I50" s="57">
        <v>0.28299999999999997</v>
      </c>
      <c r="J50" s="57">
        <v>11.03</v>
      </c>
      <c r="K50" s="33">
        <f>AVERAGE(1.93,2.02,2.01,2.01)</f>
        <v>1.9924999999999999</v>
      </c>
      <c r="L50" s="63">
        <v>44628</v>
      </c>
    </row>
    <row r="51" spans="1:12" x14ac:dyDescent="0.2">
      <c r="A51" s="57" t="s">
        <v>141</v>
      </c>
      <c r="B51" s="57">
        <v>2006</v>
      </c>
      <c r="C51" s="57">
        <v>4</v>
      </c>
      <c r="D51" s="57">
        <v>0</v>
      </c>
      <c r="F51" s="57">
        <v>0.24399999999999999</v>
      </c>
      <c r="G51" s="57">
        <v>7.9000000000000001E-2</v>
      </c>
      <c r="H51" s="57">
        <v>4.2999999999999997E-2</v>
      </c>
      <c r="I51" s="57">
        <v>1.2E-2</v>
      </c>
      <c r="J51" s="57">
        <v>1.26</v>
      </c>
      <c r="K51" s="57" t="s">
        <v>60</v>
      </c>
      <c r="L51" s="63">
        <v>44628</v>
      </c>
    </row>
    <row r="52" spans="1:12" x14ac:dyDescent="0.2">
      <c r="A52" s="57" t="s">
        <v>59</v>
      </c>
      <c r="B52" s="57">
        <v>2331</v>
      </c>
      <c r="C52" s="57">
        <v>1</v>
      </c>
      <c r="D52" s="57">
        <v>1</v>
      </c>
      <c r="F52" s="57">
        <v>1.427</v>
      </c>
      <c r="G52" s="57">
        <v>0.84399999999999997</v>
      </c>
      <c r="H52" s="57">
        <v>0.67800000000000005</v>
      </c>
      <c r="I52" s="57">
        <v>0.36899999999999999</v>
      </c>
      <c r="J52" s="57">
        <v>10.76</v>
      </c>
      <c r="K52" s="33">
        <f>AVERAGE(2.15,2.21,2.19,1.99)</f>
        <v>2.1349999999999998</v>
      </c>
      <c r="L52" s="63">
        <v>44628</v>
      </c>
    </row>
    <row r="53" spans="1:12" x14ac:dyDescent="0.2">
      <c r="A53" s="57" t="s">
        <v>141</v>
      </c>
      <c r="B53" s="57">
        <v>2006</v>
      </c>
      <c r="C53" s="57">
        <v>2</v>
      </c>
      <c r="D53" s="57">
        <v>0</v>
      </c>
      <c r="F53" s="57">
        <v>0.26</v>
      </c>
      <c r="G53" s="57">
        <v>0.08</v>
      </c>
      <c r="H53" s="57">
        <v>2.1000000000000001E-2</v>
      </c>
      <c r="I53" s="57">
        <v>6.0000000000000001E-3</v>
      </c>
      <c r="J53" s="57">
        <v>0.63</v>
      </c>
      <c r="K53" s="57" t="s">
        <v>60</v>
      </c>
      <c r="L53" s="63">
        <v>44628</v>
      </c>
    </row>
    <row r="54" spans="1:12" x14ac:dyDescent="0.2">
      <c r="A54" s="57" t="s">
        <v>59</v>
      </c>
      <c r="B54" s="57">
        <v>2377</v>
      </c>
      <c r="C54" s="57">
        <v>2</v>
      </c>
      <c r="D54" s="57">
        <v>1</v>
      </c>
      <c r="F54" s="57">
        <v>1.137</v>
      </c>
      <c r="G54" s="57">
        <v>0.64100000000000001</v>
      </c>
      <c r="H54" s="57">
        <v>0.621</v>
      </c>
      <c r="I54" s="57">
        <v>0.29699999999999999</v>
      </c>
      <c r="J54" s="57">
        <v>9.18</v>
      </c>
      <c r="K54" s="33">
        <f>AVERAGE(2.26,2.39,2.3,2.29)</f>
        <v>2.31</v>
      </c>
      <c r="L54" s="63">
        <v>44628</v>
      </c>
    </row>
    <row r="55" spans="1:12" x14ac:dyDescent="0.2">
      <c r="A55" s="57" t="s">
        <v>59</v>
      </c>
      <c r="B55" s="57">
        <v>2380</v>
      </c>
      <c r="C55" s="57">
        <v>2</v>
      </c>
      <c r="D55" s="57">
        <v>1</v>
      </c>
      <c r="E55" s="57" t="s">
        <v>143</v>
      </c>
      <c r="F55" s="57">
        <v>1.5920000000000001</v>
      </c>
      <c r="G55" s="57">
        <v>0.97899999999999998</v>
      </c>
      <c r="H55" s="57">
        <v>0.224</v>
      </c>
      <c r="I55" s="57">
        <v>0.13</v>
      </c>
      <c r="J55" s="57">
        <v>4.0199999999999996</v>
      </c>
      <c r="K55" s="33">
        <f>AVERAGE(1.41,1.43,1.6,1.53)</f>
        <v>1.4924999999999999</v>
      </c>
      <c r="L55" s="63">
        <v>44628</v>
      </c>
    </row>
    <row r="56" spans="1:12" x14ac:dyDescent="0.2">
      <c r="A56" s="57" t="s">
        <v>59</v>
      </c>
      <c r="B56" s="57">
        <v>2301</v>
      </c>
      <c r="C56" s="57">
        <v>2</v>
      </c>
      <c r="D56" s="57">
        <v>1</v>
      </c>
      <c r="F56" s="57">
        <v>0.58799999999999997</v>
      </c>
      <c r="G56" s="57">
        <v>0.313</v>
      </c>
      <c r="H56" s="57">
        <v>0.997</v>
      </c>
      <c r="I56" s="57">
        <v>4.4999999999999998E-2</v>
      </c>
      <c r="J56" s="57">
        <v>2.65</v>
      </c>
      <c r="K56" s="33">
        <f>AVERAGE(1.21,1.09,1.07,1.22)</f>
        <v>1.1475</v>
      </c>
      <c r="L56" s="63">
        <v>44628</v>
      </c>
    </row>
    <row r="57" spans="1:12" x14ac:dyDescent="0.2">
      <c r="A57" s="57" t="s">
        <v>59</v>
      </c>
      <c r="B57" s="57">
        <v>2331</v>
      </c>
      <c r="C57" s="57">
        <v>3</v>
      </c>
      <c r="D57" s="57">
        <v>1</v>
      </c>
      <c r="F57" s="57">
        <v>1.147</v>
      </c>
      <c r="G57" s="57">
        <v>0.67900000000000005</v>
      </c>
      <c r="H57" s="57">
        <v>0.33</v>
      </c>
      <c r="I57" s="57">
        <v>0.16500000000000001</v>
      </c>
      <c r="J57" s="57">
        <v>6.48</v>
      </c>
      <c r="K57" s="33">
        <f>AVERAGE(1.71,1.68,1.7,1.75)</f>
        <v>1.71</v>
      </c>
      <c r="L57" s="63">
        <v>44628</v>
      </c>
    </row>
    <row r="58" spans="1:12" x14ac:dyDescent="0.2">
      <c r="A58" s="57" t="s">
        <v>59</v>
      </c>
      <c r="B58" s="57">
        <v>2377</v>
      </c>
      <c r="C58" s="57">
        <v>1</v>
      </c>
      <c r="D58" s="57">
        <v>1</v>
      </c>
      <c r="F58" s="57">
        <v>2.5590000000000002</v>
      </c>
      <c r="G58" s="57">
        <v>1.405</v>
      </c>
      <c r="H58" s="57">
        <v>0.63100000000000001</v>
      </c>
      <c r="I58" s="57">
        <v>0.317</v>
      </c>
      <c r="J58" s="57">
        <v>9.61</v>
      </c>
      <c r="K58" s="33">
        <f>AVERAGE(2.24,2.36,2.16,2.37)</f>
        <v>2.2824999999999998</v>
      </c>
      <c r="L58" s="63">
        <v>44628</v>
      </c>
    </row>
    <row r="59" spans="1:12" x14ac:dyDescent="0.2">
      <c r="A59" s="57" t="s">
        <v>59</v>
      </c>
      <c r="B59" s="57">
        <v>2377</v>
      </c>
      <c r="C59" s="57">
        <v>3</v>
      </c>
      <c r="D59" s="57">
        <v>1</v>
      </c>
      <c r="F59" s="57">
        <v>0.43</v>
      </c>
      <c r="G59" s="57">
        <v>0.253</v>
      </c>
      <c r="H59" s="57">
        <v>0.16600000000000001</v>
      </c>
      <c r="I59" s="57">
        <v>8.5999999999999993E-2</v>
      </c>
      <c r="J59" s="57">
        <v>4.26</v>
      </c>
      <c r="K59" s="33">
        <f>AVERAGE(1.31,1.51,1.36,1.31)</f>
        <v>1.3725000000000001</v>
      </c>
      <c r="L59" s="63">
        <v>44628</v>
      </c>
    </row>
    <row r="60" spans="1:12" x14ac:dyDescent="0.2">
      <c r="A60" s="57" t="s">
        <v>59</v>
      </c>
      <c r="B60" s="57">
        <v>2301</v>
      </c>
      <c r="C60" s="57">
        <v>4</v>
      </c>
      <c r="D60" s="57">
        <v>1</v>
      </c>
      <c r="F60" s="57">
        <v>2.097</v>
      </c>
      <c r="G60" s="57">
        <v>1.1639999999999999</v>
      </c>
      <c r="H60" s="57">
        <v>0.186</v>
      </c>
      <c r="I60" s="57">
        <v>9.0999999999999998E-2</v>
      </c>
      <c r="J60" s="57">
        <v>4.99</v>
      </c>
      <c r="K60" s="33">
        <f>AVERAGE(1.43,1.35,1.25,1.18)</f>
        <v>1.3025</v>
      </c>
      <c r="L60" s="63">
        <v>44628</v>
      </c>
    </row>
    <row r="61" spans="1:12" x14ac:dyDescent="0.2">
      <c r="A61" s="57" t="s">
        <v>141</v>
      </c>
      <c r="B61" s="57">
        <v>2004</v>
      </c>
      <c r="C61" s="57">
        <v>1</v>
      </c>
      <c r="D61" s="57">
        <v>0</v>
      </c>
      <c r="F61" s="57">
        <v>0.20499999999999999</v>
      </c>
      <c r="G61" s="57">
        <v>6.5000000000000002E-2</v>
      </c>
      <c r="H61" s="57">
        <v>3.5000000000000003E-2</v>
      </c>
      <c r="I61" s="57">
        <v>0.01</v>
      </c>
      <c r="J61" s="57">
        <v>1.47</v>
      </c>
      <c r="K61" s="57" t="s">
        <v>60</v>
      </c>
      <c r="L61" s="63">
        <v>44628</v>
      </c>
    </row>
    <row r="62" spans="1:12" x14ac:dyDescent="0.2">
      <c r="A62" s="57" t="s">
        <v>59</v>
      </c>
      <c r="B62" s="57">
        <v>2345</v>
      </c>
      <c r="C62" s="57">
        <v>5</v>
      </c>
      <c r="D62" s="57">
        <v>1</v>
      </c>
      <c r="F62" s="57">
        <v>1.742</v>
      </c>
      <c r="G62" s="57">
        <v>0.99299999999999999</v>
      </c>
      <c r="H62" s="57">
        <v>0.46200000000000002</v>
      </c>
      <c r="I62" s="57">
        <v>0.216</v>
      </c>
      <c r="J62" s="57">
        <v>7.98</v>
      </c>
      <c r="K62" s="33">
        <f>AVERAGE(1.62,1.93,1.87,1.53)</f>
        <v>1.7375</v>
      </c>
      <c r="L62" s="63">
        <v>44628</v>
      </c>
    </row>
    <row r="63" spans="1:12" x14ac:dyDescent="0.2">
      <c r="A63" s="57" t="s">
        <v>59</v>
      </c>
      <c r="B63" s="57">
        <v>2377</v>
      </c>
      <c r="C63" s="57">
        <v>5</v>
      </c>
      <c r="D63" s="57">
        <v>1</v>
      </c>
      <c r="F63" s="57">
        <v>0.73499999999999999</v>
      </c>
      <c r="G63" s="57">
        <v>0.40899999999999997</v>
      </c>
      <c r="H63" s="57">
        <v>0.17799999999999999</v>
      </c>
      <c r="I63" s="57">
        <v>8.8999999999999996E-2</v>
      </c>
      <c r="J63" s="57">
        <v>5.89</v>
      </c>
      <c r="K63" s="33">
        <f>AVERAGE(1.57,1.63,1.36,1.44)</f>
        <v>1.5</v>
      </c>
      <c r="L63" s="63">
        <v>44628</v>
      </c>
    </row>
    <row r="64" spans="1:12" x14ac:dyDescent="0.2">
      <c r="A64" s="57" t="s">
        <v>141</v>
      </c>
      <c r="B64" s="57">
        <v>2005</v>
      </c>
      <c r="C64" s="57">
        <v>2</v>
      </c>
      <c r="D64" s="57">
        <v>0</v>
      </c>
      <c r="F64" s="57">
        <v>1.385</v>
      </c>
      <c r="G64" s="57">
        <v>0.435</v>
      </c>
      <c r="H64" s="57">
        <v>0.14399999999999999</v>
      </c>
      <c r="I64" s="57">
        <v>4.2000000000000003E-2</v>
      </c>
      <c r="J64" s="57">
        <v>2.85</v>
      </c>
      <c r="K64" s="57" t="s">
        <v>60</v>
      </c>
      <c r="L64" s="63">
        <v>44628</v>
      </c>
    </row>
    <row r="65" spans="1:12" x14ac:dyDescent="0.2">
      <c r="A65" s="57" t="s">
        <v>59</v>
      </c>
      <c r="B65" s="57">
        <v>2376</v>
      </c>
      <c r="C65" s="57">
        <v>4</v>
      </c>
      <c r="D65" s="57">
        <v>1</v>
      </c>
      <c r="F65" s="57">
        <v>1.8420000000000001</v>
      </c>
      <c r="G65" s="57">
        <v>0.38800000000000001</v>
      </c>
      <c r="H65" s="57">
        <v>0.24</v>
      </c>
      <c r="I65" s="57">
        <v>2.7E-2</v>
      </c>
      <c r="J65" s="57">
        <v>1.41</v>
      </c>
      <c r="K65" s="33">
        <f>AVERAGE(1.16,1.13,1.14,1.18)</f>
        <v>1.1524999999999999</v>
      </c>
      <c r="L65" s="63">
        <v>44628</v>
      </c>
    </row>
    <row r="66" spans="1:12" x14ac:dyDescent="0.2">
      <c r="A66" s="57" t="s">
        <v>59</v>
      </c>
      <c r="B66" s="57">
        <v>2331</v>
      </c>
      <c r="C66" s="57">
        <v>5</v>
      </c>
      <c r="D66" s="57">
        <v>1</v>
      </c>
      <c r="F66" s="57">
        <v>1.105</v>
      </c>
      <c r="G66" s="57">
        <v>0.58399999999999996</v>
      </c>
      <c r="H66" s="57">
        <v>0.246</v>
      </c>
      <c r="I66" s="57">
        <v>0.125</v>
      </c>
      <c r="J66" s="57">
        <v>4.2300000000000004</v>
      </c>
      <c r="K66" s="33">
        <f>AVERAGE(1.44,1.55,1.66,1.48)</f>
        <v>1.5325000000000002</v>
      </c>
      <c r="L66" s="63">
        <v>44628</v>
      </c>
    </row>
    <row r="67" spans="1:12" x14ac:dyDescent="0.2">
      <c r="A67" s="57" t="s">
        <v>59</v>
      </c>
      <c r="B67" s="57">
        <v>2377</v>
      </c>
      <c r="C67" s="57">
        <v>4</v>
      </c>
      <c r="D67" s="57">
        <v>0</v>
      </c>
      <c r="E67" s="57" t="s">
        <v>143</v>
      </c>
      <c r="F67" s="57">
        <v>0.23200000000000001</v>
      </c>
      <c r="G67" s="57">
        <v>6.5000000000000002E-2</v>
      </c>
      <c r="H67" s="57">
        <v>3.2000000000000001E-2</v>
      </c>
      <c r="I67" s="57">
        <v>8.9999999999999993E-3</v>
      </c>
      <c r="J67" s="57">
        <v>2.2200000000000002</v>
      </c>
      <c r="K67" s="33">
        <f>AVERAGE(0.66,0.69,0.55,0.72)</f>
        <v>0.65500000000000003</v>
      </c>
      <c r="L67" s="63">
        <v>44628</v>
      </c>
    </row>
    <row r="68" spans="1:12" x14ac:dyDescent="0.2">
      <c r="A68" s="57" t="s">
        <v>59</v>
      </c>
      <c r="B68" s="57">
        <v>2301</v>
      </c>
      <c r="C68" s="57">
        <v>1</v>
      </c>
      <c r="D68" s="57">
        <v>1</v>
      </c>
      <c r="F68" s="57">
        <v>2.02</v>
      </c>
      <c r="G68" s="57">
        <v>1.133</v>
      </c>
      <c r="H68" s="57">
        <v>0.28499999999999998</v>
      </c>
      <c r="I68" s="57">
        <v>0.14299999999999999</v>
      </c>
      <c r="J68" s="57">
        <v>7.49</v>
      </c>
      <c r="K68" s="33">
        <f>AVERAGE(1.69,1.54,1.5,1.59)</f>
        <v>1.58</v>
      </c>
      <c r="L68" s="63">
        <v>44628</v>
      </c>
    </row>
    <row r="69" spans="1:12" x14ac:dyDescent="0.2">
      <c r="A69" s="57" t="s">
        <v>59</v>
      </c>
      <c r="B69" s="57">
        <v>2377</v>
      </c>
      <c r="C69" s="57">
        <v>4</v>
      </c>
      <c r="D69" s="57">
        <v>1</v>
      </c>
      <c r="E69" s="57" t="s">
        <v>142</v>
      </c>
      <c r="F69" s="57">
        <v>0.49099999999999999</v>
      </c>
      <c r="G69" s="57">
        <v>0.307</v>
      </c>
      <c r="H69" s="57">
        <v>6.0999999999999999E-2</v>
      </c>
      <c r="I69" s="57">
        <v>3.2000000000000001E-2</v>
      </c>
      <c r="J69" s="57">
        <v>1.95</v>
      </c>
      <c r="K69" s="33">
        <f>AVERAGE(1.48,1.5,1.48,1.53)</f>
        <v>1.4975000000000001</v>
      </c>
      <c r="L69" s="63">
        <v>44628</v>
      </c>
    </row>
    <row r="70" spans="1:12" x14ac:dyDescent="0.2">
      <c r="A70" s="57" t="s">
        <v>59</v>
      </c>
      <c r="B70" s="57">
        <v>2380</v>
      </c>
      <c r="C70" s="57">
        <v>1</v>
      </c>
      <c r="D70" s="57">
        <v>1</v>
      </c>
      <c r="E70" s="57" t="s">
        <v>143</v>
      </c>
      <c r="F70" s="57">
        <v>1.202</v>
      </c>
      <c r="G70" s="57">
        <v>0.73799999999999999</v>
      </c>
      <c r="H70" s="57">
        <v>0.45300000000000001</v>
      </c>
      <c r="I70" s="57">
        <v>0.25600000000000001</v>
      </c>
      <c r="J70" s="57">
        <v>6.86</v>
      </c>
      <c r="K70" s="33">
        <f>AVERAGE(1.9,1.81,1.7,2.1)</f>
        <v>1.8774999999999999</v>
      </c>
      <c r="L70" s="63">
        <v>44628</v>
      </c>
    </row>
    <row r="71" spans="1:12" x14ac:dyDescent="0.2">
      <c r="A71" s="57" t="s">
        <v>59</v>
      </c>
      <c r="B71" s="57">
        <v>2377</v>
      </c>
      <c r="C71" s="57">
        <v>2</v>
      </c>
      <c r="D71" s="57">
        <v>1</v>
      </c>
      <c r="F71" s="57">
        <v>8.5999999999999993E-2</v>
      </c>
      <c r="G71" s="57">
        <v>5.6000000000000001E-2</v>
      </c>
      <c r="H71" s="57">
        <v>0.13</v>
      </c>
      <c r="I71" s="57">
        <v>6.8000000000000005E-2</v>
      </c>
      <c r="J71" s="57">
        <v>2.65</v>
      </c>
      <c r="K71" s="33">
        <f>AVERAGE(2.49,2.5,2.51,2.51)</f>
        <v>2.5024999999999999</v>
      </c>
      <c r="L71" s="63">
        <v>44628</v>
      </c>
    </row>
    <row r="72" spans="1:12" x14ac:dyDescent="0.2">
      <c r="A72" s="57" t="s">
        <v>59</v>
      </c>
      <c r="B72" s="57">
        <v>2354</v>
      </c>
      <c r="C72" s="57">
        <v>2</v>
      </c>
      <c r="D72" s="57">
        <v>0</v>
      </c>
      <c r="F72" s="57">
        <v>0.40200000000000002</v>
      </c>
      <c r="G72" s="57">
        <v>0.111</v>
      </c>
      <c r="H72" s="57">
        <v>3.5000000000000003E-2</v>
      </c>
      <c r="I72" s="57">
        <v>0.01</v>
      </c>
      <c r="J72" s="57">
        <v>1.64</v>
      </c>
      <c r="K72" s="33">
        <f>AVERAGE(0.75,0.54,0.69,0.7)</f>
        <v>0.66999999999999993</v>
      </c>
      <c r="L72" s="63">
        <v>44628</v>
      </c>
    </row>
    <row r="73" spans="1:12" x14ac:dyDescent="0.2">
      <c r="A73" s="57" t="s">
        <v>141</v>
      </c>
      <c r="B73" s="57">
        <v>2006</v>
      </c>
      <c r="C73" s="57">
        <v>1</v>
      </c>
      <c r="D73" s="57">
        <v>0</v>
      </c>
      <c r="F73" s="57">
        <v>0.434</v>
      </c>
      <c r="G73" s="57">
        <v>0.13700000000000001</v>
      </c>
      <c r="H73" s="57">
        <v>2.5000000000000001E-2</v>
      </c>
      <c r="I73" s="57">
        <v>7.0000000000000001E-3</v>
      </c>
      <c r="J73" s="57">
        <v>0.68</v>
      </c>
      <c r="K73" s="57" t="s">
        <v>60</v>
      </c>
      <c r="L73" s="63">
        <v>44628</v>
      </c>
    </row>
    <row r="74" spans="1:12" x14ac:dyDescent="0.2">
      <c r="A74" s="57" t="s">
        <v>141</v>
      </c>
      <c r="B74" s="57">
        <v>2027</v>
      </c>
      <c r="C74" s="57">
        <v>1</v>
      </c>
      <c r="D74" s="57">
        <v>0</v>
      </c>
      <c r="F74" s="57">
        <v>0.751</v>
      </c>
      <c r="G74" s="57">
        <v>0.31</v>
      </c>
      <c r="H74" s="57">
        <v>3.6999999999999998E-2</v>
      </c>
      <c r="I74" s="57">
        <v>1.4E-2</v>
      </c>
      <c r="J74" s="57">
        <v>0.96</v>
      </c>
      <c r="K74" s="57" t="s">
        <v>60</v>
      </c>
      <c r="L74" s="63">
        <v>44635</v>
      </c>
    </row>
    <row r="75" spans="1:12" x14ac:dyDescent="0.2">
      <c r="A75" s="57" t="s">
        <v>59</v>
      </c>
      <c r="B75" s="57">
        <v>2089</v>
      </c>
      <c r="C75" s="57">
        <v>3</v>
      </c>
      <c r="D75" s="57">
        <v>1</v>
      </c>
      <c r="F75" s="57">
        <v>0.86</v>
      </c>
      <c r="G75" s="57">
        <v>0.52300000000000002</v>
      </c>
      <c r="H75" s="57">
        <v>0.20499999999999999</v>
      </c>
      <c r="I75" s="57">
        <v>0.115</v>
      </c>
      <c r="J75" s="57">
        <v>4.6500000000000004</v>
      </c>
      <c r="K75" s="33">
        <f>AVERAGE(1.27,1.37,1.02,1.23)</f>
        <v>1.2225000000000001</v>
      </c>
      <c r="L75" s="63">
        <v>44635</v>
      </c>
    </row>
    <row r="76" spans="1:12" x14ac:dyDescent="0.2">
      <c r="A76" s="57" t="s">
        <v>59</v>
      </c>
      <c r="B76" s="57">
        <v>2026</v>
      </c>
      <c r="C76" s="57">
        <v>3</v>
      </c>
      <c r="D76" s="57">
        <v>0</v>
      </c>
      <c r="F76" s="57">
        <v>0.68899999999999995</v>
      </c>
      <c r="G76" s="57">
        <v>0.33200000000000002</v>
      </c>
      <c r="H76" s="57">
        <v>0.104</v>
      </c>
      <c r="I76" s="57">
        <v>4.5999999999999999E-2</v>
      </c>
      <c r="J76" s="57">
        <v>2.5499999999999998</v>
      </c>
      <c r="K76" s="33">
        <f>AVERAGE(1.03,1.14,1.07,0.98)</f>
        <v>1.0550000000000002</v>
      </c>
      <c r="L76" s="63">
        <v>44635</v>
      </c>
    </row>
    <row r="77" spans="1:12" x14ac:dyDescent="0.2">
      <c r="A77" s="57" t="s">
        <v>59</v>
      </c>
      <c r="B77" s="57">
        <v>2303</v>
      </c>
      <c r="C77" s="57">
        <v>1</v>
      </c>
      <c r="D77" s="57">
        <v>0</v>
      </c>
      <c r="E77" s="57" t="s">
        <v>142</v>
      </c>
      <c r="F77" s="57">
        <v>1.798</v>
      </c>
      <c r="G77" s="57">
        <v>0.93899999999999995</v>
      </c>
      <c r="H77" s="57">
        <v>0.14599999999999999</v>
      </c>
      <c r="I77" s="57">
        <v>6.6000000000000003E-2</v>
      </c>
      <c r="J77" s="57">
        <v>4.03</v>
      </c>
      <c r="K77" s="33">
        <f>AVERAGE(1.25,1.22,1.16,1.24)</f>
        <v>1.2175</v>
      </c>
      <c r="L77" s="63">
        <v>44635</v>
      </c>
    </row>
    <row r="78" spans="1:12" x14ac:dyDescent="0.2">
      <c r="A78" s="57" t="s">
        <v>141</v>
      </c>
      <c r="B78" s="57">
        <v>2379</v>
      </c>
      <c r="C78" s="57">
        <v>1</v>
      </c>
      <c r="D78" s="57">
        <v>0</v>
      </c>
      <c r="F78" s="57">
        <v>0.56899999999999995</v>
      </c>
      <c r="G78" s="57">
        <v>0.26500000000000001</v>
      </c>
      <c r="H78" s="57">
        <v>2.1000000000000001E-2</v>
      </c>
      <c r="I78" s="57">
        <v>8.9999999999999993E-3</v>
      </c>
      <c r="J78" s="57">
        <v>0.83</v>
      </c>
      <c r="K78" s="57" t="s">
        <v>60</v>
      </c>
      <c r="L78" s="63">
        <v>44635</v>
      </c>
    </row>
    <row r="79" spans="1:12" x14ac:dyDescent="0.2">
      <c r="A79" s="57" t="s">
        <v>59</v>
      </c>
      <c r="B79" s="57">
        <v>2377</v>
      </c>
      <c r="C79" s="57">
        <v>3</v>
      </c>
      <c r="D79" s="57">
        <v>1</v>
      </c>
      <c r="F79" s="57">
        <v>0.77300000000000002</v>
      </c>
      <c r="G79" s="57">
        <v>0.47199999999999998</v>
      </c>
      <c r="H79" s="57">
        <v>0.11600000000000001</v>
      </c>
      <c r="I79" s="57">
        <v>6.4000000000000001E-2</v>
      </c>
      <c r="J79" s="57">
        <v>1.91</v>
      </c>
      <c r="K79" s="33">
        <f>AVERAGE(1.43,1.39,1.35,1.37)</f>
        <v>1.385</v>
      </c>
      <c r="L79" s="63">
        <v>44635</v>
      </c>
    </row>
    <row r="80" spans="1:12" x14ac:dyDescent="0.2">
      <c r="A80" s="57" t="s">
        <v>59</v>
      </c>
      <c r="B80" s="57" t="s">
        <v>144</v>
      </c>
      <c r="C80" s="57">
        <v>2</v>
      </c>
      <c r="D80" s="57">
        <v>0</v>
      </c>
      <c r="F80" s="57">
        <v>0.20799999999999999</v>
      </c>
      <c r="G80" s="57">
        <v>5.8000000000000003E-2</v>
      </c>
      <c r="H80" s="57">
        <v>1.9E-2</v>
      </c>
      <c r="I80" s="57">
        <v>7.0000000000000001E-3</v>
      </c>
      <c r="J80" s="57">
        <v>0.93</v>
      </c>
      <c r="K80" s="57" t="s">
        <v>60</v>
      </c>
      <c r="L80" s="63">
        <v>44635</v>
      </c>
    </row>
    <row r="81" spans="1:12" x14ac:dyDescent="0.2">
      <c r="A81" s="57" t="s">
        <v>59</v>
      </c>
      <c r="B81" s="57">
        <v>2091</v>
      </c>
      <c r="C81" s="57">
        <v>1</v>
      </c>
      <c r="D81" s="57">
        <v>1</v>
      </c>
      <c r="F81" s="57">
        <v>1.59</v>
      </c>
      <c r="G81" s="57">
        <v>0.95299999999999996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63">
        <v>44635</v>
      </c>
    </row>
    <row r="82" spans="1:12" x14ac:dyDescent="0.2">
      <c r="A82" s="57" t="s">
        <v>59</v>
      </c>
      <c r="B82" s="57" t="s">
        <v>145</v>
      </c>
      <c r="C82" s="57">
        <v>1</v>
      </c>
      <c r="D82" s="57">
        <v>0</v>
      </c>
      <c r="F82" s="57">
        <v>0.14199999999999999</v>
      </c>
      <c r="G82" s="57">
        <v>3.6999999999999998E-2</v>
      </c>
      <c r="H82" s="57">
        <v>2.1000000000000001E-2</v>
      </c>
      <c r="I82" s="57">
        <v>5.0000000000000001E-3</v>
      </c>
      <c r="J82" s="57">
        <v>1.06</v>
      </c>
      <c r="K82" s="57" t="s">
        <v>60</v>
      </c>
      <c r="L82" s="63">
        <v>44635</v>
      </c>
    </row>
    <row r="83" spans="1:12" x14ac:dyDescent="0.2">
      <c r="A83" s="57" t="s">
        <v>59</v>
      </c>
      <c r="B83" s="57">
        <v>2022</v>
      </c>
      <c r="C83" s="57">
        <v>3</v>
      </c>
      <c r="D83" s="57">
        <v>1</v>
      </c>
      <c r="F83" s="57">
        <v>0.5</v>
      </c>
      <c r="G83" s="57">
        <v>0.29199999999999998</v>
      </c>
      <c r="H83" s="57">
        <v>0.14699999999999999</v>
      </c>
      <c r="I83" s="57">
        <v>7.1999999999999995E-2</v>
      </c>
      <c r="J83" s="57">
        <v>3.07</v>
      </c>
      <c r="K83" s="33">
        <f>AVERAGE(1.93,1.43,1.66,1.45)</f>
        <v>1.6174999999999999</v>
      </c>
      <c r="L83" s="63">
        <v>44635</v>
      </c>
    </row>
    <row r="84" spans="1:12" x14ac:dyDescent="0.2">
      <c r="A84" s="57" t="s">
        <v>59</v>
      </c>
      <c r="B84" s="57">
        <v>2380</v>
      </c>
      <c r="C84" s="57">
        <v>2</v>
      </c>
      <c r="D84" s="57">
        <v>1</v>
      </c>
      <c r="F84" s="57">
        <v>0.78300000000000003</v>
      </c>
      <c r="G84" s="57">
        <v>0.45300000000000001</v>
      </c>
      <c r="H84" s="57">
        <v>5.1999999999999998E-2</v>
      </c>
      <c r="I84" s="57">
        <v>2.8000000000000001E-2</v>
      </c>
      <c r="J84" s="57">
        <v>1.59</v>
      </c>
      <c r="K84" s="33">
        <f>AVERAGE(1.27,1.37,1.21,1.37)</f>
        <v>1.3050000000000002</v>
      </c>
      <c r="L84" s="63">
        <v>44635</v>
      </c>
    </row>
    <row r="85" spans="1:12" x14ac:dyDescent="0.2">
      <c r="A85" s="57" t="s">
        <v>141</v>
      </c>
      <c r="B85" s="57">
        <v>2006</v>
      </c>
      <c r="C85" s="57">
        <v>1</v>
      </c>
      <c r="D85" s="57">
        <v>0</v>
      </c>
      <c r="F85" s="57">
        <v>0.45900000000000002</v>
      </c>
      <c r="G85" s="57">
        <v>0.16500000000000001</v>
      </c>
      <c r="H85" s="57">
        <v>4.2000000000000003E-2</v>
      </c>
      <c r="I85" s="57">
        <v>1.4999999999999999E-2</v>
      </c>
      <c r="J85" s="57">
        <v>1.3</v>
      </c>
      <c r="K85" s="33">
        <f>AVERAGE(0.82,0.94,0.82,0.78)</f>
        <v>0.83999999999999986</v>
      </c>
      <c r="L85" s="63">
        <v>44635</v>
      </c>
    </row>
    <row r="86" spans="1:12" x14ac:dyDescent="0.2">
      <c r="A86" s="57" t="s">
        <v>59</v>
      </c>
      <c r="B86" s="57">
        <v>2023</v>
      </c>
      <c r="C86" s="57">
        <v>4</v>
      </c>
      <c r="D86" s="57">
        <v>0</v>
      </c>
      <c r="E86" s="57" t="s">
        <v>143</v>
      </c>
      <c r="F86" s="57">
        <v>0.76100000000000001</v>
      </c>
      <c r="G86" s="57">
        <v>0.371</v>
      </c>
      <c r="H86" s="57">
        <v>0.14099999999999999</v>
      </c>
      <c r="I86" s="57">
        <v>5.8000000000000003E-2</v>
      </c>
      <c r="J86" s="57">
        <v>2.88</v>
      </c>
      <c r="K86" s="33">
        <f>AVERAGE(1.03,1.02,0.99,1.13)</f>
        <v>1.0425</v>
      </c>
      <c r="L86" s="63">
        <v>44635</v>
      </c>
    </row>
    <row r="87" spans="1:12" x14ac:dyDescent="0.2">
      <c r="A87" s="57" t="s">
        <v>59</v>
      </c>
      <c r="B87" s="57">
        <v>2091</v>
      </c>
      <c r="C87" s="57">
        <v>2</v>
      </c>
      <c r="D87" s="57">
        <v>1</v>
      </c>
      <c r="F87" s="57">
        <v>0.98399999999999999</v>
      </c>
      <c r="G87" s="57">
        <v>0.60899999999999999</v>
      </c>
      <c r="H87" s="57">
        <v>0.222</v>
      </c>
      <c r="I87" s="57">
        <v>0.13200000000000001</v>
      </c>
      <c r="J87" s="57">
        <v>3.66</v>
      </c>
      <c r="K87" s="33">
        <f>AVERAGE(1.53,1.54,1.57,1.56)</f>
        <v>1.5500000000000003</v>
      </c>
      <c r="L87" s="63">
        <v>44635</v>
      </c>
    </row>
    <row r="88" spans="1:12" x14ac:dyDescent="0.2">
      <c r="A88" s="57" t="s">
        <v>59</v>
      </c>
      <c r="B88" s="57">
        <v>2023</v>
      </c>
      <c r="C88" s="57">
        <v>4</v>
      </c>
      <c r="D88" s="57">
        <v>1</v>
      </c>
      <c r="F88" s="57">
        <v>0.193</v>
      </c>
      <c r="G88" s="57">
        <v>0.11600000000000001</v>
      </c>
      <c r="H88" s="57">
        <v>8.5000000000000006E-2</v>
      </c>
      <c r="I88" s="57">
        <v>4.3999999999999997E-2</v>
      </c>
      <c r="J88" s="57">
        <v>1.68</v>
      </c>
      <c r="K88" s="33">
        <f>AVERAGE(1.48,1.53,1.63,1.45)</f>
        <v>1.5225</v>
      </c>
      <c r="L88" s="63">
        <v>44635</v>
      </c>
    </row>
    <row r="89" spans="1:12" x14ac:dyDescent="0.2">
      <c r="A89" s="57" t="s">
        <v>59</v>
      </c>
      <c r="B89" s="57">
        <v>2022</v>
      </c>
      <c r="C89" s="57">
        <v>1</v>
      </c>
      <c r="D89" s="57">
        <v>1</v>
      </c>
      <c r="F89" s="57">
        <v>1.0509999999999999</v>
      </c>
      <c r="G89" s="57">
        <v>0.625</v>
      </c>
      <c r="H89" s="57">
        <v>0.129</v>
      </c>
      <c r="I89" s="57">
        <v>7.0000000000000007E-2</v>
      </c>
      <c r="J89" s="57">
        <v>2.82</v>
      </c>
      <c r="K89" s="33">
        <f>AVERAGE(1.39,1.57,1.66,1.49)</f>
        <v>1.5275000000000001</v>
      </c>
      <c r="L89" s="63">
        <v>44635</v>
      </c>
    </row>
    <row r="90" spans="1:12" x14ac:dyDescent="0.2">
      <c r="A90" s="57" t="s">
        <v>141</v>
      </c>
      <c r="B90" s="57">
        <v>2020</v>
      </c>
      <c r="C90" s="57">
        <v>1</v>
      </c>
      <c r="D90" s="57">
        <v>0</v>
      </c>
      <c r="F90" s="57">
        <v>0.55700000000000005</v>
      </c>
      <c r="G90" s="57">
        <v>0.22700000000000001</v>
      </c>
      <c r="H90" s="57">
        <v>4.8000000000000001E-2</v>
      </c>
      <c r="I90" s="57">
        <v>1.7999999999999999E-2</v>
      </c>
      <c r="J90" s="57">
        <v>1.92</v>
      </c>
      <c r="K90" s="33">
        <f>AVERAGE(0.82,0.85,0.87,0.82)</f>
        <v>0.84</v>
      </c>
      <c r="L90" s="63">
        <v>44635</v>
      </c>
    </row>
    <row r="91" spans="1:12" x14ac:dyDescent="0.2">
      <c r="A91" s="57" t="s">
        <v>59</v>
      </c>
      <c r="B91" s="57">
        <v>2023</v>
      </c>
      <c r="C91" s="57">
        <v>2</v>
      </c>
      <c r="D91" s="57">
        <v>1</v>
      </c>
      <c r="E91" s="57" t="s">
        <v>143</v>
      </c>
      <c r="F91" s="57">
        <v>0.13</v>
      </c>
      <c r="G91" s="57">
        <v>0.08</v>
      </c>
      <c r="H91" s="57">
        <v>5.8999999999999997E-2</v>
      </c>
      <c r="I91" s="57">
        <v>3.1E-2</v>
      </c>
      <c r="J91" s="57">
        <v>1.46</v>
      </c>
      <c r="K91" s="33">
        <f>AVERAGE(1.22,1.13,1.15,1.21)</f>
        <v>1.1774999999999998</v>
      </c>
      <c r="L91" s="63">
        <v>44635</v>
      </c>
    </row>
    <row r="92" spans="1:12" x14ac:dyDescent="0.2">
      <c r="A92" s="57" t="s">
        <v>141</v>
      </c>
      <c r="B92" s="57">
        <v>2382</v>
      </c>
      <c r="C92" s="57">
        <v>2</v>
      </c>
      <c r="D92" s="57">
        <v>0</v>
      </c>
      <c r="F92" s="57">
        <v>0.91400000000000003</v>
      </c>
      <c r="G92" s="57">
        <v>0.38800000000000001</v>
      </c>
      <c r="H92" s="57">
        <v>8.2000000000000003E-2</v>
      </c>
      <c r="I92" s="57">
        <v>3.2000000000000001E-2</v>
      </c>
      <c r="J92" s="57">
        <v>2.57</v>
      </c>
      <c r="K92" s="33">
        <f>AVERAGE(1.11,1.06,1.04,1.03)</f>
        <v>1.06</v>
      </c>
      <c r="L92" s="63">
        <v>44635</v>
      </c>
    </row>
    <row r="93" spans="1:12" x14ac:dyDescent="0.2">
      <c r="A93" s="57" t="s">
        <v>59</v>
      </c>
      <c r="B93" s="57">
        <v>2352</v>
      </c>
      <c r="C93" s="57">
        <v>3</v>
      </c>
      <c r="D93" s="57">
        <v>0</v>
      </c>
      <c r="F93" s="57">
        <v>8.5000000000000006E-2</v>
      </c>
      <c r="G93" s="57">
        <v>3.1E-2</v>
      </c>
      <c r="H93" s="57">
        <v>1.2E-2</v>
      </c>
      <c r="I93" s="57">
        <v>4.0000000000000001E-3</v>
      </c>
      <c r="J93" s="57">
        <v>0.99</v>
      </c>
      <c r="K93" s="57" t="s">
        <v>60</v>
      </c>
      <c r="L93" s="63">
        <v>44635</v>
      </c>
    </row>
    <row r="94" spans="1:12" x14ac:dyDescent="0.2">
      <c r="A94" s="57" t="s">
        <v>59</v>
      </c>
      <c r="B94" s="57">
        <v>2023</v>
      </c>
      <c r="C94" s="57">
        <v>2</v>
      </c>
      <c r="D94" s="57">
        <v>0</v>
      </c>
      <c r="E94" s="57" t="s">
        <v>142</v>
      </c>
      <c r="F94" s="57">
        <v>0.46200000000000002</v>
      </c>
      <c r="G94" s="57">
        <v>0.23799999999999999</v>
      </c>
      <c r="H94" s="57">
        <v>1.2999999999999999E-2</v>
      </c>
      <c r="I94" s="57">
        <v>6.0000000000000001E-3</v>
      </c>
      <c r="J94" s="57">
        <v>0.62</v>
      </c>
      <c r="K94" s="33">
        <f>AVERAGE(1.67,1.35,1.1,1.35)</f>
        <v>1.3675000000000002</v>
      </c>
      <c r="L94" s="63">
        <v>44635</v>
      </c>
    </row>
    <row r="95" spans="1:12" x14ac:dyDescent="0.2">
      <c r="A95" s="57" t="s">
        <v>141</v>
      </c>
      <c r="B95" s="57">
        <v>2025</v>
      </c>
      <c r="C95" s="57">
        <v>3</v>
      </c>
      <c r="D95" s="57">
        <v>0</v>
      </c>
      <c r="F95" s="57">
        <v>0.41499999999999998</v>
      </c>
      <c r="G95" s="57">
        <v>0.20499999999999999</v>
      </c>
      <c r="H95" s="57">
        <v>5.1999999999999998E-2</v>
      </c>
      <c r="I95" s="57">
        <v>2.4E-2</v>
      </c>
      <c r="J95" s="57">
        <v>2.15</v>
      </c>
      <c r="K95" s="33">
        <f>AVERAGE(1.07,1.02,1.06,0.98)</f>
        <v>1.0325</v>
      </c>
      <c r="L95" s="63">
        <v>44635</v>
      </c>
    </row>
    <row r="96" spans="1:12" x14ac:dyDescent="0.2">
      <c r="A96" s="57" t="s">
        <v>141</v>
      </c>
      <c r="B96" s="57">
        <v>2378</v>
      </c>
      <c r="C96" s="57">
        <v>2</v>
      </c>
      <c r="D96" s="57">
        <v>0</v>
      </c>
      <c r="F96" s="57">
        <v>1.5229999999999999</v>
      </c>
      <c r="G96" s="57">
        <v>0.65700000000000003</v>
      </c>
      <c r="H96" s="57">
        <v>0.28799999999999998</v>
      </c>
      <c r="I96" s="57">
        <v>0.113</v>
      </c>
      <c r="J96" s="57">
        <v>4.6500000000000004</v>
      </c>
      <c r="K96" s="33">
        <f>AVERAGE(1.44,1.38,1.71,1.59)</f>
        <v>1.5299999999999998</v>
      </c>
      <c r="L96" s="63">
        <v>44635</v>
      </c>
    </row>
    <row r="97" spans="1:12" x14ac:dyDescent="0.2">
      <c r="A97" s="57" t="s">
        <v>59</v>
      </c>
      <c r="B97" s="57">
        <v>2380</v>
      </c>
      <c r="C97" s="57">
        <v>1</v>
      </c>
      <c r="D97" s="57">
        <v>1</v>
      </c>
      <c r="F97" s="57">
        <v>0.92300000000000004</v>
      </c>
      <c r="G97" s="57">
        <v>0.51400000000000001</v>
      </c>
      <c r="H97" s="57">
        <v>0.13200000000000001</v>
      </c>
      <c r="I97" s="57">
        <v>6.7000000000000004E-2</v>
      </c>
      <c r="J97" s="57">
        <v>2.77</v>
      </c>
      <c r="K97" s="33">
        <f>AVERAGE(1.32,1.39,1.26,1.38)</f>
        <v>1.3374999999999999</v>
      </c>
      <c r="L97" s="63">
        <v>44635</v>
      </c>
    </row>
    <row r="98" spans="1:12" x14ac:dyDescent="0.2">
      <c r="A98" s="57" t="s">
        <v>59</v>
      </c>
      <c r="B98" s="57">
        <v>2301</v>
      </c>
      <c r="C98" s="57">
        <v>1</v>
      </c>
      <c r="D98" s="57">
        <v>1</v>
      </c>
      <c r="F98" s="57">
        <v>3.2090000000000001</v>
      </c>
      <c r="G98" s="57">
        <v>1.8049999999999999</v>
      </c>
      <c r="H98" s="57">
        <v>0.41199999999999998</v>
      </c>
      <c r="I98" s="57">
        <v>0.223</v>
      </c>
      <c r="J98" s="57">
        <v>8.52</v>
      </c>
      <c r="K98" s="33">
        <f>AVERAGE(1.73,1.67,1.66,1.74)</f>
        <v>1.7</v>
      </c>
      <c r="L98" s="63">
        <v>44635</v>
      </c>
    </row>
    <row r="99" spans="1:12" x14ac:dyDescent="0.2">
      <c r="A99" s="57" t="s">
        <v>59</v>
      </c>
      <c r="B99" s="57">
        <v>2303</v>
      </c>
      <c r="C99" s="57">
        <v>1</v>
      </c>
      <c r="D99" s="57">
        <v>1</v>
      </c>
      <c r="F99" s="57">
        <v>1.2270000000000001</v>
      </c>
      <c r="G99" s="57">
        <v>0.74399999999999999</v>
      </c>
      <c r="H99" s="57">
        <v>0.16200000000000001</v>
      </c>
      <c r="I99" s="57">
        <v>8.2000000000000003E-2</v>
      </c>
      <c r="J99" s="57">
        <v>1.96</v>
      </c>
      <c r="K99" s="33">
        <f>AVERAGE(0.89,2.02,2.14,2.08)</f>
        <v>1.7825000000000002</v>
      </c>
      <c r="L99" s="63">
        <v>44635</v>
      </c>
    </row>
    <row r="100" spans="1:12" x14ac:dyDescent="0.2">
      <c r="A100" s="57" t="s">
        <v>141</v>
      </c>
      <c r="B100" s="57">
        <v>2020</v>
      </c>
      <c r="C100" s="57">
        <v>2</v>
      </c>
      <c r="D100" s="57">
        <v>0</v>
      </c>
      <c r="F100" s="57">
        <v>0.48899999999999999</v>
      </c>
      <c r="G100" s="57">
        <v>0.21299999999999999</v>
      </c>
      <c r="H100" s="57">
        <v>3.9E-2</v>
      </c>
      <c r="I100" s="57">
        <v>1.4999999999999999E-2</v>
      </c>
      <c r="J100" s="57">
        <v>1.26</v>
      </c>
      <c r="K100" s="33">
        <f>AVERAGE(0.94,0.84,0.77,0.86)</f>
        <v>0.85249999999999992</v>
      </c>
      <c r="L100" s="63">
        <v>44635</v>
      </c>
    </row>
    <row r="101" spans="1:12" x14ac:dyDescent="0.2">
      <c r="A101" s="57" t="s">
        <v>59</v>
      </c>
      <c r="B101" s="57">
        <v>2352</v>
      </c>
      <c r="C101" s="57">
        <v>1</v>
      </c>
      <c r="D101" s="57">
        <v>0</v>
      </c>
      <c r="F101" s="57">
        <v>0.61399999999999999</v>
      </c>
      <c r="G101" s="57">
        <v>0.34699999999999998</v>
      </c>
      <c r="H101" s="57">
        <v>7.0000000000000007E-2</v>
      </c>
      <c r="I101" s="57">
        <v>3.4000000000000002E-2</v>
      </c>
      <c r="J101" s="57">
        <v>2.33</v>
      </c>
      <c r="K101" s="33">
        <f>AVERAGE(1.11,1.01,0.99,0.94)</f>
        <v>1.0125000000000002</v>
      </c>
      <c r="L101" s="63">
        <v>44635</v>
      </c>
    </row>
    <row r="102" spans="1:12" x14ac:dyDescent="0.2">
      <c r="A102" s="57" t="s">
        <v>141</v>
      </c>
      <c r="B102" s="57">
        <v>2007</v>
      </c>
      <c r="C102" s="57">
        <v>1</v>
      </c>
      <c r="D102" s="57">
        <v>0</v>
      </c>
      <c r="F102" s="57">
        <v>0.52300000000000002</v>
      </c>
      <c r="G102" s="57">
        <v>0.23499999999999999</v>
      </c>
      <c r="H102" s="57">
        <v>4.3999999999999997E-2</v>
      </c>
      <c r="I102" s="57">
        <v>1.7000000000000001E-2</v>
      </c>
      <c r="J102" s="57">
        <v>1.98</v>
      </c>
      <c r="K102" s="33">
        <f>AVERAGE(0.75,0.65,0.66,0.77)</f>
        <v>0.70750000000000002</v>
      </c>
      <c r="L102" s="63">
        <v>44635</v>
      </c>
    </row>
    <row r="103" spans="1:12" x14ac:dyDescent="0.2">
      <c r="A103" s="57" t="s">
        <v>59</v>
      </c>
      <c r="B103" s="57">
        <v>2089</v>
      </c>
      <c r="C103" s="57">
        <v>2</v>
      </c>
      <c r="D103" s="57">
        <v>0</v>
      </c>
      <c r="E103" s="57" t="s">
        <v>142</v>
      </c>
      <c r="F103" s="57">
        <v>0.27800000000000002</v>
      </c>
      <c r="G103" s="57">
        <v>0.156</v>
      </c>
      <c r="H103" s="57">
        <v>3.5000000000000003E-2</v>
      </c>
      <c r="I103" s="57">
        <v>0.02</v>
      </c>
      <c r="J103" s="57">
        <v>2.0099999999999998</v>
      </c>
      <c r="K103" s="33">
        <f>AVERAGE(0.9,0.75,0.8,0.83)</f>
        <v>0.82000000000000006</v>
      </c>
      <c r="L103" s="63">
        <v>44635</v>
      </c>
    </row>
    <row r="104" spans="1:12" x14ac:dyDescent="0.2">
      <c r="A104" s="57" t="s">
        <v>59</v>
      </c>
      <c r="B104" s="57">
        <v>2091</v>
      </c>
      <c r="C104" s="57">
        <v>3</v>
      </c>
      <c r="D104" s="57">
        <v>1</v>
      </c>
      <c r="F104" s="57">
        <v>1.1659999999999999</v>
      </c>
      <c r="G104" s="57">
        <v>0.71399999999999997</v>
      </c>
      <c r="H104" s="57">
        <v>0.16400000000000001</v>
      </c>
      <c r="I104" s="57">
        <v>9.5000000000000001E-2</v>
      </c>
      <c r="J104" s="57">
        <v>3.39</v>
      </c>
      <c r="K104" s="33">
        <f>AVERAGE(1.59,1.58,1.49,1.56)</f>
        <v>1.5550000000000002</v>
      </c>
      <c r="L104" s="63">
        <v>44635</v>
      </c>
    </row>
    <row r="105" spans="1:12" x14ac:dyDescent="0.2">
      <c r="A105" s="57" t="s">
        <v>59</v>
      </c>
      <c r="B105" s="57">
        <v>2026</v>
      </c>
      <c r="C105" s="57">
        <v>1</v>
      </c>
      <c r="D105" s="57">
        <v>0</v>
      </c>
      <c r="F105" s="57">
        <v>0.53800000000000003</v>
      </c>
      <c r="G105" s="57">
        <v>0.26300000000000001</v>
      </c>
      <c r="H105" s="57">
        <v>9.7000000000000003E-2</v>
      </c>
      <c r="I105" s="57">
        <v>2.5999999999999999E-2</v>
      </c>
      <c r="J105" s="57">
        <v>1.93</v>
      </c>
      <c r="K105" s="33">
        <f>AVERAGE(0.8,0.75,0.78,0.78)</f>
        <v>0.77750000000000008</v>
      </c>
      <c r="L105" s="63">
        <v>44635</v>
      </c>
    </row>
    <row r="106" spans="1:12" x14ac:dyDescent="0.2">
      <c r="A106" s="57" t="s">
        <v>141</v>
      </c>
      <c r="B106" s="57">
        <v>2005</v>
      </c>
      <c r="C106" s="57">
        <v>1</v>
      </c>
      <c r="D106" s="57">
        <v>0</v>
      </c>
      <c r="F106" s="57">
        <v>1.97</v>
      </c>
      <c r="G106" s="57">
        <v>0.81899999999999995</v>
      </c>
      <c r="H106" s="57">
        <v>0.19400000000000001</v>
      </c>
      <c r="I106" s="57">
        <v>7.3999999999999996E-2</v>
      </c>
      <c r="J106" s="57">
        <v>2.93</v>
      </c>
      <c r="K106" s="33">
        <f>AVERAGE(1.54,1.41,1.41,1.62)</f>
        <v>1.4950000000000001</v>
      </c>
      <c r="L106" s="63">
        <v>44635</v>
      </c>
    </row>
    <row r="107" spans="1:12" x14ac:dyDescent="0.2">
      <c r="A107" s="57" t="s">
        <v>59</v>
      </c>
      <c r="B107" s="57">
        <v>2331</v>
      </c>
      <c r="C107" s="57">
        <v>2</v>
      </c>
      <c r="D107" s="57">
        <v>0</v>
      </c>
      <c r="F107" s="57">
        <v>0.25700000000000001</v>
      </c>
      <c r="G107" s="57">
        <v>7.8E-2</v>
      </c>
      <c r="H107" s="57">
        <v>2.5999999999999999E-2</v>
      </c>
      <c r="I107" s="57">
        <v>8.9999999999999993E-3</v>
      </c>
      <c r="J107" s="57">
        <v>1.22</v>
      </c>
      <c r="K107" s="57" t="s">
        <v>60</v>
      </c>
      <c r="L107" s="63">
        <v>44635</v>
      </c>
    </row>
    <row r="108" spans="1:12" x14ac:dyDescent="0.2">
      <c r="A108" s="57" t="s">
        <v>59</v>
      </c>
      <c r="B108" s="57">
        <v>2352</v>
      </c>
      <c r="C108" s="57">
        <v>3</v>
      </c>
      <c r="D108" s="57">
        <v>1</v>
      </c>
      <c r="F108" s="57">
        <v>0.19400000000000001</v>
      </c>
      <c r="G108" s="57">
        <v>0.11700000000000001</v>
      </c>
      <c r="H108" s="57">
        <v>3.6999999999999998E-2</v>
      </c>
      <c r="I108" s="57">
        <v>0.02</v>
      </c>
      <c r="J108" s="57">
        <v>1.92</v>
      </c>
      <c r="K108" s="33">
        <f>AVERAGE(1.01,0.97,0.75,0.86)</f>
        <v>0.89749999999999996</v>
      </c>
      <c r="L108" s="63">
        <v>44635</v>
      </c>
    </row>
    <row r="109" spans="1:12" x14ac:dyDescent="0.2">
      <c r="A109" s="57" t="s">
        <v>141</v>
      </c>
      <c r="B109" s="57">
        <v>2020</v>
      </c>
      <c r="C109" s="57">
        <v>3</v>
      </c>
      <c r="D109" s="57">
        <v>0</v>
      </c>
      <c r="F109" s="57">
        <v>0.47699999999999998</v>
      </c>
      <c r="G109" s="57">
        <v>0.216</v>
      </c>
      <c r="H109" s="57">
        <v>3.1E-2</v>
      </c>
      <c r="I109" s="57">
        <v>1.2E-2</v>
      </c>
      <c r="J109" s="57">
        <v>1.2</v>
      </c>
      <c r="K109" s="33">
        <f>AVERAGE(0.81,0.77,0.84,0.99)</f>
        <v>0.85250000000000004</v>
      </c>
      <c r="L109" s="63">
        <v>44635</v>
      </c>
    </row>
    <row r="110" spans="1:12" x14ac:dyDescent="0.2">
      <c r="A110" s="57" t="s">
        <v>59</v>
      </c>
      <c r="B110" s="57">
        <v>2023</v>
      </c>
      <c r="C110" s="57">
        <v>3</v>
      </c>
      <c r="D110" s="57">
        <v>1</v>
      </c>
      <c r="F110" s="57">
        <v>1.359</v>
      </c>
      <c r="G110" s="57">
        <v>0.82599999999999996</v>
      </c>
      <c r="H110" s="57">
        <v>0.24099999999999999</v>
      </c>
      <c r="I110" s="57">
        <v>0.127</v>
      </c>
      <c r="J110" s="57">
        <v>4.62</v>
      </c>
      <c r="K110" s="33">
        <f>AVERAGE(1.8,1.53,1.67,1.74)</f>
        <v>1.6850000000000001</v>
      </c>
      <c r="L110" s="63">
        <v>44635</v>
      </c>
    </row>
    <row r="111" spans="1:12" x14ac:dyDescent="0.2">
      <c r="A111" s="57" t="s">
        <v>141</v>
      </c>
      <c r="B111" s="57">
        <v>2379</v>
      </c>
      <c r="C111" s="57">
        <v>3</v>
      </c>
      <c r="D111" s="57">
        <v>0</v>
      </c>
      <c r="F111" s="57">
        <v>0.503</v>
      </c>
      <c r="G111" s="57">
        <v>0.224</v>
      </c>
      <c r="H111" s="57">
        <v>4.1000000000000002E-2</v>
      </c>
      <c r="I111" s="57">
        <v>1.7000000000000001E-2</v>
      </c>
      <c r="J111" s="57">
        <v>0.75</v>
      </c>
      <c r="K111" s="57" t="s">
        <v>60</v>
      </c>
      <c r="L111" s="63">
        <v>44635</v>
      </c>
    </row>
    <row r="112" spans="1:12" x14ac:dyDescent="0.2">
      <c r="A112" s="57" t="s">
        <v>59</v>
      </c>
      <c r="B112" s="57">
        <v>2093</v>
      </c>
      <c r="C112" s="57">
        <v>2</v>
      </c>
      <c r="D112" s="57">
        <v>1</v>
      </c>
      <c r="F112" s="57">
        <v>1.881</v>
      </c>
      <c r="G112" s="57">
        <v>0.124</v>
      </c>
      <c r="H112" s="57">
        <v>4.2999999999999997E-2</v>
      </c>
      <c r="I112" s="57">
        <v>0.104</v>
      </c>
      <c r="J112" s="57">
        <v>2.69</v>
      </c>
      <c r="K112" s="33">
        <f>AVERAGE(1.64,1.63,1.64,1.61)</f>
        <v>1.63</v>
      </c>
      <c r="L112" s="63">
        <v>44635</v>
      </c>
    </row>
    <row r="113" spans="1:12" x14ac:dyDescent="0.2">
      <c r="A113" s="57" t="s">
        <v>141</v>
      </c>
      <c r="B113" s="57">
        <v>2378</v>
      </c>
      <c r="C113" s="57">
        <v>1</v>
      </c>
      <c r="D113" s="57">
        <v>0</v>
      </c>
      <c r="F113" s="57">
        <v>0.61499999999999999</v>
      </c>
      <c r="G113" s="57">
        <v>0.27900000000000003</v>
      </c>
      <c r="H113" s="57">
        <v>0.124</v>
      </c>
      <c r="I113" s="57">
        <v>0.05</v>
      </c>
      <c r="J113" s="57">
        <v>2.75</v>
      </c>
      <c r="K113" s="33">
        <f>AVERAGE(1.05,1.09,0.95,0.97)</f>
        <v>1.0149999999999999</v>
      </c>
      <c r="L113" s="63">
        <v>44635</v>
      </c>
    </row>
    <row r="114" spans="1:12" x14ac:dyDescent="0.2">
      <c r="A114" s="57" t="s">
        <v>141</v>
      </c>
      <c r="B114" s="57">
        <v>2006</v>
      </c>
      <c r="C114" s="57">
        <v>3</v>
      </c>
      <c r="D114" s="57">
        <v>0</v>
      </c>
      <c r="F114" s="57">
        <v>0.22500000000000001</v>
      </c>
      <c r="G114" s="57">
        <v>8.1000000000000003E-2</v>
      </c>
      <c r="H114" s="57">
        <v>2.5999999999999999E-2</v>
      </c>
      <c r="I114" s="57">
        <v>0.01</v>
      </c>
      <c r="J114" s="57">
        <v>0.78</v>
      </c>
      <c r="K114" s="57" t="s">
        <v>60</v>
      </c>
      <c r="L114" s="63">
        <v>44635</v>
      </c>
    </row>
    <row r="115" spans="1:12" x14ac:dyDescent="0.2">
      <c r="A115" s="57" t="s">
        <v>59</v>
      </c>
      <c r="B115" s="57">
        <v>2352</v>
      </c>
      <c r="C115" s="57">
        <v>2</v>
      </c>
      <c r="D115" s="57">
        <v>1</v>
      </c>
      <c r="F115" s="57">
        <v>0.41</v>
      </c>
      <c r="G115" s="57">
        <v>0.24199999999999999</v>
      </c>
      <c r="H115" s="57">
        <v>3.4000000000000002E-2</v>
      </c>
      <c r="I115" s="57">
        <v>1.7999999999999999E-2</v>
      </c>
      <c r="J115" s="57">
        <v>1.37</v>
      </c>
      <c r="K115" s="33">
        <f>AVERAGE(0.81,0.84,0.96,1.07)</f>
        <v>0.91999999999999993</v>
      </c>
      <c r="L115" s="63">
        <v>44635</v>
      </c>
    </row>
    <row r="116" spans="1:12" x14ac:dyDescent="0.2">
      <c r="A116" s="57" t="s">
        <v>141</v>
      </c>
      <c r="B116" s="57">
        <v>2025</v>
      </c>
      <c r="C116" s="57">
        <v>2</v>
      </c>
      <c r="D116" s="57">
        <v>0</v>
      </c>
      <c r="F116" s="57">
        <v>0.94299999999999995</v>
      </c>
      <c r="G116" s="57">
        <v>0.44700000000000001</v>
      </c>
      <c r="H116" s="57">
        <v>0.16300000000000001</v>
      </c>
      <c r="I116" s="57">
        <v>6.9000000000000006E-2</v>
      </c>
      <c r="J116" s="57">
        <v>4.34</v>
      </c>
      <c r="K116" s="33">
        <f>AVERAGE(1.55,1.46,1.39,1.19)</f>
        <v>1.3975</v>
      </c>
      <c r="L116" s="63">
        <v>44635</v>
      </c>
    </row>
    <row r="117" spans="1:12" x14ac:dyDescent="0.2">
      <c r="A117" s="57" t="s">
        <v>141</v>
      </c>
      <c r="B117" s="57">
        <v>2021</v>
      </c>
      <c r="C117" s="57">
        <v>1</v>
      </c>
      <c r="D117" s="57">
        <v>0</v>
      </c>
      <c r="F117" s="57">
        <v>0.40400000000000003</v>
      </c>
      <c r="G117" s="57">
        <v>0.2</v>
      </c>
      <c r="H117" s="57">
        <v>4.4999999999999998E-2</v>
      </c>
      <c r="I117" s="57">
        <v>1.7999999999999999E-2</v>
      </c>
      <c r="J117" s="57">
        <v>1.21</v>
      </c>
      <c r="K117" s="57" t="s">
        <v>60</v>
      </c>
      <c r="L117" s="63">
        <v>44635</v>
      </c>
    </row>
    <row r="118" spans="1:12" x14ac:dyDescent="0.2">
      <c r="A118" s="57" t="s">
        <v>59</v>
      </c>
      <c r="B118" s="57">
        <v>2352</v>
      </c>
      <c r="C118" s="57">
        <v>1</v>
      </c>
      <c r="D118" s="57">
        <v>1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1.2650000000000001</v>
      </c>
      <c r="L118" s="63">
        <v>44635</v>
      </c>
    </row>
    <row r="119" spans="1:12" x14ac:dyDescent="0.2">
      <c r="A119" s="57" t="s">
        <v>141</v>
      </c>
      <c r="B119" s="57">
        <v>2024</v>
      </c>
      <c r="C119" s="57">
        <v>1</v>
      </c>
      <c r="D119" s="57">
        <v>0</v>
      </c>
      <c r="F119" s="57">
        <v>1.72</v>
      </c>
      <c r="G119" s="57">
        <v>0.71399999999999997</v>
      </c>
      <c r="H119" s="57">
        <v>0.20799999999999999</v>
      </c>
      <c r="I119" s="57">
        <v>7.8E-2</v>
      </c>
      <c r="J119" s="57">
        <v>3.63</v>
      </c>
      <c r="K119" s="33">
        <f>AVERAGE(1.41,1.88,1.78,1.4)</f>
        <v>1.6175000000000002</v>
      </c>
      <c r="L119" s="63">
        <v>44635</v>
      </c>
    </row>
    <row r="120" spans="1:12" x14ac:dyDescent="0.2">
      <c r="A120" s="57" t="s">
        <v>141</v>
      </c>
      <c r="B120" s="57">
        <v>2008</v>
      </c>
      <c r="C120" s="57">
        <v>1</v>
      </c>
      <c r="D120" s="57">
        <v>0</v>
      </c>
      <c r="F120" s="57">
        <v>0.505</v>
      </c>
      <c r="G120" s="57">
        <v>0.17299999999999999</v>
      </c>
      <c r="H120" s="57">
        <v>0.03</v>
      </c>
      <c r="I120" s="57">
        <v>1.0999999999999999E-2</v>
      </c>
      <c r="J120" s="57">
        <v>0.9</v>
      </c>
      <c r="K120" s="57" t="s">
        <v>60</v>
      </c>
      <c r="L120" s="63">
        <v>44635</v>
      </c>
    </row>
    <row r="121" spans="1:12" x14ac:dyDescent="0.2">
      <c r="A121" s="57" t="s">
        <v>59</v>
      </c>
      <c r="B121" s="57">
        <v>2331</v>
      </c>
      <c r="C121" s="57">
        <v>2</v>
      </c>
      <c r="D121" s="57">
        <v>1</v>
      </c>
      <c r="F121" s="57">
        <v>0.56299999999999994</v>
      </c>
      <c r="G121" s="57">
        <v>0.34</v>
      </c>
      <c r="H121" s="57">
        <v>0.19900000000000001</v>
      </c>
      <c r="I121" s="57">
        <v>0.109</v>
      </c>
      <c r="J121" s="57">
        <v>4.63</v>
      </c>
      <c r="K121" s="33">
        <f>AVERAGE(1.58,1.43,1.48,1.52)</f>
        <v>1.5024999999999999</v>
      </c>
      <c r="L121" s="63">
        <v>44635</v>
      </c>
    </row>
    <row r="122" spans="1:12" x14ac:dyDescent="0.2">
      <c r="A122" s="57" t="s">
        <v>141</v>
      </c>
      <c r="B122" s="57">
        <v>2024</v>
      </c>
      <c r="C122" s="57">
        <v>4</v>
      </c>
      <c r="D122" s="57">
        <v>0</v>
      </c>
      <c r="F122" s="57">
        <v>0.93899999999999995</v>
      </c>
      <c r="G122" s="57">
        <v>0.35</v>
      </c>
      <c r="H122" s="57">
        <v>0.20300000000000001</v>
      </c>
      <c r="I122" s="57">
        <v>7.3999999999999996E-2</v>
      </c>
      <c r="J122" s="57">
        <v>4.82</v>
      </c>
      <c r="K122" s="33">
        <f>AVERAGE(1.43,1.63,1.79,1.75)</f>
        <v>1.65</v>
      </c>
      <c r="L122" s="63">
        <v>44635</v>
      </c>
    </row>
    <row r="123" spans="1:12" x14ac:dyDescent="0.2">
      <c r="A123" s="57" t="s">
        <v>141</v>
      </c>
      <c r="B123" s="57">
        <v>2025</v>
      </c>
      <c r="C123" s="57">
        <v>4</v>
      </c>
      <c r="D123" s="57">
        <v>0</v>
      </c>
      <c r="F123" s="57">
        <v>0.65700000000000003</v>
      </c>
      <c r="G123" s="57">
        <v>0.32200000000000001</v>
      </c>
      <c r="H123" s="57">
        <v>9.8000000000000004E-2</v>
      </c>
      <c r="I123" s="57">
        <v>4.2999999999999997E-2</v>
      </c>
      <c r="J123" s="57">
        <v>3.21</v>
      </c>
      <c r="K123" s="33">
        <f>AVERAGE(1.37,1.18,1.22,1.22)</f>
        <v>1.2474999999999998</v>
      </c>
      <c r="L123" s="63">
        <v>44635</v>
      </c>
    </row>
    <row r="124" spans="1:12" x14ac:dyDescent="0.2">
      <c r="A124" s="57" t="s">
        <v>59</v>
      </c>
      <c r="B124" s="57">
        <v>2023</v>
      </c>
      <c r="C124" s="57">
        <v>2</v>
      </c>
      <c r="D124" s="57">
        <v>0</v>
      </c>
      <c r="E124" s="57" t="s">
        <v>143</v>
      </c>
      <c r="F124" s="57">
        <v>1.3049999999999999</v>
      </c>
      <c r="G124" s="57">
        <v>0.65</v>
      </c>
      <c r="H124" s="57">
        <v>0.104</v>
      </c>
      <c r="I124" s="57">
        <v>4.5999999999999999E-2</v>
      </c>
      <c r="J124" s="57">
        <v>3.43</v>
      </c>
      <c r="K124" s="33">
        <f>AVERAGE(0.91,1.16,1.02,0.99)</f>
        <v>1.02</v>
      </c>
      <c r="L124" s="63">
        <v>44635</v>
      </c>
    </row>
    <row r="125" spans="1:12" x14ac:dyDescent="0.2">
      <c r="A125" s="57" t="s">
        <v>59</v>
      </c>
      <c r="B125" s="57">
        <v>2345</v>
      </c>
      <c r="C125" s="57">
        <v>3</v>
      </c>
      <c r="D125" s="57">
        <v>1</v>
      </c>
      <c r="F125" s="57">
        <v>2.0649999999999999</v>
      </c>
      <c r="G125" s="57">
        <v>1.212</v>
      </c>
      <c r="H125" s="57">
        <v>0.31900000000000001</v>
      </c>
      <c r="I125" s="57">
        <v>0.17699999999999999</v>
      </c>
      <c r="J125" s="57">
        <v>5.41</v>
      </c>
      <c r="K125" s="33">
        <f>AVERAGE(1.74,1.77,1.75,1.78)</f>
        <v>1.76</v>
      </c>
      <c r="L125" s="63">
        <v>44635</v>
      </c>
    </row>
    <row r="126" spans="1:12" x14ac:dyDescent="0.2">
      <c r="A126" s="57" t="s">
        <v>59</v>
      </c>
      <c r="B126" s="57">
        <v>2023</v>
      </c>
      <c r="C126" s="57">
        <v>4</v>
      </c>
      <c r="D126" s="57">
        <v>0</v>
      </c>
      <c r="E126" s="57" t="s">
        <v>142</v>
      </c>
      <c r="F126" s="57">
        <v>1.5129999999999999</v>
      </c>
      <c r="G126" s="57">
        <v>0.74199999999999999</v>
      </c>
      <c r="H126" s="57">
        <v>0.17599999999999999</v>
      </c>
      <c r="I126" s="57">
        <v>7.5999999999999998E-2</v>
      </c>
      <c r="J126" s="57">
        <v>5.03</v>
      </c>
      <c r="K126" s="33">
        <f>AVERAGE(1.28,1.31,1.22,1.33)</f>
        <v>1.2849999999999999</v>
      </c>
      <c r="L126" s="63">
        <v>44635</v>
      </c>
    </row>
    <row r="127" spans="1:12" x14ac:dyDescent="0.2">
      <c r="A127" s="57" t="s">
        <v>59</v>
      </c>
      <c r="B127" s="57" t="s">
        <v>145</v>
      </c>
      <c r="C127" s="57">
        <v>1</v>
      </c>
      <c r="D127" s="57">
        <v>1</v>
      </c>
      <c r="F127" s="57">
        <v>2.5489999999999999</v>
      </c>
      <c r="G127" s="57">
        <v>1.486</v>
      </c>
      <c r="H127" s="57">
        <v>0.28000000000000003</v>
      </c>
      <c r="I127" s="57">
        <v>0.14699999999999999</v>
      </c>
      <c r="J127" s="57">
        <v>4.3899999999999997</v>
      </c>
      <c r="K127" s="33">
        <f>AVERAGE(2.03,2.05,1.89,1.13)</f>
        <v>1.7749999999999999</v>
      </c>
      <c r="L127" s="63">
        <v>44635</v>
      </c>
    </row>
    <row r="128" spans="1:12" x14ac:dyDescent="0.2">
      <c r="A128" s="57" t="s">
        <v>59</v>
      </c>
      <c r="B128" s="57">
        <v>2089</v>
      </c>
      <c r="C128" s="57">
        <v>2</v>
      </c>
      <c r="D128" s="57">
        <v>1</v>
      </c>
      <c r="F128" s="57">
        <v>1.0620000000000001</v>
      </c>
      <c r="G128" s="57">
        <v>0.622</v>
      </c>
      <c r="H128" s="57">
        <v>0.27800000000000002</v>
      </c>
      <c r="I128" s="57">
        <v>0.157</v>
      </c>
      <c r="J128" s="57">
        <v>6.85</v>
      </c>
      <c r="K128" s="33">
        <f>AVERAGE(1.65,1.53,1.5,1.57)</f>
        <v>1.5625</v>
      </c>
      <c r="L128" s="63">
        <v>44635</v>
      </c>
    </row>
    <row r="129" spans="1:12" x14ac:dyDescent="0.2">
      <c r="A129" s="57" t="s">
        <v>141</v>
      </c>
      <c r="B129" s="57">
        <v>2008</v>
      </c>
      <c r="C129" s="57">
        <v>3</v>
      </c>
      <c r="D129" s="57">
        <v>0</v>
      </c>
      <c r="F129" s="57">
        <v>0.91300000000000003</v>
      </c>
      <c r="G129" s="57">
        <v>0.317</v>
      </c>
      <c r="H129" s="57">
        <v>0.06</v>
      </c>
      <c r="I129" s="57">
        <v>2.1000000000000001E-2</v>
      </c>
      <c r="J129" s="57">
        <v>1.5</v>
      </c>
      <c r="K129" s="57" t="s">
        <v>60</v>
      </c>
      <c r="L129" s="63">
        <v>44635</v>
      </c>
    </row>
    <row r="130" spans="1:12" x14ac:dyDescent="0.2">
      <c r="A130" s="57" t="s">
        <v>141</v>
      </c>
      <c r="B130" s="57">
        <v>2381</v>
      </c>
      <c r="C130" s="57">
        <v>1</v>
      </c>
      <c r="D130" s="57">
        <v>0</v>
      </c>
      <c r="F130" s="57">
        <v>0.59399999999999997</v>
      </c>
      <c r="G130" s="57">
        <v>0.22600000000000001</v>
      </c>
      <c r="H130" s="57">
        <v>5.6000000000000001E-2</v>
      </c>
      <c r="I130" s="57">
        <v>0.02</v>
      </c>
      <c r="J130" s="57">
        <v>0.96</v>
      </c>
      <c r="K130" s="57" t="s">
        <v>60</v>
      </c>
      <c r="L130" s="63">
        <v>44635</v>
      </c>
    </row>
    <row r="131" spans="1:12" x14ac:dyDescent="0.2">
      <c r="A131" s="57" t="s">
        <v>141</v>
      </c>
      <c r="B131" s="57">
        <v>2004</v>
      </c>
      <c r="C131" s="57">
        <v>2</v>
      </c>
      <c r="D131" s="57">
        <v>0</v>
      </c>
      <c r="F131" s="57">
        <v>0.51200000000000001</v>
      </c>
      <c r="G131" s="57">
        <v>0.189</v>
      </c>
      <c r="H131" s="57">
        <v>0.09</v>
      </c>
      <c r="I131" s="57">
        <v>3.2000000000000001E-2</v>
      </c>
      <c r="J131" s="57">
        <v>2.2000000000000002</v>
      </c>
      <c r="K131" s="33">
        <f>AVERAGE(1.15,1.22,1.21,1.14)</f>
        <v>1.18</v>
      </c>
      <c r="L131" s="63">
        <v>44635</v>
      </c>
    </row>
    <row r="132" spans="1:12" x14ac:dyDescent="0.2">
      <c r="A132" s="57" t="s">
        <v>59</v>
      </c>
      <c r="B132" s="57">
        <v>2301</v>
      </c>
      <c r="C132" s="57">
        <v>3</v>
      </c>
      <c r="D132" s="57">
        <v>1</v>
      </c>
      <c r="F132" s="57">
        <v>1.95</v>
      </c>
      <c r="G132" s="57">
        <v>1.1000000000000001</v>
      </c>
      <c r="H132" s="57">
        <v>0.28199999999999997</v>
      </c>
      <c r="I132" s="57">
        <v>0.14799999999999999</v>
      </c>
      <c r="J132" s="57">
        <v>7.56</v>
      </c>
      <c r="K132" s="33">
        <f>AVERAGE(1.39,1.47,1.23,1.52)</f>
        <v>1.4024999999999999</v>
      </c>
      <c r="L132" s="63">
        <v>44635</v>
      </c>
    </row>
    <row r="133" spans="1:12" x14ac:dyDescent="0.2">
      <c r="A133" s="57" t="s">
        <v>59</v>
      </c>
      <c r="B133" s="57">
        <v>2092</v>
      </c>
      <c r="C133" s="57">
        <v>1</v>
      </c>
      <c r="D133" s="57">
        <v>1</v>
      </c>
      <c r="F133" s="57">
        <v>0.379</v>
      </c>
      <c r="G133" s="57">
        <v>0.23300000000000001</v>
      </c>
      <c r="H133" s="57">
        <v>8.1000000000000003E-2</v>
      </c>
      <c r="I133" s="57">
        <v>4.2999999999999997E-2</v>
      </c>
      <c r="J133" s="57">
        <v>2.04</v>
      </c>
      <c r="K133" s="33">
        <f>AVERAGE(1.44,1.47,1.42,1.38)</f>
        <v>1.4275</v>
      </c>
      <c r="L133" s="63">
        <v>44635</v>
      </c>
    </row>
    <row r="134" spans="1:12" x14ac:dyDescent="0.2">
      <c r="A134" s="57" t="s">
        <v>59</v>
      </c>
      <c r="B134" s="57">
        <v>2023</v>
      </c>
      <c r="C134" s="57">
        <v>3</v>
      </c>
      <c r="D134" s="57">
        <v>0</v>
      </c>
      <c r="F134" s="57">
        <v>1.0580000000000001</v>
      </c>
      <c r="G134" s="57">
        <v>0.54800000000000004</v>
      </c>
      <c r="H134" s="57">
        <v>8.7999999999999995E-2</v>
      </c>
      <c r="I134" s="57">
        <v>4.1000000000000002E-2</v>
      </c>
      <c r="J134" s="57">
        <v>1.84</v>
      </c>
      <c r="K134" s="33">
        <f>AVERAGE(1.1,1.35,1.48,1.24)</f>
        <v>1.2925</v>
      </c>
      <c r="L134" s="63">
        <v>44635</v>
      </c>
    </row>
    <row r="135" spans="1:12" x14ac:dyDescent="0.2">
      <c r="A135" s="57" t="s">
        <v>59</v>
      </c>
      <c r="B135" s="57">
        <v>2023</v>
      </c>
      <c r="C135" s="57">
        <v>2</v>
      </c>
      <c r="D135" s="57">
        <v>0</v>
      </c>
      <c r="E135" s="57" t="s">
        <v>146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1.0074999999999998</v>
      </c>
      <c r="L135" s="63">
        <v>44635</v>
      </c>
    </row>
    <row r="136" spans="1:12" x14ac:dyDescent="0.2">
      <c r="A136" s="57" t="s">
        <v>59</v>
      </c>
      <c r="B136" s="57">
        <v>2345</v>
      </c>
      <c r="C136" s="57">
        <v>1</v>
      </c>
      <c r="D136" s="57">
        <v>1</v>
      </c>
      <c r="F136" s="57">
        <v>2.4009999999999998</v>
      </c>
      <c r="G136" s="57">
        <v>1.4119999999999999</v>
      </c>
      <c r="H136" s="57">
        <v>0.41799999999999998</v>
      </c>
      <c r="I136" s="57">
        <v>0.22700000000000001</v>
      </c>
      <c r="J136" s="57">
        <v>7.02</v>
      </c>
      <c r="K136" s="33">
        <f>AVERAGE(2.05,1.95,2.07,2.04)</f>
        <v>2.0274999999999999</v>
      </c>
      <c r="L136" s="63">
        <v>44635</v>
      </c>
    </row>
    <row r="137" spans="1:12" x14ac:dyDescent="0.2">
      <c r="A137" s="57" t="s">
        <v>59</v>
      </c>
      <c r="B137" s="57">
        <v>2023</v>
      </c>
      <c r="C137" s="57">
        <v>2</v>
      </c>
      <c r="D137" s="57">
        <v>1</v>
      </c>
      <c r="E137" s="57" t="s">
        <v>142</v>
      </c>
      <c r="F137" s="57">
        <v>0.438</v>
      </c>
      <c r="G137" s="57">
        <v>0.26900000000000002</v>
      </c>
      <c r="H137" s="57">
        <v>0.16500000000000001</v>
      </c>
      <c r="I137" s="57">
        <v>8.5999999999999993E-2</v>
      </c>
      <c r="J137" s="57">
        <v>3.57</v>
      </c>
      <c r="K137" s="33">
        <f>AVERAGE(1.19,1.43,1.33,1.46)</f>
        <v>1.3525</v>
      </c>
      <c r="L137" s="63">
        <v>44635</v>
      </c>
    </row>
    <row r="138" spans="1:12" x14ac:dyDescent="0.2">
      <c r="A138" s="57" t="s">
        <v>141</v>
      </c>
      <c r="B138" s="57">
        <v>2027</v>
      </c>
      <c r="C138" s="57">
        <v>2</v>
      </c>
      <c r="D138" s="57">
        <v>0</v>
      </c>
      <c r="F138" s="57">
        <v>1.026</v>
      </c>
      <c r="G138" s="57">
        <v>0.40200000000000002</v>
      </c>
      <c r="H138" s="57">
        <v>4.2000000000000003E-2</v>
      </c>
      <c r="I138" s="57">
        <v>1.6E-2</v>
      </c>
      <c r="J138" s="57">
        <v>1.05</v>
      </c>
      <c r="K138" s="57" t="s">
        <v>60</v>
      </c>
      <c r="L138" s="63">
        <v>44635</v>
      </c>
    </row>
    <row r="139" spans="1:12" x14ac:dyDescent="0.2">
      <c r="A139" s="57" t="s">
        <v>141</v>
      </c>
      <c r="B139" s="57">
        <v>2379</v>
      </c>
      <c r="C139" s="57">
        <v>2</v>
      </c>
      <c r="D139" s="57">
        <v>0</v>
      </c>
      <c r="F139" s="57">
        <v>0.58899999999999997</v>
      </c>
      <c r="G139" s="57">
        <v>0.27</v>
      </c>
      <c r="H139" s="57">
        <v>0.03</v>
      </c>
      <c r="I139" s="57">
        <v>1.2999999999999999E-2</v>
      </c>
      <c r="J139" s="57">
        <v>0.8</v>
      </c>
      <c r="K139" s="33">
        <f>AVERAGE(0.72,0.64,0.98,0.77)</f>
        <v>0.77749999999999997</v>
      </c>
      <c r="L139" s="63">
        <v>44635</v>
      </c>
    </row>
    <row r="140" spans="1:12" x14ac:dyDescent="0.2">
      <c r="A140" s="57" t="s">
        <v>59</v>
      </c>
      <c r="B140" s="57">
        <v>2301</v>
      </c>
      <c r="C140" s="57">
        <v>2</v>
      </c>
      <c r="D140" s="57">
        <v>1</v>
      </c>
      <c r="F140" s="57">
        <v>2.3279999999999998</v>
      </c>
      <c r="G140" s="57">
        <v>1.3440000000000001</v>
      </c>
      <c r="H140" s="57">
        <v>0.39900000000000002</v>
      </c>
      <c r="I140" s="57">
        <v>0.21299999999999999</v>
      </c>
      <c r="J140" s="57">
        <v>9.51</v>
      </c>
      <c r="K140" s="33">
        <f>AVERAGE(1.4,1.43,1.34,1.53)</f>
        <v>1.425</v>
      </c>
      <c r="L140" s="63">
        <v>44635</v>
      </c>
    </row>
    <row r="141" spans="1:12" x14ac:dyDescent="0.2">
      <c r="A141" s="57" t="s">
        <v>59</v>
      </c>
      <c r="B141" s="57">
        <v>2345</v>
      </c>
      <c r="C141" s="57">
        <v>2</v>
      </c>
      <c r="D141" s="57">
        <v>1</v>
      </c>
      <c r="F141" s="57">
        <v>1.66</v>
      </c>
      <c r="G141" s="57">
        <v>0.97699999999999998</v>
      </c>
      <c r="H141" s="57">
        <v>0.309</v>
      </c>
      <c r="I141" s="57">
        <v>0.17299999999999999</v>
      </c>
      <c r="J141" s="57">
        <v>5.59</v>
      </c>
      <c r="K141" s="33">
        <f>AVERAGE(1.64,1.62,1.64,1.65)</f>
        <v>1.6374999999999997</v>
      </c>
      <c r="L141" s="63">
        <v>44635</v>
      </c>
    </row>
    <row r="142" spans="1:12" x14ac:dyDescent="0.2">
      <c r="A142" s="57" t="s">
        <v>59</v>
      </c>
      <c r="B142" s="57">
        <v>2089</v>
      </c>
      <c r="C142" s="57">
        <v>1</v>
      </c>
      <c r="D142" s="57">
        <v>1</v>
      </c>
      <c r="F142" s="57">
        <v>2.3769999999999998</v>
      </c>
      <c r="G142" s="57">
        <v>1.421</v>
      </c>
      <c r="H142" s="57" t="s">
        <v>60</v>
      </c>
      <c r="I142" s="57">
        <v>0.26700000000000002</v>
      </c>
      <c r="J142" s="57">
        <v>8.5500000000000007</v>
      </c>
      <c r="K142" s="33">
        <f>AVERAGE(1.89,1.99,2.03,1.98)</f>
        <v>1.9725000000000001</v>
      </c>
      <c r="L142" s="63">
        <v>44635</v>
      </c>
    </row>
    <row r="143" spans="1:12" x14ac:dyDescent="0.2">
      <c r="A143" s="57" t="s">
        <v>59</v>
      </c>
      <c r="B143" s="57">
        <v>2023</v>
      </c>
      <c r="C143" s="57">
        <v>1</v>
      </c>
      <c r="D143" s="57">
        <v>0</v>
      </c>
      <c r="E143" s="57" t="s">
        <v>146</v>
      </c>
      <c r="F143" s="57">
        <v>0.25700000000000001</v>
      </c>
      <c r="G143" s="57">
        <v>0.13300000000000001</v>
      </c>
      <c r="H143" s="57">
        <v>2.5000000000000001E-2</v>
      </c>
      <c r="I143" s="57">
        <v>1.2999999999999999E-2</v>
      </c>
      <c r="J143" s="57">
        <v>0.86</v>
      </c>
      <c r="K143" s="33">
        <f>AVERAGE(1.2,0.98,1.1,1.22)</f>
        <v>1.125</v>
      </c>
      <c r="L143" s="63">
        <v>44635</v>
      </c>
    </row>
    <row r="144" spans="1:12" x14ac:dyDescent="0.2">
      <c r="A144" s="57" t="s">
        <v>141</v>
      </c>
      <c r="B144" s="57">
        <v>2382</v>
      </c>
      <c r="C144" s="57">
        <v>3</v>
      </c>
      <c r="D144" s="57">
        <v>0</v>
      </c>
      <c r="F144" s="57">
        <v>1.123</v>
      </c>
      <c r="G144" s="57">
        <v>0.48499999999999999</v>
      </c>
      <c r="H144" s="57">
        <v>8.2000000000000003E-2</v>
      </c>
      <c r="I144" s="57">
        <v>3.2000000000000001E-2</v>
      </c>
      <c r="J144" s="57">
        <v>2.19</v>
      </c>
      <c r="K144" s="33">
        <f>AVERAGE(0.88,1.12,1.22,1.38)</f>
        <v>1.1499999999999999</v>
      </c>
      <c r="L144" s="63">
        <v>44635</v>
      </c>
    </row>
    <row r="145" spans="1:12" x14ac:dyDescent="0.2">
      <c r="A145" s="57" t="s">
        <v>59</v>
      </c>
      <c r="B145" s="57">
        <v>2089</v>
      </c>
      <c r="C145" s="57">
        <v>4</v>
      </c>
      <c r="D145" s="57">
        <v>0</v>
      </c>
      <c r="F145" s="57">
        <v>0.752</v>
      </c>
      <c r="G145" s="57">
        <v>0.438</v>
      </c>
      <c r="H145" s="57">
        <v>9.8000000000000004E-2</v>
      </c>
      <c r="I145" s="57">
        <v>5.0999999999999997E-2</v>
      </c>
      <c r="J145" s="57">
        <v>3.17</v>
      </c>
      <c r="K145" s="33">
        <f>AVERAGE(1.21,1.38,1.45,1.31)</f>
        <v>1.3374999999999999</v>
      </c>
      <c r="L145" s="63">
        <v>44635</v>
      </c>
    </row>
    <row r="146" spans="1:12" x14ac:dyDescent="0.2">
      <c r="A146" s="57" t="s">
        <v>59</v>
      </c>
      <c r="B146" s="57">
        <v>2377</v>
      </c>
      <c r="C146" s="57">
        <v>1</v>
      </c>
      <c r="D146" s="57">
        <v>1</v>
      </c>
      <c r="F146" s="57">
        <v>2.0379999999999998</v>
      </c>
      <c r="G146" s="57">
        <v>1.258</v>
      </c>
      <c r="H146" s="57">
        <v>0.46600000000000003</v>
      </c>
      <c r="I146" s="57">
        <v>0.25900000000000001</v>
      </c>
      <c r="J146" s="57">
        <v>7.75</v>
      </c>
      <c r="K146" s="33">
        <f>AVERAGE(1.19,2.16,2.22,2.05)</f>
        <v>1.905</v>
      </c>
      <c r="L146" s="63">
        <v>44635</v>
      </c>
    </row>
    <row r="147" spans="1:12" x14ac:dyDescent="0.2">
      <c r="A147" s="57" t="s">
        <v>141</v>
      </c>
      <c r="B147" s="57">
        <v>2006</v>
      </c>
      <c r="C147" s="57">
        <v>2</v>
      </c>
      <c r="D147" s="57">
        <v>0</v>
      </c>
      <c r="F147" s="57">
        <v>0.91600000000000004</v>
      </c>
      <c r="G147" s="57">
        <v>0.32600000000000001</v>
      </c>
      <c r="H147" s="57">
        <v>5.2999999999999999E-2</v>
      </c>
      <c r="I147" s="57">
        <v>0.02</v>
      </c>
      <c r="J147" s="57">
        <v>1.38</v>
      </c>
      <c r="K147" s="33">
        <f>AVERAGE(1.74,1.69,1.78,1.38)</f>
        <v>1.6475</v>
      </c>
      <c r="L147" s="63">
        <v>44635</v>
      </c>
    </row>
    <row r="148" spans="1:12" x14ac:dyDescent="0.2">
      <c r="A148" s="57" t="s">
        <v>141</v>
      </c>
      <c r="B148" s="57">
        <v>2384</v>
      </c>
      <c r="C148" s="57">
        <v>3</v>
      </c>
      <c r="D148" s="57">
        <v>0</v>
      </c>
      <c r="F148" s="57">
        <v>0.247</v>
      </c>
      <c r="G148" s="57">
        <v>0.106</v>
      </c>
      <c r="H148" s="57">
        <v>1.0999999999999999E-2</v>
      </c>
      <c r="I148" s="57">
        <v>4.0000000000000001E-3</v>
      </c>
      <c r="J148" s="57">
        <v>0.61</v>
      </c>
      <c r="K148" s="57" t="s">
        <v>60</v>
      </c>
      <c r="L148" s="63">
        <v>44635</v>
      </c>
    </row>
    <row r="149" spans="1:12" x14ac:dyDescent="0.2">
      <c r="A149" s="57" t="s">
        <v>141</v>
      </c>
      <c r="B149" s="57">
        <v>2378</v>
      </c>
      <c r="C149" s="57">
        <v>4</v>
      </c>
      <c r="D149" s="57">
        <v>0</v>
      </c>
      <c r="F149" s="57">
        <v>0.45200000000000001</v>
      </c>
      <c r="G149" s="57">
        <v>0.20799999999999999</v>
      </c>
      <c r="H149" s="57">
        <v>8.5999999999999993E-2</v>
      </c>
      <c r="I149" s="57">
        <v>3.5000000000000003E-2</v>
      </c>
      <c r="J149" s="57">
        <v>2.21</v>
      </c>
      <c r="K149" s="33">
        <f>AVERAGE(0.9,0.88,1.05,1.13)</f>
        <v>0.99</v>
      </c>
      <c r="L149" s="63">
        <v>44635</v>
      </c>
    </row>
    <row r="150" spans="1:12" x14ac:dyDescent="0.2">
      <c r="A150" s="57" t="s">
        <v>141</v>
      </c>
      <c r="B150" s="57">
        <v>2378</v>
      </c>
      <c r="C150" s="57">
        <v>3</v>
      </c>
      <c r="D150" s="57">
        <v>0</v>
      </c>
      <c r="F150" s="57">
        <v>0.82699999999999996</v>
      </c>
      <c r="G150" s="57">
        <v>0.376</v>
      </c>
      <c r="H150" s="57">
        <v>0.161</v>
      </c>
      <c r="I150" s="57">
        <v>6.5000000000000002E-2</v>
      </c>
      <c r="J150" s="57">
        <v>4.0199999999999996</v>
      </c>
      <c r="K150" s="33">
        <f>AVERAGE(1.32,1.24,1.34,1.48)</f>
        <v>1.3450000000000002</v>
      </c>
      <c r="L150" s="63">
        <v>44635</v>
      </c>
    </row>
    <row r="151" spans="1:12" x14ac:dyDescent="0.2">
      <c r="A151" s="57" t="s">
        <v>141</v>
      </c>
      <c r="B151" s="57">
        <v>2020</v>
      </c>
      <c r="C151" s="57">
        <v>4</v>
      </c>
      <c r="D151" s="57">
        <v>0</v>
      </c>
      <c r="F151" s="57">
        <v>0.27700000000000002</v>
      </c>
      <c r="G151" s="57">
        <v>0.124</v>
      </c>
      <c r="H151" s="57">
        <v>1.7999999999999999E-2</v>
      </c>
      <c r="I151" s="57">
        <v>7.0000000000000001E-3</v>
      </c>
      <c r="J151" s="57">
        <v>0.7</v>
      </c>
      <c r="K151" s="33">
        <f>AVERAGE(0.85,0.76,0.67,0.56)</f>
        <v>0.71</v>
      </c>
      <c r="L151" s="63">
        <v>44635</v>
      </c>
    </row>
    <row r="152" spans="1:12" x14ac:dyDescent="0.2">
      <c r="A152" s="57" t="s">
        <v>59</v>
      </c>
      <c r="B152" s="57">
        <v>2022</v>
      </c>
      <c r="C152" s="57">
        <v>3</v>
      </c>
      <c r="D152" s="57">
        <v>0</v>
      </c>
      <c r="F152" s="57">
        <v>3.2879999999999998</v>
      </c>
      <c r="G152" s="57">
        <v>1.546</v>
      </c>
      <c r="H152" s="57">
        <v>0.23699999999999999</v>
      </c>
      <c r="I152" s="57">
        <v>8.8999999999999996E-2</v>
      </c>
      <c r="J152" s="57">
        <v>3.42</v>
      </c>
      <c r="K152" s="33">
        <f>AVERAGE(1.65,1.5,1.53,1.6)</f>
        <v>1.5699999999999998</v>
      </c>
      <c r="L152" s="63">
        <v>44635</v>
      </c>
    </row>
    <row r="153" spans="1:12" x14ac:dyDescent="0.2">
      <c r="A153" s="57" t="s">
        <v>141</v>
      </c>
      <c r="B153" s="57">
        <v>2007</v>
      </c>
      <c r="C153" s="57">
        <v>3</v>
      </c>
      <c r="D153" s="57">
        <v>0</v>
      </c>
      <c r="F153" s="57">
        <v>0.28999999999999998</v>
      </c>
      <c r="G153" s="57">
        <v>0.13300000000000001</v>
      </c>
      <c r="H153" s="57" t="s">
        <v>60</v>
      </c>
      <c r="I153" s="57">
        <v>8.9999999999999993E-3</v>
      </c>
      <c r="J153" s="57">
        <v>1.0900000000000001</v>
      </c>
      <c r="K153" s="57" t="s">
        <v>60</v>
      </c>
      <c r="L153" s="63">
        <v>44635</v>
      </c>
    </row>
    <row r="154" spans="1:12" x14ac:dyDescent="0.2">
      <c r="A154" s="57" t="s">
        <v>59</v>
      </c>
      <c r="B154" s="57">
        <v>2092</v>
      </c>
      <c r="C154" s="57">
        <v>3</v>
      </c>
      <c r="D154" s="57">
        <v>1</v>
      </c>
      <c r="F154" s="57">
        <v>0.76400000000000001</v>
      </c>
      <c r="G154" s="57">
        <v>0.44500000000000001</v>
      </c>
      <c r="H154" s="57">
        <v>0.121</v>
      </c>
      <c r="I154" s="57">
        <v>6.6000000000000003E-2</v>
      </c>
      <c r="J154" s="57">
        <v>3.5</v>
      </c>
      <c r="K154" s="33">
        <f>AVERAGE(1.34,1.39,1.36,1.32)</f>
        <v>1.3525</v>
      </c>
      <c r="L154" s="63">
        <v>44635</v>
      </c>
    </row>
    <row r="155" spans="1:12" x14ac:dyDescent="0.2">
      <c r="A155" s="57" t="s">
        <v>59</v>
      </c>
      <c r="B155" s="57">
        <v>2022</v>
      </c>
      <c r="C155" s="57">
        <v>2</v>
      </c>
      <c r="D155" s="57">
        <v>0</v>
      </c>
      <c r="F155" s="57">
        <v>1.921</v>
      </c>
      <c r="G155" s="57">
        <v>0.93400000000000005</v>
      </c>
      <c r="H155" s="57">
        <v>0.253</v>
      </c>
      <c r="I155" s="57">
        <v>9.2999999999999999E-2</v>
      </c>
      <c r="J155" s="57">
        <v>2.5</v>
      </c>
      <c r="K155" s="33">
        <f>AVERAGE(1.5,1.47,1.4,1.45)</f>
        <v>1.4549999999999998</v>
      </c>
      <c r="L155" s="63">
        <v>44635</v>
      </c>
    </row>
    <row r="156" spans="1:12" x14ac:dyDescent="0.2">
      <c r="A156" s="57" t="s">
        <v>59</v>
      </c>
      <c r="B156" s="57">
        <v>2331</v>
      </c>
      <c r="C156" s="57">
        <v>1</v>
      </c>
      <c r="D156" s="57">
        <v>1</v>
      </c>
      <c r="F156" s="57">
        <v>2.0409999999999999</v>
      </c>
      <c r="G156" s="57">
        <v>1.282</v>
      </c>
      <c r="H156" s="57">
        <v>0.41399999999999998</v>
      </c>
      <c r="I156" s="57">
        <v>0.245</v>
      </c>
      <c r="J156" s="57">
        <v>7.13</v>
      </c>
      <c r="K156" s="33">
        <f>AVERAGE(2.01,1.92,1.96,1.94)</f>
        <v>1.9575</v>
      </c>
      <c r="L156" s="63">
        <v>44635</v>
      </c>
    </row>
    <row r="157" spans="1:12" x14ac:dyDescent="0.2">
      <c r="A157" s="57" t="s">
        <v>59</v>
      </c>
      <c r="B157" s="57" t="s">
        <v>144</v>
      </c>
      <c r="C157" s="57">
        <v>1</v>
      </c>
      <c r="D157" s="57">
        <v>1</v>
      </c>
      <c r="F157" s="57">
        <v>1.3859999999999999</v>
      </c>
      <c r="G157" s="57">
        <v>0.82399999999999995</v>
      </c>
      <c r="H157" s="57" t="s">
        <v>60</v>
      </c>
      <c r="I157" s="57">
        <v>8.8999999999999996E-2</v>
      </c>
      <c r="J157" s="57">
        <v>4.83</v>
      </c>
      <c r="K157" s="33">
        <f>AVERAGE(1.36,1.31,1.36,1.35)</f>
        <v>1.3450000000000002</v>
      </c>
      <c r="L157" s="63">
        <v>44635</v>
      </c>
    </row>
    <row r="158" spans="1:12" x14ac:dyDescent="0.2">
      <c r="A158" s="57" t="s">
        <v>141</v>
      </c>
      <c r="B158" s="57">
        <v>2384</v>
      </c>
      <c r="C158" s="57">
        <v>2</v>
      </c>
      <c r="D158" s="57">
        <v>0</v>
      </c>
      <c r="F158" s="57">
        <v>0.30499999999999999</v>
      </c>
      <c r="G158" s="57">
        <v>0.13100000000000001</v>
      </c>
      <c r="H158" s="57">
        <v>2.7E-2</v>
      </c>
      <c r="I158" s="57">
        <v>1.0999999999999999E-2</v>
      </c>
      <c r="J158" s="57">
        <v>0.86</v>
      </c>
      <c r="K158" s="57" t="s">
        <v>60</v>
      </c>
      <c r="L158" s="63">
        <v>44635</v>
      </c>
    </row>
    <row r="159" spans="1:12" x14ac:dyDescent="0.2">
      <c r="A159" s="57" t="s">
        <v>59</v>
      </c>
      <c r="B159" s="57">
        <v>2089</v>
      </c>
      <c r="C159" s="57">
        <v>3</v>
      </c>
      <c r="D159" s="57">
        <v>0</v>
      </c>
      <c r="F159" s="57">
        <v>0.75600000000000001</v>
      </c>
      <c r="G159" s="57">
        <v>0.45300000000000001</v>
      </c>
      <c r="H159" s="57">
        <v>7.4999999999999997E-2</v>
      </c>
      <c r="I159" s="57">
        <v>4.3999999999999997E-2</v>
      </c>
      <c r="J159" s="57">
        <v>3.22</v>
      </c>
      <c r="K159" s="33">
        <f>AVERAGE(1,1.25,1.23,1.01)</f>
        <v>1.1225000000000001</v>
      </c>
      <c r="L159" s="63">
        <v>44635</v>
      </c>
    </row>
    <row r="160" spans="1:12" x14ac:dyDescent="0.2">
      <c r="A160" s="57" t="s">
        <v>141</v>
      </c>
      <c r="B160" s="57">
        <v>2027</v>
      </c>
      <c r="C160" s="57">
        <v>3</v>
      </c>
      <c r="D160" s="57">
        <v>0</v>
      </c>
      <c r="F160" s="57">
        <v>0.315</v>
      </c>
      <c r="G160" s="57">
        <v>0.13500000000000001</v>
      </c>
      <c r="H160" s="57">
        <v>1.2E-2</v>
      </c>
      <c r="I160" s="57">
        <v>5.0000000000000001E-3</v>
      </c>
      <c r="J160" s="57">
        <v>0.5</v>
      </c>
      <c r="K160" s="57" t="s">
        <v>60</v>
      </c>
      <c r="L160" s="63">
        <v>44635</v>
      </c>
    </row>
    <row r="161" spans="1:12" x14ac:dyDescent="0.2">
      <c r="A161" s="57" t="s">
        <v>59</v>
      </c>
      <c r="B161" s="57">
        <v>2023</v>
      </c>
      <c r="C161" s="57">
        <v>1</v>
      </c>
      <c r="D161" s="57">
        <v>0</v>
      </c>
      <c r="E161" s="57" t="s">
        <v>143</v>
      </c>
      <c r="F161" s="57">
        <v>2.4079999999999999</v>
      </c>
      <c r="G161" s="57">
        <v>1.2589999999999999</v>
      </c>
      <c r="H161" s="57">
        <v>0.21299999999999999</v>
      </c>
      <c r="I161" s="57">
        <v>9.7000000000000003E-2</v>
      </c>
      <c r="J161" s="57">
        <v>5.29</v>
      </c>
      <c r="K161" s="33">
        <f>AVERAGE(1.37,1.55,1.69,1.44)</f>
        <v>1.5124999999999997</v>
      </c>
      <c r="L161" s="63">
        <v>44635</v>
      </c>
    </row>
    <row r="162" spans="1:12" x14ac:dyDescent="0.2">
      <c r="A162" s="57" t="s">
        <v>141</v>
      </c>
      <c r="B162" s="57">
        <v>2381</v>
      </c>
      <c r="C162" s="57">
        <v>2</v>
      </c>
      <c r="D162" s="57">
        <v>0</v>
      </c>
      <c r="F162" s="57">
        <v>0.48199999999999998</v>
      </c>
      <c r="G162" s="57">
        <v>0.191</v>
      </c>
      <c r="H162" s="57">
        <v>2.8000000000000001E-2</v>
      </c>
      <c r="I162" s="57">
        <v>1.0999999999999999E-2</v>
      </c>
      <c r="J162" s="57">
        <v>0.8</v>
      </c>
      <c r="K162" s="57" t="s">
        <v>60</v>
      </c>
      <c r="L162" s="63">
        <v>44635</v>
      </c>
    </row>
    <row r="163" spans="1:12" x14ac:dyDescent="0.2">
      <c r="A163" s="57" t="s">
        <v>141</v>
      </c>
      <c r="B163" s="57">
        <v>2025</v>
      </c>
      <c r="C163" s="57">
        <v>1</v>
      </c>
      <c r="D163" s="57">
        <v>0</v>
      </c>
      <c r="F163" s="57">
        <v>0.85399999999999998</v>
      </c>
      <c r="G163" s="57">
        <v>0.39300000000000002</v>
      </c>
      <c r="H163" s="57">
        <v>0.13300000000000001</v>
      </c>
      <c r="I163" s="57">
        <v>5.5E-2</v>
      </c>
      <c r="J163" s="57">
        <v>3.41</v>
      </c>
      <c r="K163" s="33">
        <f>AVERAGE(1.41,1.13,1.24,1.44)</f>
        <v>1.3050000000000002</v>
      </c>
      <c r="L163" s="63">
        <v>44635</v>
      </c>
    </row>
    <row r="164" spans="1:12" x14ac:dyDescent="0.2">
      <c r="A164" s="57" t="s">
        <v>59</v>
      </c>
      <c r="B164" s="57" t="s">
        <v>144</v>
      </c>
      <c r="C164" s="57">
        <v>3</v>
      </c>
      <c r="D164" s="57">
        <v>1</v>
      </c>
      <c r="F164" s="57">
        <v>1.7130000000000001</v>
      </c>
      <c r="G164" s="57">
        <v>1.0660000000000001</v>
      </c>
      <c r="H164" s="57">
        <v>0.16400000000000001</v>
      </c>
      <c r="I164" s="57">
        <v>9.8000000000000004E-2</v>
      </c>
      <c r="J164" s="57">
        <v>4.43</v>
      </c>
      <c r="K164" s="33">
        <f>AVERAGE(1.55,1.85,1.94,1.69)</f>
        <v>1.7574999999999998</v>
      </c>
      <c r="L164" s="63">
        <v>44635</v>
      </c>
    </row>
    <row r="165" spans="1:12" x14ac:dyDescent="0.2">
      <c r="A165" s="57" t="s">
        <v>59</v>
      </c>
      <c r="B165" s="57" t="s">
        <v>144</v>
      </c>
      <c r="C165" s="57">
        <v>1</v>
      </c>
      <c r="D165" s="57">
        <v>0</v>
      </c>
      <c r="F165" s="57">
        <v>0.23699999999999999</v>
      </c>
      <c r="G165" s="57">
        <v>0.13100000000000001</v>
      </c>
      <c r="H165" s="57">
        <v>3.3000000000000002E-2</v>
      </c>
      <c r="I165" s="57">
        <v>1.7000000000000001E-2</v>
      </c>
      <c r="J165" s="57">
        <v>1.23</v>
      </c>
      <c r="K165" s="33">
        <f>AVERAGE(1.06,0.91,1.11,0.8)</f>
        <v>0.97</v>
      </c>
      <c r="L165" s="63">
        <v>44635</v>
      </c>
    </row>
    <row r="166" spans="1:12" x14ac:dyDescent="0.2">
      <c r="A166" s="57" t="s">
        <v>59</v>
      </c>
      <c r="B166" s="57">
        <v>2022</v>
      </c>
      <c r="C166" s="57">
        <v>2</v>
      </c>
      <c r="D166" s="57">
        <v>1</v>
      </c>
      <c r="F166" s="57">
        <v>0.622</v>
      </c>
      <c r="G166" s="57">
        <v>0.36099999999999999</v>
      </c>
      <c r="H166" s="57">
        <v>5.7000000000000002E-2</v>
      </c>
      <c r="I166" s="57">
        <v>9.8000000000000004E-2</v>
      </c>
      <c r="J166" s="57">
        <v>3.61</v>
      </c>
      <c r="K166" s="33">
        <f>AVERAGE(1.71,1.94,1.52,1.64)</f>
        <v>1.7024999999999999</v>
      </c>
      <c r="L166" s="63">
        <v>44635</v>
      </c>
    </row>
    <row r="167" spans="1:12" x14ac:dyDescent="0.2">
      <c r="A167" s="57" t="s">
        <v>59</v>
      </c>
      <c r="B167" s="57">
        <v>2026</v>
      </c>
      <c r="C167" s="57">
        <v>2</v>
      </c>
      <c r="D167" s="57">
        <v>0</v>
      </c>
      <c r="F167" s="57">
        <v>0.24</v>
      </c>
      <c r="G167" s="57">
        <v>0.114</v>
      </c>
      <c r="H167" s="57">
        <v>0.03</v>
      </c>
      <c r="I167" s="57">
        <v>1.2999999999999999E-2</v>
      </c>
      <c r="J167" s="57">
        <v>1.48</v>
      </c>
      <c r="K167" s="33">
        <f>AVERAGE(0.74,0.68,0.71,0.64)</f>
        <v>0.6925</v>
      </c>
      <c r="L167" s="63">
        <v>44635</v>
      </c>
    </row>
    <row r="168" spans="1:12" x14ac:dyDescent="0.2">
      <c r="A168" s="57" t="s">
        <v>59</v>
      </c>
      <c r="B168" s="57">
        <v>2022</v>
      </c>
      <c r="C168" s="57">
        <v>1</v>
      </c>
      <c r="D168" s="57">
        <v>0</v>
      </c>
      <c r="F168" s="57">
        <v>1.1719999999999999</v>
      </c>
      <c r="G168" s="57">
        <v>0.56699999999999995</v>
      </c>
      <c r="H168" s="57">
        <v>0.108</v>
      </c>
      <c r="I168" s="57">
        <v>4.5999999999999999E-2</v>
      </c>
      <c r="J168" s="57">
        <v>2.0099999999999998</v>
      </c>
      <c r="K168" s="33">
        <f>AVERAGE(1.4,1.22,1.17,1.33)</f>
        <v>1.28</v>
      </c>
      <c r="L168" s="63">
        <v>44635</v>
      </c>
    </row>
    <row r="169" spans="1:12" x14ac:dyDescent="0.2">
      <c r="A169" s="57" t="s">
        <v>141</v>
      </c>
      <c r="B169" s="57">
        <v>2005</v>
      </c>
      <c r="C169" s="57">
        <v>3</v>
      </c>
      <c r="D169" s="57">
        <v>0</v>
      </c>
      <c r="F169" s="57">
        <v>1.4850000000000001</v>
      </c>
      <c r="G169" s="57">
        <v>0.624</v>
      </c>
      <c r="H169" s="57">
        <v>0.184</v>
      </c>
      <c r="I169" s="57">
        <v>7.1999999999999995E-2</v>
      </c>
      <c r="J169" s="57">
        <v>3.75</v>
      </c>
      <c r="K169" s="33">
        <f>AVERAGE(1.24,1.38,1.52,1.34)</f>
        <v>1.37</v>
      </c>
      <c r="L169" s="63">
        <v>44635</v>
      </c>
    </row>
    <row r="170" spans="1:12" x14ac:dyDescent="0.2">
      <c r="A170" s="57" t="s">
        <v>59</v>
      </c>
      <c r="B170" s="57" t="s">
        <v>145</v>
      </c>
      <c r="C170" s="57">
        <v>3</v>
      </c>
      <c r="D170" s="57">
        <v>1</v>
      </c>
      <c r="F170" s="57">
        <v>1.7549999999999999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2.0725000000000002</v>
      </c>
      <c r="L170" s="63">
        <v>44635</v>
      </c>
    </row>
    <row r="171" spans="1:12" x14ac:dyDescent="0.2">
      <c r="A171" s="57" t="s">
        <v>59</v>
      </c>
      <c r="B171" s="57">
        <v>2093</v>
      </c>
      <c r="C171" s="57">
        <v>1</v>
      </c>
      <c r="D171" s="57">
        <v>1</v>
      </c>
      <c r="F171" s="57">
        <v>1.357</v>
      </c>
      <c r="G171" s="57">
        <v>0.80600000000000005</v>
      </c>
      <c r="H171" s="57">
        <v>0.17399999999999999</v>
      </c>
      <c r="I171" s="57">
        <v>9.2999999999999999E-2</v>
      </c>
      <c r="J171" s="57">
        <v>3.24</v>
      </c>
      <c r="K171" s="33">
        <f>AVERAGE(1.74,1.51,1.45,1.63)</f>
        <v>1.5825</v>
      </c>
      <c r="L171" s="63">
        <v>44635</v>
      </c>
    </row>
    <row r="172" spans="1:12" x14ac:dyDescent="0.2">
      <c r="A172" s="57" t="s">
        <v>141</v>
      </c>
      <c r="B172" s="57">
        <v>2004</v>
      </c>
      <c r="C172" s="57">
        <v>1</v>
      </c>
      <c r="D172" s="57">
        <v>0</v>
      </c>
      <c r="F172" s="57">
        <v>0.65600000000000003</v>
      </c>
      <c r="G172" s="57">
        <v>0.23799999999999999</v>
      </c>
      <c r="H172" s="57">
        <v>0.129</v>
      </c>
      <c r="I172" s="57">
        <v>4.2999999999999997E-2</v>
      </c>
      <c r="J172" s="57">
        <v>3.55</v>
      </c>
      <c r="K172" s="33">
        <f>AVERAGE(1.37,1.19,1.04,1.24)</f>
        <v>1.21</v>
      </c>
      <c r="L172" s="63">
        <v>44635</v>
      </c>
    </row>
    <row r="173" spans="1:12" x14ac:dyDescent="0.2">
      <c r="A173" s="57" t="s">
        <v>59</v>
      </c>
      <c r="B173" s="57" t="s">
        <v>145</v>
      </c>
      <c r="C173" s="57">
        <v>2</v>
      </c>
      <c r="D173" s="57">
        <v>1</v>
      </c>
      <c r="F173" s="57">
        <v>1.252</v>
      </c>
      <c r="G173" s="57">
        <v>0.76300000000000001</v>
      </c>
      <c r="H173" s="57">
        <v>0.153</v>
      </c>
      <c r="I173" s="57">
        <v>8.7999999999999995E-2</v>
      </c>
      <c r="J173" s="57">
        <v>5.39</v>
      </c>
      <c r="K173" s="33">
        <f>AVERAGE(1.56,1.52,1.73,1.57)</f>
        <v>1.5950000000000002</v>
      </c>
      <c r="L173" s="63">
        <v>44635</v>
      </c>
    </row>
    <row r="174" spans="1:12" x14ac:dyDescent="0.2">
      <c r="A174" s="57" t="s">
        <v>141</v>
      </c>
      <c r="B174" s="57">
        <v>2381</v>
      </c>
      <c r="C174" s="57">
        <v>3</v>
      </c>
      <c r="D174" s="57">
        <v>0</v>
      </c>
      <c r="F174" s="57">
        <v>0.90500000000000003</v>
      </c>
      <c r="G174" s="57">
        <v>0.36499999999999999</v>
      </c>
      <c r="H174" s="57">
        <v>4.1000000000000002E-2</v>
      </c>
      <c r="I174" s="57">
        <v>1.4999999999999999E-2</v>
      </c>
      <c r="J174" s="57">
        <v>0.85</v>
      </c>
      <c r="K174" s="57" t="s">
        <v>60</v>
      </c>
      <c r="L174" s="63">
        <v>44635</v>
      </c>
    </row>
    <row r="175" spans="1:12" x14ac:dyDescent="0.2">
      <c r="A175" s="57" t="s">
        <v>141</v>
      </c>
      <c r="B175" s="57">
        <v>2021</v>
      </c>
      <c r="C175" s="57">
        <v>3</v>
      </c>
      <c r="D175" s="57">
        <v>0</v>
      </c>
      <c r="F175" s="57">
        <v>0.79300000000000004</v>
      </c>
      <c r="G175" s="57">
        <v>0.377</v>
      </c>
      <c r="H175" s="57">
        <v>6.0999999999999999E-2</v>
      </c>
      <c r="I175" s="57">
        <v>2.5000000000000001E-2</v>
      </c>
      <c r="J175" s="57">
        <v>1.48</v>
      </c>
      <c r="K175" s="57" t="s">
        <v>60</v>
      </c>
      <c r="L175" s="63">
        <v>44635</v>
      </c>
    </row>
    <row r="176" spans="1:12" x14ac:dyDescent="0.2">
      <c r="A176" s="57" t="s">
        <v>141</v>
      </c>
      <c r="B176" s="57">
        <v>2021</v>
      </c>
      <c r="C176" s="57">
        <v>3</v>
      </c>
      <c r="D176" s="57">
        <v>0</v>
      </c>
      <c r="F176" s="57">
        <v>0.79300000000000004</v>
      </c>
      <c r="G176" s="57">
        <v>0.377</v>
      </c>
      <c r="H176" s="57">
        <v>6.0999999999999999E-2</v>
      </c>
      <c r="I176" s="57">
        <v>2.5000000000000001E-2</v>
      </c>
      <c r="J176" s="57">
        <v>1.48</v>
      </c>
      <c r="K176" s="57" t="s">
        <v>60</v>
      </c>
      <c r="L176" s="63">
        <v>44635</v>
      </c>
    </row>
    <row r="177" spans="1:12" x14ac:dyDescent="0.2">
      <c r="A177" s="57" t="s">
        <v>141</v>
      </c>
      <c r="B177" s="57">
        <v>2384</v>
      </c>
      <c r="C177" s="57">
        <v>1</v>
      </c>
      <c r="D177" s="57">
        <v>0</v>
      </c>
      <c r="F177" s="57">
        <v>0.129</v>
      </c>
      <c r="G177" s="57">
        <v>0.114</v>
      </c>
      <c r="H177" s="57">
        <v>1.9E-2</v>
      </c>
      <c r="I177" s="57">
        <v>7.0000000000000001E-3</v>
      </c>
      <c r="J177" s="57">
        <v>0.77</v>
      </c>
      <c r="K177" s="57" t="s">
        <v>60</v>
      </c>
      <c r="L177" s="63">
        <v>44635</v>
      </c>
    </row>
    <row r="178" spans="1:12" x14ac:dyDescent="0.2">
      <c r="A178" s="57" t="s">
        <v>141</v>
      </c>
      <c r="B178" s="57">
        <v>2007</v>
      </c>
      <c r="C178" s="57">
        <v>2</v>
      </c>
      <c r="D178" s="57">
        <v>0</v>
      </c>
      <c r="F178" s="57">
        <v>0.52900000000000003</v>
      </c>
      <c r="G178" s="57">
        <v>0.245</v>
      </c>
      <c r="H178" s="57">
        <v>2.7E-2</v>
      </c>
      <c r="I178" s="57">
        <v>1.0999999999999999E-2</v>
      </c>
      <c r="J178" s="57">
        <v>0.99</v>
      </c>
      <c r="K178" s="33">
        <f>AVERAGE(0.59,0.68,0.55,0.6)</f>
        <v>0.60499999999999998</v>
      </c>
      <c r="L178" s="63">
        <v>44635</v>
      </c>
    </row>
    <row r="179" spans="1:12" x14ac:dyDescent="0.2">
      <c r="A179" s="57" t="s">
        <v>59</v>
      </c>
      <c r="B179" s="57">
        <v>2092</v>
      </c>
      <c r="C179" s="57">
        <v>2</v>
      </c>
      <c r="D179" s="57">
        <v>1</v>
      </c>
      <c r="F179" s="57">
        <v>0.44700000000000001</v>
      </c>
      <c r="G179" s="57">
        <v>0.27200000000000002</v>
      </c>
      <c r="H179" s="57">
        <v>4.9000000000000002E-2</v>
      </c>
      <c r="I179" s="57">
        <v>2.7E-2</v>
      </c>
      <c r="J179" s="57">
        <v>1.6</v>
      </c>
      <c r="K179" s="33">
        <f>AVERAGE(2.22,1.19,1.19,1.25)</f>
        <v>1.4624999999999999</v>
      </c>
      <c r="L179" s="63">
        <v>44635</v>
      </c>
    </row>
    <row r="180" spans="1:12" x14ac:dyDescent="0.2">
      <c r="A180" s="57" t="s">
        <v>141</v>
      </c>
      <c r="B180" s="57">
        <v>2005</v>
      </c>
      <c r="C180" s="57">
        <v>2</v>
      </c>
      <c r="D180" s="57">
        <v>0</v>
      </c>
      <c r="F180" s="57">
        <v>2.1429999999999998</v>
      </c>
      <c r="G180" s="57">
        <v>0.89300000000000002</v>
      </c>
      <c r="H180" s="57">
        <v>0.27500000000000002</v>
      </c>
      <c r="I180" s="57">
        <v>0.104</v>
      </c>
      <c r="J180" s="57">
        <v>4.21</v>
      </c>
      <c r="K180" s="33">
        <f>AVERAGE(1.57,1.81,1.6,1.75)</f>
        <v>1.6825000000000001</v>
      </c>
      <c r="L180" s="63">
        <v>44635</v>
      </c>
    </row>
    <row r="181" spans="1:12" x14ac:dyDescent="0.2">
      <c r="A181" s="57" t="s">
        <v>59</v>
      </c>
      <c r="B181" s="57">
        <v>2089</v>
      </c>
      <c r="C181" s="57">
        <v>2</v>
      </c>
      <c r="D181" s="57">
        <v>0</v>
      </c>
      <c r="E181" s="57" t="s">
        <v>143</v>
      </c>
      <c r="F181" s="57">
        <v>0.56100000000000005</v>
      </c>
      <c r="G181" s="57">
        <v>0.32500000000000001</v>
      </c>
      <c r="H181" s="57">
        <v>5.6000000000000001E-2</v>
      </c>
      <c r="I181" s="57">
        <v>3.1E-2</v>
      </c>
      <c r="J181" s="57">
        <v>2.82</v>
      </c>
      <c r="K181" s="33">
        <f>AVERAGE(1.02,1.23,1.29,1.21)</f>
        <v>1.1875</v>
      </c>
      <c r="L181" s="63">
        <v>44635</v>
      </c>
    </row>
    <row r="182" spans="1:12" x14ac:dyDescent="0.2">
      <c r="A182" s="57" t="s">
        <v>59</v>
      </c>
      <c r="B182" s="57">
        <v>2377</v>
      </c>
      <c r="C182" s="57">
        <v>2</v>
      </c>
      <c r="D182" s="57">
        <v>1</v>
      </c>
      <c r="F182" s="57">
        <v>1.6459999999999999</v>
      </c>
      <c r="G182" s="57">
        <v>1.0049999999999999</v>
      </c>
      <c r="H182" s="57">
        <v>0.27400000000000002</v>
      </c>
      <c r="I182" s="57">
        <v>0.152</v>
      </c>
      <c r="J182" s="57">
        <v>5.83</v>
      </c>
      <c r="K182" s="33">
        <f>AVERAGE(1.85,1.96,1.9,1.98)</f>
        <v>1.9224999999999999</v>
      </c>
      <c r="L182" s="63">
        <v>44635</v>
      </c>
    </row>
    <row r="183" spans="1:12" x14ac:dyDescent="0.2">
      <c r="A183" s="57" t="s">
        <v>59</v>
      </c>
      <c r="B183" s="57" t="s">
        <v>144</v>
      </c>
      <c r="C183" s="57">
        <v>2</v>
      </c>
      <c r="D183" s="57">
        <v>1</v>
      </c>
      <c r="F183" s="57">
        <v>1.605</v>
      </c>
      <c r="G183" s="57">
        <v>0.98899999999999999</v>
      </c>
      <c r="H183" s="57">
        <v>0.121</v>
      </c>
      <c r="I183" s="57">
        <v>6.6000000000000003E-2</v>
      </c>
      <c r="J183" s="57">
        <v>3.33</v>
      </c>
      <c r="K183" s="33">
        <f>AVERAGE(1.46,1.53,1.6,1.49)</f>
        <v>1.52</v>
      </c>
      <c r="L183" s="63">
        <v>44635</v>
      </c>
    </row>
    <row r="184" spans="1:12" x14ac:dyDescent="0.2">
      <c r="A184" s="57" t="s">
        <v>141</v>
      </c>
      <c r="B184" s="57">
        <v>2024</v>
      </c>
      <c r="C184" s="57">
        <v>2</v>
      </c>
      <c r="D184" s="57">
        <v>0</v>
      </c>
      <c r="F184" s="57">
        <v>1.6020000000000001</v>
      </c>
      <c r="G184" s="57">
        <v>0.65300000000000002</v>
      </c>
      <c r="H184" s="57">
        <v>0.14599999999999999</v>
      </c>
      <c r="I184" s="57">
        <v>5.7000000000000002E-2</v>
      </c>
      <c r="J184" s="57">
        <v>2.87</v>
      </c>
      <c r="K184" s="33">
        <f>AVERAGE(1.15,1.31,1.43,1.47)</f>
        <v>1.3399999999999999</v>
      </c>
      <c r="L184" s="63">
        <v>44635</v>
      </c>
    </row>
    <row r="185" spans="1:12" x14ac:dyDescent="0.2">
      <c r="A185" s="57" t="s">
        <v>141</v>
      </c>
      <c r="B185" s="57">
        <v>2382</v>
      </c>
      <c r="C185" s="57">
        <v>1</v>
      </c>
      <c r="D185" s="57">
        <v>0</v>
      </c>
      <c r="F185" s="57">
        <v>1.272</v>
      </c>
      <c r="G185" s="57">
        <v>0.56200000000000006</v>
      </c>
      <c r="H185" s="57">
        <v>0.27900000000000003</v>
      </c>
      <c r="I185" s="57">
        <v>0.106</v>
      </c>
      <c r="J185" s="57">
        <v>6.41</v>
      </c>
      <c r="K185" s="33">
        <f>AVERAGE(1.23,1.24,1.42,1.33)</f>
        <v>1.3049999999999999</v>
      </c>
      <c r="L185" s="63">
        <v>44635</v>
      </c>
    </row>
    <row r="186" spans="1:12" x14ac:dyDescent="0.2">
      <c r="A186" s="57" t="s">
        <v>59</v>
      </c>
      <c r="B186" s="57">
        <v>2380</v>
      </c>
      <c r="C186" s="57">
        <v>3</v>
      </c>
      <c r="D186" s="57">
        <v>1</v>
      </c>
      <c r="F186" s="57">
        <v>0.66800000000000004</v>
      </c>
      <c r="G186" s="57">
        <v>0.40699999999999997</v>
      </c>
      <c r="H186" s="57">
        <v>7.5999999999999998E-2</v>
      </c>
      <c r="I186" s="57">
        <v>4.2999999999999997E-2</v>
      </c>
      <c r="J186" s="57">
        <v>1.82</v>
      </c>
      <c r="K186" s="33">
        <f>AVERAGE(1.07,1.08,1.23,1.07)</f>
        <v>1.1125</v>
      </c>
      <c r="L186" s="63">
        <v>44635</v>
      </c>
    </row>
    <row r="187" spans="1:12" x14ac:dyDescent="0.2">
      <c r="A187" s="57" t="s">
        <v>141</v>
      </c>
      <c r="B187" s="57">
        <v>2021</v>
      </c>
      <c r="C187" s="57">
        <v>2</v>
      </c>
      <c r="D187" s="57">
        <v>0</v>
      </c>
      <c r="F187" s="57">
        <v>0.82</v>
      </c>
      <c r="G187" s="57">
        <v>0.39800000000000002</v>
      </c>
      <c r="H187" s="57">
        <v>8.8999999999999996E-2</v>
      </c>
      <c r="I187" s="57">
        <v>3.7999999999999999E-2</v>
      </c>
      <c r="J187" s="57">
        <v>2.0499999999999998</v>
      </c>
      <c r="K187" s="57" t="s">
        <v>60</v>
      </c>
      <c r="L187" s="63">
        <v>44635</v>
      </c>
    </row>
    <row r="188" spans="1:12" x14ac:dyDescent="0.2">
      <c r="A188" s="57" t="s">
        <v>141</v>
      </c>
      <c r="B188" s="57">
        <v>2004</v>
      </c>
      <c r="C188" s="57">
        <v>3</v>
      </c>
      <c r="D188" s="57">
        <v>0</v>
      </c>
      <c r="F188" s="57">
        <v>0.50700000000000001</v>
      </c>
      <c r="G188" s="57">
        <v>0.193</v>
      </c>
      <c r="H188" s="57">
        <v>5.8999999999999997E-2</v>
      </c>
      <c r="I188" s="57">
        <v>2.1999999999999999E-2</v>
      </c>
      <c r="J188" s="57">
        <v>1.67</v>
      </c>
      <c r="K188" s="33">
        <f>AVERAGE(1.14,1.02,1.1,0.94)</f>
        <v>1.05</v>
      </c>
      <c r="L188" s="63">
        <v>44635</v>
      </c>
    </row>
    <row r="189" spans="1:12" x14ac:dyDescent="0.2">
      <c r="A189" s="57" t="s">
        <v>59</v>
      </c>
      <c r="B189" s="57">
        <v>2331</v>
      </c>
      <c r="C189" s="57">
        <v>3</v>
      </c>
      <c r="D189" s="57">
        <v>0</v>
      </c>
      <c r="F189" s="57">
        <v>0.48499999999999999</v>
      </c>
      <c r="G189" s="57">
        <v>0.193</v>
      </c>
      <c r="H189" s="57">
        <v>0.10199999999999999</v>
      </c>
      <c r="I189" s="57">
        <v>3.6999999999999998E-2</v>
      </c>
      <c r="J189" s="57">
        <v>3.6</v>
      </c>
      <c r="K189" s="33">
        <f>AVERAGE(1.13,1.03,0.83,0.86)</f>
        <v>0.96250000000000002</v>
      </c>
      <c r="L189" s="63">
        <v>44635</v>
      </c>
    </row>
    <row r="190" spans="1:12" x14ac:dyDescent="0.2">
      <c r="A190" s="57" t="s">
        <v>59</v>
      </c>
      <c r="B190" s="57">
        <v>2089</v>
      </c>
      <c r="C190" s="57">
        <v>4</v>
      </c>
      <c r="D190" s="57">
        <v>1</v>
      </c>
      <c r="F190" s="57">
        <v>1.1519999999999999</v>
      </c>
      <c r="G190" s="57">
        <v>0.70099999999999996</v>
      </c>
      <c r="H190" s="57">
        <v>0.27100000000000002</v>
      </c>
      <c r="I190" s="57">
        <v>0.156</v>
      </c>
      <c r="J190" s="57">
        <v>6.52</v>
      </c>
      <c r="K190" s="33">
        <f>AVERAGE(1.71,1.77,1.72,1.7)</f>
        <v>1.7250000000000001</v>
      </c>
      <c r="L190" s="63">
        <v>44635</v>
      </c>
    </row>
    <row r="191" spans="1:12" x14ac:dyDescent="0.2">
      <c r="A191" s="57" t="s">
        <v>141</v>
      </c>
      <c r="B191" s="57">
        <v>2008</v>
      </c>
      <c r="C191" s="57">
        <v>2</v>
      </c>
      <c r="D191" s="57">
        <v>0</v>
      </c>
      <c r="F191" s="57">
        <v>0.80200000000000005</v>
      </c>
      <c r="G191" s="57">
        <v>0.29099999999999998</v>
      </c>
      <c r="H191" s="57">
        <v>3.3000000000000002E-2</v>
      </c>
      <c r="I191" s="57">
        <v>1.2E-2</v>
      </c>
      <c r="J191" s="57">
        <v>1.1599999999999999</v>
      </c>
      <c r="K191" s="57" t="s">
        <v>60</v>
      </c>
      <c r="L191" s="63">
        <v>44635</v>
      </c>
    </row>
    <row r="192" spans="1:12" x14ac:dyDescent="0.2">
      <c r="A192" s="57" t="s">
        <v>59</v>
      </c>
      <c r="B192" s="57">
        <v>2331</v>
      </c>
      <c r="C192" s="57">
        <v>3</v>
      </c>
      <c r="D192" s="57">
        <v>1</v>
      </c>
      <c r="F192" s="57">
        <v>1.048</v>
      </c>
      <c r="G192" s="57">
        <v>0.64200000000000002</v>
      </c>
      <c r="H192" s="57">
        <v>0.20599999999999999</v>
      </c>
      <c r="I192" s="57">
        <v>0.111</v>
      </c>
      <c r="J192" s="57">
        <v>4.83</v>
      </c>
      <c r="K192" s="33">
        <f>AVERAGE(1.39,1.45,1.51,1.48)</f>
        <v>1.4575</v>
      </c>
      <c r="L192" s="63">
        <v>44635</v>
      </c>
    </row>
    <row r="193" spans="1:12" x14ac:dyDescent="0.2">
      <c r="A193" s="57" t="s">
        <v>141</v>
      </c>
      <c r="B193" s="57">
        <v>2024</v>
      </c>
      <c r="C193" s="57">
        <v>3</v>
      </c>
      <c r="D193" s="57">
        <v>0</v>
      </c>
      <c r="F193" s="57">
        <v>1.1279999999999999</v>
      </c>
      <c r="G193" s="57">
        <v>0.43</v>
      </c>
      <c r="H193" s="57">
        <v>0.26</v>
      </c>
      <c r="I193" s="57">
        <v>9.4E-2</v>
      </c>
      <c r="J193" s="57">
        <v>5.23</v>
      </c>
      <c r="K193" s="33">
        <f>AVERAGE(1.25,1.88,1.62,1.54)</f>
        <v>1.5725</v>
      </c>
      <c r="L193" s="63">
        <v>44635</v>
      </c>
    </row>
    <row r="194" spans="1:12" x14ac:dyDescent="0.2">
      <c r="A194" s="57" t="s">
        <v>59</v>
      </c>
      <c r="B194" s="57">
        <v>2093</v>
      </c>
      <c r="C194" s="57">
        <v>3</v>
      </c>
      <c r="D194" s="57">
        <v>1</v>
      </c>
      <c r="F194" s="57">
        <v>1.3839999999999999</v>
      </c>
      <c r="G194" s="57">
        <v>0.82199999999999995</v>
      </c>
      <c r="H194" s="57">
        <v>0.12</v>
      </c>
      <c r="I194" s="57">
        <v>6.7000000000000004E-2</v>
      </c>
      <c r="J194" s="57">
        <v>2.58</v>
      </c>
      <c r="K194" s="33">
        <f>AVERAGE(1.43,1.45,1.38,1.41)</f>
        <v>1.4175</v>
      </c>
      <c r="L194" s="63">
        <v>44635</v>
      </c>
    </row>
    <row r="195" spans="1:12" x14ac:dyDescent="0.2">
      <c r="A195" s="57" t="s">
        <v>59</v>
      </c>
      <c r="B195" s="57">
        <v>2376</v>
      </c>
      <c r="C195" s="57">
        <v>3</v>
      </c>
      <c r="D195" s="57">
        <v>1</v>
      </c>
      <c r="F195" s="57">
        <v>2.0619999999999998</v>
      </c>
      <c r="G195" s="57">
        <v>1.1919999999999999</v>
      </c>
      <c r="H195" s="57">
        <v>0.254</v>
      </c>
      <c r="I195" s="57">
        <v>0.14000000000000001</v>
      </c>
      <c r="J195" s="57">
        <v>15.29</v>
      </c>
      <c r="K195" s="33">
        <f>AVERAGE(1.5,1.52,1.6,1.72)</f>
        <v>1.585</v>
      </c>
      <c r="L195" s="63">
        <v>44650</v>
      </c>
    </row>
    <row r="196" spans="1:12" x14ac:dyDescent="0.2">
      <c r="A196" s="57" t="s">
        <v>59</v>
      </c>
      <c r="B196" s="57">
        <v>2377</v>
      </c>
      <c r="C196" s="57">
        <v>2</v>
      </c>
      <c r="D196" s="57">
        <v>1</v>
      </c>
      <c r="F196" s="57">
        <v>1.456</v>
      </c>
      <c r="G196" s="57">
        <v>0.85499999999999998</v>
      </c>
      <c r="H196" s="57">
        <v>0.82499999999999996</v>
      </c>
      <c r="I196" s="57">
        <v>0.372</v>
      </c>
      <c r="J196" s="57">
        <v>8.84</v>
      </c>
      <c r="K196" s="33">
        <f>AVERAGE(2.13,2.14,2.39,2.13)</f>
        <v>2.1974999999999998</v>
      </c>
      <c r="L196" s="63">
        <v>44650</v>
      </c>
    </row>
    <row r="197" spans="1:12" x14ac:dyDescent="0.2">
      <c r="A197" s="57" t="s">
        <v>141</v>
      </c>
      <c r="B197" s="57">
        <v>2009</v>
      </c>
      <c r="C197" s="57">
        <v>6</v>
      </c>
      <c r="D197" s="57">
        <v>0</v>
      </c>
      <c r="F197" s="57">
        <v>0.40899999999999997</v>
      </c>
      <c r="G197" s="57">
        <v>9.7000000000000003E-2</v>
      </c>
      <c r="H197" s="57">
        <v>0.04</v>
      </c>
      <c r="I197" s="57">
        <v>1.2999999999999999E-2</v>
      </c>
      <c r="J197" s="57">
        <v>1.06</v>
      </c>
      <c r="K197" s="33">
        <f>AVERAGE(0.75,0.86,0.7,0.68)</f>
        <v>0.74749999999999994</v>
      </c>
      <c r="L197" s="63">
        <v>44650</v>
      </c>
    </row>
    <row r="198" spans="1:12" x14ac:dyDescent="0.2">
      <c r="A198" s="57" t="s">
        <v>141</v>
      </c>
      <c r="B198" s="57">
        <v>2372</v>
      </c>
      <c r="C198" s="57">
        <v>1</v>
      </c>
      <c r="D198" s="57">
        <v>0</v>
      </c>
      <c r="F198" s="57">
        <v>0.58499999999999996</v>
      </c>
      <c r="G198" s="57">
        <v>0.17399999999999999</v>
      </c>
      <c r="H198" s="57">
        <v>5.8999999999999997E-2</v>
      </c>
      <c r="I198" s="57">
        <v>1.9E-2</v>
      </c>
      <c r="J198" s="57">
        <v>1.31</v>
      </c>
      <c r="K198" s="57" t="s">
        <v>60</v>
      </c>
      <c r="L198" s="63">
        <v>44650</v>
      </c>
    </row>
    <row r="199" spans="1:12" x14ac:dyDescent="0.2">
      <c r="A199" s="57" t="s">
        <v>141</v>
      </c>
      <c r="B199" s="57">
        <v>2371</v>
      </c>
      <c r="C199" s="57">
        <v>3</v>
      </c>
      <c r="D199" s="57">
        <v>0</v>
      </c>
      <c r="F199" s="57">
        <v>0.38900000000000001</v>
      </c>
      <c r="G199" s="57">
        <v>0.111</v>
      </c>
      <c r="H199" s="57">
        <v>3.6999999999999998E-2</v>
      </c>
      <c r="I199" s="57">
        <v>1.2E-2</v>
      </c>
      <c r="J199" s="57">
        <v>1.52</v>
      </c>
      <c r="K199" s="33">
        <f>AVERAGE(0.6,0.73,0.71,0.76)</f>
        <v>0.7</v>
      </c>
      <c r="L199" s="63">
        <v>44650</v>
      </c>
    </row>
    <row r="200" spans="1:12" x14ac:dyDescent="0.2">
      <c r="A200" s="57" t="s">
        <v>141</v>
      </c>
      <c r="B200" s="57">
        <v>2382</v>
      </c>
      <c r="C200" s="57">
        <v>1</v>
      </c>
      <c r="D200" s="57">
        <v>0</v>
      </c>
      <c r="F200" s="57">
        <v>1.004</v>
      </c>
      <c r="G200" s="57">
        <v>0.499</v>
      </c>
      <c r="H200" s="57">
        <v>0.16700000000000001</v>
      </c>
      <c r="I200" s="57">
        <v>7.4999999999999997E-2</v>
      </c>
      <c r="J200" s="57">
        <v>4.24</v>
      </c>
      <c r="K200" s="33">
        <f>AVERAGE(1.18,1.18,0.96,1.11)</f>
        <v>1.1074999999999999</v>
      </c>
      <c r="L200" s="63">
        <v>44650</v>
      </c>
    </row>
    <row r="201" spans="1:12" x14ac:dyDescent="0.2">
      <c r="A201" s="57" t="s">
        <v>141</v>
      </c>
      <c r="B201" s="57">
        <v>2020</v>
      </c>
      <c r="C201" s="57">
        <v>2</v>
      </c>
      <c r="D201" s="57">
        <v>0</v>
      </c>
      <c r="F201" s="57">
        <v>1.5149999999999999</v>
      </c>
      <c r="G201" s="57">
        <v>0.69</v>
      </c>
      <c r="H201" s="57">
        <v>0.28100000000000003</v>
      </c>
      <c r="I201" s="57">
        <v>0.104</v>
      </c>
      <c r="J201" s="57">
        <v>3.19</v>
      </c>
      <c r="K201" s="33">
        <f>AVERAGE(1.76,1.65,1.63,1.61)</f>
        <v>1.6625000000000001</v>
      </c>
      <c r="L201" s="63">
        <v>44650</v>
      </c>
    </row>
    <row r="202" spans="1:12" x14ac:dyDescent="0.2">
      <c r="A202" s="57" t="s">
        <v>59</v>
      </c>
      <c r="B202" s="57">
        <v>2331</v>
      </c>
      <c r="C202" s="57">
        <v>1</v>
      </c>
      <c r="D202" s="57">
        <v>1</v>
      </c>
      <c r="F202" s="57">
        <v>1.1679999999999999</v>
      </c>
      <c r="G202" s="57">
        <v>0.97699999999999998</v>
      </c>
      <c r="H202" s="57">
        <v>0.29599999999999999</v>
      </c>
      <c r="I202" s="57">
        <v>0.16800000000000001</v>
      </c>
      <c r="J202" s="57">
        <v>7.75</v>
      </c>
      <c r="K202" s="33">
        <f>AVERAGE(1.72,1.53,1.73,1.76)</f>
        <v>1.6850000000000001</v>
      </c>
      <c r="L202" s="63">
        <v>44650</v>
      </c>
    </row>
    <row r="203" spans="1:12" x14ac:dyDescent="0.2">
      <c r="A203" s="57" t="s">
        <v>141</v>
      </c>
      <c r="B203" s="57">
        <v>2379</v>
      </c>
      <c r="C203" s="57">
        <v>3</v>
      </c>
      <c r="D203" s="57">
        <v>0</v>
      </c>
      <c r="F203" s="57">
        <v>0.36199999999999999</v>
      </c>
      <c r="G203" s="57">
        <v>0.182</v>
      </c>
      <c r="H203" s="57">
        <v>0.02</v>
      </c>
      <c r="I203" s="57">
        <v>8.0000000000000002E-3</v>
      </c>
      <c r="J203" s="57">
        <v>0.78</v>
      </c>
      <c r="K203" s="57" t="s">
        <v>60</v>
      </c>
      <c r="L203" s="63">
        <v>44650</v>
      </c>
    </row>
    <row r="204" spans="1:12" x14ac:dyDescent="0.2">
      <c r="A204" s="57" t="s">
        <v>141</v>
      </c>
      <c r="B204" s="57">
        <v>2360</v>
      </c>
      <c r="C204" s="57">
        <v>3</v>
      </c>
      <c r="D204" s="57">
        <v>0</v>
      </c>
      <c r="F204" s="57">
        <v>1.0229999999999999</v>
      </c>
      <c r="G204" s="57">
        <v>0.44500000000000001</v>
      </c>
      <c r="H204" s="57">
        <v>8.5000000000000006E-2</v>
      </c>
      <c r="I204" s="57">
        <v>3.4000000000000002E-2</v>
      </c>
      <c r="J204" s="57">
        <v>2.08</v>
      </c>
      <c r="K204" s="33">
        <f>AVERAGE(1.23,0.97,1.13,1.22)</f>
        <v>1.1375</v>
      </c>
      <c r="L204" s="63">
        <v>44650</v>
      </c>
    </row>
    <row r="205" spans="1:12" x14ac:dyDescent="0.2">
      <c r="A205" s="57" t="s">
        <v>141</v>
      </c>
      <c r="B205" s="57">
        <v>2384</v>
      </c>
      <c r="C205" s="57">
        <v>3</v>
      </c>
      <c r="D205" s="57">
        <v>0</v>
      </c>
      <c r="F205" s="57">
        <v>0.39200000000000002</v>
      </c>
      <c r="G205" s="57">
        <v>0.184</v>
      </c>
      <c r="H205" s="57">
        <v>2.3E-2</v>
      </c>
      <c r="I205" s="57">
        <v>8.9999999999999993E-3</v>
      </c>
      <c r="J205" s="57">
        <v>0.87</v>
      </c>
      <c r="K205" s="57" t="s">
        <v>60</v>
      </c>
      <c r="L205" s="63">
        <v>44650</v>
      </c>
    </row>
    <row r="206" spans="1:12" x14ac:dyDescent="0.2">
      <c r="A206" s="57" t="s">
        <v>59</v>
      </c>
      <c r="B206" s="57">
        <v>2380</v>
      </c>
      <c r="C206" s="57">
        <v>2</v>
      </c>
      <c r="D206" s="57">
        <v>0</v>
      </c>
      <c r="F206" s="57">
        <v>1.2889999999999999</v>
      </c>
      <c r="G206" s="57">
        <v>0.60299999999999998</v>
      </c>
      <c r="H206" s="57">
        <v>5.1999999999999998E-2</v>
      </c>
      <c r="I206" s="57">
        <v>0.02</v>
      </c>
      <c r="J206" s="57">
        <v>1.42</v>
      </c>
      <c r="K206" s="33">
        <f>AVERAGE(0.75,0.67,0.6,0.57)</f>
        <v>0.64749999999999996</v>
      </c>
      <c r="L206" s="63">
        <v>44650</v>
      </c>
    </row>
    <row r="207" spans="1:12" x14ac:dyDescent="0.2">
      <c r="A207" s="57" t="s">
        <v>59</v>
      </c>
      <c r="B207" s="57">
        <v>2377</v>
      </c>
      <c r="C207" s="57">
        <v>3</v>
      </c>
      <c r="D207" s="57">
        <v>1</v>
      </c>
      <c r="F207" s="57">
        <v>2.5779999999999998</v>
      </c>
      <c r="G207" s="57">
        <v>1.468</v>
      </c>
      <c r="H207" s="57">
        <v>0.61899999999999999</v>
      </c>
      <c r="I207" s="57">
        <v>0.33400000000000002</v>
      </c>
      <c r="J207" s="57">
        <v>9.49</v>
      </c>
      <c r="K207" s="33">
        <f>AVERAGE(2.32,1.99,2.16,2.32)</f>
        <v>2.1974999999999998</v>
      </c>
      <c r="L207" s="63">
        <v>44650</v>
      </c>
    </row>
    <row r="208" spans="1:12" x14ac:dyDescent="0.2">
      <c r="A208" s="57" t="s">
        <v>141</v>
      </c>
      <c r="B208" s="57">
        <v>2373</v>
      </c>
      <c r="C208" s="57">
        <v>2</v>
      </c>
      <c r="D208" s="57">
        <v>0</v>
      </c>
      <c r="F208" s="57">
        <v>0.65400000000000003</v>
      </c>
      <c r="G208" s="57">
        <v>0.17699999999999999</v>
      </c>
      <c r="H208" s="57">
        <v>5.0999999999999997E-2</v>
      </c>
      <c r="I208" s="57">
        <v>1.4E-2</v>
      </c>
      <c r="J208" s="57">
        <v>1.08</v>
      </c>
      <c r="K208" s="33">
        <f>AVERAGE(0.89,0.82,1.02,1.27)</f>
        <v>1</v>
      </c>
      <c r="L208" s="63">
        <v>44650</v>
      </c>
    </row>
    <row r="209" spans="1:12" x14ac:dyDescent="0.2">
      <c r="A209" s="57" t="s">
        <v>141</v>
      </c>
      <c r="B209" s="57">
        <v>2383</v>
      </c>
      <c r="C209" s="57">
        <v>1</v>
      </c>
      <c r="D209" s="57">
        <v>0</v>
      </c>
      <c r="F209" s="57">
        <v>0.48799999999999999</v>
      </c>
      <c r="G209" s="57">
        <v>0.23899999999999999</v>
      </c>
      <c r="H209" s="57">
        <v>3.7999999999999999E-2</v>
      </c>
      <c r="I209" s="57">
        <v>1.7000000000000001E-2</v>
      </c>
      <c r="J209" s="57">
        <v>0.9</v>
      </c>
      <c r="K209" s="33">
        <f>AVERAGE(1.04,1.04,0.96,1.02)</f>
        <v>1.0150000000000001</v>
      </c>
      <c r="L209" s="63">
        <v>44650</v>
      </c>
    </row>
    <row r="210" spans="1:12" x14ac:dyDescent="0.2">
      <c r="A210" s="57" t="s">
        <v>59</v>
      </c>
      <c r="B210" s="57">
        <v>2301</v>
      </c>
      <c r="C210" s="57">
        <v>3</v>
      </c>
      <c r="D210" s="57">
        <v>1</v>
      </c>
      <c r="F210" s="57">
        <v>0.77200000000000002</v>
      </c>
      <c r="G210" s="57">
        <v>0.46200000000000002</v>
      </c>
      <c r="H210" s="57">
        <v>0.26700000000000002</v>
      </c>
      <c r="I210" s="57">
        <v>0.151</v>
      </c>
      <c r="J210" s="57">
        <v>6.64</v>
      </c>
      <c r="K210" s="33">
        <f>AVERAGE(1.41,1.42,1.43,1.51)</f>
        <v>1.4424999999999999</v>
      </c>
      <c r="L210" s="63">
        <v>44650</v>
      </c>
    </row>
    <row r="211" spans="1:12" x14ac:dyDescent="0.2">
      <c r="A211" s="57" t="s">
        <v>59</v>
      </c>
      <c r="B211" s="57">
        <v>2376</v>
      </c>
      <c r="C211" s="57">
        <v>1</v>
      </c>
      <c r="D211" s="57">
        <v>1</v>
      </c>
      <c r="F211" s="57">
        <v>4.5789999999999997</v>
      </c>
      <c r="G211" s="57">
        <v>2.427</v>
      </c>
      <c r="H211" s="57">
        <v>0.69899999999999995</v>
      </c>
      <c r="I211" s="57">
        <v>0.37</v>
      </c>
      <c r="J211" s="57">
        <v>7.68</v>
      </c>
      <c r="K211" s="33">
        <f>AVERAGE(2.47,2.49,2.47,2.42)</f>
        <v>2.4625000000000004</v>
      </c>
      <c r="L211" s="63">
        <v>44650</v>
      </c>
    </row>
    <row r="212" spans="1:12" x14ac:dyDescent="0.2">
      <c r="A212" s="57" t="s">
        <v>141</v>
      </c>
      <c r="B212" s="57">
        <v>2371</v>
      </c>
      <c r="C212" s="57">
        <v>1</v>
      </c>
      <c r="D212" s="57">
        <v>0</v>
      </c>
      <c r="F212" s="57">
        <v>0.44900000000000001</v>
      </c>
      <c r="G212" s="57">
        <v>0.126</v>
      </c>
      <c r="H212" s="57">
        <v>2.9000000000000001E-2</v>
      </c>
      <c r="I212" s="57">
        <v>8.9999999999999993E-3</v>
      </c>
      <c r="J212" s="57">
        <v>1.24</v>
      </c>
      <c r="K212" s="33">
        <f>AVERAGE(0.49,0.51,0.46,0.59)</f>
        <v>0.51249999999999996</v>
      </c>
      <c r="L212" s="63">
        <v>44650</v>
      </c>
    </row>
    <row r="213" spans="1:12" x14ac:dyDescent="0.2">
      <c r="A213" s="57" t="s">
        <v>59</v>
      </c>
      <c r="B213" s="57">
        <v>2377</v>
      </c>
      <c r="C213" s="57">
        <v>1</v>
      </c>
      <c r="D213" s="57">
        <v>0</v>
      </c>
      <c r="F213" s="57">
        <v>2.633</v>
      </c>
      <c r="G213" s="57">
        <v>0.86</v>
      </c>
      <c r="H213" s="57">
        <v>0.46899999999999997</v>
      </c>
      <c r="I213" s="57">
        <v>0.14299999999999999</v>
      </c>
      <c r="J213" s="57">
        <v>9.3699999999999992</v>
      </c>
      <c r="K213" s="33">
        <f>AVERAGE(1.52,1.41,1.81,1.62)</f>
        <v>1.59</v>
      </c>
      <c r="L213" s="63">
        <v>44650</v>
      </c>
    </row>
    <row r="214" spans="1:12" x14ac:dyDescent="0.2">
      <c r="A214" s="57" t="s">
        <v>59</v>
      </c>
      <c r="B214" s="57">
        <v>2331</v>
      </c>
      <c r="C214" s="57">
        <v>3</v>
      </c>
      <c r="D214" s="57">
        <v>1</v>
      </c>
      <c r="F214" s="57">
        <v>1.1359999999999999</v>
      </c>
      <c r="G214" s="57">
        <v>0.65900000000000003</v>
      </c>
      <c r="H214" s="57">
        <v>0.156</v>
      </c>
      <c r="I214" s="57">
        <v>8.7999999999999995E-2</v>
      </c>
      <c r="J214" s="57">
        <v>4.87</v>
      </c>
      <c r="K214" s="33">
        <f>AVERAGE(1.21,1.25,1.35,1.1)</f>
        <v>1.2275</v>
      </c>
      <c r="L214" s="63">
        <v>44650</v>
      </c>
    </row>
    <row r="215" spans="1:12" x14ac:dyDescent="0.2">
      <c r="A215" s="57" t="s">
        <v>59</v>
      </c>
      <c r="B215" s="57">
        <v>2301</v>
      </c>
      <c r="C215" s="57">
        <v>2</v>
      </c>
      <c r="D215" s="57">
        <v>1</v>
      </c>
      <c r="F215" s="57">
        <v>1.4530000000000001</v>
      </c>
      <c r="G215" s="57">
        <v>0.86699999999999999</v>
      </c>
      <c r="H215" s="57">
        <v>0.123</v>
      </c>
      <c r="I215" s="57">
        <v>6.5000000000000002E-2</v>
      </c>
      <c r="J215" s="57">
        <v>3.35</v>
      </c>
      <c r="K215" s="33">
        <f>AVERAGE(1.1,1.07,1.21,1.3)</f>
        <v>1.17</v>
      </c>
      <c r="L215" s="63">
        <v>44650</v>
      </c>
    </row>
    <row r="216" spans="1:12" x14ac:dyDescent="0.2">
      <c r="A216" s="57" t="s">
        <v>59</v>
      </c>
      <c r="B216" s="57">
        <v>2354</v>
      </c>
      <c r="C216" s="57">
        <v>1</v>
      </c>
      <c r="D216" s="57">
        <v>1</v>
      </c>
      <c r="F216" s="57">
        <v>2.2799999999999998</v>
      </c>
      <c r="G216" s="57">
        <v>1.2090000000000001</v>
      </c>
      <c r="H216" s="57">
        <v>0.48799999999999999</v>
      </c>
      <c r="I216" s="57">
        <v>0.25700000000000001</v>
      </c>
      <c r="J216" s="57">
        <v>9.2200000000000006</v>
      </c>
      <c r="K216" s="33">
        <f>AVERAGE(2.33,2.36,2.24,2.43)</f>
        <v>2.34</v>
      </c>
      <c r="L216" s="63">
        <v>44650</v>
      </c>
    </row>
    <row r="217" spans="1:12" x14ac:dyDescent="0.2">
      <c r="A217" s="57" t="s">
        <v>59</v>
      </c>
      <c r="B217" s="57">
        <v>2377</v>
      </c>
      <c r="C217" s="57">
        <v>1</v>
      </c>
      <c r="D217" s="57">
        <v>1</v>
      </c>
      <c r="F217" s="57">
        <v>1.3979999999999999</v>
      </c>
      <c r="G217" s="57">
        <v>0.79200000000000004</v>
      </c>
      <c r="H217" s="57">
        <v>0.91</v>
      </c>
      <c r="I217" s="57">
        <v>0.4</v>
      </c>
      <c r="J217" s="57">
        <v>7.78</v>
      </c>
      <c r="K217" s="33">
        <f>AVERAGE(2.25,2.23,2.21,2.3)</f>
        <v>2.2475000000000001</v>
      </c>
      <c r="L217" s="63">
        <v>44650</v>
      </c>
    </row>
    <row r="218" spans="1:12" x14ac:dyDescent="0.2">
      <c r="A218" s="57" t="s">
        <v>59</v>
      </c>
      <c r="B218" s="57">
        <v>2380</v>
      </c>
      <c r="C218" s="57">
        <v>3</v>
      </c>
      <c r="D218" s="57">
        <v>1</v>
      </c>
      <c r="F218" s="57">
        <v>0.65600000000000003</v>
      </c>
      <c r="G218" s="57">
        <v>0.374</v>
      </c>
      <c r="H218" s="57">
        <v>6.7000000000000004E-2</v>
      </c>
      <c r="I218" s="57">
        <v>3.4000000000000002E-2</v>
      </c>
      <c r="J218" s="57">
        <v>1.7</v>
      </c>
      <c r="K218" s="33">
        <f>AVERAGE(1.08,1,0.94,1.21)</f>
        <v>1.0575000000000001</v>
      </c>
      <c r="L218" s="63">
        <v>44650</v>
      </c>
    </row>
    <row r="219" spans="1:12" x14ac:dyDescent="0.2">
      <c r="A219" s="57" t="s">
        <v>59</v>
      </c>
      <c r="B219" s="57">
        <v>2301</v>
      </c>
      <c r="C219" s="57">
        <v>1</v>
      </c>
      <c r="D219" s="57">
        <v>1</v>
      </c>
      <c r="F219" s="57">
        <v>3.3359999999999999</v>
      </c>
      <c r="G219" s="57">
        <v>1.9670000000000001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63">
        <v>44650</v>
      </c>
    </row>
    <row r="220" spans="1:12" x14ac:dyDescent="0.2">
      <c r="A220" s="57" t="s">
        <v>59</v>
      </c>
      <c r="B220" s="57">
        <v>2377</v>
      </c>
      <c r="C220" s="57">
        <v>2</v>
      </c>
      <c r="D220" s="57">
        <v>0</v>
      </c>
      <c r="F220" s="57">
        <v>2.9609999999999999</v>
      </c>
      <c r="G220" s="57">
        <v>1.044</v>
      </c>
      <c r="H220" s="57">
        <v>0.48899999999999999</v>
      </c>
      <c r="I220" s="57">
        <v>0.16</v>
      </c>
      <c r="J220" s="57">
        <v>9.5500000000000007</v>
      </c>
      <c r="K220" s="33">
        <f>AVERAGE(1.46,1.58,1.61,1.42)</f>
        <v>1.5175000000000001</v>
      </c>
      <c r="L220" s="63">
        <v>44650</v>
      </c>
    </row>
    <row r="221" spans="1:12" x14ac:dyDescent="0.2">
      <c r="A221" s="57" t="s">
        <v>141</v>
      </c>
      <c r="B221" s="57">
        <v>2378</v>
      </c>
      <c r="C221" s="57">
        <v>3</v>
      </c>
      <c r="D221" s="57">
        <v>0</v>
      </c>
      <c r="F221" s="57">
        <v>1.254</v>
      </c>
      <c r="G221" s="57">
        <v>0.58099999999999996</v>
      </c>
      <c r="H221" s="57">
        <v>0.17</v>
      </c>
      <c r="I221" s="57">
        <v>7.2999999999999995E-2</v>
      </c>
      <c r="J221" s="57">
        <v>2.33</v>
      </c>
      <c r="K221" s="33">
        <f>AVERAGE(1.12,1.1,1.13,0.99)</f>
        <v>1.085</v>
      </c>
      <c r="L221" s="63">
        <v>44650</v>
      </c>
    </row>
    <row r="222" spans="1:12" x14ac:dyDescent="0.2">
      <c r="A222" s="57" t="s">
        <v>141</v>
      </c>
      <c r="B222" s="57">
        <v>2379</v>
      </c>
      <c r="C222" s="57">
        <v>2</v>
      </c>
      <c r="D222" s="57">
        <v>0</v>
      </c>
      <c r="F222" s="57">
        <v>0.41599999999999998</v>
      </c>
      <c r="G222" s="57">
        <v>0.21099999999999999</v>
      </c>
      <c r="H222" s="57">
        <v>4.5999999999999999E-2</v>
      </c>
      <c r="I222" s="57">
        <v>2.1999999999999999E-2</v>
      </c>
      <c r="J222" s="57">
        <v>1.05</v>
      </c>
      <c r="K222" s="57" t="s">
        <v>60</v>
      </c>
      <c r="L222" s="63">
        <v>44650</v>
      </c>
    </row>
    <row r="223" spans="1:12" x14ac:dyDescent="0.2">
      <c r="A223" s="57" t="s">
        <v>59</v>
      </c>
      <c r="B223" s="57">
        <v>2345</v>
      </c>
      <c r="C223" s="57">
        <v>1</v>
      </c>
      <c r="D223" s="57">
        <v>1</v>
      </c>
      <c r="F223" s="57">
        <v>1.696</v>
      </c>
      <c r="G223" s="57">
        <v>0.94299999999999995</v>
      </c>
      <c r="H223" s="57">
        <v>0.41799999999999998</v>
      </c>
      <c r="I223" s="57">
        <v>0.20899999999999999</v>
      </c>
      <c r="J223" s="57">
        <v>6.84</v>
      </c>
      <c r="K223" s="33">
        <f>AVERAGE(1.83,1.89,1.73,1.88)</f>
        <v>1.8324999999999998</v>
      </c>
      <c r="L223" s="63">
        <v>44650</v>
      </c>
    </row>
    <row r="224" spans="1:12" x14ac:dyDescent="0.2">
      <c r="A224" s="57" t="s">
        <v>141</v>
      </c>
      <c r="B224" s="57">
        <v>2347</v>
      </c>
      <c r="C224" s="57">
        <v>2</v>
      </c>
      <c r="D224" s="57">
        <v>0</v>
      </c>
      <c r="F224" s="57">
        <v>0.434</v>
      </c>
      <c r="G224" s="57">
        <v>0.152</v>
      </c>
      <c r="H224" s="57">
        <v>6.2E-2</v>
      </c>
      <c r="I224" s="57">
        <v>1.7999999999999999E-2</v>
      </c>
      <c r="J224" s="57">
        <v>1.0900000000000001</v>
      </c>
      <c r="K224" s="33">
        <f>AVERAGE(0.77,0.82,0.86,0.82)</f>
        <v>0.81749999999999989</v>
      </c>
      <c r="L224" s="63">
        <v>44650</v>
      </c>
    </row>
    <row r="225" spans="1:12" x14ac:dyDescent="0.2">
      <c r="A225" s="57" t="s">
        <v>141</v>
      </c>
      <c r="B225" s="57">
        <v>2009</v>
      </c>
      <c r="C225" s="57">
        <v>5</v>
      </c>
      <c r="D225" s="57">
        <v>0</v>
      </c>
      <c r="F225" s="57">
        <v>0.52700000000000002</v>
      </c>
      <c r="G225" s="57">
        <v>0.16700000000000001</v>
      </c>
      <c r="H225" s="57">
        <v>4.4999999999999998E-2</v>
      </c>
      <c r="I225" s="57">
        <v>1.4E-2</v>
      </c>
      <c r="J225" s="57">
        <v>1.38</v>
      </c>
      <c r="K225" s="33">
        <f>AVERAGE(1.26,1.4,1.55,1.32)</f>
        <v>1.3825000000000001</v>
      </c>
      <c r="L225" s="63">
        <v>44650</v>
      </c>
    </row>
    <row r="226" spans="1:12" x14ac:dyDescent="0.2">
      <c r="A226" s="57" t="s">
        <v>141</v>
      </c>
      <c r="B226" s="57">
        <v>2343</v>
      </c>
      <c r="C226" s="57">
        <v>2</v>
      </c>
      <c r="D226" s="57">
        <v>0</v>
      </c>
      <c r="F226" s="57">
        <v>0.751</v>
      </c>
      <c r="G226" s="57">
        <v>0.26200000000000001</v>
      </c>
      <c r="H226" s="57">
        <v>0.123</v>
      </c>
      <c r="I226" s="57">
        <v>3.9E-2</v>
      </c>
      <c r="J226" s="57">
        <v>2.64</v>
      </c>
      <c r="K226" s="33">
        <f>AVERAGE(1.27,1.21,1.12,1.25)</f>
        <v>1.2124999999999999</v>
      </c>
      <c r="L226" s="63">
        <v>44650</v>
      </c>
    </row>
    <row r="227" spans="1:12" x14ac:dyDescent="0.2">
      <c r="A227" s="57" t="s">
        <v>59</v>
      </c>
      <c r="B227" s="57">
        <v>2380</v>
      </c>
      <c r="C227" s="57">
        <v>2</v>
      </c>
      <c r="D227" s="57">
        <v>1</v>
      </c>
      <c r="F227" s="57">
        <v>1.276</v>
      </c>
      <c r="G227" s="57">
        <v>0.69399999999999995</v>
      </c>
      <c r="H227" s="57">
        <v>0.27900000000000003</v>
      </c>
      <c r="I227" s="57">
        <v>0.14499999999999999</v>
      </c>
      <c r="J227" s="57">
        <v>5.87</v>
      </c>
      <c r="K227" s="33">
        <f>AVERAGE(1.6,1.6,1.6,1.58)</f>
        <v>1.5950000000000002</v>
      </c>
      <c r="L227" s="63">
        <v>44650</v>
      </c>
    </row>
    <row r="228" spans="1:12" x14ac:dyDescent="0.2">
      <c r="A228" s="57" t="s">
        <v>59</v>
      </c>
      <c r="B228" s="57">
        <v>2380</v>
      </c>
      <c r="C228" s="57">
        <v>1</v>
      </c>
      <c r="D228" s="57">
        <v>0</v>
      </c>
      <c r="F228" s="57">
        <v>0.379</v>
      </c>
      <c r="G228" s="57">
        <v>0.10100000000000001</v>
      </c>
      <c r="H228" s="57">
        <v>3.3000000000000002E-2</v>
      </c>
      <c r="I228" s="57">
        <v>0.01</v>
      </c>
      <c r="J228" s="57">
        <v>1.32</v>
      </c>
      <c r="K228" s="57" t="s">
        <v>60</v>
      </c>
      <c r="L228" s="63">
        <v>44650</v>
      </c>
    </row>
    <row r="229" spans="1:12" x14ac:dyDescent="0.2">
      <c r="A229" s="57" t="s">
        <v>59</v>
      </c>
      <c r="B229" s="57">
        <v>2345</v>
      </c>
      <c r="C229" s="57">
        <v>3</v>
      </c>
      <c r="D229" s="57">
        <v>1</v>
      </c>
      <c r="F229" s="57">
        <v>2.008</v>
      </c>
      <c r="G229" s="57">
        <v>1.1220000000000001</v>
      </c>
      <c r="H229" s="57">
        <v>0.61799999999999999</v>
      </c>
      <c r="I229" s="57">
        <v>0.33</v>
      </c>
      <c r="J229" s="57">
        <v>10.37</v>
      </c>
      <c r="K229" s="33">
        <f>AVERAGE(1.99,1.92,1.93,1.94)</f>
        <v>1.9449999999999998</v>
      </c>
      <c r="L229" s="63">
        <v>44650</v>
      </c>
    </row>
    <row r="230" spans="1:12" x14ac:dyDescent="0.2">
      <c r="A230" s="57" t="s">
        <v>141</v>
      </c>
      <c r="B230" s="57">
        <v>2009</v>
      </c>
      <c r="C230" s="57">
        <v>3</v>
      </c>
      <c r="D230" s="57">
        <v>0</v>
      </c>
      <c r="F230" s="57">
        <v>0.61699999999999999</v>
      </c>
      <c r="G230" s="57">
        <v>0.249</v>
      </c>
      <c r="H230" s="57">
        <v>5.8999999999999997E-2</v>
      </c>
      <c r="I230" s="57">
        <v>2.4E-2</v>
      </c>
      <c r="J230" s="57">
        <v>1.41</v>
      </c>
      <c r="K230" s="33">
        <f>AVERAGE(0.96,1.12,1.02,1.14)</f>
        <v>1.06</v>
      </c>
      <c r="L230" s="63">
        <v>44650</v>
      </c>
    </row>
    <row r="231" spans="1:12" x14ac:dyDescent="0.2">
      <c r="A231" s="57" t="s">
        <v>141</v>
      </c>
      <c r="B231" s="57">
        <v>2346</v>
      </c>
      <c r="C231" s="57">
        <v>2</v>
      </c>
      <c r="D231" s="57">
        <v>0</v>
      </c>
      <c r="F231" s="57">
        <v>0.74199999999999999</v>
      </c>
      <c r="G231" s="57">
        <v>0.32600000000000001</v>
      </c>
      <c r="H231" s="57">
        <v>9.2999999999999999E-2</v>
      </c>
      <c r="I231" s="57">
        <v>3.7999999999999999E-2</v>
      </c>
      <c r="J231" s="57">
        <v>2.52</v>
      </c>
      <c r="K231" s="33">
        <f>AVERAGE(0.91,0.93,1.04,1.12)</f>
        <v>1</v>
      </c>
      <c r="L231" s="63">
        <v>44650</v>
      </c>
    </row>
    <row r="232" spans="1:12" x14ac:dyDescent="0.2">
      <c r="A232" s="57" t="s">
        <v>141</v>
      </c>
      <c r="B232" s="57">
        <v>2373</v>
      </c>
      <c r="C232" s="57">
        <v>1</v>
      </c>
      <c r="D232" s="57">
        <v>0</v>
      </c>
      <c r="F232" s="57">
        <v>0.45200000000000001</v>
      </c>
      <c r="G232" s="57">
        <v>0.125</v>
      </c>
      <c r="H232" s="57">
        <v>4.7E-2</v>
      </c>
      <c r="I232" s="57">
        <v>1.4E-2</v>
      </c>
      <c r="J232" s="57">
        <v>1.36</v>
      </c>
      <c r="K232" s="33">
        <f>AVERAGE(0.94,0.98,0.78,0.78)</f>
        <v>0.87000000000000011</v>
      </c>
      <c r="L232" s="63">
        <v>44650</v>
      </c>
    </row>
    <row r="233" spans="1:12" x14ac:dyDescent="0.2">
      <c r="A233" s="57" t="s">
        <v>141</v>
      </c>
      <c r="B233" s="57">
        <v>2382</v>
      </c>
      <c r="C233" s="57">
        <v>2</v>
      </c>
      <c r="D233" s="57">
        <v>0</v>
      </c>
      <c r="F233" s="57">
        <v>0.81200000000000006</v>
      </c>
      <c r="G233" s="57">
        <v>0.41099999999999998</v>
      </c>
      <c r="H233" s="57">
        <v>0.15</v>
      </c>
      <c r="I233" s="57">
        <v>6.9000000000000006E-2</v>
      </c>
      <c r="J233" s="57">
        <v>3.37</v>
      </c>
      <c r="K233" s="33">
        <f>AVERAGE(0.96,1.06,1.04,0.92)</f>
        <v>0.995</v>
      </c>
      <c r="L233" s="63">
        <v>44650</v>
      </c>
    </row>
    <row r="234" spans="1:12" x14ac:dyDescent="0.2">
      <c r="A234" s="57" t="s">
        <v>59</v>
      </c>
      <c r="B234" s="57">
        <v>2376</v>
      </c>
      <c r="C234" s="57">
        <v>2</v>
      </c>
      <c r="D234" s="57">
        <v>1</v>
      </c>
      <c r="F234" s="57">
        <v>2.1190000000000002</v>
      </c>
      <c r="G234" s="57">
        <v>1.161</v>
      </c>
      <c r="H234" s="57">
        <v>0.29299999999999998</v>
      </c>
      <c r="I234" s="57">
        <v>0.158</v>
      </c>
      <c r="J234" s="57">
        <v>5.71</v>
      </c>
      <c r="K234" s="33">
        <f>AVERAGE(1.58,1.6,1.71,1.59)</f>
        <v>1.62</v>
      </c>
      <c r="L234" s="63">
        <v>44650</v>
      </c>
    </row>
    <row r="235" spans="1:12" x14ac:dyDescent="0.2">
      <c r="A235" s="57" t="s">
        <v>59</v>
      </c>
      <c r="B235" s="57">
        <v>2380</v>
      </c>
      <c r="C235" s="57">
        <v>1</v>
      </c>
      <c r="D235" s="57">
        <v>1</v>
      </c>
      <c r="F235" s="57">
        <v>0.53400000000000003</v>
      </c>
      <c r="G235" s="57">
        <v>0.28699999999999998</v>
      </c>
      <c r="H235" s="57">
        <v>7.2999999999999995E-2</v>
      </c>
      <c r="I235" s="57">
        <v>3.4000000000000002E-2</v>
      </c>
      <c r="J235" s="57">
        <v>1.9</v>
      </c>
      <c r="K235" s="33">
        <f>AVERAGE(0.84,0.86,0.93,0.82)</f>
        <v>0.86249999999999993</v>
      </c>
      <c r="L235" s="63">
        <v>44650</v>
      </c>
    </row>
    <row r="236" spans="1:12" x14ac:dyDescent="0.2">
      <c r="A236" s="57" t="s">
        <v>59</v>
      </c>
      <c r="B236" s="57">
        <v>2352</v>
      </c>
      <c r="C236" s="57">
        <v>1</v>
      </c>
      <c r="D236" s="57">
        <v>0</v>
      </c>
      <c r="F236" s="57">
        <v>0.60599999999999998</v>
      </c>
      <c r="G236" s="57">
        <v>0.27</v>
      </c>
      <c r="H236" s="57">
        <v>3.2000000000000001E-2</v>
      </c>
      <c r="I236" s="57">
        <v>1.2999999999999999E-2</v>
      </c>
      <c r="J236" s="57">
        <v>1.86</v>
      </c>
      <c r="K236" s="57" t="s">
        <v>60</v>
      </c>
      <c r="L236" s="63">
        <v>44650</v>
      </c>
    </row>
    <row r="237" spans="1:12" x14ac:dyDescent="0.2">
      <c r="A237" s="57" t="s">
        <v>141</v>
      </c>
      <c r="B237" s="57">
        <v>2370</v>
      </c>
      <c r="C237" s="57">
        <v>3</v>
      </c>
      <c r="D237" s="57">
        <v>0</v>
      </c>
      <c r="F237" s="57">
        <v>0.218</v>
      </c>
      <c r="G237" s="57">
        <v>6.5000000000000002E-2</v>
      </c>
      <c r="H237" s="57">
        <v>0.02</v>
      </c>
      <c r="I237" s="57">
        <v>7.0000000000000001E-3</v>
      </c>
      <c r="J237" s="57">
        <v>0.84</v>
      </c>
      <c r="K237" s="57" t="s">
        <v>60</v>
      </c>
      <c r="L237" s="63">
        <v>44650</v>
      </c>
    </row>
    <row r="238" spans="1:12" x14ac:dyDescent="0.2">
      <c r="A238" s="57" t="s">
        <v>59</v>
      </c>
      <c r="B238" s="57">
        <v>2354</v>
      </c>
      <c r="C238" s="57">
        <v>2</v>
      </c>
      <c r="D238" s="57">
        <v>1</v>
      </c>
      <c r="F238" s="57">
        <v>2.2690000000000001</v>
      </c>
      <c r="G238" s="57">
        <v>1.2589999999999999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63">
        <v>44650</v>
      </c>
    </row>
    <row r="239" spans="1:12" x14ac:dyDescent="0.2">
      <c r="A239" s="57" t="s">
        <v>141</v>
      </c>
      <c r="B239" s="57">
        <v>2378</v>
      </c>
      <c r="C239" s="57">
        <v>2</v>
      </c>
      <c r="D239" s="57">
        <v>0</v>
      </c>
      <c r="F239" s="57">
        <v>1.0680000000000001</v>
      </c>
      <c r="G239" s="57">
        <v>0.50600000000000001</v>
      </c>
      <c r="H239" s="57">
        <v>0.29399999999999998</v>
      </c>
      <c r="I239" s="57">
        <v>0.125</v>
      </c>
      <c r="J239" s="57">
        <v>4.1100000000000003</v>
      </c>
      <c r="K239" s="33">
        <f>AVERAGE(1.4,1.46,1.63,1.81)</f>
        <v>1.5750000000000002</v>
      </c>
      <c r="L239" s="63">
        <v>44650</v>
      </c>
    </row>
    <row r="240" spans="1:12" x14ac:dyDescent="0.2">
      <c r="A240" s="57" t="s">
        <v>141</v>
      </c>
      <c r="B240" s="57">
        <v>2382</v>
      </c>
      <c r="C240" s="57">
        <v>3</v>
      </c>
      <c r="D240" s="57">
        <v>0</v>
      </c>
      <c r="F240" s="57">
        <v>0.876</v>
      </c>
      <c r="G240" s="57">
        <v>0.432</v>
      </c>
      <c r="H240" s="57">
        <v>0.05</v>
      </c>
      <c r="I240" s="57">
        <v>2.1000000000000001E-2</v>
      </c>
      <c r="J240" s="57">
        <v>1.24</v>
      </c>
      <c r="K240" s="33">
        <f>AVERAGE(0.96,1.1,1.24,1.05)</f>
        <v>1.0874999999999999</v>
      </c>
      <c r="L240" s="63">
        <v>44650</v>
      </c>
    </row>
    <row r="241" spans="1:12" x14ac:dyDescent="0.2">
      <c r="A241" s="57" t="s">
        <v>141</v>
      </c>
      <c r="B241" s="57">
        <v>2381</v>
      </c>
      <c r="C241" s="57">
        <v>1</v>
      </c>
      <c r="D241" s="57">
        <v>0</v>
      </c>
      <c r="F241" s="57">
        <v>0.82599999999999996</v>
      </c>
      <c r="G241" s="57">
        <v>0.38700000000000001</v>
      </c>
      <c r="H241" s="57">
        <v>9.1999999999999998E-2</v>
      </c>
      <c r="I241" s="57">
        <v>3.6999999999999998E-2</v>
      </c>
      <c r="J241" s="57">
        <v>1.49</v>
      </c>
      <c r="K241" s="33">
        <f>AVERAGE(1.26,1.19,1.19,1.49)</f>
        <v>1.2825</v>
      </c>
      <c r="L241" s="63">
        <v>44650</v>
      </c>
    </row>
    <row r="242" spans="1:12" x14ac:dyDescent="0.2">
      <c r="A242" s="57" t="s">
        <v>59</v>
      </c>
      <c r="B242" s="57">
        <v>2352</v>
      </c>
      <c r="C242" s="57">
        <v>2</v>
      </c>
      <c r="D242" s="57">
        <v>0</v>
      </c>
      <c r="F242" s="57">
        <v>0.29399999999999998</v>
      </c>
      <c r="G242" s="57">
        <v>0.13100000000000001</v>
      </c>
      <c r="H242" s="57">
        <v>3.9E-2</v>
      </c>
      <c r="I242" s="57">
        <v>1.4999999999999999E-2</v>
      </c>
      <c r="J242" s="57">
        <v>2.1800000000000002</v>
      </c>
      <c r="K242" s="57" t="s">
        <v>60</v>
      </c>
      <c r="L242" s="63">
        <v>44650</v>
      </c>
    </row>
    <row r="243" spans="1:12" x14ac:dyDescent="0.2">
      <c r="A243" s="57" t="s">
        <v>141</v>
      </c>
      <c r="B243" s="57">
        <v>2347</v>
      </c>
      <c r="C243" s="57">
        <v>1</v>
      </c>
      <c r="D243" s="57">
        <v>0</v>
      </c>
      <c r="F243" s="57">
        <v>1.0269999999999999</v>
      </c>
      <c r="G243" s="57">
        <v>0.35699999999999998</v>
      </c>
      <c r="H243" s="57">
        <v>9.4E-2</v>
      </c>
      <c r="I243" s="57">
        <v>2.8000000000000001E-2</v>
      </c>
      <c r="J243" s="57">
        <v>1.29</v>
      </c>
      <c r="K243" s="57" t="s">
        <v>60</v>
      </c>
      <c r="L243" s="63">
        <v>44650</v>
      </c>
    </row>
    <row r="244" spans="1:12" x14ac:dyDescent="0.2">
      <c r="A244" s="57" t="s">
        <v>141</v>
      </c>
      <c r="B244" s="57">
        <v>2370</v>
      </c>
      <c r="C244" s="57">
        <v>2</v>
      </c>
      <c r="D244" s="57">
        <v>0</v>
      </c>
      <c r="F244" s="57">
        <v>0.249</v>
      </c>
      <c r="G244" s="57">
        <v>7.2999999999999995E-2</v>
      </c>
      <c r="H244" s="57">
        <v>1.4E-2</v>
      </c>
      <c r="I244" s="57">
        <v>3.0000000000000001E-3</v>
      </c>
      <c r="J244" s="57">
        <v>0.75</v>
      </c>
      <c r="K244" s="57" t="s">
        <v>60</v>
      </c>
      <c r="L244" s="63">
        <v>44650</v>
      </c>
    </row>
    <row r="245" spans="1:12" x14ac:dyDescent="0.2">
      <c r="A245" s="57" t="s">
        <v>59</v>
      </c>
      <c r="B245" s="57">
        <v>2354</v>
      </c>
      <c r="C245" s="57">
        <v>3</v>
      </c>
      <c r="D245" s="57">
        <v>0</v>
      </c>
      <c r="F245" s="57">
        <v>0.215</v>
      </c>
      <c r="G245" s="57">
        <v>5.7000000000000002E-2</v>
      </c>
      <c r="H245" s="57">
        <v>3.5000000000000003E-2</v>
      </c>
      <c r="I245" s="57">
        <v>0.01</v>
      </c>
      <c r="J245" s="57">
        <v>1.35</v>
      </c>
      <c r="K245" s="57" t="s">
        <v>60</v>
      </c>
      <c r="L245" s="63">
        <v>44650</v>
      </c>
    </row>
    <row r="246" spans="1:12" x14ac:dyDescent="0.2">
      <c r="A246" s="57" t="s">
        <v>59</v>
      </c>
      <c r="B246" s="57">
        <v>2352</v>
      </c>
      <c r="C246" s="57">
        <v>2</v>
      </c>
      <c r="D246" s="57">
        <v>1</v>
      </c>
      <c r="F246" s="57">
        <v>0.78200000000000003</v>
      </c>
      <c r="G246" s="57">
        <v>0.48599999999999999</v>
      </c>
      <c r="H246" s="57">
        <v>0.24199999999999999</v>
      </c>
      <c r="I246" s="57">
        <v>0.13100000000000001</v>
      </c>
      <c r="J246" s="57">
        <v>6</v>
      </c>
      <c r="K246" s="33">
        <f>AVERAGE(1.45,1.51,1.51,1.44)</f>
        <v>1.4775</v>
      </c>
      <c r="L246" s="63">
        <v>44650</v>
      </c>
    </row>
    <row r="247" spans="1:12" x14ac:dyDescent="0.2">
      <c r="A247" s="57" t="s">
        <v>141</v>
      </c>
      <c r="B247" s="57">
        <v>2360</v>
      </c>
      <c r="C247" s="57">
        <v>2</v>
      </c>
      <c r="D247" s="57">
        <v>0</v>
      </c>
      <c r="F247" s="57">
        <v>0.76400000000000001</v>
      </c>
      <c r="G247" s="57">
        <v>0.32700000000000001</v>
      </c>
      <c r="H247" s="57">
        <v>4.9000000000000002E-2</v>
      </c>
      <c r="I247" s="57">
        <v>1.6E-2</v>
      </c>
      <c r="J247" s="57">
        <v>1.2</v>
      </c>
      <c r="K247" s="57" t="s">
        <v>60</v>
      </c>
      <c r="L247" s="63">
        <v>44650</v>
      </c>
    </row>
    <row r="248" spans="1:12" x14ac:dyDescent="0.2">
      <c r="A248" s="57" t="s">
        <v>141</v>
      </c>
      <c r="B248" s="57">
        <v>2020</v>
      </c>
      <c r="C248" s="57">
        <v>1</v>
      </c>
      <c r="D248" s="57">
        <v>0</v>
      </c>
      <c r="F248" s="57">
        <v>0.80300000000000005</v>
      </c>
      <c r="G248" s="57">
        <v>0.36099999999999999</v>
      </c>
      <c r="H248" s="57">
        <v>0.104</v>
      </c>
      <c r="I248" s="57">
        <v>4.1000000000000002E-2</v>
      </c>
      <c r="J248" s="57">
        <v>1.6</v>
      </c>
      <c r="K248" s="33">
        <f>AVERAGE(1.27,1.02,1.22,1.48)</f>
        <v>1.2475000000000001</v>
      </c>
      <c r="L248" s="63">
        <v>44650</v>
      </c>
    </row>
    <row r="249" spans="1:12" x14ac:dyDescent="0.2">
      <c r="A249" s="57" t="s">
        <v>141</v>
      </c>
      <c r="B249" s="57">
        <v>2381</v>
      </c>
      <c r="C249" s="57">
        <v>2</v>
      </c>
      <c r="D249" s="57">
        <v>0</v>
      </c>
      <c r="F249" s="57">
        <v>1.0669999999999999</v>
      </c>
      <c r="G249" s="57">
        <v>0.496</v>
      </c>
      <c r="H249" s="57">
        <v>0.106</v>
      </c>
      <c r="I249" s="57">
        <v>4.3999999999999997E-2</v>
      </c>
      <c r="J249" s="57">
        <v>2.0299999999999998</v>
      </c>
      <c r="K249" s="33">
        <f>AVERAGE(1.32,1.21,1.24,1.3)</f>
        <v>1.2675000000000001</v>
      </c>
      <c r="L249" s="63">
        <v>44650</v>
      </c>
    </row>
    <row r="250" spans="1:12" x14ac:dyDescent="0.2">
      <c r="A250" s="57" t="s">
        <v>141</v>
      </c>
      <c r="B250" s="57">
        <v>2384</v>
      </c>
      <c r="C250" s="57">
        <v>1</v>
      </c>
      <c r="D250" s="57">
        <v>0</v>
      </c>
      <c r="F250" s="57">
        <v>0.38800000000000001</v>
      </c>
      <c r="G250" s="57">
        <v>0.182</v>
      </c>
      <c r="H250" s="57">
        <v>2.1999999999999999E-2</v>
      </c>
      <c r="I250" s="57">
        <v>8.0000000000000002E-3</v>
      </c>
      <c r="J250" s="57">
        <v>0.77</v>
      </c>
      <c r="K250" s="57" t="s">
        <v>60</v>
      </c>
      <c r="L250" s="63">
        <v>44650</v>
      </c>
    </row>
    <row r="251" spans="1:12" x14ac:dyDescent="0.2">
      <c r="A251" s="57" t="s">
        <v>141</v>
      </c>
      <c r="B251" s="57">
        <v>2343</v>
      </c>
      <c r="C251" s="57">
        <v>1</v>
      </c>
      <c r="D251" s="57">
        <v>0</v>
      </c>
      <c r="F251" s="57">
        <v>0.81200000000000006</v>
      </c>
      <c r="G251" s="57">
        <v>0.29099999999999998</v>
      </c>
      <c r="H251" s="57">
        <v>0.107</v>
      </c>
      <c r="I251" s="57">
        <v>3.5000000000000003E-2</v>
      </c>
      <c r="J251" s="57">
        <v>2.1800000000000002</v>
      </c>
      <c r="K251" s="57" t="s">
        <v>60</v>
      </c>
      <c r="L251" s="63">
        <v>44650</v>
      </c>
    </row>
    <row r="252" spans="1:12" x14ac:dyDescent="0.2">
      <c r="A252" s="57" t="s">
        <v>59</v>
      </c>
      <c r="B252" s="57">
        <v>2352</v>
      </c>
      <c r="C252" s="57">
        <v>3</v>
      </c>
      <c r="D252" s="57">
        <v>1</v>
      </c>
      <c r="F252" s="57">
        <v>0.95499999999999996</v>
      </c>
      <c r="G252" s="57">
        <v>0.60499999999999998</v>
      </c>
      <c r="H252" s="57">
        <v>0.246</v>
      </c>
      <c r="I252" s="57">
        <v>0.14699999999999999</v>
      </c>
      <c r="J252" s="57">
        <v>6.51</v>
      </c>
      <c r="K252" s="33">
        <f>AVERAGE(1.36,1.34,1.38,1.32)</f>
        <v>1.35</v>
      </c>
      <c r="L252" s="63">
        <v>44650</v>
      </c>
    </row>
    <row r="253" spans="1:12" x14ac:dyDescent="0.2">
      <c r="A253" s="57" t="s">
        <v>141</v>
      </c>
      <c r="B253" s="57">
        <v>2346</v>
      </c>
      <c r="C253" s="57">
        <v>3</v>
      </c>
      <c r="D253" s="57">
        <v>0</v>
      </c>
      <c r="F253" s="57">
        <v>0.63700000000000001</v>
      </c>
      <c r="G253" s="57">
        <v>0.29499999999999998</v>
      </c>
      <c r="H253" s="57">
        <v>0.14599999999999999</v>
      </c>
      <c r="I253" s="57">
        <v>5.8000000000000003E-2</v>
      </c>
      <c r="J253" s="57">
        <v>2.83</v>
      </c>
      <c r="K253" s="33">
        <f>AVERAGE(0.99,1,1.02,1)</f>
        <v>1.0024999999999999</v>
      </c>
      <c r="L253" s="63">
        <v>44650</v>
      </c>
    </row>
    <row r="254" spans="1:12" x14ac:dyDescent="0.2">
      <c r="A254" s="57" t="s">
        <v>141</v>
      </c>
      <c r="B254" s="57">
        <v>2009</v>
      </c>
      <c r="C254" s="57">
        <v>2</v>
      </c>
      <c r="D254" s="57">
        <v>0</v>
      </c>
      <c r="F254" s="57">
        <v>0.67400000000000004</v>
      </c>
      <c r="G254" s="57">
        <v>0.27100000000000002</v>
      </c>
      <c r="H254" s="57">
        <v>0.08</v>
      </c>
      <c r="I254" s="57">
        <v>3.2000000000000001E-2</v>
      </c>
      <c r="J254" s="57">
        <v>1.33</v>
      </c>
      <c r="K254" s="33">
        <f>AVERAGE(0.7,0.76,0.84,0.99)</f>
        <v>0.82250000000000001</v>
      </c>
      <c r="L254" s="63">
        <v>44650</v>
      </c>
    </row>
    <row r="255" spans="1:12" x14ac:dyDescent="0.2">
      <c r="A255" s="57" t="s">
        <v>59</v>
      </c>
      <c r="B255" s="57">
        <v>2345</v>
      </c>
      <c r="C255" s="57">
        <v>2</v>
      </c>
      <c r="D255" s="57">
        <v>1</v>
      </c>
      <c r="F255" s="57">
        <v>2.153</v>
      </c>
      <c r="G255" s="57">
        <v>1.1479999999999999</v>
      </c>
      <c r="H255" s="57">
        <v>0.625</v>
      </c>
      <c r="I255" s="57">
        <v>0.33900000000000002</v>
      </c>
      <c r="J255" s="57">
        <v>10.37</v>
      </c>
      <c r="K255" s="33">
        <f>AVERAGE(1.98,2.01,1.91,1.98)</f>
        <v>1.9699999999999998</v>
      </c>
      <c r="L255" s="63">
        <v>44650</v>
      </c>
    </row>
    <row r="256" spans="1:12" x14ac:dyDescent="0.2">
      <c r="A256" s="57" t="s">
        <v>141</v>
      </c>
      <c r="B256" s="57">
        <v>2383</v>
      </c>
      <c r="C256" s="57">
        <v>2</v>
      </c>
      <c r="D256" s="57">
        <v>0</v>
      </c>
      <c r="F256" s="57">
        <v>0.55000000000000004</v>
      </c>
      <c r="G256" s="57">
        <v>0.27600000000000002</v>
      </c>
      <c r="H256" s="57">
        <v>3.1E-2</v>
      </c>
      <c r="I256" s="57">
        <v>1.2E-2</v>
      </c>
      <c r="J256" s="57">
        <v>0.84</v>
      </c>
      <c r="K256" s="33">
        <f>AVERAGE(0.93,0.97,1.1,0.98)</f>
        <v>0.995</v>
      </c>
      <c r="L256" s="63">
        <v>44650</v>
      </c>
    </row>
    <row r="257" spans="1:12" x14ac:dyDescent="0.2">
      <c r="A257" s="57" t="s">
        <v>59</v>
      </c>
      <c r="B257" s="57">
        <v>2354</v>
      </c>
      <c r="C257" s="57">
        <v>3</v>
      </c>
      <c r="D257" s="57">
        <v>1</v>
      </c>
      <c r="F257" s="57">
        <v>3.496</v>
      </c>
      <c r="G257" s="57">
        <v>1.903</v>
      </c>
      <c r="H257" s="57">
        <v>0.52200000000000002</v>
      </c>
      <c r="I257" s="57">
        <v>0.27300000000000002</v>
      </c>
      <c r="J257" s="57">
        <v>7.98</v>
      </c>
      <c r="K257" s="33">
        <f>AVERAGE(2.34,2.12,2.25,2.2)</f>
        <v>2.2275</v>
      </c>
      <c r="L257" s="63">
        <v>44650</v>
      </c>
    </row>
    <row r="258" spans="1:12" x14ac:dyDescent="0.2">
      <c r="A258" s="57" t="s">
        <v>59</v>
      </c>
      <c r="B258" s="57">
        <v>2331</v>
      </c>
      <c r="C258" s="57">
        <v>2</v>
      </c>
      <c r="D258" s="57">
        <v>1</v>
      </c>
      <c r="F258" s="57">
        <v>1.4530000000000001</v>
      </c>
      <c r="G258" s="57">
        <v>0.81499999999999995</v>
      </c>
      <c r="H258" s="57">
        <v>0.30399999999999999</v>
      </c>
      <c r="I258" s="57">
        <v>0.16700000000000001</v>
      </c>
      <c r="J258" s="57">
        <v>8.1199999999999992</v>
      </c>
      <c r="K258" s="33">
        <f>AVERAGE(1.39,1.57,1.37,1.43)</f>
        <v>1.44</v>
      </c>
      <c r="L258" s="63">
        <v>44650</v>
      </c>
    </row>
    <row r="259" spans="1:12" x14ac:dyDescent="0.2">
      <c r="A259" s="57" t="s">
        <v>141</v>
      </c>
      <c r="B259" s="57">
        <v>2009</v>
      </c>
      <c r="C259" s="57">
        <v>4</v>
      </c>
      <c r="D259" s="57">
        <v>0</v>
      </c>
      <c r="F259" s="57">
        <v>0.89200000000000002</v>
      </c>
      <c r="G259" s="57">
        <v>0.33400000000000002</v>
      </c>
      <c r="H259" s="57">
        <v>6.6000000000000003E-2</v>
      </c>
      <c r="I259" s="57">
        <v>2.3E-2</v>
      </c>
      <c r="J259" s="57">
        <v>1.25</v>
      </c>
      <c r="K259" s="33">
        <f>AVERAGE(1.4,1.15,1.26,1.23)</f>
        <v>1.2599999999999998</v>
      </c>
      <c r="L259" s="63">
        <v>44650</v>
      </c>
    </row>
    <row r="260" spans="1:12" x14ac:dyDescent="0.2">
      <c r="A260" s="57" t="s">
        <v>141</v>
      </c>
      <c r="B260" s="57">
        <v>2347</v>
      </c>
      <c r="C260" s="57">
        <v>3</v>
      </c>
      <c r="D260" s="57">
        <v>0</v>
      </c>
      <c r="F260" s="57">
        <v>0.627</v>
      </c>
      <c r="G260" s="57">
        <v>0.22</v>
      </c>
      <c r="H260" s="57">
        <v>8.7999999999999995E-2</v>
      </c>
      <c r="I260" s="57">
        <v>2.7E-2</v>
      </c>
      <c r="J260" s="57">
        <v>1.08</v>
      </c>
      <c r="K260" s="57" t="s">
        <v>60</v>
      </c>
      <c r="L260" s="63">
        <v>44650</v>
      </c>
    </row>
    <row r="261" spans="1:12" x14ac:dyDescent="0.2">
      <c r="A261" s="57" t="s">
        <v>141</v>
      </c>
      <c r="B261" s="57">
        <v>2372</v>
      </c>
      <c r="C261" s="57">
        <v>2</v>
      </c>
      <c r="D261" s="57">
        <v>0</v>
      </c>
      <c r="F261" s="57">
        <v>0.32500000000000001</v>
      </c>
      <c r="G261" s="57">
        <v>9.9000000000000005E-2</v>
      </c>
      <c r="H261" s="57">
        <v>0.03</v>
      </c>
      <c r="I261" s="57">
        <v>7.0000000000000001E-3</v>
      </c>
      <c r="J261" s="57">
        <v>0.88</v>
      </c>
      <c r="K261" s="57" t="s">
        <v>60</v>
      </c>
      <c r="L261" s="63">
        <v>44650</v>
      </c>
    </row>
    <row r="262" spans="1:12" x14ac:dyDescent="0.2">
      <c r="A262" s="57" t="s">
        <v>141</v>
      </c>
      <c r="B262" s="57">
        <v>2372</v>
      </c>
      <c r="C262" s="57">
        <v>3</v>
      </c>
      <c r="D262" s="57">
        <v>0</v>
      </c>
      <c r="F262" s="57">
        <v>0.876</v>
      </c>
      <c r="G262" s="57">
        <v>0.25800000000000001</v>
      </c>
      <c r="H262" s="57">
        <v>5.8000000000000003E-2</v>
      </c>
      <c r="I262" s="57">
        <v>1.6E-2</v>
      </c>
      <c r="J262" s="57">
        <v>1.26</v>
      </c>
      <c r="K262" s="57" t="s">
        <v>60</v>
      </c>
      <c r="L262" s="63">
        <v>44650</v>
      </c>
    </row>
    <row r="263" spans="1:12" x14ac:dyDescent="0.2">
      <c r="A263" s="57" t="s">
        <v>141</v>
      </c>
      <c r="B263" s="57">
        <v>2009</v>
      </c>
      <c r="C263" s="57">
        <v>1</v>
      </c>
      <c r="D263" s="57">
        <v>0</v>
      </c>
      <c r="F263" s="57">
        <v>0.502</v>
      </c>
      <c r="G263" s="57">
        <v>0.19500000000000001</v>
      </c>
      <c r="H263" s="57">
        <v>4.9000000000000002E-2</v>
      </c>
      <c r="I263" s="57">
        <v>1.9E-2</v>
      </c>
      <c r="J263" s="57">
        <v>1.28</v>
      </c>
      <c r="K263" s="33">
        <f>AVERAGE(0.77,0.86,0.93,0.9)</f>
        <v>0.86499999999999999</v>
      </c>
      <c r="L263" s="63">
        <v>44650</v>
      </c>
    </row>
    <row r="264" spans="1:12" x14ac:dyDescent="0.2">
      <c r="A264" s="57" t="s">
        <v>141</v>
      </c>
      <c r="B264" s="57">
        <v>2370</v>
      </c>
      <c r="C264" s="57">
        <v>1</v>
      </c>
      <c r="D264" s="57">
        <v>0</v>
      </c>
      <c r="F264" s="57">
        <v>0.30399999999999999</v>
      </c>
      <c r="G264" s="57">
        <v>8.7999999999999995E-2</v>
      </c>
      <c r="H264" s="57">
        <v>1.6E-2</v>
      </c>
      <c r="I264" s="57">
        <v>5.0000000000000001E-3</v>
      </c>
      <c r="J264" s="57">
        <v>0.65</v>
      </c>
      <c r="K264" s="57" t="s">
        <v>60</v>
      </c>
      <c r="L264" s="63">
        <v>44650</v>
      </c>
    </row>
    <row r="265" spans="1:12" x14ac:dyDescent="0.2">
      <c r="A265" s="57" t="s">
        <v>141</v>
      </c>
      <c r="B265" s="57">
        <v>2346</v>
      </c>
      <c r="C265" s="57">
        <v>1</v>
      </c>
      <c r="D265" s="57">
        <v>0</v>
      </c>
      <c r="F265" s="57">
        <v>0.51</v>
      </c>
      <c r="G265" s="57">
        <v>0.23200000000000001</v>
      </c>
      <c r="H265" s="57">
        <v>5.0999999999999997E-2</v>
      </c>
      <c r="I265" s="57">
        <v>0.02</v>
      </c>
      <c r="J265" s="57">
        <v>1.64</v>
      </c>
      <c r="K265" s="33">
        <f>AVERAGE(0.95,0.94,1.05,1.02)</f>
        <v>0.99</v>
      </c>
      <c r="L265" s="63">
        <v>44650</v>
      </c>
    </row>
    <row r="266" spans="1:12" x14ac:dyDescent="0.2">
      <c r="A266" s="57" t="s">
        <v>141</v>
      </c>
      <c r="B266" s="57">
        <v>2378</v>
      </c>
      <c r="C266" s="57">
        <v>1</v>
      </c>
      <c r="D266" s="57">
        <v>0</v>
      </c>
      <c r="F266" s="57">
        <v>1.1819999999999999</v>
      </c>
      <c r="G266" s="57">
        <v>0.52600000000000002</v>
      </c>
      <c r="H266" s="57">
        <v>0.16700000000000001</v>
      </c>
      <c r="I266" s="57">
        <v>7.0000000000000007E-2</v>
      </c>
      <c r="J266" s="57">
        <v>3.38</v>
      </c>
      <c r="K266" s="33">
        <f>AVERAGE(1.15,1.25,1.4,1.37)</f>
        <v>1.2925</v>
      </c>
      <c r="L266" s="63">
        <v>44650</v>
      </c>
    </row>
    <row r="267" spans="1:12" x14ac:dyDescent="0.2">
      <c r="A267" s="57" t="s">
        <v>141</v>
      </c>
      <c r="B267" s="57">
        <v>2384</v>
      </c>
      <c r="C267" s="57">
        <v>2</v>
      </c>
      <c r="D267" s="57">
        <v>0</v>
      </c>
      <c r="F267" s="57">
        <v>0.58699999999999997</v>
      </c>
      <c r="G267" s="57">
        <v>0.27700000000000002</v>
      </c>
      <c r="H267" s="57">
        <v>3.5000000000000003E-2</v>
      </c>
      <c r="I267" s="57">
        <v>1.4999999999999999E-2</v>
      </c>
      <c r="J267" s="57">
        <v>0.98</v>
      </c>
      <c r="K267" s="33">
        <f>AVERAGE(1.01,1.05,1.07,0.97)</f>
        <v>1.0249999999999999</v>
      </c>
      <c r="L267" s="63">
        <v>44650</v>
      </c>
    </row>
    <row r="268" spans="1:12" x14ac:dyDescent="0.2">
      <c r="A268" s="57" t="s">
        <v>141</v>
      </c>
      <c r="B268" s="57">
        <v>2381</v>
      </c>
      <c r="C268" s="57">
        <v>3</v>
      </c>
      <c r="D268" s="57">
        <v>0</v>
      </c>
      <c r="F268" s="57">
        <v>1.0429999999999999</v>
      </c>
      <c r="G268" s="57">
        <v>0.46800000000000003</v>
      </c>
      <c r="H268" s="57">
        <v>0.124</v>
      </c>
      <c r="I268" s="57">
        <v>5.0999999999999997E-2</v>
      </c>
      <c r="J268" s="57">
        <v>2.17</v>
      </c>
      <c r="K268" s="33">
        <f>AVERAGE(1.3,1.31,1.41,1.19)</f>
        <v>1.3025000000000002</v>
      </c>
      <c r="L268" s="63">
        <v>44650</v>
      </c>
    </row>
    <row r="269" spans="1:12" x14ac:dyDescent="0.2">
      <c r="A269" s="57" t="s">
        <v>141</v>
      </c>
      <c r="B269" s="57">
        <v>2343</v>
      </c>
      <c r="C269" s="57">
        <v>3</v>
      </c>
      <c r="D269" s="57">
        <v>0</v>
      </c>
      <c r="F269" s="57">
        <v>0.78200000000000003</v>
      </c>
      <c r="G269" s="57">
        <v>0.27700000000000002</v>
      </c>
      <c r="H269" s="57">
        <v>7.0999999999999994E-2</v>
      </c>
      <c r="I269" s="57">
        <v>2.1999999999999999E-2</v>
      </c>
      <c r="J269" s="57">
        <v>1.99</v>
      </c>
      <c r="K269" s="33">
        <f>AVERAGE(1.03,1.12,1.23,1.2)</f>
        <v>1.145</v>
      </c>
      <c r="L269" s="63">
        <v>44650</v>
      </c>
    </row>
    <row r="270" spans="1:12" x14ac:dyDescent="0.2">
      <c r="A270" s="57" t="s">
        <v>141</v>
      </c>
      <c r="B270" s="57">
        <v>2379</v>
      </c>
      <c r="C270" s="57">
        <v>1</v>
      </c>
      <c r="D270" s="57">
        <v>0</v>
      </c>
      <c r="F270" s="57">
        <v>1.024</v>
      </c>
      <c r="G270" s="57">
        <v>0.51500000000000001</v>
      </c>
      <c r="H270" s="57">
        <v>9.4E-2</v>
      </c>
      <c r="I270" s="57">
        <v>4.4999999999999998E-2</v>
      </c>
      <c r="J270" s="57">
        <v>1.47</v>
      </c>
      <c r="K270" s="33">
        <f>AVERAGE(1.15,1.14,1.39,1.41)</f>
        <v>1.2725</v>
      </c>
      <c r="L270" s="63">
        <v>44650</v>
      </c>
    </row>
    <row r="271" spans="1:12" x14ac:dyDescent="0.2">
      <c r="A271" s="57" t="s">
        <v>141</v>
      </c>
      <c r="B271" s="57">
        <v>2373</v>
      </c>
      <c r="C271" s="57">
        <v>3</v>
      </c>
      <c r="D271" s="57">
        <v>0</v>
      </c>
      <c r="F271" s="57">
        <v>0.37</v>
      </c>
      <c r="G271" s="57">
        <v>0.108</v>
      </c>
      <c r="H271" s="57">
        <v>6.4000000000000001E-2</v>
      </c>
      <c r="I271" s="57">
        <v>1.9E-2</v>
      </c>
      <c r="J271" s="57">
        <v>1.3</v>
      </c>
      <c r="K271" s="57" t="s">
        <v>60</v>
      </c>
      <c r="L271" s="63">
        <v>44650</v>
      </c>
    </row>
    <row r="272" spans="1:12" x14ac:dyDescent="0.2">
      <c r="A272" s="57" t="s">
        <v>141</v>
      </c>
      <c r="B272" s="57">
        <v>2360</v>
      </c>
      <c r="C272" s="57">
        <v>1</v>
      </c>
      <c r="D272" s="57">
        <v>0</v>
      </c>
      <c r="F272" s="57">
        <v>0.41199999999999998</v>
      </c>
      <c r="G272" s="57">
        <v>0.18</v>
      </c>
      <c r="H272" s="57">
        <v>2.5999999999999999E-2</v>
      </c>
      <c r="I272" s="57">
        <v>8.0000000000000002E-3</v>
      </c>
      <c r="J272" s="57">
        <v>0.83</v>
      </c>
      <c r="K272" s="57" t="s">
        <v>60</v>
      </c>
      <c r="L272" s="63">
        <v>44650</v>
      </c>
    </row>
    <row r="273" spans="1:12" x14ac:dyDescent="0.2">
      <c r="A273" s="57" t="s">
        <v>59</v>
      </c>
      <c r="B273" s="57">
        <v>2301</v>
      </c>
      <c r="C273" s="57">
        <v>3</v>
      </c>
      <c r="D273" s="57">
        <v>0</v>
      </c>
      <c r="F273" s="57">
        <v>0.23400000000000001</v>
      </c>
      <c r="G273" s="57">
        <v>0.13900000000000001</v>
      </c>
      <c r="H273" s="57">
        <v>4.2000000000000003E-2</v>
      </c>
      <c r="I273" s="57">
        <v>2.1999999999999999E-2</v>
      </c>
      <c r="J273" s="57">
        <v>1.02</v>
      </c>
      <c r="K273" s="57" t="s">
        <v>60</v>
      </c>
      <c r="L273" s="63">
        <v>44650</v>
      </c>
    </row>
    <row r="274" spans="1:12" x14ac:dyDescent="0.2">
      <c r="A274" s="57" t="s">
        <v>141</v>
      </c>
      <c r="B274" s="57">
        <v>2383</v>
      </c>
      <c r="C274" s="57">
        <v>3</v>
      </c>
      <c r="D274" s="57">
        <v>0</v>
      </c>
      <c r="F274" s="57">
        <v>0.751</v>
      </c>
      <c r="G274" s="57">
        <v>0.26900000000000002</v>
      </c>
      <c r="H274" s="57">
        <v>7.4999999999999997E-2</v>
      </c>
      <c r="I274" s="57">
        <v>3.2000000000000001E-2</v>
      </c>
      <c r="J274" s="57">
        <v>1.44</v>
      </c>
      <c r="K274" s="33">
        <f>AVERAGE(1.14,1.13,1.23,1.14)</f>
        <v>1.1599999999999999</v>
      </c>
      <c r="L274" s="63">
        <v>44650</v>
      </c>
    </row>
    <row r="275" spans="1:12" x14ac:dyDescent="0.2">
      <c r="A275" s="57" t="s">
        <v>141</v>
      </c>
      <c r="B275" s="57">
        <v>2020</v>
      </c>
      <c r="C275" s="57">
        <v>3</v>
      </c>
      <c r="D275" s="57">
        <v>0</v>
      </c>
      <c r="F275" s="57">
        <v>1.2230000000000001</v>
      </c>
      <c r="G275" s="57">
        <v>0.53900000000000003</v>
      </c>
      <c r="H275" s="57">
        <v>0.192</v>
      </c>
      <c r="I275" s="57">
        <v>7.0000000000000007E-2</v>
      </c>
      <c r="J275" s="57">
        <v>2.0699999999999998</v>
      </c>
      <c r="K275" s="33">
        <f>AVERAGE(1.35,1.27,1.7,1.47)</f>
        <v>1.4475</v>
      </c>
      <c r="L275" s="63">
        <v>44650</v>
      </c>
    </row>
    <row r="276" spans="1:12" x14ac:dyDescent="0.2">
      <c r="A276" s="57" t="s">
        <v>141</v>
      </c>
      <c r="B276" s="57">
        <v>2371</v>
      </c>
      <c r="C276" s="57">
        <v>2</v>
      </c>
      <c r="D276" s="57">
        <v>0</v>
      </c>
      <c r="F276" s="57">
        <v>0.53</v>
      </c>
      <c r="G276" s="57">
        <v>0.152</v>
      </c>
      <c r="H276" s="57">
        <v>3.9E-2</v>
      </c>
      <c r="I276" s="57">
        <v>1.2E-2</v>
      </c>
      <c r="J276" s="57">
        <v>1.05</v>
      </c>
      <c r="K276" s="57" t="s">
        <v>60</v>
      </c>
      <c r="L276" s="63">
        <v>44650</v>
      </c>
    </row>
    <row r="277" spans="1:12" x14ac:dyDescent="0.2">
      <c r="A277" s="57" t="s">
        <v>141</v>
      </c>
      <c r="B277" s="57">
        <v>2007</v>
      </c>
      <c r="C277" s="57">
        <v>2</v>
      </c>
      <c r="D277" s="57">
        <v>0</v>
      </c>
      <c r="F277" s="57">
        <v>0.37</v>
      </c>
      <c r="G277" s="57">
        <v>0.19400000000000001</v>
      </c>
      <c r="H277" s="57">
        <v>5.0999999999999997E-2</v>
      </c>
      <c r="I277" s="57">
        <v>2.1999999999999999E-2</v>
      </c>
      <c r="J277" s="57">
        <v>1.27</v>
      </c>
      <c r="K277" s="33">
        <f>AVERAGE(0.6,0.64,0.62,0.54)</f>
        <v>0.6</v>
      </c>
      <c r="L277" s="63">
        <v>44655</v>
      </c>
    </row>
    <row r="278" spans="1:12" x14ac:dyDescent="0.2">
      <c r="A278" s="57" t="s">
        <v>141</v>
      </c>
      <c r="B278" s="57">
        <v>2012</v>
      </c>
      <c r="C278" s="57">
        <v>2</v>
      </c>
      <c r="D278" s="57">
        <v>0</v>
      </c>
      <c r="F278" s="57">
        <v>0.34200000000000003</v>
      </c>
      <c r="G278" s="57">
        <v>0.126</v>
      </c>
      <c r="H278" s="57">
        <v>3.5999999999999997E-2</v>
      </c>
      <c r="I278" s="57">
        <v>1.2999999999999999E-2</v>
      </c>
      <c r="J278" s="57">
        <v>1.3</v>
      </c>
      <c r="K278" s="33">
        <f>AVERAGE(0.74,0.69,0.6,0.6)</f>
        <v>0.65749999999999997</v>
      </c>
    </row>
    <row r="279" spans="1:12" x14ac:dyDescent="0.2">
      <c r="A279" s="57" t="s">
        <v>141</v>
      </c>
      <c r="B279" s="57">
        <v>1478</v>
      </c>
      <c r="C279" s="57">
        <v>3</v>
      </c>
      <c r="D279" s="57">
        <v>0</v>
      </c>
      <c r="F279" s="57">
        <v>0.59599999999999997</v>
      </c>
      <c r="G279" s="57">
        <v>0.223</v>
      </c>
      <c r="H279" s="57">
        <v>0.112</v>
      </c>
      <c r="I279" s="57">
        <v>3.5999999999999997E-2</v>
      </c>
      <c r="J279" s="57">
        <v>2.98</v>
      </c>
      <c r="K279" s="33">
        <f>AVERAGE(0.97,1.55,1.21,0.99)</f>
        <v>1.18</v>
      </c>
    </row>
    <row r="280" spans="1:12" x14ac:dyDescent="0.2">
      <c r="A280" s="57" t="s">
        <v>141</v>
      </c>
      <c r="B280" s="57">
        <v>2031</v>
      </c>
      <c r="C280" s="57">
        <v>1</v>
      </c>
      <c r="D280" s="57">
        <v>0</v>
      </c>
      <c r="F280" s="57">
        <v>1.3979999999999999</v>
      </c>
      <c r="G280" s="57">
        <v>0.73199999999999998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</row>
    <row r="281" spans="1:12" x14ac:dyDescent="0.2">
      <c r="A281" s="57" t="s">
        <v>141</v>
      </c>
      <c r="B281" s="57">
        <v>2025</v>
      </c>
      <c r="C281" s="57">
        <v>2</v>
      </c>
      <c r="D281" s="57">
        <v>0</v>
      </c>
      <c r="F281" s="57">
        <v>0.79</v>
      </c>
      <c r="G281" s="57">
        <v>0.39600000000000002</v>
      </c>
      <c r="H281" s="57">
        <v>5.8999999999999997E-2</v>
      </c>
      <c r="I281" s="57">
        <v>2.5999999999999999E-2</v>
      </c>
      <c r="J281" s="57">
        <v>1.49</v>
      </c>
      <c r="K281" s="33">
        <f>AVERAGE(0.99,1.03,1.1,0.95)</f>
        <v>1.0175000000000001</v>
      </c>
    </row>
    <row r="282" spans="1:12" x14ac:dyDescent="0.2">
      <c r="A282" s="57" t="s">
        <v>141</v>
      </c>
      <c r="B282" s="57">
        <v>2026</v>
      </c>
      <c r="C282" s="57">
        <v>3</v>
      </c>
      <c r="D282" s="57">
        <v>0</v>
      </c>
      <c r="F282" s="57">
        <v>0.42</v>
      </c>
      <c r="G282" s="57">
        <v>0.216</v>
      </c>
      <c r="H282" s="57">
        <v>6.9000000000000006E-2</v>
      </c>
      <c r="I282" s="57">
        <v>3.2000000000000001E-2</v>
      </c>
      <c r="J282" s="57">
        <v>1.81</v>
      </c>
      <c r="K282" s="33">
        <f>AVERAGE(0.77,0.88,0.8,0.68)</f>
        <v>0.78250000000000008</v>
      </c>
    </row>
    <row r="283" spans="1:12" x14ac:dyDescent="0.2">
      <c r="A283" s="57" t="s">
        <v>59</v>
      </c>
      <c r="B283" s="57">
        <v>2022</v>
      </c>
      <c r="C283" s="57">
        <v>2</v>
      </c>
      <c r="D283" s="57">
        <v>1</v>
      </c>
      <c r="F283" s="57">
        <v>0.82899999999999996</v>
      </c>
      <c r="G283" s="57">
        <v>0.499</v>
      </c>
      <c r="H283" s="57">
        <v>9.0999999999999998E-2</v>
      </c>
      <c r="I283" s="57">
        <v>4.4999999999999998E-2</v>
      </c>
      <c r="J283" s="57">
        <v>2.2000000000000002</v>
      </c>
      <c r="K283" s="33">
        <f>AVERAGE(1.6,1.38,1.24,1.34)</f>
        <v>1.39</v>
      </c>
    </row>
    <row r="284" spans="1:12" x14ac:dyDescent="0.2">
      <c r="A284" s="57" t="s">
        <v>141</v>
      </c>
      <c r="B284" s="57">
        <v>2015</v>
      </c>
      <c r="C284" s="57">
        <v>3</v>
      </c>
      <c r="D284" s="57">
        <v>0</v>
      </c>
      <c r="F284" s="57">
        <v>0.61499999999999999</v>
      </c>
      <c r="G284" s="57">
        <v>0.30199999999999999</v>
      </c>
      <c r="H284" s="57">
        <v>8.8999999999999996E-2</v>
      </c>
      <c r="I284" s="57">
        <v>3.5000000000000003E-2</v>
      </c>
      <c r="J284" s="57">
        <v>2.65</v>
      </c>
      <c r="K284" s="33">
        <f>AVERAGE(0.99,1,0.93,1.02)</f>
        <v>0.98499999999999999</v>
      </c>
    </row>
    <row r="285" spans="1:12" x14ac:dyDescent="0.2">
      <c r="A285" s="57" t="s">
        <v>141</v>
      </c>
      <c r="B285" s="57">
        <v>2090</v>
      </c>
      <c r="C285" s="57">
        <v>1</v>
      </c>
      <c r="D285" s="57">
        <v>0</v>
      </c>
      <c r="F285" s="57">
        <v>0.69899999999999995</v>
      </c>
      <c r="G285" s="57">
        <v>0.31900000000000001</v>
      </c>
      <c r="H285" s="57">
        <v>8.8999999999999996E-2</v>
      </c>
      <c r="I285" s="57">
        <v>3.2000000000000001E-2</v>
      </c>
      <c r="J285" s="57">
        <v>2.08</v>
      </c>
      <c r="K285" s="33">
        <f>AVERAGE(1.03,0.91,0.95,0.91)</f>
        <v>0.95</v>
      </c>
    </row>
    <row r="286" spans="1:12" x14ac:dyDescent="0.2">
      <c r="A286" s="57" t="s">
        <v>59</v>
      </c>
      <c r="B286" s="57">
        <v>2030</v>
      </c>
      <c r="C286" s="57">
        <v>2</v>
      </c>
      <c r="D286" s="57">
        <v>1</v>
      </c>
      <c r="F286" s="57">
        <v>0.19800000000000001</v>
      </c>
      <c r="G286" s="57">
        <v>0.107</v>
      </c>
      <c r="H286" s="57">
        <v>1.7999999999999999E-2</v>
      </c>
      <c r="I286" s="57">
        <v>6.0000000000000001E-3</v>
      </c>
      <c r="J286" s="57">
        <v>0.86</v>
      </c>
      <c r="K286" s="33">
        <f>AVERAGE(0.64,0.58,0.53,0.54)</f>
        <v>0.57250000000000001</v>
      </c>
    </row>
    <row r="287" spans="1:12" x14ac:dyDescent="0.2">
      <c r="A287" s="57" t="s">
        <v>59</v>
      </c>
      <c r="B287" s="57">
        <v>2022</v>
      </c>
      <c r="C287" s="57">
        <v>1</v>
      </c>
      <c r="D287" s="57">
        <v>0</v>
      </c>
      <c r="F287" s="57">
        <v>2.6819999999999999</v>
      </c>
      <c r="G287" s="57">
        <v>1.41</v>
      </c>
      <c r="H287" s="57">
        <v>0.23300000000000001</v>
      </c>
      <c r="I287" s="57">
        <v>9.8000000000000004E-2</v>
      </c>
      <c r="J287" s="57">
        <v>4.0599999999999996</v>
      </c>
      <c r="K287" s="33">
        <f>AVERAGE(1.35,1.49,1.28,1.41)</f>
        <v>1.3825000000000001</v>
      </c>
    </row>
    <row r="288" spans="1:12" x14ac:dyDescent="0.2">
      <c r="A288" s="57" t="s">
        <v>141</v>
      </c>
      <c r="B288" s="57">
        <v>2088</v>
      </c>
      <c r="C288" s="57">
        <v>2</v>
      </c>
      <c r="D288" s="57">
        <v>0</v>
      </c>
      <c r="F288" s="57">
        <v>0.42199999999999999</v>
      </c>
      <c r="G288" s="57">
        <v>0.17899999999999999</v>
      </c>
      <c r="H288" s="57">
        <v>6.3E-2</v>
      </c>
      <c r="I288" s="57">
        <v>2.4E-2</v>
      </c>
      <c r="J288" s="57">
        <v>2.1</v>
      </c>
      <c r="K288" s="33">
        <f>AVERAGE(1.07,0.9,0.99,1.07)</f>
        <v>1.0075000000000001</v>
      </c>
    </row>
    <row r="289" spans="1:11" x14ac:dyDescent="0.2">
      <c r="A289" s="57" t="s">
        <v>59</v>
      </c>
      <c r="B289" s="57">
        <v>2093</v>
      </c>
      <c r="C289" s="57">
        <v>1</v>
      </c>
      <c r="D289" s="57">
        <v>0</v>
      </c>
      <c r="F289" s="57">
        <v>0.219</v>
      </c>
      <c r="G289" s="57">
        <v>0.14000000000000001</v>
      </c>
      <c r="H289" s="57">
        <v>7.2999999999999995E-2</v>
      </c>
      <c r="I289" s="57">
        <v>3.4000000000000002E-2</v>
      </c>
      <c r="J289" s="57">
        <v>1.75</v>
      </c>
      <c r="K289" s="33">
        <f>AVERAGE(0.89,0.9,0.89,0.93)</f>
        <v>0.90250000000000008</v>
      </c>
    </row>
    <row r="290" spans="1:11" x14ac:dyDescent="0.2">
      <c r="A290" s="57" t="s">
        <v>59</v>
      </c>
      <c r="B290" s="57">
        <v>2023</v>
      </c>
      <c r="C290" s="57">
        <v>3</v>
      </c>
      <c r="D290" s="57">
        <v>0</v>
      </c>
      <c r="F290" s="57">
        <v>1.893</v>
      </c>
      <c r="G290" s="57">
        <v>1.0269999999999999</v>
      </c>
      <c r="H290" s="57">
        <v>8.7999999999999995E-2</v>
      </c>
      <c r="I290" s="57">
        <v>4.1000000000000002E-2</v>
      </c>
      <c r="J290" s="57">
        <v>2.16</v>
      </c>
      <c r="K290" s="33">
        <f>AVERAGE(1.17,1.23,1.17,1.29)</f>
        <v>1.2149999999999999</v>
      </c>
    </row>
    <row r="291" spans="1:11" x14ac:dyDescent="0.2">
      <c r="A291" s="57" t="s">
        <v>141</v>
      </c>
      <c r="B291" s="57">
        <v>2007</v>
      </c>
      <c r="C291" s="57">
        <v>3</v>
      </c>
      <c r="D291" s="57">
        <v>0</v>
      </c>
      <c r="F291" s="57">
        <v>1.0229999999999999</v>
      </c>
      <c r="G291" s="57">
        <v>0.54</v>
      </c>
      <c r="H291" s="57">
        <v>0.19900000000000001</v>
      </c>
      <c r="I291" s="57">
        <v>9.0999999999999998E-2</v>
      </c>
      <c r="J291" s="57">
        <v>5.73</v>
      </c>
      <c r="K291" s="33">
        <f>AVERAGE(1.37,1.27,1.38,1.35)</f>
        <v>1.3424999999999998</v>
      </c>
    </row>
    <row r="292" spans="1:11" x14ac:dyDescent="0.2">
      <c r="A292" s="57" t="s">
        <v>141</v>
      </c>
      <c r="B292" s="57">
        <v>2024</v>
      </c>
      <c r="C292" s="57">
        <v>3</v>
      </c>
      <c r="D292" s="57">
        <v>0</v>
      </c>
      <c r="F292" s="57">
        <v>1.599</v>
      </c>
      <c r="G292" s="57">
        <v>0.78300000000000003</v>
      </c>
      <c r="H292" s="57">
        <v>0.13400000000000001</v>
      </c>
      <c r="I292" s="57">
        <v>6.0999999999999999E-2</v>
      </c>
      <c r="J292" s="57">
        <v>1.47</v>
      </c>
      <c r="K292" s="33">
        <f>AVERAGE(1.66,1.63,1.51,1.8)</f>
        <v>1.65</v>
      </c>
    </row>
    <row r="293" spans="1:11" x14ac:dyDescent="0.2">
      <c r="A293" s="57" t="s">
        <v>141</v>
      </c>
      <c r="B293" s="57">
        <v>2014</v>
      </c>
      <c r="C293" s="57">
        <v>2</v>
      </c>
      <c r="D293" s="57">
        <v>0</v>
      </c>
      <c r="F293" s="57">
        <v>0.69799999999999995</v>
      </c>
      <c r="G293" s="57">
        <v>0.30099999999999999</v>
      </c>
      <c r="H293" s="57">
        <v>0.113</v>
      </c>
      <c r="I293" s="57">
        <v>3.6999999999999998E-2</v>
      </c>
      <c r="J293" s="57">
        <v>2.92</v>
      </c>
      <c r="K293" s="33">
        <f>AVERAGE(0.93,0.94,1.18,0.95)</f>
        <v>1</v>
      </c>
    </row>
    <row r="294" spans="1:11" x14ac:dyDescent="0.2">
      <c r="A294" s="57" t="s">
        <v>141</v>
      </c>
      <c r="B294" s="57">
        <v>2012</v>
      </c>
      <c r="C294" s="57">
        <v>3</v>
      </c>
      <c r="D294" s="57">
        <v>0</v>
      </c>
      <c r="F294" s="57">
        <v>0.13100000000000001</v>
      </c>
      <c r="G294" s="57">
        <v>4.8000000000000001E-2</v>
      </c>
      <c r="H294" s="57">
        <v>1.4E-2</v>
      </c>
      <c r="I294" s="57">
        <v>5.0000000000000001E-3</v>
      </c>
      <c r="J294" s="57">
        <v>0.92</v>
      </c>
      <c r="K294" s="57" t="s">
        <v>60</v>
      </c>
    </row>
    <row r="295" spans="1:11" x14ac:dyDescent="0.2">
      <c r="A295" s="57" t="s">
        <v>59</v>
      </c>
      <c r="B295" s="57">
        <v>2089</v>
      </c>
      <c r="C295" s="57">
        <v>1</v>
      </c>
      <c r="D295" s="57">
        <v>1</v>
      </c>
      <c r="F295" s="57">
        <v>1.7609999999999999</v>
      </c>
      <c r="G295" s="57">
        <v>0.998</v>
      </c>
      <c r="H295" s="57">
        <v>0.26</v>
      </c>
      <c r="I295" s="57">
        <v>0.13600000000000001</v>
      </c>
      <c r="J295" s="57">
        <v>4.82</v>
      </c>
      <c r="K295" s="33">
        <f>AVERAGE(1.69,1.49,1.78,1.63)</f>
        <v>1.6475</v>
      </c>
    </row>
    <row r="296" spans="1:11" x14ac:dyDescent="0.2">
      <c r="A296" s="57" t="s">
        <v>59</v>
      </c>
      <c r="B296" s="57">
        <v>2023</v>
      </c>
      <c r="C296" s="57">
        <v>2</v>
      </c>
      <c r="D296" s="57">
        <v>1</v>
      </c>
      <c r="F296" s="57">
        <v>0.85699999999999998</v>
      </c>
      <c r="G296" s="57">
        <v>0.51200000000000001</v>
      </c>
      <c r="H296" s="57">
        <v>0.121</v>
      </c>
      <c r="I296" s="57">
        <v>6.2E-2</v>
      </c>
      <c r="J296" s="57">
        <v>1.53</v>
      </c>
      <c r="K296" s="33">
        <f>AVERAGE(1.75,1.85,1.92,2.03)</f>
        <v>1.8874999999999997</v>
      </c>
    </row>
    <row r="297" spans="1:11" x14ac:dyDescent="0.2">
      <c r="A297" s="57" t="s">
        <v>141</v>
      </c>
      <c r="B297" s="57">
        <v>2027</v>
      </c>
      <c r="C297" s="57">
        <v>2</v>
      </c>
      <c r="D297" s="57">
        <v>0</v>
      </c>
      <c r="F297" s="57">
        <v>1.0860000000000001</v>
      </c>
      <c r="G297" s="57">
        <v>0.54300000000000004</v>
      </c>
      <c r="H297" s="57">
        <v>8.6999999999999994E-2</v>
      </c>
      <c r="I297" s="57">
        <v>3.9E-2</v>
      </c>
      <c r="J297" s="57">
        <v>1.43</v>
      </c>
      <c r="K297" s="33">
        <f>AVERAGE(1.05,1.05,1.02,1)</f>
        <v>1.03</v>
      </c>
    </row>
    <row r="298" spans="1:11" x14ac:dyDescent="0.2">
      <c r="A298" s="57" t="s">
        <v>59</v>
      </c>
      <c r="B298" s="57">
        <v>2028</v>
      </c>
      <c r="C298" s="57">
        <v>1</v>
      </c>
      <c r="D298" s="57">
        <v>1</v>
      </c>
      <c r="F298" s="57">
        <v>3.5139999999999998</v>
      </c>
      <c r="G298" s="57">
        <v>1.8939999999999999</v>
      </c>
      <c r="H298" s="57">
        <v>0.17799999999999999</v>
      </c>
      <c r="I298" s="57">
        <v>0.08</v>
      </c>
      <c r="J298" s="57">
        <v>3.8</v>
      </c>
      <c r="K298" s="33">
        <f>AVERAGE(1.72,1.59,1.53,1.48)</f>
        <v>1.58</v>
      </c>
    </row>
    <row r="299" spans="1:11" x14ac:dyDescent="0.2">
      <c r="A299" s="57" t="s">
        <v>141</v>
      </c>
      <c r="B299" s="57">
        <v>2026</v>
      </c>
      <c r="C299" s="57">
        <v>1</v>
      </c>
      <c r="D299" s="57">
        <v>0</v>
      </c>
      <c r="F299" s="57">
        <v>0.82099999999999995</v>
      </c>
      <c r="G299" s="57">
        <v>0.42499999999999999</v>
      </c>
      <c r="H299" s="57">
        <v>0.128</v>
      </c>
      <c r="I299" s="57">
        <v>0.06</v>
      </c>
      <c r="J299" s="57">
        <v>2.4900000000000002</v>
      </c>
      <c r="K299" s="33">
        <f>AVERAGE(1.13,1.25,1.23,1.14)</f>
        <v>1.1875</v>
      </c>
    </row>
    <row r="300" spans="1:11" x14ac:dyDescent="0.2">
      <c r="A300" s="57" t="s">
        <v>141</v>
      </c>
      <c r="B300" s="57">
        <v>2028</v>
      </c>
      <c r="C300" s="57">
        <v>2</v>
      </c>
      <c r="D300" s="57">
        <v>0</v>
      </c>
      <c r="F300" s="57">
        <v>0.78200000000000003</v>
      </c>
      <c r="G300" s="57">
        <v>0.39700000000000002</v>
      </c>
      <c r="H300" s="57">
        <v>5.8999999999999997E-2</v>
      </c>
      <c r="I300" s="57">
        <v>2.5000000000000001E-2</v>
      </c>
      <c r="J300" s="57">
        <v>1.5</v>
      </c>
      <c r="K300" s="33">
        <f>AVERAGE(0.88,0.93,0.85,0.86)</f>
        <v>0.88</v>
      </c>
    </row>
    <row r="301" spans="1:11" x14ac:dyDescent="0.2">
      <c r="A301" s="57" t="s">
        <v>141</v>
      </c>
      <c r="B301" s="57">
        <v>2006</v>
      </c>
      <c r="C301" s="57">
        <v>3</v>
      </c>
      <c r="D301" s="57">
        <v>0</v>
      </c>
      <c r="F301" s="57">
        <v>0.443</v>
      </c>
      <c r="G301" s="57">
        <v>0.216</v>
      </c>
      <c r="H301" s="57">
        <v>2.5999999999999999E-2</v>
      </c>
      <c r="I301" s="57">
        <v>8.9999999999999993E-3</v>
      </c>
      <c r="J301" s="57">
        <v>0.66</v>
      </c>
      <c r="K301" s="57" t="s">
        <v>60</v>
      </c>
    </row>
    <row r="302" spans="1:11" x14ac:dyDescent="0.2">
      <c r="A302" s="57" t="s">
        <v>59</v>
      </c>
      <c r="B302" s="57">
        <v>2023</v>
      </c>
      <c r="C302" s="57">
        <v>1</v>
      </c>
      <c r="D302" s="57">
        <v>0</v>
      </c>
      <c r="F302" s="57">
        <v>2.298</v>
      </c>
      <c r="G302" s="57">
        <v>1.2210000000000001</v>
      </c>
      <c r="H302" s="57">
        <v>0.32500000000000001</v>
      </c>
      <c r="I302" s="57">
        <v>0.152</v>
      </c>
      <c r="J302" s="57">
        <v>6.26</v>
      </c>
      <c r="K302" s="33">
        <f>AVERAGE(1.59,1.48,1.44,1.52)</f>
        <v>1.5074999999999998</v>
      </c>
    </row>
    <row r="303" spans="1:11" x14ac:dyDescent="0.2">
      <c r="A303" s="57" t="s">
        <v>141</v>
      </c>
      <c r="B303" s="57">
        <v>2087</v>
      </c>
      <c r="C303" s="57">
        <v>2</v>
      </c>
      <c r="D303" s="57">
        <v>0</v>
      </c>
      <c r="F303" s="57">
        <v>0.753</v>
      </c>
      <c r="G303" s="57">
        <v>0.29799999999999999</v>
      </c>
      <c r="H303" s="57">
        <v>8.4000000000000005E-2</v>
      </c>
      <c r="I303" s="57">
        <v>3.1E-2</v>
      </c>
      <c r="J303" s="57">
        <v>1.55</v>
      </c>
      <c r="K303" s="33">
        <f>AVERAGE(0.91,1,0.73,0.7)</f>
        <v>0.83499999999999996</v>
      </c>
    </row>
    <row r="304" spans="1:11" x14ac:dyDescent="0.2">
      <c r="A304" s="57" t="s">
        <v>141</v>
      </c>
      <c r="B304" s="57">
        <v>2028</v>
      </c>
      <c r="C304" s="57">
        <v>3</v>
      </c>
      <c r="D304" s="57">
        <v>0</v>
      </c>
      <c r="F304" s="57">
        <v>0.51600000000000001</v>
      </c>
      <c r="G304" s="57">
        <v>0.27800000000000002</v>
      </c>
      <c r="H304" s="57">
        <v>4.4999999999999998E-2</v>
      </c>
      <c r="I304" s="57">
        <v>0.02</v>
      </c>
      <c r="J304" s="57">
        <v>1.19</v>
      </c>
      <c r="K304" s="33">
        <f>AVERAGE(0.92,0.91,1.05,0.95)</f>
        <v>0.95750000000000002</v>
      </c>
    </row>
    <row r="305" spans="1:11" x14ac:dyDescent="0.2">
      <c r="A305" s="57" t="s">
        <v>141</v>
      </c>
      <c r="B305" s="57">
        <v>2007</v>
      </c>
      <c r="C305" s="57">
        <v>1</v>
      </c>
      <c r="D305" s="57">
        <v>0</v>
      </c>
      <c r="F305" s="57">
        <v>0.61899999999999999</v>
      </c>
      <c r="G305" s="57">
        <v>0.32700000000000001</v>
      </c>
      <c r="H305" s="57">
        <v>6.4000000000000001E-2</v>
      </c>
      <c r="I305" s="57">
        <v>2.8000000000000001E-2</v>
      </c>
      <c r="J305" s="57">
        <v>1.9</v>
      </c>
      <c r="K305" s="33">
        <f>AVERAGE(0.73,1.02,1.01,0.82)</f>
        <v>0.89499999999999991</v>
      </c>
    </row>
    <row r="306" spans="1:11" x14ac:dyDescent="0.2">
      <c r="A306" s="57" t="s">
        <v>59</v>
      </c>
      <c r="B306" s="57">
        <v>2023</v>
      </c>
      <c r="C306" s="57">
        <v>2</v>
      </c>
      <c r="D306" s="57">
        <v>0</v>
      </c>
      <c r="E306" s="57" t="s">
        <v>142</v>
      </c>
      <c r="F306" s="57">
        <v>1.355</v>
      </c>
      <c r="G306" s="57">
        <v>0.72199999999999998</v>
      </c>
      <c r="H306" s="57">
        <v>0.223</v>
      </c>
      <c r="I306" s="57">
        <v>0.104</v>
      </c>
      <c r="J306" s="57">
        <v>5.21</v>
      </c>
      <c r="K306" s="33">
        <f>AVERAGE(1.08,1.5,1.29,1.32)</f>
        <v>1.2975000000000001</v>
      </c>
    </row>
    <row r="307" spans="1:11" x14ac:dyDescent="0.2">
      <c r="A307" s="57" t="s">
        <v>141</v>
      </c>
      <c r="B307" s="57">
        <v>2020</v>
      </c>
      <c r="C307" s="57">
        <v>2</v>
      </c>
      <c r="D307" s="57">
        <v>0</v>
      </c>
      <c r="F307" s="57">
        <v>0.52</v>
      </c>
      <c r="G307" s="57">
        <v>0.26400000000000001</v>
      </c>
      <c r="H307" s="57">
        <v>2.9000000000000001E-2</v>
      </c>
      <c r="I307" s="57">
        <v>1.2999999999999999E-2</v>
      </c>
      <c r="J307" s="57">
        <v>0.87</v>
      </c>
      <c r="K307" s="33">
        <f>AVERAGE(0.71,0.72,0.69,0.72)</f>
        <v>0.71</v>
      </c>
    </row>
    <row r="308" spans="1:11" x14ac:dyDescent="0.2">
      <c r="A308" s="57" t="s">
        <v>141</v>
      </c>
      <c r="B308" s="57">
        <v>2008</v>
      </c>
      <c r="C308" s="57">
        <v>1</v>
      </c>
      <c r="D308" s="57">
        <v>0</v>
      </c>
      <c r="F308" s="57">
        <v>0.73699999999999999</v>
      </c>
      <c r="G308" s="57">
        <v>0.38400000000000001</v>
      </c>
      <c r="H308" s="57">
        <v>0.05</v>
      </c>
      <c r="I308" s="57">
        <v>2.1999999999999999E-2</v>
      </c>
      <c r="J308" s="57">
        <v>1.76</v>
      </c>
      <c r="K308" s="33">
        <f>AVERAGE(0.84,0.89,0.81,0.79)</f>
        <v>0.83250000000000002</v>
      </c>
    </row>
    <row r="309" spans="1:11" x14ac:dyDescent="0.2">
      <c r="A309" s="57" t="s">
        <v>141</v>
      </c>
      <c r="B309" s="57">
        <v>2087</v>
      </c>
      <c r="C309" s="57">
        <v>1</v>
      </c>
      <c r="D309" s="57">
        <v>0</v>
      </c>
      <c r="F309" s="57">
        <v>1.65</v>
      </c>
      <c r="G309" s="57">
        <v>0.57699999999999996</v>
      </c>
      <c r="H309" s="57">
        <v>0.32300000000000001</v>
      </c>
      <c r="I309" s="57">
        <v>0.10100000000000001</v>
      </c>
      <c r="J309" s="57">
        <v>4.1500000000000004</v>
      </c>
      <c r="K309" s="33">
        <f>AVERAGE(1.3,1.3,1.29,1.37)</f>
        <v>1.3149999999999999</v>
      </c>
    </row>
    <row r="310" spans="1:11" x14ac:dyDescent="0.2">
      <c r="A310" s="57" t="s">
        <v>141</v>
      </c>
      <c r="B310" s="57">
        <v>2005</v>
      </c>
      <c r="C310" s="57">
        <v>3</v>
      </c>
      <c r="D310" s="57">
        <v>0</v>
      </c>
      <c r="F310" s="57">
        <v>1.046</v>
      </c>
      <c r="G310" s="57">
        <v>0.51500000000000001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</row>
    <row r="311" spans="1:11" x14ac:dyDescent="0.2">
      <c r="A311" s="57" t="s">
        <v>141</v>
      </c>
      <c r="B311" s="57">
        <v>2013</v>
      </c>
      <c r="C311" s="57">
        <v>3</v>
      </c>
      <c r="D311" s="57">
        <v>0</v>
      </c>
      <c r="F311" s="57">
        <v>0.65800000000000003</v>
      </c>
      <c r="G311" s="57">
        <v>0.20899999999999999</v>
      </c>
      <c r="H311" s="57">
        <v>0.17399999999999999</v>
      </c>
      <c r="I311" s="57">
        <v>5.3999999999999999E-2</v>
      </c>
      <c r="J311" s="57">
        <v>3.86</v>
      </c>
      <c r="K311" s="33">
        <f>AVERAGE(1.08,1.01,1.11,1.12)</f>
        <v>1.08</v>
      </c>
    </row>
    <row r="312" spans="1:11" x14ac:dyDescent="0.2">
      <c r="A312" s="57" t="s">
        <v>141</v>
      </c>
      <c r="B312" s="57">
        <v>2025</v>
      </c>
      <c r="C312" s="57">
        <v>3</v>
      </c>
      <c r="D312" s="57">
        <v>0</v>
      </c>
      <c r="F312" s="57">
        <v>0.73899999999999999</v>
      </c>
      <c r="G312" s="57">
        <v>0.39</v>
      </c>
      <c r="H312" s="57">
        <v>6.3E-2</v>
      </c>
      <c r="I312" s="57">
        <v>2.9000000000000001E-2</v>
      </c>
      <c r="J312" s="57">
        <v>1.67</v>
      </c>
      <c r="K312" s="33">
        <f>AVERAGE(1.51,1.18,1.34,1.16)</f>
        <v>1.2975000000000001</v>
      </c>
    </row>
    <row r="313" spans="1:11" x14ac:dyDescent="0.2">
      <c r="A313" s="57" t="s">
        <v>141</v>
      </c>
      <c r="B313" s="57">
        <v>2014</v>
      </c>
      <c r="C313" s="57">
        <v>1</v>
      </c>
      <c r="D313" s="57">
        <v>0</v>
      </c>
      <c r="F313" s="57">
        <v>0.83399999999999996</v>
      </c>
      <c r="G313" s="57">
        <v>0.34399999999999997</v>
      </c>
      <c r="H313" s="57">
        <v>0.20499999999999999</v>
      </c>
      <c r="I313" s="57">
        <v>6.9000000000000006E-2</v>
      </c>
      <c r="J313" s="57">
        <v>3.73</v>
      </c>
      <c r="K313" s="33">
        <f>AVERAGE(1.34,1.27,1.18,1.24)</f>
        <v>1.2575000000000001</v>
      </c>
    </row>
    <row r="314" spans="1:11" x14ac:dyDescent="0.2">
      <c r="A314" s="57" t="s">
        <v>141</v>
      </c>
      <c r="B314" s="57">
        <v>2031</v>
      </c>
      <c r="C314" s="57">
        <v>3</v>
      </c>
      <c r="D314" s="57">
        <v>0</v>
      </c>
      <c r="F314" s="57">
        <v>1.2070000000000001</v>
      </c>
      <c r="G314" s="57">
        <v>0.64700000000000002</v>
      </c>
      <c r="H314" s="57">
        <v>6.4000000000000001E-2</v>
      </c>
      <c r="I314" s="57">
        <v>3.2000000000000001E-2</v>
      </c>
      <c r="J314" s="57">
        <v>1.1000000000000001</v>
      </c>
      <c r="K314" s="33">
        <f>AVERAGE(1.38,1.27,1.24,1.23)</f>
        <v>1.2799999999999998</v>
      </c>
    </row>
    <row r="315" spans="1:11" x14ac:dyDescent="0.2">
      <c r="A315" s="57" t="s">
        <v>141</v>
      </c>
      <c r="B315" s="57">
        <v>2021</v>
      </c>
      <c r="C315" s="57">
        <v>3</v>
      </c>
      <c r="D315" s="57">
        <v>0</v>
      </c>
      <c r="F315" s="57">
        <v>0.376</v>
      </c>
      <c r="G315" s="57">
        <v>0.19800000000000001</v>
      </c>
      <c r="H315" s="57">
        <v>3.5999999999999997E-2</v>
      </c>
      <c r="I315" s="57">
        <v>1.6E-2</v>
      </c>
      <c r="J315" s="57">
        <v>1.07</v>
      </c>
      <c r="K315" s="33">
        <f>AVERAGE(0.98,0.61,0.97,0.85)</f>
        <v>0.85249999999999992</v>
      </c>
    </row>
    <row r="316" spans="1:11" x14ac:dyDescent="0.2">
      <c r="A316" s="57" t="s">
        <v>59</v>
      </c>
      <c r="B316" s="57">
        <v>2022</v>
      </c>
      <c r="C316" s="57">
        <v>3</v>
      </c>
      <c r="D316" s="57">
        <v>1</v>
      </c>
      <c r="F316" s="57">
        <v>0.77</v>
      </c>
      <c r="G316" s="57">
        <v>0.47099999999999997</v>
      </c>
      <c r="H316" s="57">
        <v>0.13200000000000001</v>
      </c>
      <c r="I316" s="57">
        <v>6.7000000000000004E-2</v>
      </c>
      <c r="J316" s="57">
        <v>3.45</v>
      </c>
      <c r="K316" s="33">
        <f>AVERAGE(1.46,1.58,1.48,1.5)</f>
        <v>1.5049999999999999</v>
      </c>
    </row>
    <row r="317" spans="1:11" x14ac:dyDescent="0.2">
      <c r="A317" s="57" t="s">
        <v>141</v>
      </c>
      <c r="B317" s="57">
        <v>2013</v>
      </c>
      <c r="C317" s="57">
        <v>1</v>
      </c>
      <c r="D317" s="57">
        <v>0</v>
      </c>
      <c r="F317" s="57">
        <v>0.53600000000000003</v>
      </c>
      <c r="G317" s="57">
        <v>0.17699999999999999</v>
      </c>
      <c r="H317" s="57">
        <v>0.16500000000000001</v>
      </c>
      <c r="I317" s="57">
        <v>4.9000000000000002E-2</v>
      </c>
      <c r="J317" s="57">
        <v>4.25</v>
      </c>
      <c r="K317" s="33">
        <f>AVERAGE(0.94,0.98,0.99,1)</f>
        <v>0.97750000000000004</v>
      </c>
    </row>
    <row r="318" spans="1:11" x14ac:dyDescent="0.2">
      <c r="A318" s="57" t="s">
        <v>59</v>
      </c>
      <c r="B318" s="57">
        <v>2091</v>
      </c>
      <c r="C318" s="57">
        <v>3</v>
      </c>
      <c r="D318" s="57">
        <v>1</v>
      </c>
      <c r="F318" s="57">
        <v>1.514</v>
      </c>
      <c r="G318" s="57">
        <v>0.92</v>
      </c>
      <c r="H318" s="57">
        <v>0.29599999999999999</v>
      </c>
      <c r="I318" s="57">
        <v>0.161</v>
      </c>
      <c r="J318" s="57">
        <v>4.8899999999999997</v>
      </c>
      <c r="K318" s="33">
        <f>AVERAGE(1.63,1.84,1.91,1.8)</f>
        <v>1.7949999999999999</v>
      </c>
    </row>
    <row r="319" spans="1:11" x14ac:dyDescent="0.2">
      <c r="A319" s="57" t="s">
        <v>59</v>
      </c>
      <c r="B319" s="57">
        <v>2089</v>
      </c>
      <c r="C319" s="57">
        <v>2</v>
      </c>
      <c r="D319" s="57">
        <v>1</v>
      </c>
      <c r="F319" s="57">
        <v>0.86499999999999999</v>
      </c>
      <c r="G319" s="57">
        <v>0.52500000000000002</v>
      </c>
      <c r="H319" s="57">
        <v>5.2999999999999999E-2</v>
      </c>
      <c r="I319" s="57">
        <v>3.1E-2</v>
      </c>
      <c r="J319" s="57">
        <v>2.31</v>
      </c>
      <c r="K319" s="33">
        <f>AVERAGE(0.98,0.99,0.94,1.11)</f>
        <v>1.0050000000000001</v>
      </c>
    </row>
    <row r="320" spans="1:11" x14ac:dyDescent="0.2">
      <c r="A320" s="57" t="s">
        <v>59</v>
      </c>
      <c r="B320" s="57">
        <v>2089</v>
      </c>
      <c r="C320" s="57">
        <v>3</v>
      </c>
      <c r="D320" s="57">
        <v>1</v>
      </c>
      <c r="F320" s="57">
        <v>2.0470000000000002</v>
      </c>
      <c r="G320" s="57">
        <v>1.2470000000000001</v>
      </c>
      <c r="H320" s="57">
        <v>0.56599999999999995</v>
      </c>
      <c r="I320" s="57">
        <v>0.316</v>
      </c>
      <c r="J320" s="57">
        <v>7.34</v>
      </c>
      <c r="K320" s="33">
        <f>AVERAGE(1.94,1.89,1.92,1.89)</f>
        <v>1.91</v>
      </c>
    </row>
    <row r="321" spans="1:11" x14ac:dyDescent="0.2">
      <c r="A321" s="57" t="s">
        <v>59</v>
      </c>
      <c r="B321" s="57">
        <v>2092</v>
      </c>
      <c r="C321" s="57">
        <v>2</v>
      </c>
      <c r="D321" s="57">
        <v>1</v>
      </c>
      <c r="F321" s="57">
        <v>1.6259999999999999</v>
      </c>
      <c r="G321" s="57">
        <v>0.95699999999999996</v>
      </c>
      <c r="H321" s="57">
        <v>0.14599999999999999</v>
      </c>
      <c r="I321" s="57">
        <v>7.6999999999999999E-2</v>
      </c>
      <c r="J321" s="57">
        <v>3.23</v>
      </c>
      <c r="K321" s="33">
        <f>AVERAGE(1.26,1.25,1.23,1.34)</f>
        <v>1.27</v>
      </c>
    </row>
    <row r="322" spans="1:11" x14ac:dyDescent="0.2">
      <c r="A322" s="57" t="s">
        <v>141</v>
      </c>
      <c r="B322" s="57">
        <v>2012</v>
      </c>
      <c r="C322" s="57">
        <v>1</v>
      </c>
      <c r="D322" s="57">
        <v>0</v>
      </c>
      <c r="F322" s="57">
        <v>0.35499999999999998</v>
      </c>
      <c r="G322" s="57">
        <v>0.14099999999999999</v>
      </c>
      <c r="H322" s="57">
        <v>1.9E-2</v>
      </c>
      <c r="I322" s="57">
        <v>7.0000000000000001E-3</v>
      </c>
      <c r="J322" s="57">
        <v>0.5</v>
      </c>
      <c r="K322" s="57" t="s">
        <v>60</v>
      </c>
    </row>
    <row r="323" spans="1:11" x14ac:dyDescent="0.2">
      <c r="A323" s="57" t="s">
        <v>141</v>
      </c>
      <c r="B323" s="57">
        <v>2085</v>
      </c>
      <c r="C323" s="57">
        <v>1</v>
      </c>
      <c r="D323" s="57">
        <v>0</v>
      </c>
      <c r="F323" s="57">
        <v>0.38200000000000001</v>
      </c>
      <c r="G323" s="57">
        <v>0.14199999999999999</v>
      </c>
      <c r="H323" s="57">
        <v>4.8000000000000001E-2</v>
      </c>
      <c r="I323" s="57">
        <v>1.7999999999999999E-2</v>
      </c>
      <c r="J323" s="57">
        <v>1.22</v>
      </c>
      <c r="K323" s="33">
        <f>AVERAGE(1.04,1.1,0.94,0.97)</f>
        <v>1.0125</v>
      </c>
    </row>
    <row r="324" spans="1:11" x14ac:dyDescent="0.2">
      <c r="A324" s="57" t="s">
        <v>141</v>
      </c>
      <c r="B324" s="57">
        <v>2008</v>
      </c>
      <c r="C324" s="57">
        <v>3</v>
      </c>
      <c r="D324" s="57">
        <v>0</v>
      </c>
      <c r="F324" s="57">
        <v>0.67800000000000005</v>
      </c>
      <c r="G324" s="57">
        <v>0.35699999999999998</v>
      </c>
      <c r="H324" s="57">
        <v>5.5E-2</v>
      </c>
      <c r="I324" s="57">
        <v>2.4E-2</v>
      </c>
      <c r="J324" s="57">
        <v>1.55</v>
      </c>
      <c r="K324" s="33">
        <f>AVERAGE(0.8,0.76,0.92,0.72)</f>
        <v>0.8</v>
      </c>
    </row>
    <row r="325" spans="1:11" x14ac:dyDescent="0.2">
      <c r="A325" s="57" t="s">
        <v>141</v>
      </c>
      <c r="B325" s="57">
        <v>2086</v>
      </c>
      <c r="C325" s="57">
        <v>1</v>
      </c>
      <c r="D325" s="57">
        <v>0</v>
      </c>
      <c r="F325" s="57">
        <v>1.2909999999999999</v>
      </c>
      <c r="G325" s="57">
        <v>0.54600000000000004</v>
      </c>
      <c r="H325" s="57">
        <v>0.217</v>
      </c>
      <c r="I325" s="57">
        <v>8.4000000000000005E-2</v>
      </c>
      <c r="J325" s="57">
        <v>3.06</v>
      </c>
      <c r="K325" s="33">
        <f>AVERAGE(1.21,1.32,1.27,1.51)</f>
        <v>1.3275000000000001</v>
      </c>
    </row>
    <row r="326" spans="1:11" x14ac:dyDescent="0.2">
      <c r="A326" s="57" t="s">
        <v>141</v>
      </c>
      <c r="B326" s="57">
        <v>2021</v>
      </c>
      <c r="C326" s="57">
        <v>1</v>
      </c>
      <c r="D326" s="57">
        <v>0</v>
      </c>
      <c r="F326" s="57">
        <v>0.71299999999999997</v>
      </c>
      <c r="G326" s="57">
        <v>0.372</v>
      </c>
      <c r="H326" s="57">
        <v>4.2999999999999997E-2</v>
      </c>
      <c r="I326" s="57">
        <v>1.9E-2</v>
      </c>
      <c r="J326" s="57">
        <v>1.08</v>
      </c>
      <c r="K326" s="33">
        <f>AVERAGE(0.81,0.76,0.71,0.92)</f>
        <v>0.8</v>
      </c>
    </row>
    <row r="327" spans="1:11" x14ac:dyDescent="0.2">
      <c r="A327" s="57" t="s">
        <v>141</v>
      </c>
      <c r="B327" s="57">
        <v>1478</v>
      </c>
      <c r="C327" s="57">
        <v>2</v>
      </c>
      <c r="D327" s="57">
        <v>0</v>
      </c>
      <c r="F327" s="57">
        <v>0.73</v>
      </c>
      <c r="G327" s="57">
        <v>0.249</v>
      </c>
      <c r="H327" s="57">
        <v>0.111</v>
      </c>
      <c r="I327" s="57">
        <v>3.3000000000000002E-2</v>
      </c>
      <c r="J327" s="57">
        <v>2.65</v>
      </c>
      <c r="K327" s="33">
        <f>AVERAGE(0.91,0.91,1.06,1.11)</f>
        <v>0.99750000000000005</v>
      </c>
    </row>
    <row r="328" spans="1:11" x14ac:dyDescent="0.2">
      <c r="A328" s="57" t="s">
        <v>141</v>
      </c>
      <c r="B328" s="57">
        <v>2088</v>
      </c>
      <c r="C328" s="57">
        <v>3</v>
      </c>
      <c r="D328" s="57">
        <v>0</v>
      </c>
      <c r="F328" s="57">
        <v>0.76</v>
      </c>
      <c r="G328" s="57">
        <v>0.316</v>
      </c>
      <c r="H328" s="57">
        <v>9.5000000000000001E-2</v>
      </c>
      <c r="I328" s="57">
        <v>3.4000000000000002E-2</v>
      </c>
      <c r="J328" s="57">
        <v>2.39</v>
      </c>
      <c r="K328" s="33">
        <f>AVERAGE(1.14,1.09,1,0.98)</f>
        <v>1.0525</v>
      </c>
    </row>
    <row r="329" spans="1:11" x14ac:dyDescent="0.2">
      <c r="A329" s="57" t="s">
        <v>59</v>
      </c>
      <c r="B329" s="57">
        <v>2091</v>
      </c>
      <c r="C329" s="57">
        <v>1</v>
      </c>
      <c r="D329" s="57">
        <v>1</v>
      </c>
      <c r="F329" s="57">
        <v>1.337</v>
      </c>
      <c r="G329" s="57">
        <v>0.80700000000000005</v>
      </c>
      <c r="H329" s="57">
        <v>0.157</v>
      </c>
      <c r="I329" s="57">
        <v>0.09</v>
      </c>
      <c r="J329" s="57">
        <v>3.69</v>
      </c>
      <c r="K329" s="33">
        <f>AVERAGE(1.48,1.52,1.49,1.54)</f>
        <v>1.5075000000000001</v>
      </c>
    </row>
    <row r="330" spans="1:11" x14ac:dyDescent="0.2">
      <c r="A330" s="57" t="s">
        <v>141</v>
      </c>
      <c r="B330" s="57">
        <v>2028</v>
      </c>
      <c r="C330" s="57">
        <v>1</v>
      </c>
      <c r="D330" s="57">
        <v>0</v>
      </c>
      <c r="F330" s="57">
        <v>0.96099999999999997</v>
      </c>
      <c r="G330" s="57">
        <v>0.52100000000000002</v>
      </c>
      <c r="H330" s="57">
        <v>0.125</v>
      </c>
      <c r="I330" s="57">
        <v>5.5E-2</v>
      </c>
      <c r="J330" s="57">
        <v>2.5299999999999998</v>
      </c>
      <c r="K330" s="33">
        <f>AVERAGE(1.23,1.17,1.21,1.22)</f>
        <v>1.2075</v>
      </c>
    </row>
    <row r="331" spans="1:11" x14ac:dyDescent="0.2">
      <c r="A331" s="57" t="s">
        <v>59</v>
      </c>
      <c r="B331" s="57">
        <v>2023</v>
      </c>
      <c r="C331" s="57">
        <v>2</v>
      </c>
      <c r="D331" s="57">
        <v>0</v>
      </c>
      <c r="E331" s="57" t="s">
        <v>143</v>
      </c>
      <c r="F331" s="57">
        <v>1.452</v>
      </c>
      <c r="G331" s="57">
        <v>0.76</v>
      </c>
      <c r="H331" s="57">
        <v>0.22900000000000001</v>
      </c>
      <c r="I331" s="57">
        <v>0.10299999999999999</v>
      </c>
      <c r="J331" s="57">
        <v>5.63</v>
      </c>
      <c r="K331" s="33">
        <f>AVERAGE(1.44,1.13,1.33,1.34)</f>
        <v>1.31</v>
      </c>
    </row>
    <row r="332" spans="1:11" x14ac:dyDescent="0.2">
      <c r="A332" s="57" t="s">
        <v>59</v>
      </c>
      <c r="B332" s="57">
        <v>2030</v>
      </c>
      <c r="C332" s="57">
        <v>3</v>
      </c>
      <c r="D332" s="57">
        <v>1</v>
      </c>
      <c r="F332" s="57">
        <v>1.212</v>
      </c>
      <c r="G332" s="57">
        <v>0.67</v>
      </c>
      <c r="H332" s="57">
        <v>8.1000000000000003E-2</v>
      </c>
      <c r="I332" s="57">
        <v>0.04</v>
      </c>
      <c r="J332" s="57">
        <v>2.4</v>
      </c>
      <c r="K332" s="33">
        <f>AVERAGE(1.02,1.05,1.04,1.15)</f>
        <v>1.0649999999999999</v>
      </c>
    </row>
    <row r="333" spans="1:11" x14ac:dyDescent="0.2">
      <c r="A333" s="57" t="s">
        <v>141</v>
      </c>
      <c r="B333" s="57">
        <v>2008</v>
      </c>
      <c r="C333" s="57">
        <v>2</v>
      </c>
      <c r="D333" s="57">
        <v>0</v>
      </c>
      <c r="F333" s="57">
        <v>0.94199999999999995</v>
      </c>
      <c r="G333" s="57">
        <v>0.48</v>
      </c>
      <c r="H333" s="57">
        <v>5.2999999999999999E-2</v>
      </c>
      <c r="I333" s="57">
        <v>2.3E-2</v>
      </c>
      <c r="J333" s="57">
        <v>1.43</v>
      </c>
      <c r="K333" s="33">
        <f>AVERAGE(0.9,1.01,1.07,0.91)</f>
        <v>0.97250000000000014</v>
      </c>
    </row>
    <row r="334" spans="1:11" x14ac:dyDescent="0.2">
      <c r="A334" s="57" t="s">
        <v>59</v>
      </c>
      <c r="B334" s="57">
        <v>2092</v>
      </c>
      <c r="C334" s="57">
        <v>3</v>
      </c>
      <c r="D334" s="57">
        <v>1</v>
      </c>
      <c r="F334" s="57">
        <v>0.95899999999999996</v>
      </c>
      <c r="G334" s="57">
        <v>0.58799999999999997</v>
      </c>
      <c r="H334" s="57">
        <v>0.29399999999999998</v>
      </c>
      <c r="I334" s="57">
        <v>0.14799999999999999</v>
      </c>
      <c r="J334" s="57">
        <v>5.04</v>
      </c>
      <c r="K334" s="33">
        <f>AVERAGE(1.91,1.77,1.98,1.83)</f>
        <v>1.8725000000000001</v>
      </c>
    </row>
    <row r="335" spans="1:11" x14ac:dyDescent="0.2">
      <c r="A335" s="57" t="s">
        <v>141</v>
      </c>
      <c r="B335" s="57">
        <v>2025</v>
      </c>
      <c r="C335" s="57">
        <v>1</v>
      </c>
      <c r="D335" s="57">
        <v>0</v>
      </c>
      <c r="F335" s="57">
        <v>0.48299999999999998</v>
      </c>
      <c r="G335" s="57">
        <v>0.248</v>
      </c>
      <c r="H335" s="57">
        <v>3.6999999999999998E-2</v>
      </c>
      <c r="I335" s="57">
        <v>1.7000000000000001E-2</v>
      </c>
      <c r="J335" s="57">
        <v>1.29</v>
      </c>
      <c r="K335" s="33">
        <f>AVERAGE(0.84,0.81,0.73,0.8)</f>
        <v>0.79499999999999993</v>
      </c>
    </row>
    <row r="336" spans="1:11" x14ac:dyDescent="0.2">
      <c r="A336" s="57" t="s">
        <v>59</v>
      </c>
      <c r="B336" s="57">
        <v>2022</v>
      </c>
      <c r="C336" s="57">
        <v>2</v>
      </c>
      <c r="D336" s="57">
        <v>0</v>
      </c>
      <c r="F336" s="57">
        <v>0.124</v>
      </c>
      <c r="G336" s="57">
        <v>6.3E-2</v>
      </c>
      <c r="H336" s="57">
        <v>1.4E-2</v>
      </c>
      <c r="I336" s="57">
        <v>5.0000000000000001E-3</v>
      </c>
      <c r="J336" s="57">
        <v>0.55000000000000004</v>
      </c>
      <c r="K336" s="57" t="s">
        <v>60</v>
      </c>
    </row>
    <row r="337" spans="1:11" x14ac:dyDescent="0.2">
      <c r="A337" s="57" t="s">
        <v>59</v>
      </c>
      <c r="B337" s="57">
        <v>2022</v>
      </c>
      <c r="C337" s="57">
        <v>3</v>
      </c>
      <c r="D337" s="57">
        <v>0</v>
      </c>
      <c r="F337" s="57">
        <v>0.22600000000000001</v>
      </c>
      <c r="G337" s="57">
        <v>0.11700000000000001</v>
      </c>
      <c r="H337" s="57">
        <v>4.3999999999999997E-2</v>
      </c>
      <c r="I337" s="57">
        <v>1.7999999999999999E-2</v>
      </c>
      <c r="J337" s="57">
        <v>1.73</v>
      </c>
      <c r="K337" s="33">
        <f>AVERAGE(0.62,0.59,0.62,0.53)</f>
        <v>0.59000000000000008</v>
      </c>
    </row>
    <row r="338" spans="1:11" x14ac:dyDescent="0.2">
      <c r="A338" s="57" t="s">
        <v>59</v>
      </c>
      <c r="B338" s="57">
        <v>2023</v>
      </c>
      <c r="C338" s="57">
        <v>1</v>
      </c>
      <c r="D338" s="57">
        <v>1</v>
      </c>
      <c r="F338" s="57">
        <v>3.5289999999999999</v>
      </c>
      <c r="G338" s="57">
        <v>2.0720000000000001</v>
      </c>
      <c r="H338" s="57">
        <v>0.57299999999999995</v>
      </c>
      <c r="I338" s="57">
        <v>0.28899999999999998</v>
      </c>
      <c r="J338" s="57">
        <v>6.83</v>
      </c>
      <c r="K338" s="33">
        <f>AVERAGE(2.22,2.32,2.15,2.12)</f>
        <v>2.2024999999999997</v>
      </c>
    </row>
    <row r="339" spans="1:11" x14ac:dyDescent="0.2">
      <c r="A339" s="57" t="s">
        <v>141</v>
      </c>
      <c r="B339" s="57">
        <v>2087</v>
      </c>
      <c r="C339" s="57">
        <v>3</v>
      </c>
      <c r="D339" s="57">
        <v>0</v>
      </c>
      <c r="F339" s="57">
        <v>0.83799999999999997</v>
      </c>
      <c r="G339" s="57">
        <v>0.33200000000000002</v>
      </c>
      <c r="H339" s="57">
        <v>7.9000000000000001E-2</v>
      </c>
      <c r="I339" s="57">
        <v>0.03</v>
      </c>
      <c r="J339" s="57">
        <v>1.79</v>
      </c>
      <c r="K339" s="33">
        <f>AVERAGE(1.08,1.11,1.06,1.03)</f>
        <v>1.07</v>
      </c>
    </row>
    <row r="340" spans="1:11" x14ac:dyDescent="0.2">
      <c r="A340" s="57" t="s">
        <v>141</v>
      </c>
      <c r="B340" s="57">
        <v>2004</v>
      </c>
      <c r="C340" s="57">
        <v>1</v>
      </c>
      <c r="D340" s="57">
        <v>0</v>
      </c>
      <c r="F340" s="57">
        <v>1.157</v>
      </c>
      <c r="G340" s="57">
        <v>0.58499999999999996</v>
      </c>
      <c r="H340" s="57">
        <v>0.32500000000000001</v>
      </c>
      <c r="I340" s="57">
        <v>0.14299999999999999</v>
      </c>
      <c r="J340" s="57">
        <v>5.25</v>
      </c>
      <c r="K340" s="33">
        <f>AVERAGE(1.53,1.57,1.55,1.58)</f>
        <v>1.5575000000000001</v>
      </c>
    </row>
    <row r="341" spans="1:11" x14ac:dyDescent="0.2">
      <c r="A341" s="57" t="s">
        <v>141</v>
      </c>
      <c r="B341" s="57">
        <v>2006</v>
      </c>
      <c r="C341" s="57">
        <v>1</v>
      </c>
      <c r="D341" s="57">
        <v>0</v>
      </c>
      <c r="F341" s="57">
        <v>0.73699999999999999</v>
      </c>
      <c r="G341" s="57">
        <v>0.36199999999999999</v>
      </c>
      <c r="H341" s="57">
        <v>0.03</v>
      </c>
      <c r="I341" s="57">
        <v>1.2999999999999999E-2</v>
      </c>
      <c r="J341" s="57">
        <v>0.81</v>
      </c>
      <c r="K341" s="33">
        <f>AVERAGE(1.14,1.12,1.09,1.02)</f>
        <v>1.0924999999999998</v>
      </c>
    </row>
    <row r="342" spans="1:11" x14ac:dyDescent="0.2">
      <c r="A342" s="57" t="s">
        <v>59</v>
      </c>
      <c r="B342" s="57">
        <v>2093</v>
      </c>
      <c r="C342" s="57">
        <v>1</v>
      </c>
      <c r="D342" s="57">
        <v>1</v>
      </c>
      <c r="F342" s="57">
        <v>2.66</v>
      </c>
      <c r="G342" s="57">
        <v>1.6759999999999999</v>
      </c>
      <c r="H342" s="57">
        <v>0.53400000000000003</v>
      </c>
      <c r="I342" s="57">
        <v>0.308</v>
      </c>
      <c r="J342" s="57">
        <v>8.26</v>
      </c>
      <c r="K342" s="33">
        <f>AVERAGE(2.05,1.96,1.78,1.81)</f>
        <v>1.9</v>
      </c>
    </row>
    <row r="343" spans="1:11" x14ac:dyDescent="0.2">
      <c r="A343" s="57" t="s">
        <v>141</v>
      </c>
      <c r="B343" s="57">
        <v>2004</v>
      </c>
      <c r="C343" s="57">
        <v>3</v>
      </c>
      <c r="D343" s="57">
        <v>0</v>
      </c>
      <c r="F343" s="57">
        <v>0.58299999999999996</v>
      </c>
      <c r="G343" s="57">
        <v>0.30499999999999999</v>
      </c>
      <c r="H343" s="57">
        <v>7.4999999999999997E-2</v>
      </c>
      <c r="I343" s="57">
        <v>3.4000000000000002E-2</v>
      </c>
      <c r="J343" s="57">
        <v>1.93</v>
      </c>
      <c r="K343" s="33">
        <f>AVERAGE(0.96,1.09,1.04,0.88)</f>
        <v>0.99249999999999994</v>
      </c>
    </row>
    <row r="344" spans="1:11" x14ac:dyDescent="0.2">
      <c r="A344" s="57" t="s">
        <v>141</v>
      </c>
      <c r="B344" s="57">
        <v>2021</v>
      </c>
      <c r="C344" s="57">
        <v>2</v>
      </c>
      <c r="D344" s="57">
        <v>0</v>
      </c>
      <c r="F344" s="57">
        <v>0.93600000000000005</v>
      </c>
      <c r="G344" s="57">
        <v>0.49399999999999999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</row>
    <row r="345" spans="1:11" x14ac:dyDescent="0.2">
      <c r="A345" s="57" t="s">
        <v>141</v>
      </c>
      <c r="B345" s="57">
        <v>2024</v>
      </c>
      <c r="C345" s="57">
        <v>1</v>
      </c>
      <c r="D345" s="57">
        <v>0</v>
      </c>
      <c r="F345" s="57">
        <v>1.3149999999999999</v>
      </c>
      <c r="G345" s="57">
        <v>0.64400000000000002</v>
      </c>
      <c r="H345" s="57">
        <v>0.17499999999999999</v>
      </c>
      <c r="I345" s="57">
        <v>7.6999999999999999E-2</v>
      </c>
      <c r="J345" s="57">
        <v>2.35</v>
      </c>
      <c r="K345" s="33">
        <f>AVERAGE(1.38,1.37,1.35,1.39)</f>
        <v>1.3724999999999998</v>
      </c>
    </row>
    <row r="346" spans="1:11" x14ac:dyDescent="0.2">
      <c r="A346" s="57" t="s">
        <v>59</v>
      </c>
      <c r="B346" s="57">
        <v>2093</v>
      </c>
      <c r="C346" s="57">
        <v>3</v>
      </c>
      <c r="D346" s="57">
        <v>1</v>
      </c>
      <c r="F346" s="57">
        <v>1.4359999999999999</v>
      </c>
      <c r="G346" s="57">
        <v>0.91</v>
      </c>
      <c r="H346" s="57">
        <v>0.254</v>
      </c>
      <c r="I346" s="57">
        <v>0.14599999999999999</v>
      </c>
      <c r="J346" s="57">
        <v>5.66</v>
      </c>
      <c r="K346" s="33">
        <f>AVERAGE(1.39,1.45,1.39,1.49)</f>
        <v>1.43</v>
      </c>
    </row>
    <row r="347" spans="1:11" x14ac:dyDescent="0.2">
      <c r="A347" s="57" t="s">
        <v>141</v>
      </c>
      <c r="B347" s="57">
        <v>2085</v>
      </c>
      <c r="C347" s="57">
        <v>2</v>
      </c>
      <c r="D347" s="57">
        <v>0</v>
      </c>
      <c r="F347" s="57">
        <v>0.54300000000000004</v>
      </c>
      <c r="G347" s="57">
        <v>0.20599999999999999</v>
      </c>
      <c r="H347" s="57">
        <v>0.124</v>
      </c>
      <c r="I347" s="57">
        <v>4.2000000000000003E-2</v>
      </c>
      <c r="J347" s="57">
        <v>2.83</v>
      </c>
      <c r="K347" s="33">
        <f>AVERAGE(1.11,1.25,1.27,1.18)</f>
        <v>1.2025000000000001</v>
      </c>
    </row>
    <row r="348" spans="1:11" x14ac:dyDescent="0.2">
      <c r="A348" s="57" t="s">
        <v>141</v>
      </c>
      <c r="B348" s="57">
        <v>2027</v>
      </c>
      <c r="C348" s="57">
        <v>1</v>
      </c>
      <c r="D348" s="57">
        <v>0</v>
      </c>
      <c r="F348" s="57">
        <v>0.98899999999999999</v>
      </c>
      <c r="G348" s="57">
        <v>0.50900000000000001</v>
      </c>
      <c r="H348" s="57">
        <v>8.8999999999999996E-2</v>
      </c>
      <c r="I348" s="57">
        <v>0.04</v>
      </c>
      <c r="J348" s="57">
        <v>1.35</v>
      </c>
      <c r="K348" s="33">
        <f>AVERAGE(1.17,1.03,1.11,1)</f>
        <v>1.0775000000000001</v>
      </c>
    </row>
    <row r="349" spans="1:11" x14ac:dyDescent="0.2">
      <c r="A349" s="57" t="s">
        <v>59</v>
      </c>
      <c r="B349" s="57">
        <v>2022</v>
      </c>
      <c r="C349" s="57">
        <v>1</v>
      </c>
      <c r="D349" s="57">
        <v>1</v>
      </c>
      <c r="F349" s="57">
        <v>0.65600000000000003</v>
      </c>
      <c r="G349" s="57">
        <v>0.39200000000000002</v>
      </c>
      <c r="H349" s="57">
        <v>0.33500000000000002</v>
      </c>
      <c r="I349" s="57">
        <v>0.16500000000000001</v>
      </c>
      <c r="J349" s="57">
        <v>5.43</v>
      </c>
      <c r="K349" s="33">
        <f>AVERAGE(1.74,1.68,1.69,1.55)</f>
        <v>1.6649999999999998</v>
      </c>
    </row>
    <row r="350" spans="1:11" x14ac:dyDescent="0.2">
      <c r="A350" s="57" t="s">
        <v>141</v>
      </c>
      <c r="B350" s="57">
        <v>2027</v>
      </c>
      <c r="C350" s="57">
        <v>3</v>
      </c>
      <c r="D350" s="57">
        <v>0</v>
      </c>
      <c r="F350" s="57">
        <v>0.42199999999999999</v>
      </c>
      <c r="G350" s="57">
        <v>0.21099999999999999</v>
      </c>
      <c r="H350" s="57">
        <v>4.3999999999999997E-2</v>
      </c>
      <c r="I350" s="57">
        <v>1.9E-2</v>
      </c>
      <c r="J350" s="57">
        <v>1.1000000000000001</v>
      </c>
      <c r="K350" s="33">
        <f>AVERAGE(0.93,0.84,0.78,0.84)</f>
        <v>0.84749999999999992</v>
      </c>
    </row>
    <row r="351" spans="1:11" x14ac:dyDescent="0.2">
      <c r="A351" s="57" t="s">
        <v>141</v>
      </c>
      <c r="B351" s="57">
        <v>2020</v>
      </c>
      <c r="C351" s="57">
        <v>1</v>
      </c>
      <c r="D351" s="57">
        <v>0</v>
      </c>
      <c r="F351" s="57">
        <v>0.52900000000000003</v>
      </c>
      <c r="G351" s="57">
        <v>0.25900000000000001</v>
      </c>
      <c r="H351" s="57">
        <v>5.6000000000000001E-2</v>
      </c>
      <c r="I351" s="57">
        <v>2.1999999999999999E-2</v>
      </c>
      <c r="J351" s="57">
        <v>1.34</v>
      </c>
      <c r="K351" s="57" t="s">
        <v>60</v>
      </c>
    </row>
    <row r="352" spans="1:11" x14ac:dyDescent="0.2">
      <c r="A352" s="57" t="s">
        <v>141</v>
      </c>
      <c r="B352" s="57">
        <v>2020</v>
      </c>
      <c r="C352" s="57">
        <v>3</v>
      </c>
      <c r="D352" s="57">
        <v>0</v>
      </c>
      <c r="F352" s="57">
        <v>0.46200000000000002</v>
      </c>
      <c r="G352" s="57">
        <v>0.23</v>
      </c>
      <c r="H352" s="57">
        <v>2.1000000000000001E-2</v>
      </c>
      <c r="I352" s="57">
        <v>8.0000000000000002E-3</v>
      </c>
      <c r="J352" s="57">
        <v>0.81</v>
      </c>
      <c r="K352" s="57" t="s">
        <v>60</v>
      </c>
    </row>
    <row r="353" spans="1:11" x14ac:dyDescent="0.2">
      <c r="A353" s="57" t="s">
        <v>141</v>
      </c>
      <c r="B353" s="57">
        <v>2005</v>
      </c>
      <c r="C353" s="57">
        <v>2</v>
      </c>
      <c r="D353" s="57">
        <v>0</v>
      </c>
      <c r="F353" s="57">
        <v>1.284</v>
      </c>
      <c r="G353" s="57">
        <v>0.61699999999999999</v>
      </c>
      <c r="H353" s="57">
        <v>0.108</v>
      </c>
      <c r="I353" s="57">
        <v>4.9000000000000002E-2</v>
      </c>
      <c r="J353" s="57">
        <v>1.72</v>
      </c>
      <c r="K353" s="33">
        <f>AVERAGE(1.35,1.32,1.27,1.39)</f>
        <v>1.3325</v>
      </c>
    </row>
    <row r="354" spans="1:11" x14ac:dyDescent="0.2">
      <c r="A354" s="57" t="s">
        <v>141</v>
      </c>
      <c r="B354" s="57">
        <v>2031</v>
      </c>
      <c r="C354" s="57">
        <v>2</v>
      </c>
      <c r="D354" s="57">
        <v>0</v>
      </c>
      <c r="F354" s="57">
        <v>0.26600000000000001</v>
      </c>
      <c r="G354" s="57">
        <v>0.14399999999999999</v>
      </c>
      <c r="H354" s="57">
        <v>1.2E-2</v>
      </c>
      <c r="I354" s="57">
        <v>6.0000000000000001E-3</v>
      </c>
      <c r="J354" s="57">
        <v>0.43</v>
      </c>
      <c r="K354" s="57" t="s">
        <v>60</v>
      </c>
    </row>
    <row r="355" spans="1:11" x14ac:dyDescent="0.2">
      <c r="A355" s="57" t="s">
        <v>59</v>
      </c>
      <c r="B355" s="57">
        <v>2091</v>
      </c>
      <c r="C355" s="57">
        <v>2</v>
      </c>
      <c r="D355" s="57">
        <v>1</v>
      </c>
      <c r="F355" s="57">
        <v>1.0449999999999999</v>
      </c>
      <c r="G355" s="57">
        <v>0.62</v>
      </c>
      <c r="H355" s="57">
        <v>0.14099999999999999</v>
      </c>
      <c r="I355" s="57">
        <v>7.9000000000000001E-2</v>
      </c>
      <c r="J355" s="57">
        <v>3.41</v>
      </c>
      <c r="K355" s="33">
        <f>AVERAGE(1.35,1.45,1.61,1.43)</f>
        <v>1.46</v>
      </c>
    </row>
    <row r="356" spans="1:11" x14ac:dyDescent="0.2">
      <c r="A356" s="57" t="s">
        <v>59</v>
      </c>
      <c r="B356" s="57">
        <v>2092</v>
      </c>
      <c r="C356" s="57">
        <v>2</v>
      </c>
      <c r="D356" s="57">
        <v>0</v>
      </c>
      <c r="F356" s="57">
        <v>0.14099999999999999</v>
      </c>
      <c r="G356" s="57">
        <v>4.7E-2</v>
      </c>
      <c r="H356" s="57">
        <v>6.6000000000000003E-2</v>
      </c>
      <c r="I356" s="57">
        <v>1.9E-2</v>
      </c>
      <c r="J356" s="57">
        <v>1.54</v>
      </c>
      <c r="K356" s="57" t="s">
        <v>60</v>
      </c>
    </row>
    <row r="357" spans="1:11" x14ac:dyDescent="0.2">
      <c r="A357" s="57" t="s">
        <v>141</v>
      </c>
      <c r="B357" s="57">
        <v>2014</v>
      </c>
      <c r="C357" s="57">
        <v>3</v>
      </c>
      <c r="D357" s="57">
        <v>0</v>
      </c>
      <c r="F357" s="57">
        <v>0.73399999999999999</v>
      </c>
      <c r="G357" s="57">
        <v>0.30399999999999999</v>
      </c>
      <c r="H357" s="57">
        <v>0.106</v>
      </c>
      <c r="I357" s="57">
        <v>3.5999999999999997E-2</v>
      </c>
      <c r="J357" s="57">
        <v>2.58</v>
      </c>
      <c r="K357" s="33">
        <f>AVERAGE(1.07,1.18,0.97,0.94)</f>
        <v>1.04</v>
      </c>
    </row>
    <row r="358" spans="1:11" x14ac:dyDescent="0.2">
      <c r="A358" s="57" t="s">
        <v>59</v>
      </c>
      <c r="B358" s="57">
        <v>2093</v>
      </c>
      <c r="C358" s="57">
        <v>2</v>
      </c>
      <c r="D358" s="57">
        <v>1</v>
      </c>
      <c r="F358" s="57">
        <v>1.2649999999999999</v>
      </c>
      <c r="G358" s="57">
        <v>0.81899999999999995</v>
      </c>
      <c r="H358" s="57">
        <v>0.31900000000000001</v>
      </c>
      <c r="I358" s="57">
        <v>0.184</v>
      </c>
      <c r="J358" s="57">
        <v>6.25</v>
      </c>
      <c r="K358" s="33">
        <f>AVERAGE(1.77,1.65,1.51,1.76)</f>
        <v>1.6724999999999999</v>
      </c>
    </row>
    <row r="359" spans="1:11" x14ac:dyDescent="0.2">
      <c r="A359" s="57" t="s">
        <v>59</v>
      </c>
      <c r="B359" s="57">
        <v>2028</v>
      </c>
      <c r="C359" s="57">
        <v>2</v>
      </c>
      <c r="D359" s="57">
        <v>1</v>
      </c>
      <c r="F359" s="57">
        <v>3.1760000000000002</v>
      </c>
      <c r="G359" s="57">
        <v>1.631</v>
      </c>
      <c r="H359" s="57">
        <v>0.187</v>
      </c>
      <c r="I359" s="57">
        <v>7.9000000000000001E-2</v>
      </c>
      <c r="J359" s="57">
        <v>3.96</v>
      </c>
      <c r="K359" s="33">
        <f>AVERAGE(1.24,1.23,1.22,1.23)</f>
        <v>1.23</v>
      </c>
    </row>
    <row r="360" spans="1:11" x14ac:dyDescent="0.2">
      <c r="A360" s="57" t="s">
        <v>141</v>
      </c>
      <c r="B360" s="57">
        <v>2086</v>
      </c>
      <c r="C360" s="57">
        <v>2</v>
      </c>
      <c r="D360" s="57">
        <v>0</v>
      </c>
      <c r="F360" s="57">
        <v>0.96299999999999997</v>
      </c>
      <c r="G360" s="57">
        <v>0.35699999999999998</v>
      </c>
      <c r="H360" s="57">
        <v>0.192</v>
      </c>
      <c r="I360" s="57">
        <v>7.0000000000000007E-2</v>
      </c>
      <c r="J360" s="57">
        <v>3.07</v>
      </c>
      <c r="K360" s="33">
        <f>AVERAGE(1.16,1.44,1.33,1.21)</f>
        <v>1.2849999999999999</v>
      </c>
    </row>
    <row r="361" spans="1:11" x14ac:dyDescent="0.2">
      <c r="A361" s="57" t="s">
        <v>59</v>
      </c>
      <c r="B361" s="57">
        <v>2092</v>
      </c>
      <c r="C361" s="57">
        <v>1</v>
      </c>
      <c r="D361" s="57">
        <v>1</v>
      </c>
      <c r="F361" s="57">
        <v>0.38500000000000001</v>
      </c>
      <c r="G361" s="57">
        <v>0.23699999999999999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</row>
    <row r="362" spans="1:11" x14ac:dyDescent="0.2">
      <c r="A362" s="57" t="s">
        <v>141</v>
      </c>
      <c r="B362" s="57">
        <v>2013</v>
      </c>
      <c r="C362" s="57">
        <v>2</v>
      </c>
      <c r="D362" s="57">
        <v>0</v>
      </c>
      <c r="F362" s="57">
        <v>0.34</v>
      </c>
      <c r="G362" s="57">
        <v>0.126</v>
      </c>
      <c r="H362" s="57">
        <v>1.7999999999999999E-2</v>
      </c>
      <c r="I362" s="57">
        <v>6.0000000000000001E-3</v>
      </c>
      <c r="J362" s="57">
        <v>0.57999999999999996</v>
      </c>
      <c r="K362" s="57" t="s">
        <v>60</v>
      </c>
    </row>
    <row r="363" spans="1:11" x14ac:dyDescent="0.2">
      <c r="A363" s="57" t="s">
        <v>141</v>
      </c>
      <c r="B363" s="57">
        <v>2088</v>
      </c>
      <c r="C363" s="57">
        <v>1</v>
      </c>
      <c r="D363" s="57">
        <v>0</v>
      </c>
      <c r="F363" s="57">
        <v>0.26400000000000001</v>
      </c>
      <c r="G363" s="57">
        <v>0.11700000000000001</v>
      </c>
      <c r="H363" s="57">
        <v>3.3000000000000002E-2</v>
      </c>
      <c r="I363" s="57">
        <v>1.2999999999999999E-2</v>
      </c>
      <c r="J363" s="57">
        <v>1.08</v>
      </c>
      <c r="K363" s="33">
        <f>AVERAGE(0.72,0.73,0.82,0.88)</f>
        <v>0.78749999999999998</v>
      </c>
    </row>
    <row r="364" spans="1:11" x14ac:dyDescent="0.2">
      <c r="A364" s="57" t="s">
        <v>59</v>
      </c>
      <c r="B364" s="57">
        <v>2023</v>
      </c>
      <c r="C364" s="57">
        <v>3</v>
      </c>
      <c r="D364" s="57">
        <v>1</v>
      </c>
      <c r="F364" s="57">
        <v>0.98399999999999999</v>
      </c>
      <c r="G364" s="57">
        <v>0.60099999999999998</v>
      </c>
      <c r="H364" s="57">
        <v>0.32900000000000001</v>
      </c>
      <c r="I364" s="57">
        <v>0.182</v>
      </c>
      <c r="J364" s="57">
        <v>6.8</v>
      </c>
      <c r="K364" s="33">
        <f>AVERAGE(1.61,1.61,1.61,1.54)</f>
        <v>1.5925</v>
      </c>
    </row>
    <row r="365" spans="1:11" x14ac:dyDescent="0.2">
      <c r="A365" s="57" t="s">
        <v>141</v>
      </c>
      <c r="B365" s="57">
        <v>2004</v>
      </c>
      <c r="C365" s="57">
        <v>2</v>
      </c>
      <c r="D365" s="57">
        <v>0</v>
      </c>
      <c r="F365" s="57">
        <v>0.95799999999999996</v>
      </c>
      <c r="G365" s="57">
        <v>0.502</v>
      </c>
      <c r="H365" s="57">
        <v>0.184</v>
      </c>
      <c r="I365" s="57">
        <v>8.2000000000000003E-2</v>
      </c>
      <c r="J365" s="57">
        <v>3.34</v>
      </c>
      <c r="K365" s="33">
        <f>AVERAGE(1.27,1.19,1.22,1.19)</f>
        <v>1.2174999999999998</v>
      </c>
    </row>
    <row r="366" spans="1:11" x14ac:dyDescent="0.2">
      <c r="A366" s="57" t="s">
        <v>141</v>
      </c>
      <c r="B366" s="57">
        <v>2090</v>
      </c>
      <c r="C366" s="57">
        <v>2</v>
      </c>
      <c r="D366" s="57">
        <v>0</v>
      </c>
      <c r="F366" s="57">
        <v>0.89200000000000002</v>
      </c>
      <c r="G366" s="57">
        <v>0.36899999999999999</v>
      </c>
      <c r="H366" s="57">
        <v>0.114</v>
      </c>
      <c r="I366" s="57">
        <v>4.2000000000000003E-2</v>
      </c>
      <c r="J366" s="57">
        <v>2.64</v>
      </c>
      <c r="K366" s="33">
        <f>AVERAGE(0.88,1.03,1.01,0.88)</f>
        <v>0.95</v>
      </c>
    </row>
    <row r="367" spans="1:11" x14ac:dyDescent="0.2">
      <c r="A367" s="57" t="s">
        <v>141</v>
      </c>
      <c r="B367" s="57">
        <v>2085</v>
      </c>
      <c r="C367" s="57">
        <v>3</v>
      </c>
      <c r="D367" s="57">
        <v>0</v>
      </c>
      <c r="F367" s="57">
        <v>0.63700000000000001</v>
      </c>
      <c r="G367" s="57">
        <v>0.253</v>
      </c>
      <c r="H367" s="57">
        <v>6.8000000000000005E-2</v>
      </c>
      <c r="I367" s="57">
        <v>2.4E-2</v>
      </c>
      <c r="J367" s="57">
        <v>1.8</v>
      </c>
      <c r="K367" s="33">
        <f>AVERAGE(1.04,1.07,0.98,1.1)</f>
        <v>1.0475000000000001</v>
      </c>
    </row>
    <row r="368" spans="1:11" x14ac:dyDescent="0.2">
      <c r="A368" s="57" t="s">
        <v>141</v>
      </c>
      <c r="B368" s="57">
        <v>2090</v>
      </c>
      <c r="C368" s="57">
        <v>3</v>
      </c>
      <c r="D368" s="57">
        <v>0</v>
      </c>
      <c r="F368" s="57">
        <v>0.51500000000000001</v>
      </c>
      <c r="G368" s="57">
        <v>0.23300000000000001</v>
      </c>
      <c r="H368" s="57">
        <v>6.2E-2</v>
      </c>
      <c r="I368" s="57">
        <v>2.4E-2</v>
      </c>
      <c r="J368" s="57">
        <v>1.6</v>
      </c>
      <c r="K368" s="33">
        <f>AVERAGE(0.83,0.65,0.79,0.64)</f>
        <v>0.72750000000000004</v>
      </c>
    </row>
    <row r="369" spans="1:11" x14ac:dyDescent="0.2">
      <c r="A369" s="57" t="s">
        <v>141</v>
      </c>
      <c r="B369" s="57">
        <v>2015</v>
      </c>
      <c r="C369" s="57">
        <v>2</v>
      </c>
      <c r="D369" s="57">
        <v>0</v>
      </c>
      <c r="F369" s="57">
        <v>0.61899999999999999</v>
      </c>
      <c r="G369" s="57">
        <v>0.29799999999999999</v>
      </c>
      <c r="H369" s="57">
        <v>9.5000000000000001E-2</v>
      </c>
      <c r="I369" s="57">
        <v>3.9E-2</v>
      </c>
      <c r="J369" s="57">
        <v>2.2599999999999998</v>
      </c>
      <c r="K369" s="33">
        <f>AVERAGE(1.01,0.94,0.91,0.89)</f>
        <v>0.9375</v>
      </c>
    </row>
    <row r="370" spans="1:11" x14ac:dyDescent="0.2">
      <c r="A370" s="57" t="s">
        <v>59</v>
      </c>
      <c r="B370" s="57">
        <v>2030</v>
      </c>
      <c r="C370" s="57">
        <v>1</v>
      </c>
      <c r="D370" s="57">
        <v>1</v>
      </c>
      <c r="F370" s="57">
        <v>0.35099999999999998</v>
      </c>
      <c r="G370" s="57">
        <v>0.192</v>
      </c>
      <c r="H370" s="57">
        <v>2.4E-2</v>
      </c>
      <c r="I370" s="57">
        <v>0.01</v>
      </c>
      <c r="J370" s="57">
        <v>1.07</v>
      </c>
      <c r="K370" s="33">
        <f>AVERAGE(0.67,0.66,0.61,0.58)</f>
        <v>0.63</v>
      </c>
    </row>
    <row r="371" spans="1:11" x14ac:dyDescent="0.2">
      <c r="A371" s="57" t="s">
        <v>141</v>
      </c>
      <c r="B371" s="57">
        <v>1478</v>
      </c>
      <c r="C371" s="57">
        <v>1</v>
      </c>
      <c r="D371" s="57">
        <v>0</v>
      </c>
      <c r="F371" s="57">
        <v>0.81699999999999995</v>
      </c>
      <c r="G371" s="57">
        <v>0.27500000000000002</v>
      </c>
      <c r="H371" s="57">
        <v>0.245</v>
      </c>
      <c r="I371" s="57">
        <v>7.0000000000000007E-2</v>
      </c>
      <c r="J371" s="57">
        <v>6.03</v>
      </c>
      <c r="K371" s="33">
        <f>AVERAGE(1.05,0.99,1.07,1.1)</f>
        <v>1.0525000000000002</v>
      </c>
    </row>
    <row r="372" spans="1:11" x14ac:dyDescent="0.2">
      <c r="A372" s="57" t="s">
        <v>141</v>
      </c>
      <c r="B372" s="57">
        <v>2005</v>
      </c>
      <c r="C372" s="57">
        <v>1</v>
      </c>
      <c r="D372" s="57">
        <v>0</v>
      </c>
      <c r="F372" s="57">
        <v>0.97099999999999997</v>
      </c>
      <c r="G372" s="57">
        <v>0.46300000000000002</v>
      </c>
      <c r="H372" s="57">
        <v>0.109</v>
      </c>
      <c r="I372" s="57">
        <v>4.8000000000000001E-2</v>
      </c>
      <c r="J372" s="57">
        <v>2.29</v>
      </c>
      <c r="K372" s="33">
        <f>AVERAGE(0.94,1.01,1.09,1.07)</f>
        <v>1.0275000000000001</v>
      </c>
    </row>
    <row r="373" spans="1:11" x14ac:dyDescent="0.2">
      <c r="A373" s="57" t="s">
        <v>141</v>
      </c>
      <c r="B373" s="57">
        <v>2026</v>
      </c>
      <c r="C373" s="57">
        <v>2</v>
      </c>
      <c r="D373" s="57">
        <v>0</v>
      </c>
      <c r="F373" s="57">
        <v>0.55700000000000005</v>
      </c>
      <c r="G373" s="57">
        <v>0.29599999999999999</v>
      </c>
      <c r="H373" s="57">
        <v>0.107</v>
      </c>
      <c r="I373" s="57">
        <v>5.0999999999999997E-2</v>
      </c>
      <c r="J373" s="57">
        <v>1.9</v>
      </c>
      <c r="K373" s="33">
        <f>AVERAGE(0.88,1.07,0.88,0.96)</f>
        <v>0.94750000000000001</v>
      </c>
    </row>
    <row r="374" spans="1:11" x14ac:dyDescent="0.2">
      <c r="A374" s="57" t="s">
        <v>141</v>
      </c>
      <c r="B374" s="57">
        <v>2006</v>
      </c>
      <c r="C374" s="57">
        <v>2</v>
      </c>
      <c r="D374" s="57">
        <v>0</v>
      </c>
      <c r="F374" s="57">
        <v>0.55300000000000005</v>
      </c>
      <c r="G374" s="57">
        <v>0.27400000000000002</v>
      </c>
      <c r="H374" s="57">
        <v>3.2000000000000001E-2</v>
      </c>
      <c r="I374" s="57">
        <v>1.2999999999999999E-2</v>
      </c>
      <c r="J374" s="57">
        <v>0.84</v>
      </c>
      <c r="K374" s="57" t="s">
        <v>60</v>
      </c>
    </row>
    <row r="375" spans="1:11" x14ac:dyDescent="0.2">
      <c r="A375" s="57" t="s">
        <v>59</v>
      </c>
      <c r="B375" s="57">
        <v>2093</v>
      </c>
      <c r="C375" s="57">
        <v>3</v>
      </c>
      <c r="D375" s="57">
        <v>0</v>
      </c>
      <c r="F375" s="57">
        <v>0.193</v>
      </c>
      <c r="G375" s="57">
        <v>0.121</v>
      </c>
      <c r="H375" s="57">
        <v>0.04</v>
      </c>
      <c r="I375" s="57">
        <v>1.7000000000000001E-2</v>
      </c>
      <c r="J375" s="57">
        <v>0.67</v>
      </c>
      <c r="K375" s="57" t="s">
        <v>60</v>
      </c>
    </row>
    <row r="376" spans="1:11" x14ac:dyDescent="0.2">
      <c r="A376" s="57" t="s">
        <v>141</v>
      </c>
      <c r="B376" s="57">
        <v>2086</v>
      </c>
      <c r="C376" s="57">
        <v>3</v>
      </c>
      <c r="D376" s="57">
        <v>0</v>
      </c>
      <c r="F376" s="57">
        <v>1.1100000000000001</v>
      </c>
      <c r="G376" s="57">
        <v>0.45600000000000002</v>
      </c>
      <c r="H376" s="57">
        <v>9.6000000000000002E-2</v>
      </c>
      <c r="I376" s="57">
        <v>3.6999999999999998E-2</v>
      </c>
      <c r="J376" s="57">
        <v>1.45</v>
      </c>
      <c r="K376" s="57" t="s">
        <v>60</v>
      </c>
    </row>
    <row r="377" spans="1:11" x14ac:dyDescent="0.2">
      <c r="A377" s="57" t="s">
        <v>141</v>
      </c>
      <c r="B377" s="57">
        <v>2015</v>
      </c>
      <c r="C377" s="57">
        <v>1</v>
      </c>
      <c r="D377" s="57">
        <v>0</v>
      </c>
      <c r="F377" s="57">
        <v>0.86699999999999999</v>
      </c>
      <c r="G377" s="57">
        <v>0.41699999999999998</v>
      </c>
      <c r="H377" s="57">
        <v>0.29799999999999999</v>
      </c>
      <c r="I377" s="57">
        <v>0.11600000000000001</v>
      </c>
      <c r="J377" s="57">
        <v>5.98</v>
      </c>
      <c r="K377" s="33">
        <f>AVERAGE(1.33,1.15,1.07,1.3)</f>
        <v>1.2124999999999999</v>
      </c>
    </row>
    <row r="378" spans="1:11" x14ac:dyDescent="0.2">
      <c r="A378" s="57" t="s">
        <v>141</v>
      </c>
      <c r="B378" s="57">
        <v>2024</v>
      </c>
      <c r="C378" s="57">
        <v>3</v>
      </c>
      <c r="D378" s="57">
        <v>0</v>
      </c>
      <c r="F378" s="57">
        <v>0.89800000000000002</v>
      </c>
      <c r="G378" s="57">
        <v>0.48499999999999999</v>
      </c>
      <c r="H378" s="57">
        <v>8.7999999999999995E-2</v>
      </c>
      <c r="I378" s="57">
        <v>0.04</v>
      </c>
      <c r="J378" s="57">
        <v>1.35</v>
      </c>
      <c r="K378" s="33">
        <f>AVERAGE(1.24,1.09,1.05,1.11)</f>
        <v>1.1225000000000001</v>
      </c>
    </row>
    <row r="379" spans="1:11" x14ac:dyDescent="0.2">
      <c r="A379" s="57" t="s">
        <v>147</v>
      </c>
      <c r="B379" s="57">
        <v>2028</v>
      </c>
      <c r="C379" s="57">
        <v>3</v>
      </c>
      <c r="D379" s="57">
        <v>1</v>
      </c>
      <c r="F379" s="57">
        <v>0.86199999999999999</v>
      </c>
      <c r="G379" s="57">
        <v>0.45400000000000001</v>
      </c>
      <c r="H379" s="57">
        <v>5.5E-2</v>
      </c>
      <c r="I379" s="57">
        <v>2.4E-2</v>
      </c>
      <c r="J379" s="57">
        <v>2.5499999999999998</v>
      </c>
      <c r="K379" s="33">
        <f>AVERAGE(0.84,0.89,0.76,0.81)</f>
        <v>0.82500000000000007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7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3984375" customWidth="1"/>
    <col min="2" max="2" width="8.796875" customWidth="1"/>
    <col min="3" max="3" width="7" customWidth="1"/>
    <col min="4" max="5" width="6.796875" customWidth="1"/>
    <col min="6" max="6" width="5.3984375" customWidth="1"/>
    <col min="7" max="7" width="10.796875" customWidth="1"/>
    <col min="8" max="8" width="10.59765625" customWidth="1"/>
    <col min="9" max="9" width="10.3984375" customWidth="1"/>
    <col min="10" max="10" width="9.19921875" customWidth="1"/>
    <col min="11" max="11" width="9.3984375" customWidth="1"/>
    <col min="12" max="12" width="5.796875" customWidth="1"/>
  </cols>
  <sheetData>
    <row r="1" spans="1:27" x14ac:dyDescent="0.2">
      <c r="A1" s="61" t="s">
        <v>140</v>
      </c>
      <c r="B1" s="61" t="s">
        <v>130</v>
      </c>
      <c r="C1" s="61" t="s">
        <v>148</v>
      </c>
      <c r="D1" s="61" t="s">
        <v>149</v>
      </c>
      <c r="E1" s="61" t="s">
        <v>150</v>
      </c>
      <c r="F1" s="61" t="s">
        <v>132</v>
      </c>
      <c r="G1" s="61" t="s">
        <v>151</v>
      </c>
      <c r="H1" s="61" t="s">
        <v>152</v>
      </c>
      <c r="I1" s="61" t="s">
        <v>153</v>
      </c>
      <c r="J1" s="61" t="s">
        <v>154</v>
      </c>
      <c r="K1" s="61" t="s">
        <v>155</v>
      </c>
      <c r="L1" s="61" t="s">
        <v>156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x14ac:dyDescent="0.2">
      <c r="A2" s="63">
        <v>44631</v>
      </c>
      <c r="B2" s="57">
        <v>2383</v>
      </c>
      <c r="C2" s="57" t="s">
        <v>157</v>
      </c>
      <c r="D2" s="57" t="s">
        <v>158</v>
      </c>
      <c r="E2" s="57" t="s">
        <v>159</v>
      </c>
      <c r="F2" s="57">
        <f t="shared" ref="F2:F9" si="0">IF(D2="old",1,0)</f>
        <v>1</v>
      </c>
      <c r="G2" s="57">
        <v>26.317499999999999</v>
      </c>
      <c r="H2" s="57">
        <v>27.842400000000001</v>
      </c>
      <c r="I2" s="57">
        <v>26.891999999999999</v>
      </c>
      <c r="J2" s="33">
        <f t="shared" ref="J2:J256" si="1">H2-G2</f>
        <v>1.5249000000000024</v>
      </c>
      <c r="K2" s="33">
        <f t="shared" ref="K2:K256" si="2">I2-G2</f>
        <v>0.57450000000000045</v>
      </c>
    </row>
    <row r="3" spans="1:27" x14ac:dyDescent="0.2">
      <c r="A3" s="63">
        <v>44635</v>
      </c>
      <c r="B3" s="57">
        <v>2384</v>
      </c>
      <c r="C3" s="57" t="s">
        <v>157</v>
      </c>
      <c r="D3" s="57" t="s">
        <v>158</v>
      </c>
      <c r="E3" s="57" t="s">
        <v>159</v>
      </c>
      <c r="F3" s="57">
        <f t="shared" si="0"/>
        <v>1</v>
      </c>
      <c r="G3" s="57">
        <v>26.575399999999998</v>
      </c>
      <c r="H3" s="57">
        <v>27.321400000000001</v>
      </c>
      <c r="I3" s="57">
        <v>26.950500000000002</v>
      </c>
      <c r="J3" s="33">
        <f t="shared" si="1"/>
        <v>0.74600000000000222</v>
      </c>
      <c r="K3" s="33">
        <f t="shared" si="2"/>
        <v>0.37510000000000332</v>
      </c>
    </row>
    <row r="4" spans="1:27" x14ac:dyDescent="0.2">
      <c r="A4" s="63">
        <v>44631</v>
      </c>
      <c r="B4" s="57">
        <v>2093</v>
      </c>
      <c r="C4" s="57" t="s">
        <v>160</v>
      </c>
      <c r="D4" s="57" t="s">
        <v>158</v>
      </c>
      <c r="E4" s="57" t="s">
        <v>159</v>
      </c>
      <c r="F4" s="57">
        <f t="shared" si="0"/>
        <v>1</v>
      </c>
      <c r="G4" s="57">
        <v>26.715</v>
      </c>
      <c r="H4" s="57">
        <v>28.584099999999999</v>
      </c>
      <c r="I4" s="57">
        <v>27.151499999999999</v>
      </c>
      <c r="J4" s="33">
        <f t="shared" si="1"/>
        <v>1.8690999999999995</v>
      </c>
      <c r="K4" s="33">
        <f t="shared" si="2"/>
        <v>0.43649999999999878</v>
      </c>
    </row>
    <row r="5" spans="1:27" x14ac:dyDescent="0.2">
      <c r="A5" s="63">
        <v>44631</v>
      </c>
      <c r="B5" s="57">
        <v>2007</v>
      </c>
      <c r="C5" s="57" t="s">
        <v>160</v>
      </c>
      <c r="D5" s="57" t="s">
        <v>158</v>
      </c>
      <c r="E5" s="57" t="s">
        <v>159</v>
      </c>
      <c r="F5" s="57">
        <f t="shared" si="0"/>
        <v>1</v>
      </c>
      <c r="G5" s="57">
        <v>25.996400000000001</v>
      </c>
      <c r="H5" s="57">
        <v>27.995799999999999</v>
      </c>
      <c r="I5" s="57">
        <v>26.942699999999999</v>
      </c>
      <c r="J5" s="33">
        <f t="shared" si="1"/>
        <v>1.9993999999999978</v>
      </c>
      <c r="K5" s="33">
        <f t="shared" si="2"/>
        <v>0.94629999999999725</v>
      </c>
    </row>
    <row r="6" spans="1:27" x14ac:dyDescent="0.2">
      <c r="A6" s="63">
        <v>44635</v>
      </c>
      <c r="B6" s="57">
        <v>2352</v>
      </c>
      <c r="C6" s="57" t="s">
        <v>157</v>
      </c>
      <c r="D6" s="57" t="s">
        <v>161</v>
      </c>
      <c r="E6" s="57" t="s">
        <v>159</v>
      </c>
      <c r="F6" s="57">
        <f t="shared" si="0"/>
        <v>0</v>
      </c>
      <c r="G6" s="57">
        <v>26.134899999999998</v>
      </c>
      <c r="H6" s="57">
        <v>27.369800000000001</v>
      </c>
      <c r="I6" s="57">
        <v>26.6372</v>
      </c>
      <c r="J6" s="33">
        <f t="shared" si="1"/>
        <v>1.2349000000000032</v>
      </c>
      <c r="K6" s="33">
        <f t="shared" si="2"/>
        <v>0.50230000000000175</v>
      </c>
    </row>
    <row r="7" spans="1:27" x14ac:dyDescent="0.2">
      <c r="A7" s="63">
        <v>44628</v>
      </c>
      <c r="B7" s="57">
        <v>2381</v>
      </c>
      <c r="C7" s="57" t="s">
        <v>157</v>
      </c>
      <c r="D7" s="57" t="s">
        <v>161</v>
      </c>
      <c r="E7" s="57" t="s">
        <v>159</v>
      </c>
      <c r="F7" s="57">
        <f t="shared" si="0"/>
        <v>0</v>
      </c>
      <c r="G7" s="57">
        <v>26.363499999999998</v>
      </c>
      <c r="H7" s="57">
        <v>26.72</v>
      </c>
      <c r="I7" s="57">
        <v>26.648299999999999</v>
      </c>
      <c r="J7" s="33">
        <f t="shared" si="1"/>
        <v>0.35650000000000048</v>
      </c>
      <c r="K7" s="33">
        <f t="shared" si="2"/>
        <v>0.28480000000000061</v>
      </c>
    </row>
    <row r="8" spans="1:27" x14ac:dyDescent="0.2">
      <c r="A8" s="63">
        <v>44631</v>
      </c>
      <c r="B8" s="57">
        <v>2389</v>
      </c>
      <c r="C8" s="57" t="s">
        <v>160</v>
      </c>
      <c r="D8" s="57" t="s">
        <v>161</v>
      </c>
      <c r="E8" s="57" t="s">
        <v>162</v>
      </c>
      <c r="F8" s="57">
        <f t="shared" si="0"/>
        <v>0</v>
      </c>
      <c r="G8" s="57">
        <v>27.102499999999999</v>
      </c>
      <c r="H8" s="57">
        <v>31.121400000000001</v>
      </c>
      <c r="I8" s="57">
        <v>29.342099999999999</v>
      </c>
      <c r="J8" s="33">
        <f t="shared" si="1"/>
        <v>4.0189000000000021</v>
      </c>
      <c r="K8" s="33">
        <f t="shared" si="2"/>
        <v>2.2395999999999994</v>
      </c>
    </row>
    <row r="9" spans="1:27" x14ac:dyDescent="0.2">
      <c r="A9" s="63">
        <v>44628</v>
      </c>
      <c r="B9" s="57">
        <v>2378</v>
      </c>
      <c r="C9" s="57" t="s">
        <v>160</v>
      </c>
      <c r="D9" s="57" t="s">
        <v>161</v>
      </c>
      <c r="E9" s="57" t="s">
        <v>159</v>
      </c>
      <c r="F9" s="57">
        <f t="shared" si="0"/>
        <v>0</v>
      </c>
      <c r="G9" s="57">
        <v>26.532699999999998</v>
      </c>
      <c r="H9" s="57">
        <v>26.762899999999998</v>
      </c>
      <c r="I9" s="57">
        <v>26.7742</v>
      </c>
      <c r="J9" s="33">
        <f t="shared" si="1"/>
        <v>0.23019999999999996</v>
      </c>
      <c r="K9" s="33">
        <f t="shared" si="2"/>
        <v>0.24150000000000205</v>
      </c>
    </row>
    <row r="10" spans="1:27" x14ac:dyDescent="0.2">
      <c r="A10" s="63">
        <v>44635</v>
      </c>
      <c r="B10" s="57">
        <v>2092</v>
      </c>
      <c r="C10" s="57" t="s">
        <v>157</v>
      </c>
      <c r="D10" s="57" t="s">
        <v>158</v>
      </c>
      <c r="E10" s="57" t="s">
        <v>159</v>
      </c>
      <c r="F10" s="57">
        <v>2</v>
      </c>
      <c r="G10" s="57">
        <v>26.153500000000001</v>
      </c>
      <c r="H10" s="57">
        <v>27.6492</v>
      </c>
      <c r="I10" s="57">
        <v>26.995799999999999</v>
      </c>
      <c r="J10" s="33">
        <f t="shared" si="1"/>
        <v>1.4956999999999994</v>
      </c>
      <c r="K10" s="33">
        <f t="shared" si="2"/>
        <v>0.84229999999999805</v>
      </c>
    </row>
    <row r="11" spans="1:27" x14ac:dyDescent="0.2">
      <c r="A11" s="63">
        <v>44631</v>
      </c>
      <c r="B11" s="57">
        <v>2004</v>
      </c>
      <c r="C11" s="57" t="s">
        <v>157</v>
      </c>
      <c r="D11" s="57" t="s">
        <v>158</v>
      </c>
      <c r="E11" s="57" t="s">
        <v>159</v>
      </c>
      <c r="F11" s="57">
        <f t="shared" ref="F11:F17" si="3">IF(D11="old",1,0)</f>
        <v>1</v>
      </c>
      <c r="G11" s="57">
        <v>27.343599999999999</v>
      </c>
      <c r="H11" s="57">
        <v>29.4057</v>
      </c>
      <c r="I11" s="57">
        <v>28.3781</v>
      </c>
      <c r="J11" s="33">
        <f t="shared" si="1"/>
        <v>2.0621000000000009</v>
      </c>
      <c r="K11" s="33">
        <f t="shared" si="2"/>
        <v>1.0345000000000013</v>
      </c>
    </row>
    <row r="12" spans="1:27" x14ac:dyDescent="0.2">
      <c r="A12" s="63">
        <v>44628</v>
      </c>
      <c r="B12" s="57">
        <v>2382</v>
      </c>
      <c r="C12" s="57" t="s">
        <v>157</v>
      </c>
      <c r="D12" s="57" t="s">
        <v>161</v>
      </c>
      <c r="E12" s="57" t="s">
        <v>159</v>
      </c>
      <c r="F12" s="57">
        <f t="shared" si="3"/>
        <v>0</v>
      </c>
      <c r="G12" s="57">
        <v>26.164300000000001</v>
      </c>
      <c r="H12" s="57">
        <v>27.642099999999999</v>
      </c>
      <c r="I12" s="57">
        <v>26.5199</v>
      </c>
      <c r="J12" s="33">
        <f t="shared" si="1"/>
        <v>1.4777999999999984</v>
      </c>
      <c r="K12" s="33">
        <f t="shared" si="2"/>
        <v>0.35559999999999903</v>
      </c>
    </row>
    <row r="13" spans="1:27" x14ac:dyDescent="0.2">
      <c r="A13" s="63">
        <v>44635</v>
      </c>
      <c r="B13" s="57">
        <v>2023</v>
      </c>
      <c r="C13" s="57" t="s">
        <v>157</v>
      </c>
      <c r="D13" s="57" t="s">
        <v>161</v>
      </c>
      <c r="E13" s="57" t="s">
        <v>159</v>
      </c>
      <c r="F13" s="57">
        <f t="shared" si="3"/>
        <v>0</v>
      </c>
      <c r="G13" s="57">
        <v>26.3751</v>
      </c>
      <c r="H13" s="57">
        <v>27.3233</v>
      </c>
      <c r="I13" s="57">
        <v>26.597999999999999</v>
      </c>
      <c r="J13" s="33">
        <f t="shared" si="1"/>
        <v>0.94819999999999993</v>
      </c>
      <c r="K13" s="33">
        <f t="shared" si="2"/>
        <v>0.22289999999999921</v>
      </c>
    </row>
    <row r="14" spans="1:27" x14ac:dyDescent="0.2">
      <c r="A14" s="63">
        <v>44628</v>
      </c>
      <c r="B14" s="57">
        <v>2382</v>
      </c>
      <c r="C14" s="57" t="s">
        <v>160</v>
      </c>
      <c r="D14" s="57" t="s">
        <v>161</v>
      </c>
      <c r="E14" s="57" t="s">
        <v>159</v>
      </c>
      <c r="F14" s="57">
        <f t="shared" si="3"/>
        <v>0</v>
      </c>
      <c r="G14" s="57">
        <v>26.2638</v>
      </c>
      <c r="H14" s="57">
        <v>27.7422</v>
      </c>
      <c r="I14" s="57">
        <v>26.7896</v>
      </c>
      <c r="J14" s="33">
        <f t="shared" si="1"/>
        <v>1.4784000000000006</v>
      </c>
      <c r="K14" s="33">
        <f t="shared" si="2"/>
        <v>0.52580000000000027</v>
      </c>
    </row>
    <row r="15" spans="1:27" x14ac:dyDescent="0.2">
      <c r="A15" s="63">
        <v>44635</v>
      </c>
      <c r="B15" s="57">
        <v>2022</v>
      </c>
      <c r="C15" s="57" t="s">
        <v>157</v>
      </c>
      <c r="D15" s="57" t="s">
        <v>158</v>
      </c>
      <c r="E15" s="57" t="s">
        <v>159</v>
      </c>
      <c r="F15" s="57">
        <f t="shared" si="3"/>
        <v>1</v>
      </c>
      <c r="G15" s="57">
        <v>25.5854</v>
      </c>
      <c r="H15" s="57">
        <v>27.1343</v>
      </c>
      <c r="I15" s="57">
        <v>26.173200000000001</v>
      </c>
      <c r="J15" s="33">
        <f t="shared" si="1"/>
        <v>1.5488999999999997</v>
      </c>
      <c r="K15" s="33">
        <f t="shared" si="2"/>
        <v>0.58780000000000143</v>
      </c>
    </row>
    <row r="16" spans="1:27" x14ac:dyDescent="0.2">
      <c r="A16" s="63">
        <v>44628</v>
      </c>
      <c r="B16" s="57">
        <v>2377</v>
      </c>
      <c r="C16" s="57" t="s">
        <v>160</v>
      </c>
      <c r="D16" s="57" t="s">
        <v>161</v>
      </c>
      <c r="E16" s="57" t="s">
        <v>159</v>
      </c>
      <c r="F16" s="57">
        <f t="shared" si="3"/>
        <v>0</v>
      </c>
      <c r="G16" s="57">
        <v>25.911799999999999</v>
      </c>
      <c r="H16" s="57">
        <v>26.7742</v>
      </c>
      <c r="I16" s="57">
        <v>26.2059</v>
      </c>
      <c r="J16" s="33">
        <f t="shared" si="1"/>
        <v>0.86240000000000094</v>
      </c>
      <c r="K16" s="33">
        <f t="shared" si="2"/>
        <v>0.29410000000000025</v>
      </c>
    </row>
    <row r="17" spans="1:11" x14ac:dyDescent="0.2">
      <c r="A17" s="63">
        <v>44635</v>
      </c>
      <c r="B17" s="57">
        <v>2024</v>
      </c>
      <c r="C17" s="57" t="s">
        <v>157</v>
      </c>
      <c r="D17" s="57" t="s">
        <v>161</v>
      </c>
      <c r="E17" s="57" t="s">
        <v>159</v>
      </c>
      <c r="F17" s="57">
        <f t="shared" si="3"/>
        <v>0</v>
      </c>
      <c r="G17" s="57">
        <v>25.502199999999998</v>
      </c>
      <c r="H17" s="57">
        <v>26.775099999999998</v>
      </c>
      <c r="I17" s="57">
        <v>26</v>
      </c>
      <c r="J17" s="33">
        <f t="shared" si="1"/>
        <v>1.2728999999999999</v>
      </c>
      <c r="K17" s="33">
        <f t="shared" si="2"/>
        <v>0.49780000000000157</v>
      </c>
    </row>
    <row r="18" spans="1:11" x14ac:dyDescent="0.2">
      <c r="A18" s="63">
        <v>44635</v>
      </c>
      <c r="B18" s="57">
        <v>2091</v>
      </c>
      <c r="C18" s="57" t="s">
        <v>157</v>
      </c>
      <c r="D18" s="57" t="s">
        <v>158</v>
      </c>
      <c r="E18" s="57" t="s">
        <v>159</v>
      </c>
      <c r="F18" s="57">
        <v>2</v>
      </c>
      <c r="G18" s="57">
        <v>26.593800000000002</v>
      </c>
      <c r="H18" s="57">
        <v>27.2196</v>
      </c>
      <c r="I18" s="57">
        <v>27.206099999999999</v>
      </c>
      <c r="J18" s="33">
        <f t="shared" si="1"/>
        <v>0.62579999999999814</v>
      </c>
      <c r="K18" s="33">
        <f t="shared" si="2"/>
        <v>0.61229999999999762</v>
      </c>
    </row>
    <row r="19" spans="1:11" x14ac:dyDescent="0.2">
      <c r="A19" s="63">
        <v>44635</v>
      </c>
      <c r="B19" s="57">
        <v>2383</v>
      </c>
      <c r="C19" s="57" t="s">
        <v>157</v>
      </c>
      <c r="D19" s="57" t="s">
        <v>158</v>
      </c>
      <c r="E19" s="57" t="s">
        <v>159</v>
      </c>
      <c r="F19" s="57">
        <f t="shared" ref="F19:F73" si="4">IF(D19="old",1,0)</f>
        <v>1</v>
      </c>
      <c r="G19" s="57">
        <v>26.559799999999999</v>
      </c>
      <c r="H19" s="57">
        <v>27.023800000000001</v>
      </c>
      <c r="I19" s="57">
        <v>27.052399999999999</v>
      </c>
      <c r="J19" s="33">
        <f t="shared" si="1"/>
        <v>0.46400000000000219</v>
      </c>
      <c r="K19" s="33">
        <f t="shared" si="2"/>
        <v>0.49259999999999948</v>
      </c>
    </row>
    <row r="20" spans="1:11" x14ac:dyDescent="0.2">
      <c r="A20" s="63">
        <v>44631</v>
      </c>
      <c r="B20" s="57">
        <v>2027</v>
      </c>
      <c r="C20" s="57" t="s">
        <v>160</v>
      </c>
      <c r="D20" s="57" t="s">
        <v>158</v>
      </c>
      <c r="E20" s="57" t="s">
        <v>159</v>
      </c>
      <c r="F20" s="57">
        <f t="shared" si="4"/>
        <v>1</v>
      </c>
      <c r="G20" s="57">
        <v>26.638300000000001</v>
      </c>
      <c r="H20" s="57">
        <v>28.2547</v>
      </c>
      <c r="I20" s="57">
        <v>27.4146</v>
      </c>
      <c r="J20" s="33">
        <f t="shared" si="1"/>
        <v>1.6163999999999987</v>
      </c>
      <c r="K20" s="33">
        <f t="shared" si="2"/>
        <v>0.7762999999999991</v>
      </c>
    </row>
    <row r="21" spans="1:11" x14ac:dyDescent="0.2">
      <c r="A21" s="63">
        <v>44628</v>
      </c>
      <c r="B21" s="57">
        <v>2380</v>
      </c>
      <c r="C21" s="57" t="s">
        <v>157</v>
      </c>
      <c r="D21" s="57" t="s">
        <v>158</v>
      </c>
      <c r="E21" s="57" t="s">
        <v>162</v>
      </c>
      <c r="F21" s="57">
        <f t="shared" si="4"/>
        <v>1</v>
      </c>
      <c r="G21" s="57">
        <v>26.170300000000001</v>
      </c>
      <c r="H21" s="57">
        <v>34.219099999999997</v>
      </c>
      <c r="I21" s="57">
        <v>30.810300000000002</v>
      </c>
      <c r="J21" s="33">
        <f t="shared" si="1"/>
        <v>8.0487999999999964</v>
      </c>
      <c r="K21" s="33">
        <f t="shared" si="2"/>
        <v>4.6400000000000006</v>
      </c>
    </row>
    <row r="22" spans="1:11" x14ac:dyDescent="0.2">
      <c r="A22" s="63">
        <v>44628</v>
      </c>
      <c r="B22" s="57">
        <v>2381</v>
      </c>
      <c r="C22" s="57" t="s">
        <v>160</v>
      </c>
      <c r="D22" s="57" t="s">
        <v>158</v>
      </c>
      <c r="E22" s="57" t="s">
        <v>159</v>
      </c>
      <c r="F22" s="57">
        <f t="shared" si="4"/>
        <v>1</v>
      </c>
      <c r="G22" s="57">
        <v>26.436399999999999</v>
      </c>
      <c r="H22" s="57">
        <v>29.177600000000002</v>
      </c>
      <c r="I22" s="57">
        <v>27.7775</v>
      </c>
      <c r="J22" s="33">
        <f t="shared" si="1"/>
        <v>2.7412000000000027</v>
      </c>
      <c r="K22" s="33">
        <f t="shared" si="2"/>
        <v>1.3411000000000008</v>
      </c>
    </row>
    <row r="23" spans="1:11" x14ac:dyDescent="0.2">
      <c r="A23" s="63">
        <v>44631</v>
      </c>
      <c r="B23" s="57">
        <v>2004</v>
      </c>
      <c r="C23" s="57" t="s">
        <v>157</v>
      </c>
      <c r="D23" s="57" t="s">
        <v>161</v>
      </c>
      <c r="E23" s="57" t="s">
        <v>159</v>
      </c>
      <c r="F23" s="57">
        <f t="shared" si="4"/>
        <v>0</v>
      </c>
      <c r="G23" s="57">
        <v>26.083100000000002</v>
      </c>
      <c r="H23" s="57">
        <v>26.821999999999999</v>
      </c>
      <c r="I23" s="57">
        <v>26.289899999999999</v>
      </c>
      <c r="J23" s="33">
        <f t="shared" si="1"/>
        <v>0.73889999999999745</v>
      </c>
      <c r="K23" s="33">
        <f t="shared" si="2"/>
        <v>0.20679999999999765</v>
      </c>
    </row>
    <row r="24" spans="1:11" x14ac:dyDescent="0.2">
      <c r="A24" s="63">
        <v>44631</v>
      </c>
      <c r="B24" s="57">
        <v>2354</v>
      </c>
      <c r="C24" s="57" t="s">
        <v>157</v>
      </c>
      <c r="D24" s="57" t="s">
        <v>161</v>
      </c>
      <c r="E24" s="57" t="s">
        <v>162</v>
      </c>
      <c r="F24" s="57">
        <f t="shared" si="4"/>
        <v>0</v>
      </c>
      <c r="G24" s="57">
        <v>26.1188</v>
      </c>
      <c r="H24" s="57">
        <v>27.624199999999998</v>
      </c>
      <c r="I24" s="57">
        <v>26.553999999999998</v>
      </c>
      <c r="J24" s="33">
        <f t="shared" si="1"/>
        <v>1.5053999999999981</v>
      </c>
      <c r="K24" s="33">
        <f t="shared" si="2"/>
        <v>0.43519999999999825</v>
      </c>
    </row>
    <row r="25" spans="1:11" x14ac:dyDescent="0.2">
      <c r="A25" s="63">
        <v>44635</v>
      </c>
      <c r="B25" s="57">
        <v>2025</v>
      </c>
      <c r="C25" s="57" t="s">
        <v>157</v>
      </c>
      <c r="D25" s="57" t="s">
        <v>158</v>
      </c>
      <c r="E25" s="57" t="s">
        <v>159</v>
      </c>
      <c r="F25" s="57">
        <f t="shared" si="4"/>
        <v>1</v>
      </c>
      <c r="G25" s="57">
        <v>25.916499999999999</v>
      </c>
      <c r="H25" s="57">
        <v>27.5443</v>
      </c>
      <c r="I25" s="57">
        <v>26.719200000000001</v>
      </c>
      <c r="J25" s="33">
        <f t="shared" si="1"/>
        <v>1.6278000000000006</v>
      </c>
      <c r="K25" s="33">
        <f t="shared" si="2"/>
        <v>0.80270000000000152</v>
      </c>
    </row>
    <row r="26" spans="1:11" x14ac:dyDescent="0.2">
      <c r="A26" s="63">
        <v>44631</v>
      </c>
      <c r="B26" s="57">
        <v>2020</v>
      </c>
      <c r="C26" s="57" t="s">
        <v>160</v>
      </c>
      <c r="D26" s="57" t="s">
        <v>158</v>
      </c>
      <c r="E26" s="57" t="s">
        <v>159</v>
      </c>
      <c r="F26" s="57">
        <f t="shared" si="4"/>
        <v>1</v>
      </c>
      <c r="G26" s="57">
        <v>26.114599999999999</v>
      </c>
      <c r="H26" s="57">
        <v>27.750599999999999</v>
      </c>
      <c r="I26" s="57">
        <v>26.891100000000002</v>
      </c>
      <c r="J26" s="33">
        <f t="shared" si="1"/>
        <v>1.6359999999999992</v>
      </c>
      <c r="K26" s="33">
        <f t="shared" si="2"/>
        <v>0.77650000000000219</v>
      </c>
    </row>
    <row r="27" spans="1:11" x14ac:dyDescent="0.2">
      <c r="A27" s="63">
        <v>44635</v>
      </c>
      <c r="B27" s="57">
        <v>2020</v>
      </c>
      <c r="C27" s="57" t="s">
        <v>157</v>
      </c>
      <c r="D27" s="57" t="s">
        <v>158</v>
      </c>
      <c r="E27" s="57" t="s">
        <v>159</v>
      </c>
      <c r="F27" s="57">
        <f t="shared" si="4"/>
        <v>1</v>
      </c>
      <c r="G27" s="57">
        <v>25.281700000000001</v>
      </c>
      <c r="H27" s="57">
        <v>27.282699999999998</v>
      </c>
      <c r="I27" s="57">
        <v>25.988800000000001</v>
      </c>
      <c r="J27" s="33">
        <f t="shared" si="1"/>
        <v>2.0009999999999977</v>
      </c>
      <c r="K27" s="33">
        <f t="shared" si="2"/>
        <v>0.70710000000000051</v>
      </c>
    </row>
    <row r="28" spans="1:11" x14ac:dyDescent="0.2">
      <c r="A28" s="63">
        <v>44628</v>
      </c>
      <c r="B28" s="57">
        <v>2377</v>
      </c>
      <c r="C28" s="57" t="s">
        <v>160</v>
      </c>
      <c r="D28" s="57" t="s">
        <v>158</v>
      </c>
      <c r="E28" s="57" t="s">
        <v>159</v>
      </c>
      <c r="F28" s="57">
        <f t="shared" si="4"/>
        <v>1</v>
      </c>
      <c r="G28" s="57">
        <v>26.318300000000001</v>
      </c>
      <c r="H28" s="57">
        <v>27.6221</v>
      </c>
      <c r="I28" s="57">
        <v>27.044599999999999</v>
      </c>
      <c r="J28" s="33">
        <f t="shared" si="1"/>
        <v>1.303799999999999</v>
      </c>
      <c r="K28" s="33">
        <f t="shared" si="2"/>
        <v>0.72629999999999839</v>
      </c>
    </row>
    <row r="29" spans="1:11" x14ac:dyDescent="0.2">
      <c r="A29" s="63">
        <v>44631</v>
      </c>
      <c r="B29" s="57">
        <v>2004</v>
      </c>
      <c r="C29" s="57" t="s">
        <v>157</v>
      </c>
      <c r="D29" s="57" t="s">
        <v>161</v>
      </c>
      <c r="E29" s="57" t="s">
        <v>162</v>
      </c>
      <c r="F29" s="57">
        <f t="shared" si="4"/>
        <v>0</v>
      </c>
      <c r="G29" s="57">
        <v>26.507899999999999</v>
      </c>
      <c r="H29" s="57">
        <v>30.8444</v>
      </c>
      <c r="I29" s="57">
        <v>27.8247</v>
      </c>
      <c r="J29" s="33">
        <f t="shared" si="1"/>
        <v>4.3365000000000009</v>
      </c>
      <c r="K29" s="33">
        <f t="shared" si="2"/>
        <v>1.3168000000000006</v>
      </c>
    </row>
    <row r="30" spans="1:11" x14ac:dyDescent="0.2">
      <c r="A30" s="63">
        <v>44628</v>
      </c>
      <c r="B30" s="57">
        <v>2378</v>
      </c>
      <c r="C30" s="57" t="s">
        <v>160</v>
      </c>
      <c r="D30" s="57" t="s">
        <v>161</v>
      </c>
      <c r="E30" s="57" t="s">
        <v>162</v>
      </c>
      <c r="F30" s="57">
        <f t="shared" si="4"/>
        <v>0</v>
      </c>
      <c r="G30" s="57">
        <v>26.115600000000001</v>
      </c>
      <c r="H30" s="57">
        <v>31.939800000000002</v>
      </c>
      <c r="I30" s="57">
        <v>28.3978</v>
      </c>
      <c r="J30" s="33">
        <f t="shared" si="1"/>
        <v>5.8242000000000012</v>
      </c>
      <c r="K30" s="33">
        <f t="shared" si="2"/>
        <v>2.2821999999999996</v>
      </c>
    </row>
    <row r="31" spans="1:11" x14ac:dyDescent="0.2">
      <c r="A31" s="63">
        <v>44628</v>
      </c>
      <c r="B31" s="57">
        <v>2007</v>
      </c>
      <c r="C31" s="57" t="s">
        <v>160</v>
      </c>
      <c r="D31" s="57" t="s">
        <v>161</v>
      </c>
      <c r="E31" s="57" t="s">
        <v>159</v>
      </c>
      <c r="F31" s="57">
        <f t="shared" si="4"/>
        <v>0</v>
      </c>
      <c r="G31" s="57">
        <v>26.235900000000001</v>
      </c>
      <c r="H31" s="57">
        <v>27.275400000000001</v>
      </c>
      <c r="I31" s="57">
        <v>26.6218</v>
      </c>
      <c r="J31" s="33">
        <f t="shared" si="1"/>
        <v>1.0395000000000003</v>
      </c>
      <c r="K31" s="33">
        <f t="shared" si="2"/>
        <v>0.38589999999999947</v>
      </c>
    </row>
    <row r="32" spans="1:11" x14ac:dyDescent="0.2">
      <c r="A32" s="63">
        <v>44635</v>
      </c>
      <c r="B32" s="57">
        <v>2092</v>
      </c>
      <c r="C32" s="57" t="s">
        <v>157</v>
      </c>
      <c r="D32" s="57" t="s">
        <v>161</v>
      </c>
      <c r="E32" s="57" t="s">
        <v>162</v>
      </c>
      <c r="F32" s="57">
        <f t="shared" si="4"/>
        <v>0</v>
      </c>
      <c r="G32" s="57">
        <v>26.295200000000001</v>
      </c>
      <c r="H32" s="57">
        <v>39.591099999999997</v>
      </c>
      <c r="I32" s="57">
        <v>29.3156</v>
      </c>
      <c r="J32" s="33">
        <f t="shared" si="1"/>
        <v>13.295899999999996</v>
      </c>
      <c r="K32" s="33">
        <f t="shared" si="2"/>
        <v>3.0203999999999986</v>
      </c>
    </row>
    <row r="33" spans="1:11" x14ac:dyDescent="0.2">
      <c r="A33" s="63">
        <v>44631</v>
      </c>
      <c r="B33" s="57">
        <v>2383</v>
      </c>
      <c r="C33" s="57" t="s">
        <v>157</v>
      </c>
      <c r="D33" s="57" t="s">
        <v>161</v>
      </c>
      <c r="E33" s="57" t="s">
        <v>162</v>
      </c>
      <c r="F33" s="57">
        <f t="shared" si="4"/>
        <v>0</v>
      </c>
      <c r="G33" s="57">
        <v>26.591000000000001</v>
      </c>
      <c r="H33" s="57">
        <v>32.874499999999998</v>
      </c>
      <c r="I33" s="57">
        <v>28.8415</v>
      </c>
      <c r="J33" s="33">
        <f t="shared" si="1"/>
        <v>6.2834999999999965</v>
      </c>
      <c r="K33" s="33">
        <f t="shared" si="2"/>
        <v>2.2504999999999988</v>
      </c>
    </row>
    <row r="34" spans="1:11" x14ac:dyDescent="0.2">
      <c r="A34" s="63">
        <v>44628</v>
      </c>
      <c r="B34" s="57">
        <v>2345</v>
      </c>
      <c r="C34" s="57" t="s">
        <v>157</v>
      </c>
      <c r="D34" s="57" t="s">
        <v>158</v>
      </c>
      <c r="E34" s="57" t="s">
        <v>162</v>
      </c>
      <c r="F34" s="57">
        <f t="shared" si="4"/>
        <v>1</v>
      </c>
      <c r="G34" s="57">
        <v>26.293600000000001</v>
      </c>
      <c r="H34" s="57">
        <v>35.796500000000002</v>
      </c>
      <c r="I34" s="57">
        <v>31.415500000000002</v>
      </c>
      <c r="J34" s="33">
        <f t="shared" si="1"/>
        <v>9.5029000000000003</v>
      </c>
      <c r="K34" s="33">
        <f t="shared" si="2"/>
        <v>5.1219000000000001</v>
      </c>
    </row>
    <row r="35" spans="1:11" x14ac:dyDescent="0.2">
      <c r="A35" s="63">
        <v>44631</v>
      </c>
      <c r="B35" s="57">
        <v>2379</v>
      </c>
      <c r="C35" s="57" t="s">
        <v>157</v>
      </c>
      <c r="D35" s="57" t="s">
        <v>161</v>
      </c>
      <c r="E35" s="57" t="s">
        <v>159</v>
      </c>
      <c r="F35" s="57">
        <f t="shared" si="4"/>
        <v>0</v>
      </c>
      <c r="G35" s="57">
        <v>26.008600000000001</v>
      </c>
      <c r="H35" s="57">
        <v>26.758400000000002</v>
      </c>
      <c r="I35" s="57">
        <v>26.271100000000001</v>
      </c>
      <c r="J35" s="33">
        <f t="shared" si="1"/>
        <v>0.74980000000000047</v>
      </c>
      <c r="K35" s="33">
        <f t="shared" si="2"/>
        <v>0.26249999999999929</v>
      </c>
    </row>
    <row r="36" spans="1:11" x14ac:dyDescent="0.2">
      <c r="A36" s="63">
        <v>44628</v>
      </c>
      <c r="B36" s="57">
        <v>2384</v>
      </c>
      <c r="C36" s="57" t="s">
        <v>157</v>
      </c>
      <c r="D36" s="57" t="s">
        <v>161</v>
      </c>
      <c r="E36" s="57" t="s">
        <v>162</v>
      </c>
      <c r="F36" s="57">
        <f t="shared" si="4"/>
        <v>0</v>
      </c>
      <c r="G36" s="57">
        <v>26.284099999999999</v>
      </c>
      <c r="H36" s="57">
        <v>32.672199999999997</v>
      </c>
      <c r="I36" s="57">
        <v>28.404299999999999</v>
      </c>
      <c r="J36" s="33">
        <f t="shared" si="1"/>
        <v>6.3880999999999979</v>
      </c>
      <c r="K36" s="33">
        <f t="shared" si="2"/>
        <v>2.1202000000000005</v>
      </c>
    </row>
    <row r="37" spans="1:11" x14ac:dyDescent="0.2">
      <c r="A37" s="63">
        <v>44631</v>
      </c>
      <c r="B37" s="57">
        <v>2004</v>
      </c>
      <c r="C37" s="57" t="s">
        <v>160</v>
      </c>
      <c r="D37" s="57" t="s">
        <v>161</v>
      </c>
      <c r="E37" s="57" t="s">
        <v>162</v>
      </c>
      <c r="F37" s="57">
        <f t="shared" si="4"/>
        <v>0</v>
      </c>
      <c r="G37" s="57">
        <v>26.160399999999999</v>
      </c>
      <c r="H37" s="57">
        <v>39.171399999999998</v>
      </c>
      <c r="I37" s="57">
        <v>30.988800000000001</v>
      </c>
      <c r="J37" s="33">
        <f t="shared" si="1"/>
        <v>13.010999999999999</v>
      </c>
      <c r="K37" s="33">
        <f t="shared" si="2"/>
        <v>4.828400000000002</v>
      </c>
    </row>
    <row r="38" spans="1:11" x14ac:dyDescent="0.2">
      <c r="A38" s="63">
        <v>44628</v>
      </c>
      <c r="B38" s="57">
        <v>2380</v>
      </c>
      <c r="C38" s="57" t="s">
        <v>157</v>
      </c>
      <c r="D38" s="57" t="s">
        <v>161</v>
      </c>
      <c r="E38" s="57" t="s">
        <v>162</v>
      </c>
      <c r="F38" s="57">
        <f t="shared" si="4"/>
        <v>0</v>
      </c>
      <c r="G38" s="57">
        <v>25.598199999999999</v>
      </c>
      <c r="H38" s="57">
        <v>31.034099999999999</v>
      </c>
      <c r="I38" s="57">
        <v>27.294699999999999</v>
      </c>
      <c r="J38" s="33">
        <f t="shared" si="1"/>
        <v>5.4359000000000002</v>
      </c>
      <c r="K38" s="33">
        <f t="shared" si="2"/>
        <v>1.6965000000000003</v>
      </c>
    </row>
    <row r="39" spans="1:11" x14ac:dyDescent="0.2">
      <c r="A39" s="63">
        <v>44635</v>
      </c>
      <c r="B39" s="57">
        <v>2382</v>
      </c>
      <c r="C39" s="57" t="s">
        <v>157</v>
      </c>
      <c r="D39" s="57" t="s">
        <v>161</v>
      </c>
      <c r="E39" s="57" t="s">
        <v>159</v>
      </c>
      <c r="F39" s="57">
        <f t="shared" si="4"/>
        <v>0</v>
      </c>
      <c r="G39" s="57">
        <v>25.7013</v>
      </c>
      <c r="H39" s="57">
        <v>26.169499999999999</v>
      </c>
      <c r="I39" s="57">
        <v>25.895499999999998</v>
      </c>
      <c r="J39" s="33">
        <f t="shared" si="1"/>
        <v>0.46819999999999951</v>
      </c>
      <c r="K39" s="33">
        <f t="shared" si="2"/>
        <v>0.1941999999999986</v>
      </c>
    </row>
    <row r="40" spans="1:11" x14ac:dyDescent="0.2">
      <c r="A40" s="63">
        <v>44628</v>
      </c>
      <c r="B40" s="57">
        <v>2380</v>
      </c>
      <c r="C40" s="57" t="s">
        <v>157</v>
      </c>
      <c r="D40" s="57" t="s">
        <v>161</v>
      </c>
      <c r="E40" s="57" t="s">
        <v>159</v>
      </c>
      <c r="F40" s="57">
        <f t="shared" si="4"/>
        <v>0</v>
      </c>
      <c r="G40" s="57">
        <v>25.822500000000002</v>
      </c>
      <c r="H40" s="57">
        <v>27.353400000000001</v>
      </c>
      <c r="I40" s="57">
        <v>26.1374</v>
      </c>
      <c r="J40" s="33">
        <f t="shared" si="1"/>
        <v>1.530899999999999</v>
      </c>
      <c r="K40" s="33">
        <f t="shared" si="2"/>
        <v>0.31489999999999796</v>
      </c>
    </row>
    <row r="41" spans="1:11" x14ac:dyDescent="0.2">
      <c r="A41" s="63">
        <v>44635</v>
      </c>
      <c r="B41" s="57">
        <v>2021</v>
      </c>
      <c r="C41" s="57" t="s">
        <v>157</v>
      </c>
      <c r="D41" s="57" t="s">
        <v>161</v>
      </c>
      <c r="E41" s="57" t="s">
        <v>159</v>
      </c>
      <c r="F41" s="57">
        <f t="shared" si="4"/>
        <v>0</v>
      </c>
      <c r="G41" s="57">
        <v>26.177600000000002</v>
      </c>
      <c r="H41" s="57">
        <v>26.6586</v>
      </c>
      <c r="I41" s="57">
        <v>26.365100000000002</v>
      </c>
      <c r="J41" s="33">
        <f t="shared" si="1"/>
        <v>0.4809999999999981</v>
      </c>
      <c r="K41" s="33">
        <f t="shared" si="2"/>
        <v>0.1875</v>
      </c>
    </row>
    <row r="42" spans="1:11" x14ac:dyDescent="0.2">
      <c r="A42" s="63">
        <v>44631</v>
      </c>
      <c r="B42" s="57">
        <v>2006</v>
      </c>
      <c r="C42" s="57" t="s">
        <v>160</v>
      </c>
      <c r="D42" s="57" t="s">
        <v>161</v>
      </c>
      <c r="E42" s="57" t="s">
        <v>159</v>
      </c>
      <c r="F42" s="57">
        <f t="shared" si="4"/>
        <v>0</v>
      </c>
      <c r="G42" s="57">
        <v>26.695</v>
      </c>
      <c r="H42" s="57">
        <v>28.1281</v>
      </c>
      <c r="I42" s="57">
        <v>27.055599999999998</v>
      </c>
      <c r="J42" s="33">
        <f t="shared" si="1"/>
        <v>1.4330999999999996</v>
      </c>
      <c r="K42" s="33">
        <f t="shared" si="2"/>
        <v>0.36059999999999803</v>
      </c>
    </row>
    <row r="43" spans="1:11" x14ac:dyDescent="0.2">
      <c r="A43" s="63">
        <v>44635</v>
      </c>
      <c r="B43" s="57">
        <v>2021</v>
      </c>
      <c r="C43" s="57" t="s">
        <v>157</v>
      </c>
      <c r="D43" s="57" t="s">
        <v>161</v>
      </c>
      <c r="E43" s="57" t="s">
        <v>162</v>
      </c>
      <c r="F43" s="57">
        <f t="shared" si="4"/>
        <v>0</v>
      </c>
      <c r="G43" s="57">
        <v>26.310099999999998</v>
      </c>
      <c r="H43" s="57">
        <v>32.462499999999999</v>
      </c>
      <c r="I43" s="57">
        <v>28.7163</v>
      </c>
      <c r="J43" s="33">
        <f t="shared" si="1"/>
        <v>6.1524000000000001</v>
      </c>
      <c r="K43" s="33">
        <f t="shared" si="2"/>
        <v>2.4062000000000019</v>
      </c>
    </row>
    <row r="44" spans="1:11" x14ac:dyDescent="0.2">
      <c r="A44" s="63">
        <v>44631</v>
      </c>
      <c r="B44" s="57">
        <v>2025</v>
      </c>
      <c r="C44" s="57" t="s">
        <v>160</v>
      </c>
      <c r="D44" s="57" t="s">
        <v>161</v>
      </c>
      <c r="E44" s="57" t="s">
        <v>162</v>
      </c>
      <c r="F44" s="57">
        <f t="shared" si="4"/>
        <v>0</v>
      </c>
      <c r="G44" s="57">
        <v>25.7883</v>
      </c>
      <c r="H44" s="57">
        <v>37.146500000000003</v>
      </c>
      <c r="I44" s="57">
        <v>30.88</v>
      </c>
      <c r="J44" s="33">
        <f t="shared" si="1"/>
        <v>11.358200000000004</v>
      </c>
      <c r="K44" s="33">
        <f t="shared" si="2"/>
        <v>5.0916999999999994</v>
      </c>
    </row>
    <row r="45" spans="1:11" x14ac:dyDescent="0.2">
      <c r="A45" s="63">
        <v>44628</v>
      </c>
      <c r="B45" s="57">
        <v>2377</v>
      </c>
      <c r="C45" s="57" t="s">
        <v>157</v>
      </c>
      <c r="D45" s="57" t="s">
        <v>161</v>
      </c>
      <c r="E45" s="57" t="s">
        <v>159</v>
      </c>
      <c r="F45" s="57">
        <f t="shared" si="4"/>
        <v>0</v>
      </c>
      <c r="G45" s="57">
        <v>25.875499999999999</v>
      </c>
      <c r="H45" s="57">
        <v>26.424900000000001</v>
      </c>
      <c r="I45" s="57">
        <v>25.954799999999999</v>
      </c>
      <c r="J45" s="33">
        <f t="shared" si="1"/>
        <v>0.54940000000000211</v>
      </c>
      <c r="K45" s="33">
        <f t="shared" si="2"/>
        <v>7.9299999999999926E-2</v>
      </c>
    </row>
    <row r="46" spans="1:11" x14ac:dyDescent="0.2">
      <c r="A46" s="63">
        <v>44628</v>
      </c>
      <c r="B46" s="57">
        <v>2381</v>
      </c>
      <c r="C46" s="57" t="s">
        <v>157</v>
      </c>
      <c r="D46" s="57" t="s">
        <v>158</v>
      </c>
      <c r="E46" s="57" t="s">
        <v>159</v>
      </c>
      <c r="F46" s="57">
        <f t="shared" si="4"/>
        <v>1</v>
      </c>
      <c r="G46" s="57">
        <v>26.424299999999999</v>
      </c>
      <c r="H46" s="57">
        <v>33.275300000000001</v>
      </c>
      <c r="I46" s="57">
        <v>30.069400000000002</v>
      </c>
      <c r="J46" s="33">
        <f t="shared" si="1"/>
        <v>6.8510000000000026</v>
      </c>
      <c r="K46" s="33">
        <f t="shared" si="2"/>
        <v>3.6451000000000029</v>
      </c>
    </row>
    <row r="47" spans="1:11" x14ac:dyDescent="0.2">
      <c r="A47" s="63">
        <v>44631</v>
      </c>
      <c r="B47" s="57">
        <v>2023</v>
      </c>
      <c r="C47" s="57" t="s">
        <v>160</v>
      </c>
      <c r="D47" s="57" t="s">
        <v>158</v>
      </c>
      <c r="E47" s="57" t="s">
        <v>162</v>
      </c>
      <c r="F47" s="57">
        <f t="shared" si="4"/>
        <v>1</v>
      </c>
      <c r="G47" s="57">
        <v>26.188400000000001</v>
      </c>
      <c r="H47" s="57">
        <v>35.081699999999998</v>
      </c>
      <c r="I47" s="57">
        <v>31.372599999999998</v>
      </c>
      <c r="J47" s="33">
        <f t="shared" si="1"/>
        <v>8.8932999999999964</v>
      </c>
      <c r="K47" s="33">
        <f t="shared" si="2"/>
        <v>5.184199999999997</v>
      </c>
    </row>
    <row r="48" spans="1:11" x14ac:dyDescent="0.2">
      <c r="A48" s="63">
        <v>44631</v>
      </c>
      <c r="B48" s="57">
        <v>2379</v>
      </c>
      <c r="C48" s="57" t="s">
        <v>157</v>
      </c>
      <c r="D48" s="57" t="s">
        <v>158</v>
      </c>
      <c r="E48" s="57" t="s">
        <v>159</v>
      </c>
      <c r="F48" s="57">
        <f t="shared" si="4"/>
        <v>1</v>
      </c>
      <c r="G48" s="57">
        <v>26.195399999999999</v>
      </c>
      <c r="H48" s="57">
        <v>29.529</v>
      </c>
      <c r="I48" s="57">
        <v>27.918299999999999</v>
      </c>
      <c r="J48" s="33">
        <f t="shared" si="1"/>
        <v>3.3336000000000006</v>
      </c>
      <c r="K48" s="33">
        <f t="shared" si="2"/>
        <v>1.7228999999999992</v>
      </c>
    </row>
    <row r="49" spans="1:11" x14ac:dyDescent="0.2">
      <c r="A49" s="63">
        <v>44631</v>
      </c>
      <c r="B49" s="57">
        <v>2005</v>
      </c>
      <c r="C49" s="57" t="s">
        <v>157</v>
      </c>
      <c r="D49" s="57" t="s">
        <v>158</v>
      </c>
      <c r="E49" s="57" t="s">
        <v>159</v>
      </c>
      <c r="F49" s="57">
        <f t="shared" si="4"/>
        <v>1</v>
      </c>
      <c r="G49" s="57">
        <v>26.650600000000001</v>
      </c>
      <c r="H49" s="57">
        <v>28.6965</v>
      </c>
      <c r="I49" s="57">
        <v>27.857500000000002</v>
      </c>
      <c r="J49" s="33">
        <f t="shared" si="1"/>
        <v>2.0458999999999996</v>
      </c>
      <c r="K49" s="33">
        <f t="shared" si="2"/>
        <v>1.206900000000001</v>
      </c>
    </row>
    <row r="50" spans="1:11" x14ac:dyDescent="0.2">
      <c r="A50" s="63">
        <v>44635</v>
      </c>
      <c r="B50" s="57">
        <v>2027</v>
      </c>
      <c r="C50" s="57" t="s">
        <v>157</v>
      </c>
      <c r="D50" s="57" t="s">
        <v>158</v>
      </c>
      <c r="E50" s="57" t="s">
        <v>159</v>
      </c>
      <c r="F50" s="57">
        <f t="shared" si="4"/>
        <v>1</v>
      </c>
      <c r="G50" s="57">
        <v>25.769600000000001</v>
      </c>
      <c r="H50" s="57">
        <v>26.398099999999999</v>
      </c>
      <c r="I50" s="57">
        <v>26.248999999999999</v>
      </c>
      <c r="J50" s="33">
        <f t="shared" si="1"/>
        <v>0.62849999999999895</v>
      </c>
      <c r="K50" s="33">
        <f t="shared" si="2"/>
        <v>0.47939999999999827</v>
      </c>
    </row>
    <row r="51" spans="1:11" x14ac:dyDescent="0.2">
      <c r="A51" s="63">
        <v>44631</v>
      </c>
      <c r="B51" s="57">
        <v>2354</v>
      </c>
      <c r="C51" s="57" t="s">
        <v>157</v>
      </c>
      <c r="D51" s="57" t="s">
        <v>158</v>
      </c>
      <c r="E51" s="57" t="s">
        <v>159</v>
      </c>
      <c r="F51" s="57">
        <f t="shared" si="4"/>
        <v>1</v>
      </c>
      <c r="G51" s="57">
        <v>25.661100000000001</v>
      </c>
      <c r="H51" s="57">
        <v>26.056699999999999</v>
      </c>
      <c r="I51" s="57">
        <v>26.020499999999998</v>
      </c>
      <c r="J51" s="33">
        <f t="shared" si="1"/>
        <v>0.39559999999999818</v>
      </c>
      <c r="K51" s="33">
        <f t="shared" si="2"/>
        <v>0.35939999999999728</v>
      </c>
    </row>
    <row r="52" spans="1:11" x14ac:dyDescent="0.2">
      <c r="A52" s="63">
        <v>44631</v>
      </c>
      <c r="B52" s="57">
        <v>2027</v>
      </c>
      <c r="C52" s="57" t="s">
        <v>160</v>
      </c>
      <c r="D52" s="57" t="s">
        <v>78</v>
      </c>
      <c r="E52" s="57" t="s">
        <v>159</v>
      </c>
      <c r="F52" s="57">
        <f t="shared" si="4"/>
        <v>0</v>
      </c>
      <c r="G52" s="57">
        <v>26.192900000000002</v>
      </c>
      <c r="H52" s="57">
        <v>26.527000000000001</v>
      </c>
      <c r="I52" s="57">
        <v>26.477599999999999</v>
      </c>
      <c r="J52" s="33">
        <f t="shared" si="1"/>
        <v>0.3340999999999994</v>
      </c>
      <c r="K52" s="33">
        <f t="shared" si="2"/>
        <v>0.28469999999999729</v>
      </c>
    </row>
    <row r="53" spans="1:11" x14ac:dyDescent="0.2">
      <c r="A53" s="63">
        <v>44628</v>
      </c>
      <c r="B53" s="57">
        <v>2345</v>
      </c>
      <c r="C53" s="57" t="s">
        <v>160</v>
      </c>
      <c r="D53" s="57" t="s">
        <v>158</v>
      </c>
      <c r="E53" s="57" t="s">
        <v>162</v>
      </c>
      <c r="F53" s="57">
        <f t="shared" si="4"/>
        <v>1</v>
      </c>
      <c r="G53" s="57">
        <v>26.129000000000001</v>
      </c>
      <c r="H53" s="57">
        <v>33.267600000000002</v>
      </c>
      <c r="I53" s="57">
        <v>30.1496</v>
      </c>
      <c r="J53" s="33">
        <f t="shared" si="1"/>
        <v>7.1386000000000003</v>
      </c>
      <c r="K53" s="33">
        <f t="shared" si="2"/>
        <v>4.0205999999999982</v>
      </c>
    </row>
    <row r="54" spans="1:11" x14ac:dyDescent="0.2">
      <c r="A54" s="63">
        <v>44631</v>
      </c>
      <c r="B54" s="57">
        <v>2093</v>
      </c>
      <c r="C54" s="57" t="s">
        <v>160</v>
      </c>
      <c r="D54" s="57" t="s">
        <v>161</v>
      </c>
      <c r="E54" s="57" t="s">
        <v>159</v>
      </c>
      <c r="F54" s="57">
        <f t="shared" si="4"/>
        <v>0</v>
      </c>
      <c r="G54" s="57">
        <v>26.343599999999999</v>
      </c>
      <c r="H54" s="57">
        <v>26.8612</v>
      </c>
      <c r="I54" s="57">
        <v>26.834499999999998</v>
      </c>
      <c r="J54" s="33">
        <f t="shared" si="1"/>
        <v>0.51760000000000161</v>
      </c>
      <c r="K54" s="33">
        <f t="shared" si="2"/>
        <v>0.49089999999999989</v>
      </c>
    </row>
    <row r="55" spans="1:11" x14ac:dyDescent="0.2">
      <c r="A55" s="63">
        <v>44628</v>
      </c>
      <c r="B55" s="57">
        <v>2376</v>
      </c>
      <c r="C55" s="57" t="s">
        <v>160</v>
      </c>
      <c r="D55" s="57" t="s">
        <v>158</v>
      </c>
      <c r="E55" s="57" t="s">
        <v>162</v>
      </c>
      <c r="F55" s="57">
        <f t="shared" si="4"/>
        <v>1</v>
      </c>
      <c r="G55" s="57">
        <v>26.216799999999999</v>
      </c>
      <c r="H55" s="57">
        <v>33.258899999999997</v>
      </c>
      <c r="I55" s="57">
        <v>30.274899999999999</v>
      </c>
      <c r="J55" s="33">
        <f t="shared" si="1"/>
        <v>7.0420999999999978</v>
      </c>
      <c r="K55" s="33">
        <f t="shared" si="2"/>
        <v>4.0580999999999996</v>
      </c>
    </row>
    <row r="56" spans="1:11" x14ac:dyDescent="0.2">
      <c r="A56" s="63">
        <v>44631</v>
      </c>
      <c r="B56" s="57">
        <v>2331</v>
      </c>
      <c r="C56" s="57" t="s">
        <v>157</v>
      </c>
      <c r="D56" s="57" t="s">
        <v>161</v>
      </c>
      <c r="E56" s="57" t="s">
        <v>162</v>
      </c>
      <c r="F56" s="57">
        <f t="shared" si="4"/>
        <v>0</v>
      </c>
      <c r="G56" s="57">
        <v>26.498899999999999</v>
      </c>
      <c r="H56" s="57">
        <v>26.855899999999998</v>
      </c>
      <c r="I56" s="57">
        <v>26.742000000000001</v>
      </c>
      <c r="J56" s="33">
        <f t="shared" si="1"/>
        <v>0.35699999999999932</v>
      </c>
      <c r="K56" s="33">
        <f t="shared" si="2"/>
        <v>0.24310000000000187</v>
      </c>
    </row>
    <row r="57" spans="1:11" x14ac:dyDescent="0.2">
      <c r="A57" s="63">
        <v>44635</v>
      </c>
      <c r="B57" s="57">
        <v>2020</v>
      </c>
      <c r="C57" s="57" t="s">
        <v>157</v>
      </c>
      <c r="D57" s="57" t="s">
        <v>161</v>
      </c>
      <c r="E57" s="57" t="s">
        <v>159</v>
      </c>
      <c r="F57" s="57">
        <f t="shared" si="4"/>
        <v>0</v>
      </c>
      <c r="G57" s="57">
        <v>25.339300000000001</v>
      </c>
      <c r="H57" s="57">
        <v>25.751799999999999</v>
      </c>
      <c r="I57" s="57">
        <v>25.504300000000001</v>
      </c>
      <c r="J57" s="33">
        <f t="shared" si="1"/>
        <v>0.41249999999999787</v>
      </c>
      <c r="K57" s="33">
        <f t="shared" si="2"/>
        <v>0.16499999999999915</v>
      </c>
    </row>
    <row r="58" spans="1:11" x14ac:dyDescent="0.2">
      <c r="A58" s="63">
        <v>44631</v>
      </c>
      <c r="B58" s="57">
        <v>2331</v>
      </c>
      <c r="C58" s="57" t="s">
        <v>157</v>
      </c>
      <c r="D58" s="57" t="s">
        <v>158</v>
      </c>
      <c r="E58" s="57" t="s">
        <v>162</v>
      </c>
      <c r="F58" s="57">
        <f t="shared" si="4"/>
        <v>1</v>
      </c>
      <c r="G58" s="57">
        <v>26.2989</v>
      </c>
      <c r="H58" s="57">
        <v>31.401599999999998</v>
      </c>
      <c r="I58" s="57">
        <v>29.474699999999999</v>
      </c>
      <c r="J58" s="33">
        <f t="shared" si="1"/>
        <v>5.1026999999999987</v>
      </c>
      <c r="K58" s="33">
        <f t="shared" si="2"/>
        <v>3.1757999999999988</v>
      </c>
    </row>
    <row r="59" spans="1:11" x14ac:dyDescent="0.2">
      <c r="A59" s="63">
        <v>44631</v>
      </c>
      <c r="B59" s="57">
        <v>2024</v>
      </c>
      <c r="C59" s="57" t="s">
        <v>160</v>
      </c>
      <c r="D59" s="57" t="s">
        <v>161</v>
      </c>
      <c r="E59" s="57" t="s">
        <v>162</v>
      </c>
      <c r="F59" s="57">
        <f t="shared" si="4"/>
        <v>0</v>
      </c>
      <c r="G59" s="57">
        <v>26.016500000000001</v>
      </c>
      <c r="H59" s="57">
        <v>35.713200000000001</v>
      </c>
      <c r="I59" s="57">
        <v>29.5932</v>
      </c>
      <c r="J59" s="33">
        <f t="shared" si="1"/>
        <v>9.6966999999999999</v>
      </c>
      <c r="K59" s="33">
        <f t="shared" si="2"/>
        <v>3.5766999999999989</v>
      </c>
    </row>
    <row r="60" spans="1:11" x14ac:dyDescent="0.2">
      <c r="A60" s="63">
        <v>44628</v>
      </c>
      <c r="B60" s="57">
        <v>2352</v>
      </c>
      <c r="C60" s="57" t="s">
        <v>160</v>
      </c>
      <c r="D60" s="57" t="s">
        <v>158</v>
      </c>
      <c r="E60" s="57" t="s">
        <v>159</v>
      </c>
      <c r="F60" s="57">
        <f t="shared" si="4"/>
        <v>1</v>
      </c>
      <c r="G60" s="57">
        <v>26.223800000000001</v>
      </c>
      <c r="H60" s="57">
        <v>27.378399999999999</v>
      </c>
      <c r="I60" s="57">
        <v>26.9895</v>
      </c>
      <c r="J60" s="33">
        <f t="shared" si="1"/>
        <v>1.1545999999999985</v>
      </c>
      <c r="K60" s="33">
        <f t="shared" si="2"/>
        <v>0.76569999999999894</v>
      </c>
    </row>
    <row r="61" spans="1:11" x14ac:dyDescent="0.2">
      <c r="A61" s="63">
        <v>44631</v>
      </c>
      <c r="B61" s="57">
        <v>2007</v>
      </c>
      <c r="C61" s="57" t="s">
        <v>160</v>
      </c>
      <c r="D61" s="57" t="s">
        <v>161</v>
      </c>
      <c r="E61" s="57" t="s">
        <v>162</v>
      </c>
      <c r="F61" s="57">
        <f t="shared" si="4"/>
        <v>0</v>
      </c>
      <c r="G61" s="57">
        <v>26.3613</v>
      </c>
      <c r="H61" s="57">
        <v>36.216099999999997</v>
      </c>
      <c r="I61" s="57">
        <v>30.764700000000001</v>
      </c>
      <c r="J61" s="33">
        <f t="shared" si="1"/>
        <v>9.8547999999999973</v>
      </c>
      <c r="K61" s="33">
        <f t="shared" si="2"/>
        <v>4.4034000000000013</v>
      </c>
    </row>
    <row r="62" spans="1:11" x14ac:dyDescent="0.2">
      <c r="A62" s="63">
        <v>44635</v>
      </c>
      <c r="B62" s="57">
        <v>2383</v>
      </c>
      <c r="C62" s="57" t="s">
        <v>157</v>
      </c>
      <c r="D62" s="57" t="s">
        <v>161</v>
      </c>
      <c r="E62" s="57" t="s">
        <v>162</v>
      </c>
      <c r="F62" s="57">
        <f t="shared" si="4"/>
        <v>0</v>
      </c>
      <c r="G62" s="57">
        <v>25.797699999999999</v>
      </c>
      <c r="H62" s="57">
        <v>31.588699999999999</v>
      </c>
      <c r="I62" s="57">
        <v>28.132999999999999</v>
      </c>
      <c r="J62" s="33">
        <f t="shared" si="1"/>
        <v>5.7910000000000004</v>
      </c>
      <c r="K62" s="33">
        <f t="shared" si="2"/>
        <v>2.3353000000000002</v>
      </c>
    </row>
    <row r="63" spans="1:11" x14ac:dyDescent="0.2">
      <c r="A63" s="63">
        <v>44631</v>
      </c>
      <c r="B63" s="57">
        <v>2007</v>
      </c>
      <c r="C63" s="57" t="s">
        <v>157</v>
      </c>
      <c r="D63" s="57" t="s">
        <v>161</v>
      </c>
      <c r="E63" s="57" t="s">
        <v>159</v>
      </c>
      <c r="F63" s="57">
        <f t="shared" si="4"/>
        <v>0</v>
      </c>
      <c r="G63" s="57">
        <v>26.084399999999999</v>
      </c>
      <c r="H63" s="57">
        <v>27.213000000000001</v>
      </c>
      <c r="I63" s="57">
        <v>26.329000000000001</v>
      </c>
      <c r="J63" s="33">
        <f t="shared" si="1"/>
        <v>1.1286000000000023</v>
      </c>
      <c r="K63" s="33">
        <f t="shared" si="2"/>
        <v>0.24460000000000193</v>
      </c>
    </row>
    <row r="64" spans="1:11" x14ac:dyDescent="0.2">
      <c r="A64" s="63">
        <v>44628</v>
      </c>
      <c r="B64" s="57">
        <v>2377</v>
      </c>
      <c r="C64" s="57" t="s">
        <v>160</v>
      </c>
      <c r="D64" s="57" t="s">
        <v>161</v>
      </c>
      <c r="E64" s="57" t="s">
        <v>162</v>
      </c>
      <c r="F64" s="57">
        <f t="shared" si="4"/>
        <v>0</v>
      </c>
      <c r="G64" s="57">
        <v>26.445799999999998</v>
      </c>
      <c r="H64" s="57">
        <v>33.249499999999998</v>
      </c>
      <c r="I64" s="57">
        <v>28.796800000000001</v>
      </c>
      <c r="J64" s="33">
        <f t="shared" si="1"/>
        <v>6.8036999999999992</v>
      </c>
      <c r="K64" s="33">
        <f t="shared" si="2"/>
        <v>2.3510000000000026</v>
      </c>
    </row>
    <row r="65" spans="1:11" x14ac:dyDescent="0.2">
      <c r="A65" s="63">
        <v>44635</v>
      </c>
      <c r="B65" s="57">
        <v>2024</v>
      </c>
      <c r="C65" s="57" t="s">
        <v>157</v>
      </c>
      <c r="D65" s="57" t="s">
        <v>158</v>
      </c>
      <c r="E65" s="57" t="s">
        <v>159</v>
      </c>
      <c r="F65" s="57">
        <f t="shared" si="4"/>
        <v>1</v>
      </c>
      <c r="G65" s="57">
        <v>25.736899999999999</v>
      </c>
      <c r="H65" s="57">
        <v>26.335799999999999</v>
      </c>
      <c r="I65" s="57">
        <v>26.042400000000001</v>
      </c>
      <c r="J65" s="33">
        <f t="shared" si="1"/>
        <v>0.59890000000000043</v>
      </c>
      <c r="K65" s="33">
        <f t="shared" si="2"/>
        <v>0.3055000000000021</v>
      </c>
    </row>
    <row r="66" spans="1:11" x14ac:dyDescent="0.2">
      <c r="A66" s="63">
        <v>44631</v>
      </c>
      <c r="B66" s="57">
        <v>2331</v>
      </c>
      <c r="C66" s="57" t="s">
        <v>157</v>
      </c>
      <c r="D66" s="57" t="s">
        <v>158</v>
      </c>
      <c r="E66" s="57" t="s">
        <v>159</v>
      </c>
      <c r="F66" s="57">
        <f t="shared" si="4"/>
        <v>1</v>
      </c>
      <c r="G66" s="57">
        <v>26.486000000000001</v>
      </c>
      <c r="H66" s="57">
        <v>27.872699999999998</v>
      </c>
      <c r="I66" s="57">
        <v>27.065999999999999</v>
      </c>
      <c r="J66" s="33">
        <f t="shared" si="1"/>
        <v>1.3866999999999976</v>
      </c>
      <c r="K66" s="33">
        <f t="shared" si="2"/>
        <v>0.57999999999999829</v>
      </c>
    </row>
    <row r="67" spans="1:11" x14ac:dyDescent="0.2">
      <c r="A67" s="63">
        <v>44628</v>
      </c>
      <c r="B67" s="57">
        <v>2377</v>
      </c>
      <c r="C67" s="57" t="s">
        <v>160</v>
      </c>
      <c r="D67" s="57" t="s">
        <v>158</v>
      </c>
      <c r="E67" s="57" t="s">
        <v>162</v>
      </c>
      <c r="F67" s="57">
        <f t="shared" si="4"/>
        <v>1</v>
      </c>
      <c r="G67" s="57">
        <v>25.921099999999999</v>
      </c>
      <c r="H67" s="57">
        <v>29.3996</v>
      </c>
      <c r="I67" s="57">
        <v>27.771699999999999</v>
      </c>
      <c r="J67" s="33">
        <f t="shared" si="1"/>
        <v>3.4785000000000004</v>
      </c>
      <c r="K67" s="33">
        <f t="shared" si="2"/>
        <v>1.8506</v>
      </c>
    </row>
    <row r="68" spans="1:11" x14ac:dyDescent="0.2">
      <c r="A68" s="63">
        <v>44631</v>
      </c>
      <c r="B68" s="57">
        <v>2093</v>
      </c>
      <c r="C68" s="57" t="s">
        <v>160</v>
      </c>
      <c r="D68" s="57" t="s">
        <v>161</v>
      </c>
      <c r="E68" s="57" t="s">
        <v>162</v>
      </c>
      <c r="F68" s="57">
        <f t="shared" si="4"/>
        <v>0</v>
      </c>
      <c r="G68" s="57">
        <v>26.409800000000001</v>
      </c>
      <c r="H68" s="57">
        <v>32.148800000000001</v>
      </c>
      <c r="I68" s="57">
        <v>29.713100000000001</v>
      </c>
      <c r="J68" s="33">
        <f t="shared" si="1"/>
        <v>5.7390000000000008</v>
      </c>
      <c r="K68" s="33">
        <f t="shared" si="2"/>
        <v>3.3033000000000001</v>
      </c>
    </row>
    <row r="69" spans="1:11" x14ac:dyDescent="0.2">
      <c r="A69" s="63">
        <v>44631</v>
      </c>
      <c r="B69" s="57">
        <v>2005</v>
      </c>
      <c r="C69" s="57" t="s">
        <v>157</v>
      </c>
      <c r="D69" s="57" t="s">
        <v>161</v>
      </c>
      <c r="E69" s="57" t="s">
        <v>159</v>
      </c>
      <c r="F69" s="57">
        <f t="shared" si="4"/>
        <v>0</v>
      </c>
      <c r="G69" s="57">
        <v>26.351500000000001</v>
      </c>
      <c r="H69" s="57">
        <v>27.357600000000001</v>
      </c>
      <c r="I69" s="57">
        <v>26.643999999999998</v>
      </c>
      <c r="J69" s="33">
        <f t="shared" si="1"/>
        <v>1.0061</v>
      </c>
      <c r="K69" s="33">
        <f t="shared" si="2"/>
        <v>0.29249999999999687</v>
      </c>
    </row>
    <row r="70" spans="1:11" x14ac:dyDescent="0.2">
      <c r="A70" s="63">
        <v>44631</v>
      </c>
      <c r="B70" s="57">
        <v>2006</v>
      </c>
      <c r="C70" s="57" t="s">
        <v>160</v>
      </c>
      <c r="D70" s="57" t="s">
        <v>158</v>
      </c>
      <c r="E70" s="57" t="s">
        <v>159</v>
      </c>
      <c r="F70" s="57">
        <f t="shared" si="4"/>
        <v>1</v>
      </c>
      <c r="G70" s="57">
        <v>26.208600000000001</v>
      </c>
      <c r="H70" s="57">
        <v>27.450399999999998</v>
      </c>
      <c r="I70" s="57">
        <v>26.863600000000002</v>
      </c>
      <c r="J70" s="33">
        <f t="shared" si="1"/>
        <v>1.2417999999999978</v>
      </c>
      <c r="K70" s="33">
        <f t="shared" si="2"/>
        <v>0.65500000000000114</v>
      </c>
    </row>
    <row r="71" spans="1:11" x14ac:dyDescent="0.2">
      <c r="A71" s="63">
        <v>44631</v>
      </c>
      <c r="B71" s="57">
        <v>2007</v>
      </c>
      <c r="C71" s="57" t="s">
        <v>157</v>
      </c>
      <c r="D71" s="57" t="s">
        <v>161</v>
      </c>
      <c r="E71" s="57" t="s">
        <v>162</v>
      </c>
      <c r="F71" s="57">
        <f t="shared" si="4"/>
        <v>0</v>
      </c>
      <c r="G71" s="57">
        <v>26.743600000000001</v>
      </c>
      <c r="H71" s="57">
        <v>33.578400000000002</v>
      </c>
      <c r="I71" s="57">
        <v>29.172899999999998</v>
      </c>
      <c r="J71" s="33">
        <f t="shared" si="1"/>
        <v>6.8348000000000013</v>
      </c>
      <c r="K71" s="33">
        <f t="shared" si="2"/>
        <v>2.4292999999999978</v>
      </c>
    </row>
    <row r="72" spans="1:11" x14ac:dyDescent="0.2">
      <c r="A72" s="63">
        <v>44628</v>
      </c>
      <c r="B72" s="57">
        <v>2366</v>
      </c>
      <c r="C72" s="57" t="s">
        <v>157</v>
      </c>
      <c r="D72" s="57" t="s">
        <v>161</v>
      </c>
      <c r="E72" s="57" t="s">
        <v>159</v>
      </c>
      <c r="F72" s="57">
        <f t="shared" si="4"/>
        <v>0</v>
      </c>
      <c r="G72" s="57">
        <v>26.408000000000001</v>
      </c>
      <c r="H72" s="57">
        <v>27.131</v>
      </c>
      <c r="I72" s="57">
        <v>26.642600000000002</v>
      </c>
      <c r="J72" s="33">
        <f t="shared" si="1"/>
        <v>0.72299999999999898</v>
      </c>
      <c r="K72" s="33">
        <f t="shared" si="2"/>
        <v>0.23460000000000036</v>
      </c>
    </row>
    <row r="73" spans="1:11" x14ac:dyDescent="0.2">
      <c r="A73" s="63">
        <v>44631</v>
      </c>
      <c r="B73" s="57">
        <v>2006</v>
      </c>
      <c r="C73" s="57" t="s">
        <v>157</v>
      </c>
      <c r="D73" s="57" t="s">
        <v>161</v>
      </c>
      <c r="E73" s="57" t="s">
        <v>159</v>
      </c>
      <c r="F73" s="57">
        <f t="shared" si="4"/>
        <v>0</v>
      </c>
      <c r="G73" s="57">
        <v>26.825399999999998</v>
      </c>
      <c r="H73" s="57">
        <v>27.328800000000001</v>
      </c>
      <c r="I73" s="57">
        <v>26.992899999999999</v>
      </c>
      <c r="J73" s="33">
        <f t="shared" si="1"/>
        <v>0.50340000000000273</v>
      </c>
      <c r="K73" s="33">
        <f t="shared" si="2"/>
        <v>0.16750000000000043</v>
      </c>
    </row>
    <row r="74" spans="1:11" x14ac:dyDescent="0.2">
      <c r="A74" s="63">
        <v>44635</v>
      </c>
      <c r="B74" s="57">
        <v>2089</v>
      </c>
      <c r="C74" s="57" t="s">
        <v>157</v>
      </c>
      <c r="D74" s="57" t="s">
        <v>158</v>
      </c>
      <c r="E74" s="57" t="s">
        <v>159</v>
      </c>
      <c r="F74" s="57">
        <v>2</v>
      </c>
      <c r="G74" s="57">
        <v>25.931899999999999</v>
      </c>
      <c r="H74" s="57">
        <v>26.970099999999999</v>
      </c>
      <c r="I74" s="57">
        <v>26.529900000000001</v>
      </c>
      <c r="J74" s="33">
        <f t="shared" si="1"/>
        <v>1.0381999999999998</v>
      </c>
      <c r="K74" s="33">
        <f t="shared" si="2"/>
        <v>0.59800000000000253</v>
      </c>
    </row>
    <row r="75" spans="1:11" x14ac:dyDescent="0.2">
      <c r="A75" s="63">
        <v>44635</v>
      </c>
      <c r="B75" s="57">
        <v>2384</v>
      </c>
      <c r="C75" s="57" t="s">
        <v>157</v>
      </c>
      <c r="D75" s="57" t="s">
        <v>161</v>
      </c>
      <c r="E75" s="57" t="s">
        <v>159</v>
      </c>
      <c r="F75" s="57">
        <f t="shared" ref="F75:F90" si="5">IF(D75="old",1,0)</f>
        <v>0</v>
      </c>
      <c r="G75" s="57">
        <v>26.164000000000001</v>
      </c>
      <c r="H75" s="57">
        <v>26.8352</v>
      </c>
      <c r="I75" s="57">
        <v>26.4191</v>
      </c>
      <c r="J75" s="33">
        <f t="shared" si="1"/>
        <v>0.67119999999999891</v>
      </c>
      <c r="K75" s="33">
        <f t="shared" si="2"/>
        <v>0.25509999999999877</v>
      </c>
    </row>
    <row r="76" spans="1:11" x14ac:dyDescent="0.2">
      <c r="A76" s="63">
        <v>44628</v>
      </c>
      <c r="B76" s="57">
        <v>2331</v>
      </c>
      <c r="C76" s="57" t="s">
        <v>160</v>
      </c>
      <c r="D76" s="57" t="s">
        <v>161</v>
      </c>
      <c r="E76" s="57" t="s">
        <v>162</v>
      </c>
      <c r="F76" s="57">
        <f t="shared" si="5"/>
        <v>0</v>
      </c>
      <c r="G76" s="57">
        <v>26.174600000000002</v>
      </c>
      <c r="H76" s="57">
        <v>26.0016</v>
      </c>
      <c r="I76" s="57">
        <v>26.275099999999998</v>
      </c>
      <c r="J76" s="33">
        <f t="shared" si="1"/>
        <v>-0.17300000000000182</v>
      </c>
      <c r="K76" s="33">
        <f t="shared" si="2"/>
        <v>0.1004999999999967</v>
      </c>
    </row>
    <row r="77" spans="1:11" x14ac:dyDescent="0.2">
      <c r="A77" s="63">
        <v>44631</v>
      </c>
      <c r="B77" s="57">
        <v>2005</v>
      </c>
      <c r="C77" s="57" t="s">
        <v>157</v>
      </c>
      <c r="D77" s="57" t="s">
        <v>161</v>
      </c>
      <c r="E77" s="57" t="s">
        <v>162</v>
      </c>
      <c r="F77" s="57">
        <f t="shared" si="5"/>
        <v>0</v>
      </c>
      <c r="G77" s="57">
        <v>26.228400000000001</v>
      </c>
      <c r="H77" s="57">
        <v>35.0762</v>
      </c>
      <c r="I77" s="57">
        <v>29.0243</v>
      </c>
      <c r="J77" s="33">
        <f t="shared" si="1"/>
        <v>8.8477999999999994</v>
      </c>
      <c r="K77" s="33">
        <f t="shared" si="2"/>
        <v>2.7958999999999996</v>
      </c>
    </row>
    <row r="78" spans="1:11" x14ac:dyDescent="0.2">
      <c r="A78" s="63">
        <v>44628</v>
      </c>
      <c r="B78" s="57">
        <v>2381</v>
      </c>
      <c r="C78" s="57" t="s">
        <v>160</v>
      </c>
      <c r="D78" s="57" t="s">
        <v>161</v>
      </c>
      <c r="E78" s="57" t="s">
        <v>162</v>
      </c>
      <c r="F78" s="57">
        <f t="shared" si="5"/>
        <v>0</v>
      </c>
      <c r="G78" s="57">
        <v>26.0106</v>
      </c>
      <c r="H78" s="57">
        <v>37.551400000000001</v>
      </c>
      <c r="I78" s="57">
        <v>30.087199999999999</v>
      </c>
      <c r="J78" s="33">
        <f t="shared" si="1"/>
        <v>11.540800000000001</v>
      </c>
      <c r="K78" s="33">
        <f t="shared" si="2"/>
        <v>4.0765999999999991</v>
      </c>
    </row>
    <row r="79" spans="1:11" x14ac:dyDescent="0.2">
      <c r="A79" s="63">
        <v>44635</v>
      </c>
      <c r="B79" s="57">
        <v>2022</v>
      </c>
      <c r="C79" s="57" t="s">
        <v>157</v>
      </c>
      <c r="D79" s="57" t="s">
        <v>158</v>
      </c>
      <c r="E79" s="57" t="s">
        <v>162</v>
      </c>
      <c r="F79" s="57">
        <f t="shared" si="5"/>
        <v>1</v>
      </c>
      <c r="G79" s="57">
        <v>25.3551</v>
      </c>
      <c r="H79" s="57">
        <v>31.1877</v>
      </c>
      <c r="I79" s="57">
        <v>28.551500000000001</v>
      </c>
      <c r="J79" s="33">
        <f t="shared" si="1"/>
        <v>5.8325999999999993</v>
      </c>
      <c r="K79" s="33">
        <f t="shared" si="2"/>
        <v>3.1964000000000006</v>
      </c>
    </row>
    <row r="80" spans="1:11" x14ac:dyDescent="0.2">
      <c r="A80" s="63">
        <v>44635</v>
      </c>
      <c r="B80" s="57">
        <v>2093</v>
      </c>
      <c r="C80" s="57" t="s">
        <v>157</v>
      </c>
      <c r="D80" s="57" t="s">
        <v>158</v>
      </c>
      <c r="E80" s="57" t="s">
        <v>162</v>
      </c>
      <c r="F80" s="57">
        <f t="shared" si="5"/>
        <v>1</v>
      </c>
      <c r="G80" s="57">
        <v>26.128799999999998</v>
      </c>
      <c r="H80" s="57">
        <v>32.9861</v>
      </c>
      <c r="I80" s="57">
        <v>29.985199999999999</v>
      </c>
      <c r="J80" s="33">
        <f t="shared" si="1"/>
        <v>6.8573000000000022</v>
      </c>
      <c r="K80" s="33">
        <f t="shared" si="2"/>
        <v>3.8564000000000007</v>
      </c>
    </row>
    <row r="81" spans="1:11" x14ac:dyDescent="0.2">
      <c r="A81" s="63">
        <v>44628</v>
      </c>
      <c r="B81" s="57">
        <v>2352</v>
      </c>
      <c r="C81" s="57" t="s">
        <v>160</v>
      </c>
      <c r="D81" s="57" t="s">
        <v>158</v>
      </c>
      <c r="E81" s="57" t="s">
        <v>162</v>
      </c>
      <c r="F81" s="57">
        <f t="shared" si="5"/>
        <v>1</v>
      </c>
      <c r="G81" s="57">
        <v>26.1602</v>
      </c>
      <c r="H81" s="57">
        <v>29.629200000000001</v>
      </c>
      <c r="I81" s="57">
        <v>28.589600000000001</v>
      </c>
      <c r="J81" s="33">
        <f t="shared" si="1"/>
        <v>3.4690000000000012</v>
      </c>
      <c r="K81" s="33">
        <f t="shared" si="2"/>
        <v>2.4294000000000011</v>
      </c>
    </row>
    <row r="82" spans="1:11" x14ac:dyDescent="0.2">
      <c r="A82" s="63">
        <v>44628</v>
      </c>
      <c r="B82" s="57">
        <v>2366</v>
      </c>
      <c r="C82" s="57" t="s">
        <v>157</v>
      </c>
      <c r="D82" s="57" t="s">
        <v>158</v>
      </c>
      <c r="E82" s="57" t="s">
        <v>159</v>
      </c>
      <c r="F82" s="57">
        <f t="shared" si="5"/>
        <v>1</v>
      </c>
      <c r="G82" s="57">
        <v>25.703099999999999</v>
      </c>
      <c r="H82" s="57">
        <v>32.1357</v>
      </c>
      <c r="I82" s="57">
        <v>29.333300000000001</v>
      </c>
      <c r="J82" s="33">
        <f t="shared" si="1"/>
        <v>6.4326000000000008</v>
      </c>
      <c r="K82" s="33">
        <f t="shared" si="2"/>
        <v>3.6302000000000021</v>
      </c>
    </row>
    <row r="83" spans="1:11" x14ac:dyDescent="0.2">
      <c r="A83" s="63">
        <v>44635</v>
      </c>
      <c r="B83" s="57">
        <v>2092</v>
      </c>
      <c r="C83" s="57" t="s">
        <v>157</v>
      </c>
      <c r="D83" s="57" t="s">
        <v>161</v>
      </c>
      <c r="E83" s="57" t="s">
        <v>159</v>
      </c>
      <c r="F83" s="57">
        <f t="shared" si="5"/>
        <v>0</v>
      </c>
      <c r="G83" s="57">
        <v>26.623100000000001</v>
      </c>
      <c r="H83" s="57">
        <v>26.784700000000001</v>
      </c>
      <c r="I83" s="57">
        <v>26.940899999999999</v>
      </c>
      <c r="J83" s="33">
        <f t="shared" si="1"/>
        <v>0.16159999999999997</v>
      </c>
      <c r="K83" s="33">
        <f t="shared" si="2"/>
        <v>0.31779999999999831</v>
      </c>
    </row>
    <row r="84" spans="1:11" x14ac:dyDescent="0.2">
      <c r="A84" s="63">
        <v>44628</v>
      </c>
      <c r="B84" s="57">
        <v>2382</v>
      </c>
      <c r="C84" s="57" t="s">
        <v>157</v>
      </c>
      <c r="D84" s="57" t="s">
        <v>158</v>
      </c>
      <c r="E84" s="57" t="s">
        <v>159</v>
      </c>
      <c r="F84" s="57">
        <f t="shared" si="5"/>
        <v>1</v>
      </c>
      <c r="G84" s="57">
        <v>26.434200000000001</v>
      </c>
      <c r="H84" s="57">
        <v>26.527000000000001</v>
      </c>
      <c r="I84" s="57">
        <v>26.4955</v>
      </c>
      <c r="J84" s="33">
        <f t="shared" si="1"/>
        <v>9.2800000000000438E-2</v>
      </c>
      <c r="K84" s="33">
        <f t="shared" si="2"/>
        <v>6.1299999999999244E-2</v>
      </c>
    </row>
    <row r="85" spans="1:11" x14ac:dyDescent="0.2">
      <c r="A85" s="63">
        <v>44635</v>
      </c>
      <c r="B85" s="57">
        <v>2091</v>
      </c>
      <c r="C85" s="57" t="s">
        <v>157</v>
      </c>
      <c r="D85" s="57" t="s">
        <v>161</v>
      </c>
      <c r="E85" s="57" t="s">
        <v>159</v>
      </c>
      <c r="F85" s="57">
        <f t="shared" si="5"/>
        <v>0</v>
      </c>
      <c r="G85" s="57">
        <v>26.510100000000001</v>
      </c>
      <c r="H85" s="57">
        <v>27.2515</v>
      </c>
      <c r="I85" s="57">
        <v>26.969100000000001</v>
      </c>
      <c r="J85" s="33">
        <f t="shared" si="1"/>
        <v>0.74139999999999873</v>
      </c>
      <c r="K85" s="33">
        <f t="shared" si="2"/>
        <v>0.45899999999999963</v>
      </c>
    </row>
    <row r="86" spans="1:11" x14ac:dyDescent="0.2">
      <c r="A86" s="63">
        <v>44635</v>
      </c>
      <c r="B86" s="57">
        <v>2023</v>
      </c>
      <c r="C86" s="57" t="s">
        <v>157</v>
      </c>
      <c r="D86" s="57" t="s">
        <v>161</v>
      </c>
      <c r="E86" s="57" t="s">
        <v>162</v>
      </c>
      <c r="F86" s="57">
        <f t="shared" si="5"/>
        <v>0</v>
      </c>
      <c r="G86" s="57">
        <v>27.413</v>
      </c>
      <c r="H86" s="57">
        <v>35.043100000000003</v>
      </c>
      <c r="I86" s="57">
        <v>30.779800000000002</v>
      </c>
      <c r="J86" s="33">
        <f t="shared" si="1"/>
        <v>7.6301000000000023</v>
      </c>
      <c r="K86" s="33">
        <f t="shared" si="2"/>
        <v>3.3668000000000013</v>
      </c>
    </row>
    <row r="87" spans="1:11" x14ac:dyDescent="0.2">
      <c r="A87" s="63">
        <v>44635</v>
      </c>
      <c r="B87" s="57">
        <v>2352</v>
      </c>
      <c r="C87" s="57" t="s">
        <v>157</v>
      </c>
      <c r="D87" s="57" t="s">
        <v>158</v>
      </c>
      <c r="E87" s="57" t="s">
        <v>159</v>
      </c>
      <c r="F87" s="57">
        <f t="shared" si="5"/>
        <v>1</v>
      </c>
      <c r="G87" s="57">
        <v>25.921800000000001</v>
      </c>
      <c r="H87" s="57">
        <v>26.922899999999998</v>
      </c>
      <c r="I87" s="57">
        <v>26.150099999999998</v>
      </c>
      <c r="J87" s="33">
        <f t="shared" si="1"/>
        <v>1.0010999999999974</v>
      </c>
      <c r="K87" s="33">
        <f t="shared" si="2"/>
        <v>0.22829999999999728</v>
      </c>
    </row>
    <row r="88" spans="1:11" x14ac:dyDescent="0.2">
      <c r="A88" s="63">
        <v>44635</v>
      </c>
      <c r="B88" s="57">
        <v>2091</v>
      </c>
      <c r="C88" s="57" t="s">
        <v>157</v>
      </c>
      <c r="D88" s="57" t="s">
        <v>161</v>
      </c>
      <c r="E88" s="57" t="s">
        <v>162</v>
      </c>
      <c r="F88" s="57">
        <f t="shared" si="5"/>
        <v>0</v>
      </c>
      <c r="G88" s="57">
        <v>26.471399999999999</v>
      </c>
      <c r="H88" s="57">
        <v>32.186199999999999</v>
      </c>
      <c r="I88" s="57">
        <v>29.676500000000001</v>
      </c>
      <c r="J88" s="33">
        <f t="shared" si="1"/>
        <v>5.7148000000000003</v>
      </c>
      <c r="K88" s="33">
        <f t="shared" si="2"/>
        <v>3.2051000000000016</v>
      </c>
    </row>
    <row r="89" spans="1:11" x14ac:dyDescent="0.2">
      <c r="A89" s="63">
        <v>44635</v>
      </c>
      <c r="B89" s="57">
        <v>2027</v>
      </c>
      <c r="C89" s="57" t="s">
        <v>157</v>
      </c>
      <c r="D89" s="57" t="s">
        <v>161</v>
      </c>
      <c r="E89" s="57" t="s">
        <v>159</v>
      </c>
      <c r="F89" s="57">
        <f t="shared" si="5"/>
        <v>0</v>
      </c>
      <c r="G89" s="57">
        <v>25.939699999999998</v>
      </c>
      <c r="H89" s="57">
        <v>26.5212</v>
      </c>
      <c r="I89" s="57">
        <v>26.1069</v>
      </c>
      <c r="J89" s="33">
        <f t="shared" si="1"/>
        <v>0.5815000000000019</v>
      </c>
      <c r="K89" s="33">
        <f t="shared" si="2"/>
        <v>0.16720000000000113</v>
      </c>
    </row>
    <row r="90" spans="1:11" x14ac:dyDescent="0.2">
      <c r="A90" s="63">
        <v>44628</v>
      </c>
      <c r="B90" s="57">
        <v>2366</v>
      </c>
      <c r="C90" s="57" t="s">
        <v>157</v>
      </c>
      <c r="D90" s="57" t="s">
        <v>158</v>
      </c>
      <c r="E90" s="57" t="s">
        <v>162</v>
      </c>
      <c r="F90" s="57">
        <f t="shared" si="5"/>
        <v>1</v>
      </c>
      <c r="G90" s="57">
        <v>26.155799999999999</v>
      </c>
      <c r="H90" s="57">
        <v>29.639099999999999</v>
      </c>
      <c r="I90" s="57">
        <v>27.473099999999999</v>
      </c>
      <c r="J90" s="33">
        <f t="shared" si="1"/>
        <v>3.4832999999999998</v>
      </c>
      <c r="K90" s="33">
        <f t="shared" si="2"/>
        <v>1.3172999999999995</v>
      </c>
    </row>
    <row r="91" spans="1:11" x14ac:dyDescent="0.2">
      <c r="A91" s="63">
        <v>44635</v>
      </c>
      <c r="B91" s="57">
        <v>2091</v>
      </c>
      <c r="C91" s="57" t="s">
        <v>157</v>
      </c>
      <c r="D91" s="57" t="s">
        <v>158</v>
      </c>
      <c r="E91" s="57" t="s">
        <v>162</v>
      </c>
      <c r="F91" s="57">
        <v>2</v>
      </c>
      <c r="G91" s="57">
        <v>25.790199999999999</v>
      </c>
      <c r="H91" s="57">
        <v>29.6036</v>
      </c>
      <c r="I91" s="57">
        <v>27.746700000000001</v>
      </c>
      <c r="J91" s="33">
        <f t="shared" si="1"/>
        <v>3.8134000000000015</v>
      </c>
      <c r="K91" s="33">
        <f t="shared" si="2"/>
        <v>1.9565000000000019</v>
      </c>
    </row>
    <row r="92" spans="1:11" x14ac:dyDescent="0.2">
      <c r="A92" s="63">
        <v>44635</v>
      </c>
      <c r="B92" s="57">
        <v>2352</v>
      </c>
      <c r="C92" s="57" t="s">
        <v>157</v>
      </c>
      <c r="D92" s="57" t="s">
        <v>161</v>
      </c>
      <c r="E92" s="57" t="s">
        <v>162</v>
      </c>
      <c r="F92" s="57">
        <f t="shared" ref="F92:F102" si="6">IF(D92="old",1,0)</f>
        <v>0</v>
      </c>
      <c r="G92" s="57">
        <v>26.354099999999999</v>
      </c>
      <c r="H92" s="57">
        <v>35.912399999999998</v>
      </c>
      <c r="I92" s="57">
        <v>30.0931</v>
      </c>
      <c r="J92" s="33">
        <f t="shared" si="1"/>
        <v>9.5582999999999991</v>
      </c>
      <c r="K92" s="33">
        <f t="shared" si="2"/>
        <v>3.7390000000000008</v>
      </c>
    </row>
    <row r="93" spans="1:11" x14ac:dyDescent="0.2">
      <c r="A93" s="63">
        <v>44635</v>
      </c>
      <c r="B93" s="57">
        <v>2383</v>
      </c>
      <c r="C93" s="57" t="s">
        <v>157</v>
      </c>
      <c r="D93" s="57" t="s">
        <v>161</v>
      </c>
      <c r="E93" s="57" t="s">
        <v>159</v>
      </c>
      <c r="F93" s="57">
        <f t="shared" si="6"/>
        <v>0</v>
      </c>
      <c r="G93" s="57">
        <v>25.859100000000002</v>
      </c>
      <c r="H93" s="57">
        <v>26.571100000000001</v>
      </c>
      <c r="I93" s="57">
        <v>25.9969</v>
      </c>
      <c r="J93" s="33">
        <f t="shared" si="1"/>
        <v>0.71199999999999974</v>
      </c>
      <c r="K93" s="33">
        <f t="shared" si="2"/>
        <v>0.13779999999999859</v>
      </c>
    </row>
    <row r="94" spans="1:11" x14ac:dyDescent="0.2">
      <c r="A94" s="63">
        <v>44628</v>
      </c>
      <c r="B94" s="57">
        <v>2331</v>
      </c>
      <c r="C94" s="57" t="s">
        <v>160</v>
      </c>
      <c r="D94" s="57" t="s">
        <v>158</v>
      </c>
      <c r="E94" s="57" t="s">
        <v>162</v>
      </c>
      <c r="F94" s="57">
        <f t="shared" si="6"/>
        <v>1</v>
      </c>
      <c r="G94" s="57">
        <v>26.355399999999999</v>
      </c>
      <c r="H94" s="57">
        <v>35.328299999999999</v>
      </c>
      <c r="I94" s="57">
        <v>31.335999999999999</v>
      </c>
      <c r="J94" s="33">
        <f t="shared" si="1"/>
        <v>8.9728999999999992</v>
      </c>
      <c r="K94" s="33">
        <f t="shared" si="2"/>
        <v>4.980599999999999</v>
      </c>
    </row>
    <row r="95" spans="1:11" x14ac:dyDescent="0.2">
      <c r="A95" s="63">
        <v>44631</v>
      </c>
      <c r="B95" s="57">
        <v>2331</v>
      </c>
      <c r="C95" s="57" t="s">
        <v>157</v>
      </c>
      <c r="D95" s="57" t="s">
        <v>161</v>
      </c>
      <c r="E95" s="57" t="s">
        <v>159</v>
      </c>
      <c r="F95" s="57">
        <f t="shared" si="6"/>
        <v>0</v>
      </c>
      <c r="G95" s="57">
        <v>26.156199999999998</v>
      </c>
      <c r="H95" s="57">
        <v>26.573699999999999</v>
      </c>
      <c r="I95" s="57">
        <v>26.1754</v>
      </c>
      <c r="J95" s="33">
        <f t="shared" si="1"/>
        <v>0.41750000000000043</v>
      </c>
      <c r="K95" s="33">
        <f t="shared" si="2"/>
        <v>1.9200000000001438E-2</v>
      </c>
    </row>
    <row r="96" spans="1:11" x14ac:dyDescent="0.2">
      <c r="A96" s="63">
        <v>44635</v>
      </c>
      <c r="B96" s="57">
        <v>2089</v>
      </c>
      <c r="C96" s="57" t="s">
        <v>157</v>
      </c>
      <c r="D96" s="57" t="s">
        <v>161</v>
      </c>
      <c r="E96" s="57" t="s">
        <v>162</v>
      </c>
      <c r="F96" s="57">
        <f t="shared" si="6"/>
        <v>0</v>
      </c>
      <c r="G96" s="57">
        <v>26.227900000000002</v>
      </c>
      <c r="H96" s="57">
        <v>33.013199999999998</v>
      </c>
      <c r="I96" s="57">
        <v>29.975300000000001</v>
      </c>
      <c r="J96" s="33">
        <f t="shared" si="1"/>
        <v>6.7852999999999959</v>
      </c>
      <c r="K96" s="33">
        <f t="shared" si="2"/>
        <v>3.747399999999999</v>
      </c>
    </row>
    <row r="97" spans="1:11" x14ac:dyDescent="0.2">
      <c r="A97" s="63">
        <v>44628</v>
      </c>
      <c r="B97" s="57">
        <v>2007</v>
      </c>
      <c r="C97" s="57" t="s">
        <v>160</v>
      </c>
      <c r="D97" s="57" t="s">
        <v>161</v>
      </c>
      <c r="E97" s="57" t="s">
        <v>162</v>
      </c>
      <c r="F97" s="57">
        <f t="shared" si="6"/>
        <v>0</v>
      </c>
      <c r="G97" s="57">
        <v>26.1478</v>
      </c>
      <c r="H97" s="57">
        <v>34.927799999999998</v>
      </c>
      <c r="I97" s="57">
        <v>29.704699999999999</v>
      </c>
      <c r="J97" s="33">
        <f t="shared" si="1"/>
        <v>8.7799999999999976</v>
      </c>
      <c r="K97" s="33">
        <f t="shared" si="2"/>
        <v>3.5568999999999988</v>
      </c>
    </row>
    <row r="98" spans="1:11" x14ac:dyDescent="0.2">
      <c r="A98" s="63">
        <v>44635</v>
      </c>
      <c r="B98" s="57">
        <v>2025</v>
      </c>
      <c r="C98" s="57" t="s">
        <v>157</v>
      </c>
      <c r="D98" s="57" t="s">
        <v>161</v>
      </c>
      <c r="E98" s="57" t="s">
        <v>162</v>
      </c>
      <c r="F98" s="57">
        <f t="shared" si="6"/>
        <v>0</v>
      </c>
      <c r="G98" s="57">
        <v>25.893799999999999</v>
      </c>
      <c r="H98" s="57">
        <v>36.029000000000003</v>
      </c>
      <c r="I98" s="57">
        <v>30.113</v>
      </c>
      <c r="J98" s="33">
        <f t="shared" si="1"/>
        <v>10.135200000000005</v>
      </c>
      <c r="K98" s="33">
        <f t="shared" si="2"/>
        <v>4.2192000000000007</v>
      </c>
    </row>
    <row r="99" spans="1:11" x14ac:dyDescent="0.2">
      <c r="A99" s="63">
        <v>44631</v>
      </c>
      <c r="B99" s="57">
        <v>2004</v>
      </c>
      <c r="C99" s="57" t="s">
        <v>160</v>
      </c>
      <c r="D99" s="57" t="s">
        <v>158</v>
      </c>
      <c r="E99" s="57" t="s">
        <v>159</v>
      </c>
      <c r="F99" s="57">
        <f t="shared" si="6"/>
        <v>1</v>
      </c>
      <c r="G99" s="57">
        <v>26.75</v>
      </c>
      <c r="H99" s="57">
        <v>28.767299999999999</v>
      </c>
      <c r="I99" s="57">
        <v>27.5807</v>
      </c>
      <c r="J99" s="33">
        <f t="shared" si="1"/>
        <v>2.0172999999999988</v>
      </c>
      <c r="K99" s="33">
        <f t="shared" si="2"/>
        <v>0.83070000000000022</v>
      </c>
    </row>
    <row r="100" spans="1:11" x14ac:dyDescent="0.2">
      <c r="A100" s="63">
        <v>44635</v>
      </c>
      <c r="B100" s="57">
        <v>2384</v>
      </c>
      <c r="C100" s="57" t="s">
        <v>157</v>
      </c>
      <c r="D100" s="57" t="s">
        <v>161</v>
      </c>
      <c r="E100" s="57" t="s">
        <v>162</v>
      </c>
      <c r="F100" s="57">
        <f t="shared" si="6"/>
        <v>0</v>
      </c>
      <c r="G100" s="57">
        <v>26.381499999999999</v>
      </c>
      <c r="H100" s="57">
        <v>34.600200000000001</v>
      </c>
      <c r="I100" s="57">
        <v>29.432300000000001</v>
      </c>
      <c r="J100" s="33">
        <f t="shared" si="1"/>
        <v>8.2187000000000019</v>
      </c>
      <c r="K100" s="33">
        <f t="shared" si="2"/>
        <v>3.0508000000000024</v>
      </c>
    </row>
    <row r="101" spans="1:11" x14ac:dyDescent="0.2">
      <c r="A101" s="63">
        <v>44635</v>
      </c>
      <c r="B101" s="57">
        <v>2020</v>
      </c>
      <c r="C101" s="57" t="s">
        <v>157</v>
      </c>
      <c r="D101" s="57" t="s">
        <v>161</v>
      </c>
      <c r="E101" s="57" t="s">
        <v>162</v>
      </c>
      <c r="F101" s="57">
        <f t="shared" si="6"/>
        <v>0</v>
      </c>
      <c r="G101" s="57">
        <v>26.032800000000002</v>
      </c>
      <c r="H101" s="57">
        <v>33.477400000000003</v>
      </c>
      <c r="I101" s="57">
        <v>29.169799999999999</v>
      </c>
      <c r="J101" s="33">
        <f t="shared" si="1"/>
        <v>7.4446000000000012</v>
      </c>
      <c r="K101" s="33">
        <f t="shared" si="2"/>
        <v>3.1369999999999969</v>
      </c>
    </row>
    <row r="102" spans="1:11" x14ac:dyDescent="0.2">
      <c r="A102" s="63">
        <v>44628</v>
      </c>
      <c r="B102" s="57">
        <v>2384</v>
      </c>
      <c r="C102" s="57" t="s">
        <v>157</v>
      </c>
      <c r="D102" s="57" t="s">
        <v>158</v>
      </c>
      <c r="E102" s="57" t="s">
        <v>159</v>
      </c>
      <c r="F102" s="57">
        <f t="shared" si="6"/>
        <v>1</v>
      </c>
      <c r="G102" s="57">
        <v>26.532299999999999</v>
      </c>
      <c r="H102" s="57">
        <v>31.968900000000001</v>
      </c>
      <c r="I102" s="57">
        <v>29.686699999999998</v>
      </c>
      <c r="J102" s="33">
        <f t="shared" si="1"/>
        <v>5.4366000000000021</v>
      </c>
      <c r="K102" s="33">
        <f t="shared" si="2"/>
        <v>3.154399999999999</v>
      </c>
    </row>
    <row r="103" spans="1:11" x14ac:dyDescent="0.2">
      <c r="A103" s="63">
        <v>44635</v>
      </c>
      <c r="B103" s="57">
        <v>2089</v>
      </c>
      <c r="C103" s="57" t="s">
        <v>157</v>
      </c>
      <c r="D103" s="57" t="s">
        <v>158</v>
      </c>
      <c r="E103" s="57" t="s">
        <v>162</v>
      </c>
      <c r="F103" s="57">
        <v>2</v>
      </c>
      <c r="G103" s="57">
        <v>26.675799999999999</v>
      </c>
      <c r="H103" s="57">
        <v>28.5837</v>
      </c>
      <c r="I103" s="57">
        <v>28.010899999999999</v>
      </c>
      <c r="J103" s="33">
        <f t="shared" si="1"/>
        <v>1.9079000000000015</v>
      </c>
      <c r="K103" s="33">
        <f t="shared" si="2"/>
        <v>1.3351000000000006</v>
      </c>
    </row>
    <row r="104" spans="1:11" x14ac:dyDescent="0.2">
      <c r="A104" s="63">
        <v>44635</v>
      </c>
      <c r="B104" s="57">
        <v>2382</v>
      </c>
      <c r="C104" s="57" t="s">
        <v>157</v>
      </c>
      <c r="D104" s="57" t="s">
        <v>161</v>
      </c>
      <c r="E104" s="57" t="s">
        <v>162</v>
      </c>
      <c r="F104" s="57">
        <f t="shared" ref="F104:F124" si="7">IF(D104="old",1,0)</f>
        <v>0</v>
      </c>
      <c r="G104" s="57">
        <v>26.004899999999999</v>
      </c>
      <c r="H104" s="57">
        <v>32.1601</v>
      </c>
      <c r="I104" s="57">
        <v>28.461200000000002</v>
      </c>
      <c r="J104" s="33">
        <f t="shared" si="1"/>
        <v>6.1552000000000007</v>
      </c>
      <c r="K104" s="33">
        <f t="shared" si="2"/>
        <v>2.4563000000000024</v>
      </c>
    </row>
    <row r="105" spans="1:11" x14ac:dyDescent="0.2">
      <c r="A105" s="63">
        <v>44628</v>
      </c>
      <c r="B105" s="57">
        <v>2381</v>
      </c>
      <c r="C105" s="57" t="s">
        <v>157</v>
      </c>
      <c r="D105" s="57" t="s">
        <v>161</v>
      </c>
      <c r="E105" s="57" t="s">
        <v>162</v>
      </c>
      <c r="F105" s="57">
        <f t="shared" si="7"/>
        <v>0</v>
      </c>
      <c r="H105" s="57">
        <v>33.6098</v>
      </c>
      <c r="I105" s="57">
        <v>28.474900000000002</v>
      </c>
      <c r="J105" s="33">
        <f t="shared" si="1"/>
        <v>33.6098</v>
      </c>
      <c r="K105" s="33">
        <f t="shared" si="2"/>
        <v>28.474900000000002</v>
      </c>
    </row>
    <row r="106" spans="1:11" x14ac:dyDescent="0.2">
      <c r="A106" s="63">
        <v>44635</v>
      </c>
      <c r="B106" s="57">
        <v>2024</v>
      </c>
      <c r="C106" s="57" t="s">
        <v>157</v>
      </c>
      <c r="D106" s="57" t="s">
        <v>161</v>
      </c>
      <c r="E106" s="57" t="s">
        <v>162</v>
      </c>
      <c r="F106" s="57">
        <f t="shared" si="7"/>
        <v>0</v>
      </c>
      <c r="G106" s="57">
        <v>26.077100000000002</v>
      </c>
      <c r="H106" s="57">
        <v>31.212800000000001</v>
      </c>
      <c r="I106" s="57">
        <v>28.132400000000001</v>
      </c>
      <c r="J106" s="33">
        <f t="shared" si="1"/>
        <v>5.1356999999999999</v>
      </c>
      <c r="K106" s="33">
        <f t="shared" si="2"/>
        <v>2.055299999999999</v>
      </c>
    </row>
    <row r="107" spans="1:11" x14ac:dyDescent="0.2">
      <c r="A107" s="63">
        <v>44628</v>
      </c>
      <c r="B107" s="57">
        <v>2345</v>
      </c>
      <c r="C107" s="57" t="s">
        <v>160</v>
      </c>
      <c r="D107" s="57" t="s">
        <v>158</v>
      </c>
      <c r="E107" s="57" t="s">
        <v>159</v>
      </c>
      <c r="F107" s="57">
        <f t="shared" si="7"/>
        <v>1</v>
      </c>
      <c r="G107" s="57">
        <v>26.481999999999999</v>
      </c>
      <c r="H107" s="57">
        <v>28.153400000000001</v>
      </c>
      <c r="I107" s="57">
        <v>27.459800000000001</v>
      </c>
      <c r="J107" s="33">
        <f t="shared" si="1"/>
        <v>1.671400000000002</v>
      </c>
      <c r="K107" s="33">
        <f t="shared" si="2"/>
        <v>0.977800000000002</v>
      </c>
    </row>
    <row r="108" spans="1:11" x14ac:dyDescent="0.2">
      <c r="A108" s="63">
        <v>44635</v>
      </c>
      <c r="B108" s="57">
        <v>2025</v>
      </c>
      <c r="C108" s="57" t="s">
        <v>157</v>
      </c>
      <c r="D108" s="57" t="s">
        <v>161</v>
      </c>
      <c r="E108" s="57" t="s">
        <v>159</v>
      </c>
      <c r="F108" s="57">
        <f t="shared" si="7"/>
        <v>0</v>
      </c>
      <c r="G108" s="57">
        <v>26.406199999999998</v>
      </c>
      <c r="H108" s="57">
        <v>27.237400000000001</v>
      </c>
      <c r="I108" s="57">
        <v>26.724299999999999</v>
      </c>
      <c r="J108" s="33">
        <f t="shared" si="1"/>
        <v>0.8312000000000026</v>
      </c>
      <c r="K108" s="33">
        <f t="shared" si="2"/>
        <v>0.31810000000000116</v>
      </c>
    </row>
    <row r="109" spans="1:11" x14ac:dyDescent="0.2">
      <c r="A109" s="63">
        <v>44628</v>
      </c>
      <c r="B109" s="57">
        <v>2384</v>
      </c>
      <c r="C109" s="57" t="s">
        <v>157</v>
      </c>
      <c r="D109" s="57" t="s">
        <v>161</v>
      </c>
      <c r="E109" s="57" t="s">
        <v>159</v>
      </c>
      <c r="F109" s="57">
        <f t="shared" si="7"/>
        <v>0</v>
      </c>
      <c r="G109" s="57">
        <v>26.296500000000002</v>
      </c>
      <c r="H109" s="57">
        <v>26.890799999999999</v>
      </c>
      <c r="I109" s="57">
        <v>26.462800000000001</v>
      </c>
      <c r="J109" s="33">
        <f t="shared" si="1"/>
        <v>0.59429999999999694</v>
      </c>
      <c r="K109" s="33">
        <f t="shared" si="2"/>
        <v>0.16629999999999967</v>
      </c>
    </row>
    <row r="110" spans="1:11" x14ac:dyDescent="0.2">
      <c r="A110" s="63">
        <v>44628</v>
      </c>
      <c r="B110" s="57">
        <v>2331</v>
      </c>
      <c r="C110" s="57" t="s">
        <v>160</v>
      </c>
      <c r="D110" s="57" t="s">
        <v>158</v>
      </c>
      <c r="E110" s="57" t="s">
        <v>162</v>
      </c>
      <c r="F110" s="57">
        <f t="shared" si="7"/>
        <v>1</v>
      </c>
      <c r="G110" s="57">
        <v>25.861000000000001</v>
      </c>
      <c r="H110" s="57">
        <v>37.341200000000001</v>
      </c>
      <c r="I110" s="57">
        <v>32.2502</v>
      </c>
      <c r="J110" s="33">
        <f t="shared" si="1"/>
        <v>11.4802</v>
      </c>
      <c r="K110" s="33">
        <f t="shared" si="2"/>
        <v>6.3891999999999989</v>
      </c>
    </row>
    <row r="111" spans="1:11" x14ac:dyDescent="0.2">
      <c r="A111" s="63">
        <v>44635</v>
      </c>
      <c r="B111" s="57">
        <v>2027</v>
      </c>
      <c r="C111" s="57" t="s">
        <v>157</v>
      </c>
      <c r="D111" s="57" t="s">
        <v>161</v>
      </c>
      <c r="E111" s="57" t="s">
        <v>162</v>
      </c>
      <c r="F111" s="57">
        <f t="shared" si="7"/>
        <v>0</v>
      </c>
      <c r="G111" s="57">
        <v>26.518799999999999</v>
      </c>
      <c r="H111" s="57">
        <v>34.1571</v>
      </c>
      <c r="I111" s="57">
        <v>29.898099999999999</v>
      </c>
      <c r="J111" s="33">
        <f t="shared" si="1"/>
        <v>7.638300000000001</v>
      </c>
      <c r="K111" s="33">
        <f t="shared" si="2"/>
        <v>3.3793000000000006</v>
      </c>
    </row>
    <row r="112" spans="1:11" x14ac:dyDescent="0.2">
      <c r="A112" s="63">
        <v>44635</v>
      </c>
      <c r="B112" s="57">
        <v>2382</v>
      </c>
      <c r="C112" s="57" t="s">
        <v>157</v>
      </c>
      <c r="D112" s="57" t="s">
        <v>158</v>
      </c>
      <c r="E112" s="57" t="s">
        <v>159</v>
      </c>
      <c r="F112" s="57">
        <f t="shared" si="7"/>
        <v>1</v>
      </c>
      <c r="G112" s="57">
        <v>26.339500000000001</v>
      </c>
      <c r="H112" s="57">
        <v>27.214099999999998</v>
      </c>
      <c r="I112" s="57">
        <v>26.906099999999999</v>
      </c>
      <c r="J112" s="33">
        <f t="shared" si="1"/>
        <v>0.87459999999999738</v>
      </c>
      <c r="K112" s="33">
        <f t="shared" si="2"/>
        <v>0.56659999999999755</v>
      </c>
    </row>
    <row r="113" spans="1:11" x14ac:dyDescent="0.2">
      <c r="A113" s="63">
        <v>44635</v>
      </c>
      <c r="B113" s="57">
        <v>2093</v>
      </c>
      <c r="C113" s="57" t="s">
        <v>157</v>
      </c>
      <c r="D113" s="57" t="s">
        <v>158</v>
      </c>
      <c r="E113" s="57" t="s">
        <v>159</v>
      </c>
      <c r="F113" s="57">
        <f t="shared" si="7"/>
        <v>1</v>
      </c>
      <c r="G113" s="57">
        <v>26.423999999999999</v>
      </c>
      <c r="H113" s="57">
        <v>27.630299999999998</v>
      </c>
      <c r="I113" s="57">
        <v>27.135400000000001</v>
      </c>
      <c r="J113" s="33">
        <f t="shared" si="1"/>
        <v>1.2062999999999988</v>
      </c>
      <c r="K113" s="33">
        <f t="shared" si="2"/>
        <v>0.71140000000000114</v>
      </c>
    </row>
    <row r="114" spans="1:11" x14ac:dyDescent="0.2">
      <c r="A114" s="63">
        <v>44628</v>
      </c>
      <c r="B114" s="57">
        <v>2376</v>
      </c>
      <c r="C114" s="57" t="s">
        <v>160</v>
      </c>
      <c r="D114" s="57" t="s">
        <v>158</v>
      </c>
      <c r="E114" s="57" t="s">
        <v>159</v>
      </c>
      <c r="F114" s="57">
        <f t="shared" si="7"/>
        <v>1</v>
      </c>
      <c r="G114" s="57">
        <v>26.046900000000001</v>
      </c>
      <c r="H114" s="57">
        <v>27.177900000000001</v>
      </c>
      <c r="I114" s="57">
        <v>26.683199999999999</v>
      </c>
      <c r="J114" s="33">
        <f t="shared" si="1"/>
        <v>1.1310000000000002</v>
      </c>
      <c r="K114" s="33">
        <f t="shared" si="2"/>
        <v>0.63629999999999853</v>
      </c>
    </row>
    <row r="115" spans="1:11" x14ac:dyDescent="0.2">
      <c r="A115" s="63">
        <v>44635</v>
      </c>
      <c r="B115" s="57">
        <v>2089</v>
      </c>
      <c r="D115" s="57" t="s">
        <v>161</v>
      </c>
      <c r="E115" s="57" t="s">
        <v>159</v>
      </c>
      <c r="F115" s="57">
        <f t="shared" si="7"/>
        <v>0</v>
      </c>
      <c r="G115" s="57">
        <v>25.792100000000001</v>
      </c>
      <c r="H115" s="57">
        <v>27.144600000000001</v>
      </c>
      <c r="I115" s="57">
        <v>26.578299999999999</v>
      </c>
      <c r="J115" s="33">
        <f t="shared" si="1"/>
        <v>1.3524999999999991</v>
      </c>
      <c r="K115" s="33">
        <f t="shared" si="2"/>
        <v>0.78619999999999735</v>
      </c>
    </row>
    <row r="116" spans="1:11" x14ac:dyDescent="0.2">
      <c r="A116" s="63">
        <v>44635</v>
      </c>
      <c r="B116" s="57">
        <v>2021</v>
      </c>
      <c r="C116" s="57" t="s">
        <v>157</v>
      </c>
      <c r="D116" s="57" t="s">
        <v>158</v>
      </c>
      <c r="E116" s="57" t="s">
        <v>159</v>
      </c>
      <c r="F116" s="57">
        <f t="shared" si="7"/>
        <v>1</v>
      </c>
      <c r="G116" s="57">
        <v>26.2103</v>
      </c>
      <c r="H116" s="57">
        <v>28.216100000000001</v>
      </c>
      <c r="I116" s="57">
        <v>27</v>
      </c>
      <c r="J116" s="33">
        <f t="shared" si="1"/>
        <v>2.0058000000000007</v>
      </c>
      <c r="K116" s="33">
        <f t="shared" si="2"/>
        <v>0.78969999999999985</v>
      </c>
    </row>
    <row r="117" spans="1:11" x14ac:dyDescent="0.2">
      <c r="A117" s="63">
        <v>44635</v>
      </c>
      <c r="B117" s="57">
        <v>2093</v>
      </c>
      <c r="C117" s="57" t="s">
        <v>157</v>
      </c>
      <c r="D117" s="57" t="s">
        <v>161</v>
      </c>
      <c r="E117" s="57" t="s">
        <v>162</v>
      </c>
      <c r="F117" s="57">
        <f t="shared" si="7"/>
        <v>0</v>
      </c>
      <c r="G117" s="57">
        <v>26.392499999999998</v>
      </c>
      <c r="H117" s="57">
        <v>26.5626</v>
      </c>
      <c r="I117" s="57">
        <v>26.507899999999999</v>
      </c>
      <c r="J117" s="33">
        <f t="shared" si="1"/>
        <v>0.17010000000000147</v>
      </c>
      <c r="K117" s="33">
        <f t="shared" si="2"/>
        <v>0.11540000000000106</v>
      </c>
    </row>
    <row r="118" spans="1:11" x14ac:dyDescent="0.2">
      <c r="A118" s="63">
        <v>44628</v>
      </c>
      <c r="B118" s="57">
        <v>2377</v>
      </c>
      <c r="C118" s="57" t="s">
        <v>157</v>
      </c>
      <c r="D118" s="57" t="s">
        <v>161</v>
      </c>
      <c r="E118" s="57" t="s">
        <v>162</v>
      </c>
      <c r="F118" s="57">
        <f t="shared" si="7"/>
        <v>0</v>
      </c>
      <c r="G118" s="57">
        <v>25.815000000000001</v>
      </c>
      <c r="H118" s="57">
        <v>26.940200000000001</v>
      </c>
      <c r="I118" s="57">
        <v>26.2056</v>
      </c>
      <c r="J118" s="33">
        <f t="shared" si="1"/>
        <v>1.1251999999999995</v>
      </c>
      <c r="K118" s="33">
        <f t="shared" si="2"/>
        <v>0.39059999999999917</v>
      </c>
    </row>
    <row r="119" spans="1:11" x14ac:dyDescent="0.2">
      <c r="A119" s="63">
        <v>44635</v>
      </c>
      <c r="B119" s="57">
        <v>2093</v>
      </c>
      <c r="C119" s="57" t="s">
        <v>157</v>
      </c>
      <c r="D119" s="57" t="s">
        <v>161</v>
      </c>
      <c r="E119" s="57" t="s">
        <v>159</v>
      </c>
      <c r="F119" s="57">
        <f t="shared" si="7"/>
        <v>0</v>
      </c>
      <c r="G119" s="57">
        <v>25.917300000000001</v>
      </c>
      <c r="H119" s="57">
        <v>25.905100000000001</v>
      </c>
      <c r="I119" s="57">
        <v>25.928799999999999</v>
      </c>
      <c r="J119" s="33">
        <f t="shared" si="1"/>
        <v>-1.2199999999999989E-2</v>
      </c>
      <c r="K119" s="33">
        <f t="shared" si="2"/>
        <v>1.1499999999998067E-2</v>
      </c>
    </row>
    <row r="120" spans="1:11" x14ac:dyDescent="0.2">
      <c r="A120" s="63">
        <v>44628</v>
      </c>
      <c r="B120" s="57">
        <v>2345</v>
      </c>
      <c r="C120" s="57" t="s">
        <v>157</v>
      </c>
      <c r="D120" s="57" t="s">
        <v>158</v>
      </c>
      <c r="E120" s="57" t="s">
        <v>159</v>
      </c>
      <c r="F120" s="57">
        <f t="shared" si="7"/>
        <v>1</v>
      </c>
      <c r="G120" s="57">
        <v>26.314800000000002</v>
      </c>
      <c r="H120" s="57">
        <v>30.502600000000001</v>
      </c>
      <c r="I120" s="57">
        <v>28.398399999999999</v>
      </c>
      <c r="J120" s="33">
        <f t="shared" si="1"/>
        <v>4.1877999999999993</v>
      </c>
      <c r="K120" s="33">
        <f t="shared" si="2"/>
        <v>2.083599999999997</v>
      </c>
    </row>
    <row r="121" spans="1:11" x14ac:dyDescent="0.2">
      <c r="A121" s="63">
        <v>44628</v>
      </c>
      <c r="B121" s="57">
        <v>2381</v>
      </c>
      <c r="C121" s="57" t="s">
        <v>160</v>
      </c>
      <c r="D121" s="57" t="s">
        <v>161</v>
      </c>
      <c r="E121" s="57" t="s">
        <v>159</v>
      </c>
      <c r="F121" s="57">
        <f t="shared" si="7"/>
        <v>0</v>
      </c>
      <c r="G121" s="57">
        <v>25.9375</v>
      </c>
      <c r="H121" s="57">
        <v>27.290700000000001</v>
      </c>
      <c r="I121" s="57">
        <v>26.277200000000001</v>
      </c>
      <c r="J121" s="33">
        <f t="shared" si="1"/>
        <v>1.3532000000000011</v>
      </c>
      <c r="K121" s="33">
        <f t="shared" si="2"/>
        <v>0.33970000000000056</v>
      </c>
    </row>
    <row r="122" spans="1:11" x14ac:dyDescent="0.2">
      <c r="A122" s="63">
        <v>44628</v>
      </c>
      <c r="B122" s="57">
        <v>2301</v>
      </c>
      <c r="C122" s="57" t="s">
        <v>160</v>
      </c>
      <c r="D122" s="57" t="s">
        <v>158</v>
      </c>
      <c r="E122" s="57" t="s">
        <v>159</v>
      </c>
      <c r="F122" s="57">
        <f t="shared" si="7"/>
        <v>1</v>
      </c>
      <c r="G122" s="57">
        <v>26.3736</v>
      </c>
      <c r="H122" s="57">
        <v>27.8293</v>
      </c>
      <c r="I122" s="57">
        <v>26.98</v>
      </c>
      <c r="J122" s="33">
        <f t="shared" si="1"/>
        <v>1.4557000000000002</v>
      </c>
      <c r="K122" s="33">
        <f t="shared" si="2"/>
        <v>0.60640000000000072</v>
      </c>
    </row>
    <row r="123" spans="1:11" x14ac:dyDescent="0.2">
      <c r="A123" s="63">
        <v>44635</v>
      </c>
      <c r="B123" s="57">
        <v>2022</v>
      </c>
      <c r="C123" s="57" t="s">
        <v>157</v>
      </c>
      <c r="D123" s="57" t="s">
        <v>161</v>
      </c>
      <c r="E123" s="57" t="s">
        <v>162</v>
      </c>
      <c r="F123" s="57">
        <f t="shared" si="7"/>
        <v>0</v>
      </c>
      <c r="G123" s="57">
        <v>26.534500000000001</v>
      </c>
      <c r="H123" s="57">
        <v>33.658799999999999</v>
      </c>
      <c r="I123" s="57">
        <v>29.7896</v>
      </c>
      <c r="J123" s="33">
        <f t="shared" si="1"/>
        <v>7.1242999999999981</v>
      </c>
      <c r="K123" s="33">
        <f t="shared" si="2"/>
        <v>3.2550999999999988</v>
      </c>
    </row>
    <row r="124" spans="1:11" x14ac:dyDescent="0.2">
      <c r="A124" s="63">
        <v>44628</v>
      </c>
      <c r="B124" s="57">
        <v>2377</v>
      </c>
      <c r="C124" s="57" t="s">
        <v>157</v>
      </c>
      <c r="D124" s="57" t="s">
        <v>158</v>
      </c>
      <c r="E124" s="57" t="s">
        <v>159</v>
      </c>
      <c r="F124" s="57">
        <f t="shared" si="7"/>
        <v>1</v>
      </c>
      <c r="G124" s="57">
        <v>26.2471</v>
      </c>
      <c r="H124" s="57">
        <v>29.8444</v>
      </c>
      <c r="I124" s="57">
        <v>28.372399999999999</v>
      </c>
      <c r="J124" s="33">
        <f t="shared" si="1"/>
        <v>3.5973000000000006</v>
      </c>
      <c r="K124" s="33">
        <f t="shared" si="2"/>
        <v>2.1252999999999993</v>
      </c>
    </row>
    <row r="125" spans="1:11" x14ac:dyDescent="0.2">
      <c r="A125" s="63">
        <v>44635</v>
      </c>
      <c r="B125" s="57">
        <v>2092</v>
      </c>
      <c r="C125" s="57" t="s">
        <v>157</v>
      </c>
      <c r="D125" s="57" t="s">
        <v>158</v>
      </c>
      <c r="E125" s="57" t="s">
        <v>162</v>
      </c>
      <c r="F125" s="57">
        <v>2</v>
      </c>
      <c r="G125" s="57">
        <v>26.3995</v>
      </c>
      <c r="H125" s="57">
        <v>28.779699999999998</v>
      </c>
      <c r="I125" s="57">
        <v>27.743099999999998</v>
      </c>
      <c r="J125" s="33">
        <f t="shared" si="1"/>
        <v>2.3801999999999985</v>
      </c>
      <c r="K125" s="33">
        <f t="shared" si="2"/>
        <v>1.3435999999999986</v>
      </c>
    </row>
    <row r="126" spans="1:11" x14ac:dyDescent="0.2">
      <c r="A126" s="63">
        <v>44635</v>
      </c>
      <c r="B126" s="57">
        <v>2022</v>
      </c>
      <c r="C126" s="57" t="s">
        <v>157</v>
      </c>
      <c r="D126" s="57" t="s">
        <v>161</v>
      </c>
      <c r="E126" s="57" t="s">
        <v>159</v>
      </c>
      <c r="F126" s="57">
        <f t="shared" ref="F126:F295" si="8">IF(D126="old",1,0)</f>
        <v>0</v>
      </c>
      <c r="G126" s="57">
        <v>25.846800000000002</v>
      </c>
      <c r="H126" s="57">
        <v>26.883800000000001</v>
      </c>
      <c r="I126" s="57">
        <v>26.0413</v>
      </c>
      <c r="J126" s="33">
        <f t="shared" si="1"/>
        <v>1.036999999999999</v>
      </c>
      <c r="K126" s="33">
        <f t="shared" si="2"/>
        <v>0.1944999999999979</v>
      </c>
    </row>
    <row r="127" spans="1:11" x14ac:dyDescent="0.2">
      <c r="A127" s="63">
        <v>44628</v>
      </c>
      <c r="B127" s="57">
        <v>2382</v>
      </c>
      <c r="C127" s="57" t="s">
        <v>157</v>
      </c>
      <c r="D127" s="57" t="s">
        <v>158</v>
      </c>
      <c r="E127" s="57" t="s">
        <v>162</v>
      </c>
      <c r="F127" s="57">
        <f t="shared" si="8"/>
        <v>1</v>
      </c>
      <c r="G127" s="57">
        <v>25.892800000000001</v>
      </c>
      <c r="H127" s="57">
        <v>34.395699999999998</v>
      </c>
      <c r="I127" s="57">
        <v>28.6951</v>
      </c>
      <c r="J127" s="33">
        <f t="shared" si="1"/>
        <v>8.5028999999999968</v>
      </c>
      <c r="K127" s="33">
        <f t="shared" si="2"/>
        <v>2.8022999999999989</v>
      </c>
    </row>
    <row r="128" spans="1:11" x14ac:dyDescent="0.2">
      <c r="A128" s="63">
        <v>44628</v>
      </c>
      <c r="B128" s="57">
        <v>2380</v>
      </c>
      <c r="C128" s="57" t="s">
        <v>157</v>
      </c>
      <c r="D128" s="57" t="s">
        <v>158</v>
      </c>
      <c r="E128" s="57" t="s">
        <v>159</v>
      </c>
      <c r="F128" s="57">
        <f t="shared" si="8"/>
        <v>1</v>
      </c>
      <c r="G128" s="57">
        <v>26.188600000000001</v>
      </c>
      <c r="H128" s="57">
        <v>28.5517</v>
      </c>
      <c r="I128" s="57">
        <v>27.5106</v>
      </c>
      <c r="J128" s="33">
        <f t="shared" si="1"/>
        <v>2.3630999999999993</v>
      </c>
      <c r="K128" s="33">
        <f t="shared" si="2"/>
        <v>1.3219999999999992</v>
      </c>
    </row>
    <row r="129" spans="1:11" x14ac:dyDescent="0.2">
      <c r="A129" s="63">
        <v>44635</v>
      </c>
      <c r="B129" s="57">
        <v>2023</v>
      </c>
      <c r="C129" s="57" t="s">
        <v>157</v>
      </c>
      <c r="D129" s="57" t="s">
        <v>158</v>
      </c>
      <c r="E129" s="57" t="s">
        <v>159</v>
      </c>
      <c r="F129" s="57">
        <f t="shared" si="8"/>
        <v>1</v>
      </c>
      <c r="G129" s="57">
        <v>25.899000000000001</v>
      </c>
      <c r="H129" s="57">
        <v>26.8049</v>
      </c>
      <c r="I129" s="57">
        <v>26.321000000000002</v>
      </c>
      <c r="J129" s="33">
        <f t="shared" si="1"/>
        <v>0.90589999999999904</v>
      </c>
      <c r="K129" s="33">
        <f t="shared" si="2"/>
        <v>0.4220000000000006</v>
      </c>
    </row>
    <row r="130" spans="1:11" x14ac:dyDescent="0.2">
      <c r="A130" s="63">
        <v>44635</v>
      </c>
      <c r="B130" s="57">
        <v>2323</v>
      </c>
      <c r="C130" s="57" t="s">
        <v>157</v>
      </c>
      <c r="D130" s="57" t="s">
        <v>158</v>
      </c>
      <c r="E130" s="57" t="s">
        <v>162</v>
      </c>
      <c r="F130" s="57">
        <f t="shared" si="8"/>
        <v>1</v>
      </c>
      <c r="G130" s="57">
        <v>25.417100000000001</v>
      </c>
      <c r="H130" s="57">
        <v>29.776</v>
      </c>
      <c r="I130" s="57">
        <v>27.860399999999998</v>
      </c>
      <c r="J130" s="33">
        <f t="shared" si="1"/>
        <v>4.3588999999999984</v>
      </c>
      <c r="K130" s="33">
        <f t="shared" si="2"/>
        <v>2.4432999999999971</v>
      </c>
    </row>
    <row r="131" spans="1:11" x14ac:dyDescent="0.2">
      <c r="A131" s="63">
        <v>44631</v>
      </c>
      <c r="B131" s="57">
        <v>2023</v>
      </c>
      <c r="C131" s="57" t="s">
        <v>160</v>
      </c>
      <c r="D131" s="57" t="s">
        <v>158</v>
      </c>
      <c r="E131" s="57" t="s">
        <v>159</v>
      </c>
      <c r="F131" s="57">
        <f t="shared" si="8"/>
        <v>1</v>
      </c>
      <c r="G131" s="57">
        <v>15.2661</v>
      </c>
      <c r="H131" s="57">
        <v>17.575700000000001</v>
      </c>
      <c r="I131" s="57">
        <v>16.266400000000001</v>
      </c>
      <c r="J131" s="33">
        <f t="shared" si="1"/>
        <v>2.3096000000000014</v>
      </c>
      <c r="K131" s="33">
        <f t="shared" si="2"/>
        <v>1.0003000000000011</v>
      </c>
    </row>
    <row r="132" spans="1:11" x14ac:dyDescent="0.2">
      <c r="A132" s="63">
        <v>44631</v>
      </c>
      <c r="B132" s="57">
        <v>2023</v>
      </c>
      <c r="C132" s="57" t="s">
        <v>160</v>
      </c>
      <c r="D132" s="57" t="s">
        <v>161</v>
      </c>
      <c r="E132" s="57" t="s">
        <v>159</v>
      </c>
      <c r="F132" s="57">
        <f t="shared" si="8"/>
        <v>0</v>
      </c>
      <c r="G132" s="57">
        <v>15.4284</v>
      </c>
      <c r="H132" s="57">
        <v>16.2882</v>
      </c>
      <c r="I132" s="57">
        <v>15.7615</v>
      </c>
      <c r="J132" s="33">
        <f t="shared" si="1"/>
        <v>0.8597999999999999</v>
      </c>
      <c r="K132" s="33">
        <f t="shared" si="2"/>
        <v>0.33309999999999995</v>
      </c>
    </row>
    <row r="133" spans="1:11" x14ac:dyDescent="0.2">
      <c r="A133" s="63">
        <v>44631</v>
      </c>
      <c r="B133" s="57">
        <v>2024</v>
      </c>
      <c r="C133" s="57" t="s">
        <v>160</v>
      </c>
      <c r="D133" s="57" t="s">
        <v>158</v>
      </c>
      <c r="E133" s="57" t="s">
        <v>159</v>
      </c>
      <c r="F133" s="57">
        <f t="shared" si="8"/>
        <v>1</v>
      </c>
      <c r="G133" s="57">
        <v>15.8195</v>
      </c>
      <c r="H133" s="57">
        <v>16.585000000000001</v>
      </c>
      <c r="I133" s="57">
        <v>16.386199999999999</v>
      </c>
      <c r="J133" s="33">
        <f t="shared" si="1"/>
        <v>0.76550000000000118</v>
      </c>
      <c r="K133" s="33">
        <f t="shared" si="2"/>
        <v>0.56669999999999909</v>
      </c>
    </row>
    <row r="134" spans="1:11" x14ac:dyDescent="0.2">
      <c r="A134" s="63">
        <v>44628</v>
      </c>
      <c r="B134" s="57">
        <v>2381</v>
      </c>
      <c r="C134" s="57" t="s">
        <v>157</v>
      </c>
      <c r="D134" s="57" t="s">
        <v>161</v>
      </c>
      <c r="E134" s="57" t="s">
        <v>162</v>
      </c>
      <c r="F134" s="57">
        <f t="shared" si="8"/>
        <v>0</v>
      </c>
      <c r="G134" s="57">
        <v>25.9892</v>
      </c>
      <c r="H134" s="57">
        <v>33.6098</v>
      </c>
      <c r="I134" s="57">
        <v>28.474900000000002</v>
      </c>
      <c r="J134" s="33">
        <f t="shared" si="1"/>
        <v>7.6205999999999996</v>
      </c>
      <c r="K134" s="33">
        <f t="shared" si="2"/>
        <v>2.4857000000000014</v>
      </c>
    </row>
    <row r="135" spans="1:11" x14ac:dyDescent="0.2">
      <c r="A135" s="63">
        <v>44631</v>
      </c>
      <c r="B135" s="57">
        <v>2389</v>
      </c>
      <c r="C135" s="57" t="s">
        <v>160</v>
      </c>
      <c r="D135" s="57" t="s">
        <v>158</v>
      </c>
      <c r="E135" s="57" t="s">
        <v>159</v>
      </c>
      <c r="F135" s="57">
        <f t="shared" si="8"/>
        <v>1</v>
      </c>
      <c r="G135" s="57">
        <v>26.798999999999999</v>
      </c>
      <c r="H135" s="57">
        <v>27.7424</v>
      </c>
      <c r="I135" s="57">
        <v>27.418700000000001</v>
      </c>
      <c r="J135" s="33">
        <f t="shared" si="1"/>
        <v>0.94340000000000046</v>
      </c>
      <c r="K135" s="33">
        <f t="shared" si="2"/>
        <v>0.61970000000000169</v>
      </c>
    </row>
    <row r="136" spans="1:11" x14ac:dyDescent="0.2">
      <c r="A136" s="63">
        <v>44631</v>
      </c>
      <c r="B136" s="57">
        <v>2379</v>
      </c>
      <c r="C136" s="57" t="s">
        <v>157</v>
      </c>
      <c r="D136" s="57" t="s">
        <v>161</v>
      </c>
      <c r="E136" s="57" t="s">
        <v>162</v>
      </c>
      <c r="F136" s="57">
        <f t="shared" si="8"/>
        <v>0</v>
      </c>
      <c r="G136" s="57">
        <v>26.703700000000001</v>
      </c>
      <c r="H136" s="57">
        <v>34.385899999999999</v>
      </c>
      <c r="I136" s="57">
        <v>30.021599999999999</v>
      </c>
      <c r="J136" s="33">
        <f t="shared" si="1"/>
        <v>7.6821999999999981</v>
      </c>
      <c r="K136" s="33">
        <f t="shared" si="2"/>
        <v>3.3178999999999981</v>
      </c>
    </row>
    <row r="137" spans="1:11" x14ac:dyDescent="0.2">
      <c r="A137" s="63">
        <v>44631</v>
      </c>
      <c r="B137" s="57">
        <v>2020</v>
      </c>
      <c r="C137" s="57" t="s">
        <v>160</v>
      </c>
      <c r="D137" s="57" t="s">
        <v>161</v>
      </c>
      <c r="E137" s="57" t="s">
        <v>162</v>
      </c>
      <c r="F137" s="57">
        <f t="shared" si="8"/>
        <v>0</v>
      </c>
      <c r="G137" s="57">
        <v>25.918900000000001</v>
      </c>
      <c r="H137" s="57">
        <v>39.115499999999997</v>
      </c>
      <c r="I137" s="57">
        <v>31.6403</v>
      </c>
      <c r="J137" s="33">
        <f t="shared" si="1"/>
        <v>13.196599999999997</v>
      </c>
      <c r="K137" s="33">
        <f t="shared" si="2"/>
        <v>5.7213999999999992</v>
      </c>
    </row>
    <row r="138" spans="1:11" x14ac:dyDescent="0.2">
      <c r="A138" s="63">
        <v>44631</v>
      </c>
      <c r="B138" s="57">
        <v>2378</v>
      </c>
      <c r="C138" s="57" t="s">
        <v>157</v>
      </c>
      <c r="D138" s="57" t="s">
        <v>161</v>
      </c>
      <c r="E138" s="57" t="s">
        <v>159</v>
      </c>
      <c r="F138" s="57">
        <f t="shared" si="8"/>
        <v>0</v>
      </c>
      <c r="G138" s="57">
        <v>26.031500000000001</v>
      </c>
      <c r="H138" s="57">
        <v>27.242699999999999</v>
      </c>
      <c r="I138" s="57">
        <v>26.305499999999999</v>
      </c>
      <c r="J138" s="33">
        <f t="shared" si="1"/>
        <v>1.2111999999999981</v>
      </c>
      <c r="K138" s="33">
        <f t="shared" si="2"/>
        <v>0.27399999999999736</v>
      </c>
    </row>
    <row r="139" spans="1:11" x14ac:dyDescent="0.2">
      <c r="A139" s="63">
        <v>44631</v>
      </c>
      <c r="B139" s="57">
        <v>2025</v>
      </c>
      <c r="C139" s="57" t="s">
        <v>160</v>
      </c>
      <c r="D139" s="57" t="s">
        <v>158</v>
      </c>
      <c r="E139" s="57" t="s">
        <v>159</v>
      </c>
      <c r="F139" s="57">
        <f t="shared" si="8"/>
        <v>1</v>
      </c>
      <c r="G139" s="57">
        <v>26.3477</v>
      </c>
      <c r="H139" s="57">
        <v>27.301100000000002</v>
      </c>
      <c r="I139" s="57">
        <v>26.855899999999998</v>
      </c>
      <c r="J139" s="33">
        <f t="shared" si="1"/>
        <v>0.95340000000000202</v>
      </c>
      <c r="K139" s="33">
        <f t="shared" si="2"/>
        <v>0.50819999999999865</v>
      </c>
    </row>
    <row r="140" spans="1:11" x14ac:dyDescent="0.2">
      <c r="A140" s="63">
        <v>44631</v>
      </c>
      <c r="B140" s="57">
        <v>2383</v>
      </c>
      <c r="C140" s="57" t="s">
        <v>157</v>
      </c>
      <c r="D140" s="57" t="s">
        <v>161</v>
      </c>
      <c r="E140" s="57" t="s">
        <v>159</v>
      </c>
      <c r="F140" s="57">
        <f t="shared" si="8"/>
        <v>0</v>
      </c>
      <c r="G140" s="57">
        <v>26.650300000000001</v>
      </c>
      <c r="H140" s="57">
        <v>26.8188</v>
      </c>
      <c r="I140" s="57">
        <v>26.806799999999999</v>
      </c>
      <c r="J140" s="33">
        <f t="shared" si="1"/>
        <v>0.1684999999999981</v>
      </c>
      <c r="K140" s="33">
        <f t="shared" si="2"/>
        <v>0.15649999999999764</v>
      </c>
    </row>
    <row r="141" spans="1:11" x14ac:dyDescent="0.2">
      <c r="A141" s="63">
        <v>44631</v>
      </c>
      <c r="B141" s="57">
        <v>2354</v>
      </c>
      <c r="C141" s="57" t="s">
        <v>157</v>
      </c>
      <c r="D141" s="57" t="s">
        <v>161</v>
      </c>
      <c r="E141" s="57" t="s">
        <v>159</v>
      </c>
      <c r="F141" s="57">
        <f t="shared" si="8"/>
        <v>0</v>
      </c>
      <c r="G141" s="57">
        <v>25.8248</v>
      </c>
      <c r="H141" s="57">
        <v>26.374400000000001</v>
      </c>
      <c r="I141" s="57">
        <v>25.8735</v>
      </c>
      <c r="J141" s="33">
        <f t="shared" si="1"/>
        <v>0.54960000000000164</v>
      </c>
      <c r="K141" s="33">
        <f t="shared" si="2"/>
        <v>4.8700000000000188E-2</v>
      </c>
    </row>
    <row r="142" spans="1:11" x14ac:dyDescent="0.2">
      <c r="A142" s="63">
        <v>44631</v>
      </c>
      <c r="B142" s="57">
        <v>2089</v>
      </c>
      <c r="C142" s="57" t="s">
        <v>160</v>
      </c>
      <c r="D142" s="57" t="s">
        <v>161</v>
      </c>
      <c r="E142" s="57" t="s">
        <v>159</v>
      </c>
      <c r="F142" s="57">
        <f t="shared" si="8"/>
        <v>0</v>
      </c>
      <c r="G142" s="57">
        <v>15.1028</v>
      </c>
      <c r="H142" s="57">
        <v>15.7034</v>
      </c>
      <c r="I142" s="57">
        <v>15.466100000000001</v>
      </c>
      <c r="J142" s="33">
        <f t="shared" si="1"/>
        <v>0.60060000000000002</v>
      </c>
      <c r="K142" s="33">
        <f t="shared" si="2"/>
        <v>0.36330000000000062</v>
      </c>
    </row>
    <row r="143" spans="1:11" x14ac:dyDescent="0.2">
      <c r="A143" s="63">
        <v>44631</v>
      </c>
      <c r="B143" s="57">
        <v>2020</v>
      </c>
      <c r="C143" s="57" t="s">
        <v>160</v>
      </c>
      <c r="D143" s="57" t="s">
        <v>161</v>
      </c>
      <c r="E143" s="57" t="s">
        <v>159</v>
      </c>
      <c r="F143" s="57">
        <f t="shared" si="8"/>
        <v>0</v>
      </c>
      <c r="G143" s="57">
        <v>15.2598</v>
      </c>
      <c r="H143" s="57">
        <v>16.517800000000001</v>
      </c>
      <c r="I143" s="57">
        <v>15.582599999999999</v>
      </c>
      <c r="J143" s="33">
        <f t="shared" si="1"/>
        <v>1.2580000000000009</v>
      </c>
      <c r="K143" s="33">
        <f t="shared" si="2"/>
        <v>0.32279999999999909</v>
      </c>
    </row>
    <row r="144" spans="1:11" x14ac:dyDescent="0.2">
      <c r="A144" s="63">
        <v>44628</v>
      </c>
      <c r="B144" s="57">
        <v>2331</v>
      </c>
      <c r="C144" s="57" t="s">
        <v>160</v>
      </c>
      <c r="D144" s="57" t="s">
        <v>158</v>
      </c>
      <c r="E144" s="57" t="s">
        <v>159</v>
      </c>
      <c r="F144" s="57">
        <f t="shared" si="8"/>
        <v>1</v>
      </c>
      <c r="G144" s="57">
        <v>26.480599999999999</v>
      </c>
      <c r="H144" s="57">
        <v>28.222000000000001</v>
      </c>
      <c r="I144" s="57">
        <v>27.511500000000002</v>
      </c>
      <c r="J144" s="33">
        <f t="shared" si="1"/>
        <v>1.7414000000000023</v>
      </c>
      <c r="K144" s="33">
        <f t="shared" si="2"/>
        <v>1.0309000000000026</v>
      </c>
    </row>
    <row r="145" spans="1:11" x14ac:dyDescent="0.2">
      <c r="A145" s="63">
        <v>44631</v>
      </c>
      <c r="B145" s="57">
        <v>2004</v>
      </c>
      <c r="C145" s="57" t="s">
        <v>160</v>
      </c>
      <c r="D145" s="57" t="s">
        <v>161</v>
      </c>
      <c r="E145" s="57" t="s">
        <v>162</v>
      </c>
      <c r="F145" s="57">
        <f t="shared" si="8"/>
        <v>0</v>
      </c>
      <c r="G145" s="57">
        <v>26.535799999999998</v>
      </c>
      <c r="H145" s="57">
        <v>35.064700000000002</v>
      </c>
      <c r="I145" s="57">
        <v>29.567299999999999</v>
      </c>
      <c r="J145" s="33">
        <f t="shared" si="1"/>
        <v>8.5289000000000037</v>
      </c>
      <c r="K145" s="33">
        <f t="shared" si="2"/>
        <v>3.0315000000000012</v>
      </c>
    </row>
    <row r="146" spans="1:11" x14ac:dyDescent="0.2">
      <c r="A146" s="63">
        <v>44631</v>
      </c>
      <c r="B146" s="57">
        <v>2023</v>
      </c>
      <c r="C146" s="57" t="s">
        <v>160</v>
      </c>
      <c r="D146" s="57" t="s">
        <v>161</v>
      </c>
      <c r="E146" s="57" t="s">
        <v>162</v>
      </c>
      <c r="F146" s="57">
        <f t="shared" si="8"/>
        <v>0</v>
      </c>
      <c r="G146" s="57">
        <v>26.680499999999999</v>
      </c>
      <c r="H146" s="57">
        <v>32.709000000000003</v>
      </c>
      <c r="I146" s="57">
        <v>29.514399999999998</v>
      </c>
      <c r="J146" s="33">
        <f t="shared" si="1"/>
        <v>6.0285000000000046</v>
      </c>
      <c r="K146" s="33">
        <f t="shared" si="2"/>
        <v>2.8338999999999999</v>
      </c>
    </row>
    <row r="147" spans="1:11" x14ac:dyDescent="0.2">
      <c r="A147" s="63">
        <v>44631</v>
      </c>
      <c r="B147" s="57">
        <v>2021</v>
      </c>
      <c r="C147" s="57" t="s">
        <v>160</v>
      </c>
      <c r="D147" s="57" t="s">
        <v>158</v>
      </c>
      <c r="E147" s="57" t="s">
        <v>159</v>
      </c>
      <c r="F147" s="57">
        <f t="shared" si="8"/>
        <v>1</v>
      </c>
      <c r="G147" s="57">
        <v>25.951899999999998</v>
      </c>
      <c r="H147" s="57">
        <v>29.5548</v>
      </c>
      <c r="I147" s="57">
        <v>27.957999999999998</v>
      </c>
      <c r="J147" s="33">
        <f t="shared" si="1"/>
        <v>3.6029000000000018</v>
      </c>
      <c r="K147" s="33">
        <f t="shared" si="2"/>
        <v>2.0061</v>
      </c>
    </row>
    <row r="148" spans="1:11" x14ac:dyDescent="0.2">
      <c r="A148" s="63">
        <v>44631</v>
      </c>
      <c r="B148" s="57">
        <v>2006</v>
      </c>
      <c r="C148" s="57" t="s">
        <v>160</v>
      </c>
      <c r="D148" s="57" t="s">
        <v>161</v>
      </c>
      <c r="E148" s="57" t="s">
        <v>162</v>
      </c>
      <c r="F148" s="57">
        <f t="shared" si="8"/>
        <v>0</v>
      </c>
      <c r="G148" s="57">
        <v>26.3033</v>
      </c>
      <c r="H148" s="57">
        <v>34.769100000000002</v>
      </c>
      <c r="I148" s="57">
        <v>29.558</v>
      </c>
      <c r="J148" s="33">
        <f t="shared" si="1"/>
        <v>8.4658000000000015</v>
      </c>
      <c r="K148" s="33">
        <f t="shared" si="2"/>
        <v>3.2546999999999997</v>
      </c>
    </row>
    <row r="149" spans="1:11" x14ac:dyDescent="0.2">
      <c r="A149" s="63">
        <v>44631</v>
      </c>
      <c r="B149" s="57">
        <v>2021</v>
      </c>
      <c r="C149" s="57" t="s">
        <v>160</v>
      </c>
      <c r="D149" s="57" t="s">
        <v>161</v>
      </c>
      <c r="E149" s="57" t="s">
        <v>159</v>
      </c>
      <c r="F149" s="57">
        <f t="shared" si="8"/>
        <v>0</v>
      </c>
      <c r="G149" s="57">
        <v>25.976099999999999</v>
      </c>
      <c r="H149" s="57">
        <v>27.0595</v>
      </c>
      <c r="I149" s="57">
        <v>26.256900000000002</v>
      </c>
      <c r="J149" s="33">
        <f t="shared" si="1"/>
        <v>1.083400000000001</v>
      </c>
      <c r="K149" s="33">
        <f t="shared" si="2"/>
        <v>0.28080000000000283</v>
      </c>
    </row>
    <row r="150" spans="1:11" x14ac:dyDescent="0.2">
      <c r="A150" s="63">
        <v>44631</v>
      </c>
      <c r="B150" s="57">
        <v>2025</v>
      </c>
      <c r="C150" s="57" t="s">
        <v>160</v>
      </c>
      <c r="D150" s="57" t="s">
        <v>161</v>
      </c>
      <c r="E150" s="57" t="s">
        <v>159</v>
      </c>
      <c r="F150" s="57">
        <f t="shared" si="8"/>
        <v>0</v>
      </c>
      <c r="G150" s="57">
        <v>26.312899999999999</v>
      </c>
      <c r="H150" s="57">
        <v>27.672999999999998</v>
      </c>
      <c r="I150" s="57">
        <v>26.792899999999999</v>
      </c>
      <c r="J150" s="33">
        <f t="shared" si="1"/>
        <v>1.3600999999999992</v>
      </c>
      <c r="K150" s="33">
        <f t="shared" si="2"/>
        <v>0.48000000000000043</v>
      </c>
    </row>
    <row r="151" spans="1:11" x14ac:dyDescent="0.2">
      <c r="A151" s="63">
        <v>44631</v>
      </c>
      <c r="B151" s="57">
        <v>2389</v>
      </c>
      <c r="C151" s="57" t="s">
        <v>160</v>
      </c>
      <c r="D151" s="57" t="s">
        <v>158</v>
      </c>
      <c r="E151" s="57" t="s">
        <v>162</v>
      </c>
      <c r="F151" s="57">
        <f t="shared" si="8"/>
        <v>1</v>
      </c>
      <c r="G151" s="57">
        <v>26.110700000000001</v>
      </c>
      <c r="H151" s="57">
        <v>31.0779</v>
      </c>
      <c r="I151" s="57">
        <v>28.7104</v>
      </c>
      <c r="J151" s="33">
        <f t="shared" si="1"/>
        <v>4.9671999999999983</v>
      </c>
      <c r="K151" s="33">
        <f t="shared" si="2"/>
        <v>2.5996999999999986</v>
      </c>
    </row>
    <row r="152" spans="1:11" x14ac:dyDescent="0.2">
      <c r="A152" s="63">
        <v>44620</v>
      </c>
      <c r="B152" s="57">
        <v>2354</v>
      </c>
      <c r="C152" s="57" t="s">
        <v>160</v>
      </c>
      <c r="D152" s="57" t="s">
        <v>163</v>
      </c>
      <c r="E152" s="57" t="s">
        <v>163</v>
      </c>
      <c r="F152" s="57">
        <f t="shared" si="8"/>
        <v>0</v>
      </c>
      <c r="G152" s="57">
        <v>68.204499999999996</v>
      </c>
      <c r="H152" s="57">
        <v>87.768500000000003</v>
      </c>
      <c r="I152" s="57">
        <v>79.572800000000001</v>
      </c>
      <c r="J152" s="33">
        <f t="shared" si="1"/>
        <v>19.564000000000007</v>
      </c>
      <c r="K152" s="33">
        <f t="shared" si="2"/>
        <v>11.368300000000005</v>
      </c>
    </row>
    <row r="153" spans="1:11" x14ac:dyDescent="0.2">
      <c r="A153" s="63">
        <v>44620</v>
      </c>
      <c r="B153" s="57">
        <v>2354</v>
      </c>
      <c r="C153" s="57" t="s">
        <v>160</v>
      </c>
      <c r="D153" s="57" t="s">
        <v>163</v>
      </c>
      <c r="E153" s="57" t="s">
        <v>163</v>
      </c>
      <c r="F153" s="57">
        <f t="shared" si="8"/>
        <v>0</v>
      </c>
      <c r="G153" s="57">
        <v>67.495699999999999</v>
      </c>
      <c r="H153" s="57">
        <v>78.39</v>
      </c>
      <c r="I153" s="57">
        <v>73.874799999999993</v>
      </c>
      <c r="J153" s="33">
        <f t="shared" si="1"/>
        <v>10.894300000000001</v>
      </c>
      <c r="K153" s="33">
        <f t="shared" si="2"/>
        <v>6.379099999999994</v>
      </c>
    </row>
    <row r="154" spans="1:11" x14ac:dyDescent="0.2">
      <c r="A154" s="63">
        <v>44620</v>
      </c>
      <c r="B154" s="57">
        <v>2381</v>
      </c>
      <c r="C154" s="57" t="s">
        <v>160</v>
      </c>
      <c r="D154" s="57" t="s">
        <v>163</v>
      </c>
      <c r="E154" s="57" t="s">
        <v>163</v>
      </c>
      <c r="F154" s="57">
        <f t="shared" si="8"/>
        <v>0</v>
      </c>
      <c r="G154" s="57">
        <v>68.277000000000001</v>
      </c>
      <c r="H154" s="57">
        <v>77.711200000000005</v>
      </c>
      <c r="I154" s="57">
        <v>73.755200000000002</v>
      </c>
      <c r="J154" s="33">
        <f t="shared" si="1"/>
        <v>9.4342000000000041</v>
      </c>
      <c r="K154" s="33">
        <f t="shared" si="2"/>
        <v>5.4782000000000011</v>
      </c>
    </row>
    <row r="155" spans="1:11" x14ac:dyDescent="0.2">
      <c r="A155" s="63">
        <v>44628</v>
      </c>
      <c r="B155" s="57">
        <v>2381</v>
      </c>
      <c r="C155" s="57" t="s">
        <v>157</v>
      </c>
      <c r="D155" s="57" t="s">
        <v>158</v>
      </c>
      <c r="E155" s="57" t="s">
        <v>162</v>
      </c>
      <c r="F155" s="57">
        <f t="shared" si="8"/>
        <v>1</v>
      </c>
      <c r="G155" s="57">
        <v>26.2971</v>
      </c>
      <c r="H155" s="57">
        <v>26.822500000000002</v>
      </c>
      <c r="I155" s="57">
        <v>26.4057</v>
      </c>
      <c r="J155" s="33">
        <f t="shared" si="1"/>
        <v>0.5254000000000012</v>
      </c>
      <c r="K155" s="33">
        <f t="shared" si="2"/>
        <v>0.10859999999999914</v>
      </c>
    </row>
    <row r="156" spans="1:11" x14ac:dyDescent="0.2">
      <c r="A156" s="63">
        <v>44620</v>
      </c>
      <c r="B156" s="57">
        <v>2301</v>
      </c>
      <c r="C156" s="57" t="s">
        <v>160</v>
      </c>
      <c r="D156" s="57" t="s">
        <v>163</v>
      </c>
      <c r="E156" s="57" t="s">
        <v>163</v>
      </c>
      <c r="F156" s="57">
        <f t="shared" si="8"/>
        <v>0</v>
      </c>
      <c r="G156" s="57">
        <v>67.252899999999997</v>
      </c>
      <c r="H156" s="57">
        <v>74.366200000000006</v>
      </c>
      <c r="I156" s="57">
        <v>70.996700000000004</v>
      </c>
      <c r="J156" s="33">
        <f t="shared" si="1"/>
        <v>7.1133000000000095</v>
      </c>
      <c r="K156" s="33">
        <f t="shared" si="2"/>
        <v>3.7438000000000073</v>
      </c>
    </row>
    <row r="157" spans="1:11" x14ac:dyDescent="0.2">
      <c r="A157" s="63">
        <v>44628</v>
      </c>
      <c r="B157" s="57">
        <v>2331</v>
      </c>
      <c r="C157" s="57" t="s">
        <v>157</v>
      </c>
      <c r="D157" s="57" t="s">
        <v>158</v>
      </c>
      <c r="E157" s="57" t="s">
        <v>162</v>
      </c>
      <c r="F157" s="57">
        <f t="shared" si="8"/>
        <v>1</v>
      </c>
      <c r="G157" s="57">
        <v>67.512500000000003</v>
      </c>
      <c r="H157" s="57">
        <v>74.845299999999995</v>
      </c>
      <c r="I157" s="57">
        <v>71.763800000000003</v>
      </c>
      <c r="J157" s="33">
        <f t="shared" si="1"/>
        <v>7.3327999999999918</v>
      </c>
      <c r="K157" s="33">
        <f t="shared" si="2"/>
        <v>4.2513000000000005</v>
      </c>
    </row>
    <row r="158" spans="1:11" x14ac:dyDescent="0.2">
      <c r="A158" s="63">
        <v>44628</v>
      </c>
      <c r="B158" s="57">
        <v>2301</v>
      </c>
      <c r="C158" s="57" t="s">
        <v>157</v>
      </c>
      <c r="D158" s="57" t="s">
        <v>158</v>
      </c>
      <c r="E158" s="57" t="s">
        <v>162</v>
      </c>
      <c r="F158" s="57">
        <f t="shared" si="8"/>
        <v>1</v>
      </c>
      <c r="G158" s="57">
        <v>68.0227</v>
      </c>
      <c r="H158" s="57">
        <v>80.497399999999999</v>
      </c>
      <c r="I158" s="57">
        <v>74.966800000000006</v>
      </c>
      <c r="J158" s="33">
        <f t="shared" si="1"/>
        <v>12.474699999999999</v>
      </c>
      <c r="K158" s="33">
        <f t="shared" si="2"/>
        <v>6.9441000000000059</v>
      </c>
    </row>
    <row r="159" spans="1:11" x14ac:dyDescent="0.2">
      <c r="A159" s="63">
        <v>44628</v>
      </c>
      <c r="B159" s="57">
        <v>2301</v>
      </c>
      <c r="C159" s="57" t="s">
        <v>157</v>
      </c>
      <c r="D159" s="57" t="s">
        <v>158</v>
      </c>
      <c r="E159" s="57" t="s">
        <v>159</v>
      </c>
      <c r="F159" s="57">
        <f t="shared" si="8"/>
        <v>1</v>
      </c>
      <c r="G159" s="57">
        <v>67.011200000000002</v>
      </c>
      <c r="H159" s="57">
        <v>68.719399999999993</v>
      </c>
      <c r="I159" s="57">
        <v>67.774600000000007</v>
      </c>
      <c r="J159" s="33">
        <f t="shared" si="1"/>
        <v>1.7081999999999908</v>
      </c>
      <c r="K159" s="33">
        <f t="shared" si="2"/>
        <v>0.7634000000000043</v>
      </c>
    </row>
    <row r="160" spans="1:11" x14ac:dyDescent="0.2">
      <c r="A160" s="63">
        <v>44620</v>
      </c>
      <c r="B160" s="57">
        <v>3477</v>
      </c>
      <c r="C160" s="57" t="s">
        <v>160</v>
      </c>
      <c r="D160" s="57" t="s">
        <v>163</v>
      </c>
      <c r="E160" s="57" t="s">
        <v>163</v>
      </c>
      <c r="F160" s="57">
        <f t="shared" si="8"/>
        <v>0</v>
      </c>
      <c r="G160" s="57">
        <v>68.379199999999997</v>
      </c>
      <c r="H160" s="57">
        <v>82.771699999999996</v>
      </c>
      <c r="I160" s="57">
        <v>76.084900000000005</v>
      </c>
      <c r="J160" s="33">
        <f t="shared" si="1"/>
        <v>14.392499999999998</v>
      </c>
      <c r="K160" s="33">
        <f t="shared" si="2"/>
        <v>7.7057000000000073</v>
      </c>
    </row>
    <row r="161" spans="1:11" x14ac:dyDescent="0.2">
      <c r="A161" s="63">
        <v>44631</v>
      </c>
      <c r="B161" s="57">
        <v>2004</v>
      </c>
      <c r="C161" s="57" t="s">
        <v>160</v>
      </c>
      <c r="D161" s="57" t="s">
        <v>158</v>
      </c>
      <c r="E161" s="57" t="s">
        <v>159</v>
      </c>
      <c r="F161" s="57">
        <f t="shared" si="8"/>
        <v>1</v>
      </c>
      <c r="G161" s="57">
        <v>25.811699999999998</v>
      </c>
      <c r="H161" s="57">
        <v>26.4</v>
      </c>
      <c r="I161" s="57">
        <v>25.894100000000002</v>
      </c>
      <c r="J161" s="33">
        <f t="shared" si="1"/>
        <v>0.58830000000000027</v>
      </c>
      <c r="K161" s="33">
        <f t="shared" si="2"/>
        <v>8.2400000000003359E-2</v>
      </c>
    </row>
    <row r="162" spans="1:11" x14ac:dyDescent="0.2">
      <c r="A162" s="63">
        <v>44620</v>
      </c>
      <c r="B162" s="57">
        <v>2301</v>
      </c>
      <c r="C162" s="57" t="s">
        <v>160</v>
      </c>
      <c r="D162" s="57" t="s">
        <v>163</v>
      </c>
      <c r="E162" s="57" t="s">
        <v>163</v>
      </c>
      <c r="F162" s="57">
        <f t="shared" si="8"/>
        <v>0</v>
      </c>
      <c r="G162" s="57">
        <v>67.184700000000007</v>
      </c>
      <c r="H162" s="57">
        <v>80.200599999999994</v>
      </c>
      <c r="I162" s="57">
        <v>74.376300000000001</v>
      </c>
      <c r="J162" s="33">
        <f t="shared" si="1"/>
        <v>13.015899999999988</v>
      </c>
      <c r="K162" s="33">
        <f t="shared" si="2"/>
        <v>7.191599999999994</v>
      </c>
    </row>
    <row r="163" spans="1:11" x14ac:dyDescent="0.2">
      <c r="A163" s="63">
        <v>44620</v>
      </c>
      <c r="B163" s="57">
        <v>2331</v>
      </c>
      <c r="C163" s="57" t="s">
        <v>160</v>
      </c>
      <c r="D163" s="57" t="s">
        <v>163</v>
      </c>
      <c r="E163" s="57" t="s">
        <v>163</v>
      </c>
      <c r="F163" s="57">
        <f t="shared" si="8"/>
        <v>0</v>
      </c>
      <c r="G163" s="57">
        <v>68.023899999999998</v>
      </c>
      <c r="H163" s="57">
        <v>88.429400000000001</v>
      </c>
      <c r="I163" s="57">
        <v>79.923699999999997</v>
      </c>
      <c r="J163" s="33">
        <f t="shared" si="1"/>
        <v>20.405500000000004</v>
      </c>
      <c r="K163" s="33">
        <f t="shared" si="2"/>
        <v>11.899799999999999</v>
      </c>
    </row>
    <row r="164" spans="1:11" x14ac:dyDescent="0.2">
      <c r="A164" s="63">
        <v>44631</v>
      </c>
      <c r="B164" s="57">
        <v>2004</v>
      </c>
      <c r="C164" s="57" t="s">
        <v>160</v>
      </c>
      <c r="D164" s="57" t="s">
        <v>161</v>
      </c>
      <c r="E164" s="57" t="s">
        <v>159</v>
      </c>
      <c r="F164" s="57">
        <f t="shared" si="8"/>
        <v>0</v>
      </c>
      <c r="G164" s="57">
        <v>15.447100000000001</v>
      </c>
      <c r="H164" s="57">
        <v>16.625399999999999</v>
      </c>
      <c r="I164" s="57">
        <v>15.9725</v>
      </c>
      <c r="J164" s="33">
        <f t="shared" si="1"/>
        <v>1.1782999999999983</v>
      </c>
      <c r="K164" s="33">
        <f t="shared" si="2"/>
        <v>0.52539999999999942</v>
      </c>
    </row>
    <row r="165" spans="1:11" x14ac:dyDescent="0.2">
      <c r="A165" s="63">
        <v>44620</v>
      </c>
      <c r="B165" s="57">
        <v>3480</v>
      </c>
      <c r="C165" s="57" t="s">
        <v>160</v>
      </c>
      <c r="D165" s="57" t="s">
        <v>163</v>
      </c>
      <c r="E165" s="57" t="s">
        <v>163</v>
      </c>
      <c r="F165" s="57">
        <f t="shared" si="8"/>
        <v>0</v>
      </c>
      <c r="G165" s="57">
        <v>68.407399999999996</v>
      </c>
      <c r="H165" s="57">
        <v>84.450400000000002</v>
      </c>
      <c r="I165" s="57">
        <v>78.542000000000002</v>
      </c>
      <c r="J165" s="33">
        <f t="shared" si="1"/>
        <v>16.043000000000006</v>
      </c>
      <c r="K165" s="33">
        <f t="shared" si="2"/>
        <v>10.134600000000006</v>
      </c>
    </row>
    <row r="166" spans="1:11" x14ac:dyDescent="0.2">
      <c r="A166" s="63">
        <v>44620</v>
      </c>
      <c r="B166" s="57">
        <v>2376</v>
      </c>
      <c r="C166" s="57" t="s">
        <v>160</v>
      </c>
      <c r="D166" s="57" t="s">
        <v>163</v>
      </c>
      <c r="E166" s="57" t="s">
        <v>163</v>
      </c>
      <c r="F166" s="57">
        <f t="shared" si="8"/>
        <v>0</v>
      </c>
      <c r="G166" s="57">
        <v>68.001400000000004</v>
      </c>
      <c r="H166" s="57">
        <v>89.543899999999994</v>
      </c>
      <c r="I166" s="57">
        <v>80.140900000000002</v>
      </c>
      <c r="J166" s="33">
        <f t="shared" si="1"/>
        <v>21.54249999999999</v>
      </c>
      <c r="K166" s="33">
        <f t="shared" si="2"/>
        <v>12.139499999999998</v>
      </c>
    </row>
    <row r="167" spans="1:11" x14ac:dyDescent="0.2">
      <c r="A167" s="63">
        <v>44631</v>
      </c>
      <c r="B167" s="57">
        <v>2021</v>
      </c>
      <c r="C167" s="57" t="s">
        <v>160</v>
      </c>
      <c r="D167" s="57" t="s">
        <v>161</v>
      </c>
      <c r="E167" s="57" t="s">
        <v>162</v>
      </c>
      <c r="F167" s="57">
        <f t="shared" si="8"/>
        <v>0</v>
      </c>
      <c r="G167" s="57">
        <v>26.2394</v>
      </c>
      <c r="H167" s="57">
        <v>38.049799999999998</v>
      </c>
      <c r="I167" s="57">
        <v>31.555399999999999</v>
      </c>
      <c r="J167" s="33">
        <f t="shared" si="1"/>
        <v>11.810399999999998</v>
      </c>
      <c r="K167" s="33">
        <f t="shared" si="2"/>
        <v>5.3159999999999989</v>
      </c>
    </row>
    <row r="168" spans="1:11" x14ac:dyDescent="0.2">
      <c r="A168" s="63">
        <v>44620</v>
      </c>
      <c r="B168" s="57">
        <v>2352</v>
      </c>
      <c r="C168" s="57" t="s">
        <v>160</v>
      </c>
      <c r="D168" s="57" t="s">
        <v>163</v>
      </c>
      <c r="E168" s="57" t="s">
        <v>163</v>
      </c>
      <c r="F168" s="57">
        <f t="shared" si="8"/>
        <v>0</v>
      </c>
      <c r="G168" s="57">
        <v>68.407799999999995</v>
      </c>
      <c r="H168" s="57">
        <v>82.620599999999996</v>
      </c>
      <c r="I168" s="57">
        <v>76.699100000000001</v>
      </c>
      <c r="J168" s="33">
        <f t="shared" si="1"/>
        <v>14.212800000000001</v>
      </c>
      <c r="K168" s="33">
        <f t="shared" si="2"/>
        <v>8.2913000000000068</v>
      </c>
    </row>
    <row r="169" spans="1:11" x14ac:dyDescent="0.2">
      <c r="A169" s="63">
        <v>44631</v>
      </c>
      <c r="B169" s="57">
        <v>2004</v>
      </c>
      <c r="C169" s="57" t="s">
        <v>160</v>
      </c>
      <c r="D169" s="57" t="s">
        <v>161</v>
      </c>
      <c r="E169" s="57" t="s">
        <v>159</v>
      </c>
      <c r="F169" s="57">
        <f t="shared" si="8"/>
        <v>0</v>
      </c>
      <c r="G169" s="57">
        <v>26.410499999999999</v>
      </c>
      <c r="H169" s="57">
        <v>27.699000000000002</v>
      </c>
      <c r="I169" s="57">
        <v>26.808800000000002</v>
      </c>
      <c r="J169" s="33">
        <f t="shared" si="1"/>
        <v>1.2885000000000026</v>
      </c>
      <c r="K169" s="33">
        <f t="shared" si="2"/>
        <v>0.39830000000000254</v>
      </c>
    </row>
    <row r="170" spans="1:11" x14ac:dyDescent="0.2">
      <c r="A170" s="63">
        <v>44620</v>
      </c>
      <c r="B170" s="57">
        <v>2331</v>
      </c>
      <c r="C170" s="57" t="s">
        <v>157</v>
      </c>
      <c r="D170" s="57" t="s">
        <v>158</v>
      </c>
      <c r="E170" s="57" t="s">
        <v>159</v>
      </c>
      <c r="F170" s="57">
        <f t="shared" si="8"/>
        <v>1</v>
      </c>
      <c r="G170" s="57">
        <v>67.440799999999996</v>
      </c>
      <c r="H170" s="57">
        <v>68.682900000000004</v>
      </c>
      <c r="I170" s="57">
        <v>68.110200000000006</v>
      </c>
      <c r="J170" s="33">
        <f t="shared" si="1"/>
        <v>1.2421000000000078</v>
      </c>
      <c r="K170" s="33">
        <f t="shared" si="2"/>
        <v>0.66940000000001021</v>
      </c>
    </row>
    <row r="171" spans="1:11" x14ac:dyDescent="0.2">
      <c r="A171" s="63">
        <v>44631</v>
      </c>
      <c r="B171" s="57">
        <v>2354</v>
      </c>
      <c r="C171" s="57" t="s">
        <v>157</v>
      </c>
      <c r="D171" s="57" t="s">
        <v>158</v>
      </c>
      <c r="E171" s="57" t="s">
        <v>162</v>
      </c>
      <c r="F171" s="57">
        <f t="shared" si="8"/>
        <v>1</v>
      </c>
      <c r="G171" s="57">
        <v>25.67</v>
      </c>
      <c r="H171" s="57">
        <v>31.434100000000001</v>
      </c>
      <c r="I171" s="57">
        <v>28.816800000000001</v>
      </c>
      <c r="J171" s="33">
        <f t="shared" si="1"/>
        <v>5.7640999999999991</v>
      </c>
      <c r="K171" s="33">
        <f t="shared" si="2"/>
        <v>3.1467999999999989</v>
      </c>
    </row>
    <row r="172" spans="1:11" x14ac:dyDescent="0.2">
      <c r="A172" s="63">
        <v>44631</v>
      </c>
      <c r="B172" s="57">
        <v>2027</v>
      </c>
      <c r="C172" s="57" t="s">
        <v>160</v>
      </c>
      <c r="D172" s="57" t="s">
        <v>161</v>
      </c>
      <c r="E172" s="57" t="s">
        <v>162</v>
      </c>
      <c r="F172" s="57">
        <f t="shared" si="8"/>
        <v>0</v>
      </c>
      <c r="G172" s="57">
        <v>26.104500000000002</v>
      </c>
      <c r="H172" s="57">
        <v>37.138800000000003</v>
      </c>
      <c r="I172" s="57">
        <v>31.811199999999999</v>
      </c>
      <c r="J172" s="33">
        <f t="shared" si="1"/>
        <v>11.034300000000002</v>
      </c>
      <c r="K172" s="33">
        <f t="shared" si="2"/>
        <v>5.7066999999999979</v>
      </c>
    </row>
    <row r="173" spans="1:11" x14ac:dyDescent="0.2">
      <c r="A173" s="63">
        <v>44631</v>
      </c>
      <c r="B173" s="57">
        <v>2378</v>
      </c>
      <c r="C173" s="57" t="s">
        <v>157</v>
      </c>
      <c r="D173" s="57" t="s">
        <v>161</v>
      </c>
      <c r="E173" s="57" t="s">
        <v>162</v>
      </c>
      <c r="F173" s="57">
        <f t="shared" si="8"/>
        <v>0</v>
      </c>
      <c r="G173" s="57">
        <v>26.817699999999999</v>
      </c>
      <c r="H173" s="57">
        <v>32.414900000000003</v>
      </c>
      <c r="I173" s="57">
        <v>29.0657</v>
      </c>
      <c r="J173" s="33">
        <f t="shared" si="1"/>
        <v>5.5972000000000044</v>
      </c>
      <c r="K173" s="33">
        <f t="shared" si="2"/>
        <v>2.2480000000000011</v>
      </c>
    </row>
    <row r="174" spans="1:11" x14ac:dyDescent="0.2">
      <c r="A174" s="63">
        <v>44628</v>
      </c>
      <c r="B174" s="57">
        <v>2377</v>
      </c>
      <c r="C174" s="57" t="s">
        <v>157</v>
      </c>
      <c r="D174" s="57" t="s">
        <v>158</v>
      </c>
      <c r="E174" s="57" t="s">
        <v>162</v>
      </c>
      <c r="F174" s="57">
        <f t="shared" si="8"/>
        <v>1</v>
      </c>
      <c r="G174" s="57">
        <v>25.744399999999999</v>
      </c>
      <c r="H174" s="57">
        <v>32.305100000000003</v>
      </c>
      <c r="I174" s="57">
        <v>29.371400000000001</v>
      </c>
      <c r="J174" s="33">
        <f t="shared" si="1"/>
        <v>6.5607000000000042</v>
      </c>
      <c r="K174" s="33">
        <f t="shared" si="2"/>
        <v>3.6270000000000024</v>
      </c>
    </row>
    <row r="175" spans="1:11" x14ac:dyDescent="0.2">
      <c r="A175" s="63">
        <v>44620</v>
      </c>
      <c r="B175" s="57">
        <v>2345</v>
      </c>
      <c r="C175" s="57" t="s">
        <v>160</v>
      </c>
      <c r="D175" s="57" t="s">
        <v>163</v>
      </c>
      <c r="E175" s="57" t="s">
        <v>163</v>
      </c>
      <c r="F175" s="57">
        <f t="shared" si="8"/>
        <v>0</v>
      </c>
      <c r="G175" s="57">
        <v>67.881600000000006</v>
      </c>
      <c r="H175" s="57">
        <v>80.424599999999998</v>
      </c>
      <c r="I175" s="57">
        <v>75.083699999999993</v>
      </c>
      <c r="J175" s="33">
        <f t="shared" si="1"/>
        <v>12.542999999999992</v>
      </c>
      <c r="K175" s="33">
        <f t="shared" si="2"/>
        <v>7.2020999999999873</v>
      </c>
    </row>
    <row r="176" spans="1:11" x14ac:dyDescent="0.2">
      <c r="A176" s="63">
        <v>44631</v>
      </c>
      <c r="B176" s="57">
        <v>2007</v>
      </c>
      <c r="C176" s="57" t="s">
        <v>160</v>
      </c>
      <c r="D176" s="57" t="s">
        <v>161</v>
      </c>
      <c r="E176" s="57" t="s">
        <v>159</v>
      </c>
      <c r="F176" s="57">
        <f t="shared" si="8"/>
        <v>0</v>
      </c>
      <c r="G176" s="57">
        <v>15.1858</v>
      </c>
      <c r="H176" s="57">
        <v>16.196400000000001</v>
      </c>
      <c r="I176" s="57">
        <v>15.5312</v>
      </c>
      <c r="J176" s="33">
        <f t="shared" si="1"/>
        <v>1.0106000000000002</v>
      </c>
      <c r="K176" s="33">
        <f t="shared" si="2"/>
        <v>0.34539999999999971</v>
      </c>
    </row>
    <row r="177" spans="1:11" x14ac:dyDescent="0.2">
      <c r="A177" s="63">
        <v>44628</v>
      </c>
      <c r="B177" s="57">
        <v>2331</v>
      </c>
      <c r="C177" s="57" t="s">
        <v>157</v>
      </c>
      <c r="D177" s="57" t="s">
        <v>161</v>
      </c>
      <c r="E177" s="57" t="s">
        <v>159</v>
      </c>
      <c r="F177" s="57">
        <f t="shared" si="8"/>
        <v>0</v>
      </c>
      <c r="G177" s="57">
        <v>68.823599999999999</v>
      </c>
      <c r="H177" s="57">
        <v>68.877200000000002</v>
      </c>
      <c r="I177" s="57">
        <v>69.000799999999998</v>
      </c>
      <c r="J177" s="33">
        <f t="shared" si="1"/>
        <v>5.3600000000002979E-2</v>
      </c>
      <c r="K177" s="33">
        <f t="shared" si="2"/>
        <v>0.17719999999999914</v>
      </c>
    </row>
    <row r="178" spans="1:11" x14ac:dyDescent="0.2">
      <c r="A178" s="63">
        <v>44620</v>
      </c>
      <c r="B178" s="57">
        <v>2366</v>
      </c>
      <c r="C178" s="57" t="s">
        <v>160</v>
      </c>
      <c r="D178" s="57" t="s">
        <v>163</v>
      </c>
      <c r="E178" s="57" t="s">
        <v>163</v>
      </c>
      <c r="F178" s="57">
        <f t="shared" si="8"/>
        <v>0</v>
      </c>
      <c r="G178" s="57">
        <v>67.802099999999996</v>
      </c>
      <c r="H178" s="57">
        <v>79.814999999999998</v>
      </c>
      <c r="I178" s="57">
        <v>74.725499999999997</v>
      </c>
      <c r="J178" s="33">
        <f t="shared" si="1"/>
        <v>12.012900000000002</v>
      </c>
      <c r="K178" s="33">
        <f t="shared" si="2"/>
        <v>6.9234000000000009</v>
      </c>
    </row>
    <row r="179" spans="1:11" x14ac:dyDescent="0.2">
      <c r="A179" s="63">
        <v>44620</v>
      </c>
      <c r="B179" s="57">
        <v>2377</v>
      </c>
      <c r="C179" s="57" t="s">
        <v>160</v>
      </c>
      <c r="D179" s="57" t="s">
        <v>163</v>
      </c>
      <c r="E179" s="57" t="s">
        <v>163</v>
      </c>
      <c r="F179" s="57">
        <f t="shared" si="8"/>
        <v>0</v>
      </c>
      <c r="G179" s="57">
        <v>67.897999999999996</v>
      </c>
      <c r="H179" s="57">
        <v>80.745599999999996</v>
      </c>
      <c r="I179" s="57">
        <v>75.379300000000001</v>
      </c>
      <c r="J179" s="33">
        <f t="shared" si="1"/>
        <v>12.8476</v>
      </c>
      <c r="K179" s="33">
        <f t="shared" si="2"/>
        <v>7.4813000000000045</v>
      </c>
    </row>
    <row r="180" spans="1:11" x14ac:dyDescent="0.2">
      <c r="A180" s="63">
        <v>44620</v>
      </c>
      <c r="B180" s="57">
        <v>2322</v>
      </c>
      <c r="C180" s="57" t="s">
        <v>160</v>
      </c>
      <c r="D180" s="57" t="s">
        <v>163</v>
      </c>
      <c r="E180" s="57" t="s">
        <v>163</v>
      </c>
      <c r="F180" s="57">
        <f t="shared" si="8"/>
        <v>0</v>
      </c>
      <c r="G180" s="57">
        <v>67.140900000000002</v>
      </c>
      <c r="H180" s="57">
        <v>79.934700000000007</v>
      </c>
      <c r="I180" s="57">
        <v>68.835300000000004</v>
      </c>
      <c r="J180" s="33">
        <f t="shared" si="1"/>
        <v>12.793800000000005</v>
      </c>
      <c r="K180" s="33">
        <f t="shared" si="2"/>
        <v>1.6944000000000017</v>
      </c>
    </row>
    <row r="181" spans="1:11" x14ac:dyDescent="0.2">
      <c r="A181" s="63">
        <v>44628</v>
      </c>
      <c r="B181" s="57">
        <v>2331</v>
      </c>
      <c r="C181" s="57" t="s">
        <v>160</v>
      </c>
      <c r="D181" s="57" t="s">
        <v>161</v>
      </c>
      <c r="E181" s="57" t="s">
        <v>162</v>
      </c>
      <c r="F181" s="57">
        <f t="shared" si="8"/>
        <v>0</v>
      </c>
      <c r="G181" s="57">
        <v>67.990300000000005</v>
      </c>
      <c r="H181" s="57">
        <v>70.850399999999993</v>
      </c>
      <c r="I181" s="57">
        <v>68.834999999999994</v>
      </c>
      <c r="J181" s="33">
        <f t="shared" si="1"/>
        <v>2.8600999999999885</v>
      </c>
      <c r="K181" s="33">
        <f t="shared" si="2"/>
        <v>0.8446999999999889</v>
      </c>
    </row>
    <row r="182" spans="1:11" x14ac:dyDescent="0.2">
      <c r="A182" s="63">
        <v>44620</v>
      </c>
      <c r="B182" s="57">
        <v>2345</v>
      </c>
      <c r="C182" s="57" t="s">
        <v>160</v>
      </c>
      <c r="D182" s="57" t="s">
        <v>163</v>
      </c>
      <c r="E182" s="57" t="s">
        <v>163</v>
      </c>
      <c r="F182" s="57">
        <f t="shared" si="8"/>
        <v>0</v>
      </c>
      <c r="G182" s="57">
        <v>67.925799999999995</v>
      </c>
      <c r="H182" s="57">
        <v>76.539199999999994</v>
      </c>
      <c r="I182" s="57">
        <v>72.582999999999998</v>
      </c>
      <c r="J182" s="33">
        <f t="shared" si="1"/>
        <v>8.6133999999999986</v>
      </c>
      <c r="K182" s="33">
        <f t="shared" si="2"/>
        <v>4.6572000000000031</v>
      </c>
    </row>
    <row r="183" spans="1:11" x14ac:dyDescent="0.2">
      <c r="A183" s="63">
        <v>44631</v>
      </c>
      <c r="B183" s="57">
        <v>2006</v>
      </c>
      <c r="C183" s="57" t="s">
        <v>157</v>
      </c>
      <c r="D183" s="57" t="s">
        <v>161</v>
      </c>
      <c r="E183" s="57" t="s">
        <v>159</v>
      </c>
      <c r="F183" s="57">
        <f t="shared" si="8"/>
        <v>0</v>
      </c>
      <c r="G183" s="57">
        <v>26.852699999999999</v>
      </c>
      <c r="H183" s="57">
        <v>33.307000000000002</v>
      </c>
      <c r="I183" s="57">
        <v>28.8581</v>
      </c>
      <c r="J183" s="33">
        <f t="shared" si="1"/>
        <v>6.4543000000000035</v>
      </c>
      <c r="K183" s="33">
        <f t="shared" si="2"/>
        <v>2.0054000000000016</v>
      </c>
    </row>
    <row r="184" spans="1:11" x14ac:dyDescent="0.2">
      <c r="A184" s="63">
        <v>44631</v>
      </c>
      <c r="B184" s="57">
        <v>2024</v>
      </c>
      <c r="C184" s="57" t="s">
        <v>160</v>
      </c>
      <c r="D184" s="57" t="s">
        <v>161</v>
      </c>
      <c r="E184" s="57" t="s">
        <v>159</v>
      </c>
      <c r="F184" s="57">
        <f t="shared" si="8"/>
        <v>0</v>
      </c>
      <c r="G184" s="57">
        <v>15.858499999999999</v>
      </c>
      <c r="H184" s="57">
        <v>16.792200000000001</v>
      </c>
      <c r="I184" s="57">
        <v>16.1633</v>
      </c>
      <c r="J184" s="33">
        <f t="shared" si="1"/>
        <v>0.93370000000000175</v>
      </c>
      <c r="K184" s="33">
        <f t="shared" si="2"/>
        <v>0.30480000000000018</v>
      </c>
    </row>
    <row r="185" spans="1:11" x14ac:dyDescent="0.2">
      <c r="A185" s="63">
        <v>44631</v>
      </c>
      <c r="B185" s="57">
        <v>2093</v>
      </c>
      <c r="C185" s="57" t="s">
        <v>160</v>
      </c>
      <c r="D185" s="57" t="s">
        <v>158</v>
      </c>
      <c r="E185" s="57" t="s">
        <v>162</v>
      </c>
      <c r="F185" s="57">
        <f t="shared" si="8"/>
        <v>1</v>
      </c>
      <c r="G185" s="57">
        <v>26.164200000000001</v>
      </c>
      <c r="H185" s="57">
        <v>32.594299999999997</v>
      </c>
      <c r="I185" s="57">
        <v>30.204599999999999</v>
      </c>
      <c r="J185" s="33">
        <f t="shared" si="1"/>
        <v>6.4300999999999959</v>
      </c>
      <c r="K185" s="33">
        <f t="shared" si="2"/>
        <v>4.0403999999999982</v>
      </c>
    </row>
    <row r="186" spans="1:11" x14ac:dyDescent="0.2">
      <c r="A186" s="63">
        <v>44655</v>
      </c>
      <c r="B186" s="57">
        <v>2006</v>
      </c>
      <c r="C186" s="57" t="s">
        <v>157</v>
      </c>
      <c r="D186" s="57" t="s">
        <v>161</v>
      </c>
      <c r="E186" s="57" t="s">
        <v>162</v>
      </c>
      <c r="F186" s="57">
        <f t="shared" si="8"/>
        <v>0</v>
      </c>
      <c r="G186" s="57">
        <v>26.456700000000001</v>
      </c>
      <c r="H186" s="57">
        <v>35.678899999999999</v>
      </c>
      <c r="I186" s="57">
        <v>30.927299999999999</v>
      </c>
      <c r="J186" s="33">
        <f t="shared" si="1"/>
        <v>9.2221999999999973</v>
      </c>
      <c r="K186" s="33">
        <f t="shared" si="2"/>
        <v>4.4705999999999975</v>
      </c>
    </row>
    <row r="187" spans="1:11" x14ac:dyDescent="0.2">
      <c r="A187" s="63">
        <v>44655</v>
      </c>
      <c r="B187" s="57">
        <v>2022</v>
      </c>
      <c r="C187" s="57" t="s">
        <v>157</v>
      </c>
      <c r="D187" s="57" t="s">
        <v>161</v>
      </c>
      <c r="E187" s="57" t="s">
        <v>159</v>
      </c>
      <c r="F187" s="57">
        <f t="shared" si="8"/>
        <v>0</v>
      </c>
      <c r="G187" s="57">
        <v>26.422599999999999</v>
      </c>
      <c r="H187" s="57">
        <v>27.165400000000002</v>
      </c>
      <c r="I187" s="57">
        <v>26.5596</v>
      </c>
      <c r="J187" s="33">
        <f t="shared" si="1"/>
        <v>0.74280000000000257</v>
      </c>
      <c r="K187" s="33">
        <f t="shared" si="2"/>
        <v>0.13700000000000045</v>
      </c>
    </row>
    <row r="188" spans="1:11" x14ac:dyDescent="0.2">
      <c r="A188" s="63">
        <v>44650</v>
      </c>
      <c r="B188" s="57">
        <v>2301</v>
      </c>
      <c r="C188" s="57" t="s">
        <v>157</v>
      </c>
      <c r="D188" s="57" t="s">
        <v>158</v>
      </c>
      <c r="E188" s="57" t="s">
        <v>162</v>
      </c>
      <c r="F188" s="57">
        <f t="shared" si="8"/>
        <v>1</v>
      </c>
      <c r="G188" s="57">
        <v>26.180700000000002</v>
      </c>
      <c r="H188" s="57">
        <v>32.3827</v>
      </c>
      <c r="I188" s="57">
        <v>29.665800000000001</v>
      </c>
      <c r="J188" s="33">
        <f t="shared" si="1"/>
        <v>6.2019999999999982</v>
      </c>
      <c r="K188" s="33">
        <f t="shared" si="2"/>
        <v>3.4850999999999992</v>
      </c>
    </row>
    <row r="189" spans="1:11" x14ac:dyDescent="0.2">
      <c r="A189" s="63">
        <v>44655</v>
      </c>
      <c r="B189" s="57">
        <v>2023</v>
      </c>
      <c r="C189" s="57" t="s">
        <v>157</v>
      </c>
      <c r="D189" s="57" t="s">
        <v>158</v>
      </c>
      <c r="E189" s="57" t="s">
        <v>162</v>
      </c>
      <c r="F189" s="57">
        <f t="shared" si="8"/>
        <v>1</v>
      </c>
      <c r="G189" s="57">
        <v>26.323699999999999</v>
      </c>
      <c r="H189" s="57">
        <v>37.113700000000001</v>
      </c>
      <c r="I189" s="57">
        <v>32.143599999999999</v>
      </c>
      <c r="J189" s="33">
        <f t="shared" si="1"/>
        <v>10.790000000000003</v>
      </c>
      <c r="K189" s="33">
        <f t="shared" si="2"/>
        <v>5.8199000000000005</v>
      </c>
    </row>
    <row r="190" spans="1:11" x14ac:dyDescent="0.2">
      <c r="A190" s="63">
        <v>44650</v>
      </c>
      <c r="B190" s="57">
        <v>2372</v>
      </c>
      <c r="C190" s="57" t="s">
        <v>157</v>
      </c>
      <c r="D190" s="57" t="s">
        <v>161</v>
      </c>
      <c r="E190" s="57" t="s">
        <v>162</v>
      </c>
      <c r="F190" s="57">
        <f t="shared" si="8"/>
        <v>0</v>
      </c>
      <c r="G190" s="57">
        <v>26.686399999999999</v>
      </c>
      <c r="H190" s="57">
        <v>34.879300000000001</v>
      </c>
      <c r="I190" s="57">
        <v>29.7515</v>
      </c>
      <c r="J190" s="33">
        <f t="shared" si="1"/>
        <v>8.1929000000000016</v>
      </c>
      <c r="K190" s="33">
        <f t="shared" si="2"/>
        <v>3.065100000000001</v>
      </c>
    </row>
    <row r="191" spans="1:11" x14ac:dyDescent="0.2">
      <c r="A191" s="63">
        <v>44650</v>
      </c>
      <c r="B191" s="57">
        <v>2370</v>
      </c>
      <c r="C191" s="57" t="s">
        <v>157</v>
      </c>
      <c r="D191" s="57" t="s">
        <v>161</v>
      </c>
      <c r="E191" s="57" t="s">
        <v>159</v>
      </c>
      <c r="F191" s="57">
        <f t="shared" si="8"/>
        <v>0</v>
      </c>
      <c r="G191" s="57">
        <v>24.408100000000001</v>
      </c>
      <c r="H191" s="57">
        <v>25.644200000000001</v>
      </c>
      <c r="I191" s="57">
        <v>25.500499999999999</v>
      </c>
      <c r="J191" s="33">
        <f t="shared" si="1"/>
        <v>1.2361000000000004</v>
      </c>
      <c r="K191" s="33">
        <f t="shared" si="2"/>
        <v>1.0923999999999978</v>
      </c>
    </row>
    <row r="192" spans="1:11" x14ac:dyDescent="0.2">
      <c r="A192" s="63">
        <v>44650</v>
      </c>
      <c r="B192" s="57">
        <v>2382</v>
      </c>
      <c r="C192" s="57" t="s">
        <v>157</v>
      </c>
      <c r="D192" s="57" t="s">
        <v>161</v>
      </c>
      <c r="E192" s="57" t="s">
        <v>159</v>
      </c>
      <c r="F192" s="57">
        <f t="shared" si="8"/>
        <v>0</v>
      </c>
      <c r="G192" s="57">
        <v>25.9085</v>
      </c>
      <c r="H192" s="57">
        <v>26.513300000000001</v>
      </c>
      <c r="I192" s="57">
        <v>26.295200000000001</v>
      </c>
      <c r="J192" s="33">
        <f t="shared" si="1"/>
        <v>0.60480000000000089</v>
      </c>
      <c r="K192" s="33">
        <f t="shared" si="2"/>
        <v>0.38670000000000115</v>
      </c>
    </row>
    <row r="193" spans="1:11" x14ac:dyDescent="0.2">
      <c r="A193" s="63">
        <v>44650</v>
      </c>
      <c r="B193" s="57">
        <v>2352</v>
      </c>
      <c r="C193" s="57" t="s">
        <v>157</v>
      </c>
      <c r="D193" s="57" t="s">
        <v>158</v>
      </c>
      <c r="E193" s="57" t="s">
        <v>159</v>
      </c>
      <c r="F193" s="57">
        <f t="shared" si="8"/>
        <v>1</v>
      </c>
      <c r="G193" s="57">
        <v>25.857399999999998</v>
      </c>
      <c r="H193" s="57">
        <v>26.073699999999999</v>
      </c>
      <c r="I193" s="57">
        <v>26.194700000000001</v>
      </c>
      <c r="J193" s="33">
        <f t="shared" si="1"/>
        <v>0.21630000000000038</v>
      </c>
      <c r="K193" s="33">
        <f t="shared" si="2"/>
        <v>0.3373000000000026</v>
      </c>
    </row>
    <row r="194" spans="1:11" x14ac:dyDescent="0.2">
      <c r="A194" s="63">
        <v>44655</v>
      </c>
      <c r="B194" s="57">
        <v>2025</v>
      </c>
      <c r="C194" s="57" t="s">
        <v>157</v>
      </c>
      <c r="D194" s="57" t="s">
        <v>161</v>
      </c>
      <c r="E194" s="57" t="s">
        <v>159</v>
      </c>
      <c r="F194" s="57">
        <f t="shared" si="8"/>
        <v>0</v>
      </c>
      <c r="G194" s="57">
        <v>26.426200000000001</v>
      </c>
      <c r="H194" s="57">
        <v>27.047999999999998</v>
      </c>
      <c r="I194" s="57">
        <v>26.676100000000002</v>
      </c>
      <c r="J194" s="33">
        <f t="shared" si="1"/>
        <v>0.6217999999999968</v>
      </c>
      <c r="K194" s="33">
        <f t="shared" si="2"/>
        <v>0.24990000000000023</v>
      </c>
    </row>
    <row r="195" spans="1:11" x14ac:dyDescent="0.2">
      <c r="A195" s="63">
        <v>44655</v>
      </c>
      <c r="B195" s="57">
        <v>2030</v>
      </c>
      <c r="C195" s="57" t="s">
        <v>157</v>
      </c>
      <c r="D195" s="57" t="s">
        <v>158</v>
      </c>
      <c r="E195" s="57" t="s">
        <v>162</v>
      </c>
      <c r="F195" s="57">
        <f t="shared" si="8"/>
        <v>1</v>
      </c>
      <c r="G195" s="57">
        <v>25.970400000000001</v>
      </c>
      <c r="H195" s="57">
        <v>28.255500000000001</v>
      </c>
      <c r="I195" s="57">
        <v>27.0322</v>
      </c>
      <c r="J195" s="33">
        <f t="shared" si="1"/>
        <v>2.2850999999999999</v>
      </c>
      <c r="K195" s="33">
        <f t="shared" si="2"/>
        <v>1.0617999999999981</v>
      </c>
    </row>
    <row r="196" spans="1:11" x14ac:dyDescent="0.2">
      <c r="A196" s="63">
        <v>44650</v>
      </c>
      <c r="B196" s="57">
        <v>2009</v>
      </c>
      <c r="C196" s="57" t="s">
        <v>157</v>
      </c>
      <c r="D196" s="57" t="s">
        <v>158</v>
      </c>
      <c r="E196" s="57" t="s">
        <v>159</v>
      </c>
      <c r="F196" s="57">
        <f t="shared" si="8"/>
        <v>1</v>
      </c>
      <c r="G196" s="57">
        <v>26.3355</v>
      </c>
      <c r="H196" s="57">
        <v>26.992000000000001</v>
      </c>
      <c r="I196" s="57">
        <v>26.655899999999999</v>
      </c>
      <c r="J196" s="33">
        <f t="shared" si="1"/>
        <v>0.65650000000000119</v>
      </c>
      <c r="K196" s="33">
        <f t="shared" si="2"/>
        <v>0.32039999999999935</v>
      </c>
    </row>
    <row r="197" spans="1:11" x14ac:dyDescent="0.2">
      <c r="A197" s="63">
        <v>44655</v>
      </c>
      <c r="B197" s="57">
        <v>1478</v>
      </c>
      <c r="C197" s="57" t="s">
        <v>160</v>
      </c>
      <c r="D197" s="57" t="s">
        <v>158</v>
      </c>
      <c r="E197" s="57" t="s">
        <v>159</v>
      </c>
      <c r="F197" s="57">
        <f t="shared" si="8"/>
        <v>1</v>
      </c>
      <c r="G197" s="57">
        <v>26.445799999999998</v>
      </c>
      <c r="H197" s="57">
        <v>28.0763</v>
      </c>
      <c r="I197" s="57">
        <v>27.004799999999999</v>
      </c>
      <c r="J197" s="33">
        <f t="shared" si="1"/>
        <v>1.6305000000000014</v>
      </c>
      <c r="K197" s="33">
        <f t="shared" si="2"/>
        <v>0.55900000000000105</v>
      </c>
    </row>
    <row r="198" spans="1:11" x14ac:dyDescent="0.2">
      <c r="A198" s="63">
        <v>44650</v>
      </c>
      <c r="B198" s="57">
        <v>2009</v>
      </c>
      <c r="C198" s="57" t="s">
        <v>157</v>
      </c>
      <c r="D198" s="57" t="s">
        <v>161</v>
      </c>
      <c r="E198" s="57" t="s">
        <v>159</v>
      </c>
      <c r="F198" s="57">
        <f t="shared" si="8"/>
        <v>0</v>
      </c>
      <c r="G198" s="57">
        <v>26.185199999999998</v>
      </c>
      <c r="H198" s="57">
        <v>27.053999999999998</v>
      </c>
      <c r="I198" s="57">
        <v>26.352900000000002</v>
      </c>
      <c r="J198" s="33">
        <f t="shared" si="1"/>
        <v>0.86880000000000024</v>
      </c>
      <c r="K198" s="33">
        <f t="shared" si="2"/>
        <v>0.16770000000000351</v>
      </c>
    </row>
    <row r="199" spans="1:11" x14ac:dyDescent="0.2">
      <c r="A199" s="63">
        <v>44655</v>
      </c>
      <c r="B199" s="57">
        <v>2086</v>
      </c>
      <c r="C199" s="57" t="s">
        <v>157</v>
      </c>
      <c r="D199" s="57" t="s">
        <v>158</v>
      </c>
      <c r="E199" s="57" t="s">
        <v>159</v>
      </c>
      <c r="F199" s="57">
        <f t="shared" si="8"/>
        <v>1</v>
      </c>
      <c r="G199" s="57">
        <v>25.750299999999999</v>
      </c>
      <c r="H199" s="57">
        <v>27.0016</v>
      </c>
      <c r="I199" s="57">
        <v>26.1037</v>
      </c>
      <c r="J199" s="33">
        <f t="shared" si="1"/>
        <v>1.2513000000000005</v>
      </c>
      <c r="K199" s="33">
        <f t="shared" si="2"/>
        <v>0.3534000000000006</v>
      </c>
    </row>
    <row r="200" spans="1:11" x14ac:dyDescent="0.2">
      <c r="A200" s="63">
        <v>44650</v>
      </c>
      <c r="B200" s="57">
        <v>2371</v>
      </c>
      <c r="C200" s="57" t="s">
        <v>157</v>
      </c>
      <c r="D200" s="57" t="s">
        <v>161</v>
      </c>
      <c r="E200" s="57" t="s">
        <v>159</v>
      </c>
      <c r="F200" s="57">
        <f t="shared" si="8"/>
        <v>0</v>
      </c>
      <c r="G200" s="57">
        <v>15.6233</v>
      </c>
      <c r="H200" s="57">
        <v>16.077999999999999</v>
      </c>
      <c r="I200" s="57">
        <v>15.758100000000001</v>
      </c>
      <c r="J200" s="33">
        <f t="shared" si="1"/>
        <v>0.45469999999999899</v>
      </c>
      <c r="K200" s="33">
        <f t="shared" si="2"/>
        <v>0.13480000000000025</v>
      </c>
    </row>
    <row r="201" spans="1:11" x14ac:dyDescent="0.2">
      <c r="A201" s="63">
        <v>44655</v>
      </c>
      <c r="B201" s="57">
        <v>2026</v>
      </c>
      <c r="C201" s="57" t="s">
        <v>157</v>
      </c>
      <c r="D201" s="57" t="s">
        <v>161</v>
      </c>
      <c r="E201" s="57" t="s">
        <v>162</v>
      </c>
      <c r="F201" s="57">
        <f t="shared" si="8"/>
        <v>0</v>
      </c>
      <c r="G201" s="57">
        <v>26.210999999999999</v>
      </c>
      <c r="H201" s="57">
        <v>32.780200000000001</v>
      </c>
      <c r="I201" s="57">
        <v>29.2379</v>
      </c>
      <c r="J201" s="33">
        <f t="shared" si="1"/>
        <v>6.5692000000000021</v>
      </c>
      <c r="K201" s="33">
        <f t="shared" si="2"/>
        <v>3.0269000000000013</v>
      </c>
    </row>
    <row r="202" spans="1:11" x14ac:dyDescent="0.2">
      <c r="A202" s="63">
        <v>44650</v>
      </c>
      <c r="B202" s="57">
        <v>2354</v>
      </c>
      <c r="C202" s="57" t="s">
        <v>157</v>
      </c>
      <c r="D202" s="57" t="s">
        <v>161</v>
      </c>
      <c r="E202" s="57" t="s">
        <v>162</v>
      </c>
      <c r="F202" s="57">
        <f t="shared" si="8"/>
        <v>0</v>
      </c>
      <c r="G202" s="57">
        <v>26.270900000000001</v>
      </c>
      <c r="H202" s="57">
        <v>28.4329</v>
      </c>
      <c r="I202" s="57">
        <v>27.1188</v>
      </c>
      <c r="J202" s="33">
        <f t="shared" si="1"/>
        <v>2.161999999999999</v>
      </c>
      <c r="K202" s="33">
        <f t="shared" si="2"/>
        <v>0.84789999999999921</v>
      </c>
    </row>
    <row r="203" spans="1:11" x14ac:dyDescent="0.2">
      <c r="A203" s="63">
        <v>44655</v>
      </c>
      <c r="B203" s="57">
        <v>2024</v>
      </c>
      <c r="C203" s="57" t="s">
        <v>157</v>
      </c>
      <c r="D203" s="57" t="s">
        <v>161</v>
      </c>
      <c r="E203" s="57" t="s">
        <v>162</v>
      </c>
      <c r="F203" s="57">
        <f t="shared" si="8"/>
        <v>0</v>
      </c>
      <c r="G203" s="57">
        <v>25.699400000000001</v>
      </c>
      <c r="H203" s="57">
        <v>32.334899999999998</v>
      </c>
      <c r="I203" s="57">
        <v>28.5153</v>
      </c>
      <c r="J203" s="33">
        <f t="shared" si="1"/>
        <v>6.6354999999999968</v>
      </c>
      <c r="K203" s="33">
        <f t="shared" si="2"/>
        <v>2.8158999999999992</v>
      </c>
    </row>
    <row r="204" spans="1:11" x14ac:dyDescent="0.2">
      <c r="A204" s="63">
        <v>44650</v>
      </c>
      <c r="B204" s="57">
        <v>2369</v>
      </c>
      <c r="C204" s="57" t="s">
        <v>157</v>
      </c>
      <c r="D204" s="57" t="s">
        <v>158</v>
      </c>
      <c r="E204" s="57" t="s">
        <v>159</v>
      </c>
      <c r="F204" s="57">
        <f t="shared" si="8"/>
        <v>1</v>
      </c>
      <c r="G204" s="57">
        <v>26.485700000000001</v>
      </c>
      <c r="H204" s="57">
        <v>26.684999999999999</v>
      </c>
      <c r="I204" s="57">
        <v>27.0793</v>
      </c>
      <c r="J204" s="33">
        <f t="shared" si="1"/>
        <v>0.19929999999999737</v>
      </c>
      <c r="K204" s="33">
        <f t="shared" si="2"/>
        <v>0.59359999999999857</v>
      </c>
    </row>
    <row r="205" spans="1:11" x14ac:dyDescent="0.2">
      <c r="A205" s="63">
        <v>44655</v>
      </c>
      <c r="B205" s="57">
        <v>2015</v>
      </c>
      <c r="C205" s="57" t="s">
        <v>160</v>
      </c>
      <c r="D205" s="57" t="s">
        <v>161</v>
      </c>
      <c r="E205" s="57" t="s">
        <v>159</v>
      </c>
      <c r="F205" s="57">
        <f t="shared" si="8"/>
        <v>0</v>
      </c>
      <c r="G205" s="57">
        <v>26.900200000000002</v>
      </c>
      <c r="H205" s="57">
        <v>28.688800000000001</v>
      </c>
      <c r="I205" s="57">
        <v>27.616900000000001</v>
      </c>
      <c r="J205" s="33">
        <f t="shared" si="1"/>
        <v>1.7885999999999989</v>
      </c>
      <c r="K205" s="33">
        <f t="shared" si="2"/>
        <v>0.71669999999999945</v>
      </c>
    </row>
    <row r="206" spans="1:11" x14ac:dyDescent="0.2">
      <c r="A206" s="63">
        <v>44650</v>
      </c>
      <c r="B206" s="57">
        <v>2360</v>
      </c>
      <c r="C206" s="57" t="s">
        <v>157</v>
      </c>
      <c r="D206" s="57" t="s">
        <v>158</v>
      </c>
      <c r="E206" s="57" t="s">
        <v>159</v>
      </c>
      <c r="F206" s="57">
        <f t="shared" si="8"/>
        <v>1</v>
      </c>
      <c r="G206" s="57">
        <v>26.1919</v>
      </c>
      <c r="H206" s="57">
        <v>26.764800000000001</v>
      </c>
      <c r="I206" s="57">
        <v>26.653199999999998</v>
      </c>
      <c r="J206" s="33">
        <f t="shared" si="1"/>
        <v>0.57290000000000063</v>
      </c>
      <c r="K206" s="33">
        <f t="shared" si="2"/>
        <v>0.46129999999999782</v>
      </c>
    </row>
    <row r="207" spans="1:11" x14ac:dyDescent="0.2">
      <c r="A207" s="63">
        <v>44655</v>
      </c>
      <c r="B207" s="57">
        <v>2012</v>
      </c>
      <c r="C207" s="57" t="s">
        <v>157</v>
      </c>
      <c r="D207" s="57" t="s">
        <v>161</v>
      </c>
      <c r="E207" s="57" t="s">
        <v>162</v>
      </c>
      <c r="F207" s="57">
        <f t="shared" si="8"/>
        <v>0</v>
      </c>
      <c r="G207" s="57">
        <v>25.947700000000001</v>
      </c>
      <c r="H207" s="57">
        <v>32.170699999999997</v>
      </c>
      <c r="I207" s="57">
        <v>28.1282</v>
      </c>
      <c r="J207" s="33">
        <f t="shared" si="1"/>
        <v>6.2229999999999954</v>
      </c>
      <c r="K207" s="33">
        <f t="shared" si="2"/>
        <v>2.1804999999999986</v>
      </c>
    </row>
    <row r="208" spans="1:11" x14ac:dyDescent="0.2">
      <c r="A208" s="63">
        <v>44655</v>
      </c>
      <c r="B208" s="57">
        <v>2027</v>
      </c>
      <c r="C208" s="57" t="s">
        <v>157</v>
      </c>
      <c r="D208" s="57" t="s">
        <v>158</v>
      </c>
      <c r="E208" s="57" t="s">
        <v>159</v>
      </c>
      <c r="F208" s="57">
        <f t="shared" si="8"/>
        <v>1</v>
      </c>
      <c r="G208" s="57">
        <v>15.607799999999999</v>
      </c>
      <c r="H208" s="57">
        <v>15.838200000000001</v>
      </c>
      <c r="I208" s="57">
        <v>15.921799999999999</v>
      </c>
      <c r="J208" s="33">
        <f t="shared" si="1"/>
        <v>0.23040000000000127</v>
      </c>
      <c r="K208" s="33">
        <f t="shared" si="2"/>
        <v>0.31400000000000006</v>
      </c>
    </row>
    <row r="209" spans="1:11" x14ac:dyDescent="0.2">
      <c r="A209" s="63">
        <v>44655</v>
      </c>
      <c r="B209" s="57">
        <v>2008</v>
      </c>
      <c r="C209" s="57" t="s">
        <v>157</v>
      </c>
      <c r="D209" s="57" t="s">
        <v>161</v>
      </c>
      <c r="E209" s="57" t="s">
        <v>159</v>
      </c>
      <c r="F209" s="57">
        <f t="shared" si="8"/>
        <v>0</v>
      </c>
      <c r="G209" s="57">
        <v>25.637499999999999</v>
      </c>
      <c r="H209" s="57">
        <v>26.476099999999999</v>
      </c>
      <c r="I209" s="57">
        <v>25.822600000000001</v>
      </c>
      <c r="J209" s="33">
        <f t="shared" si="1"/>
        <v>0.83859999999999957</v>
      </c>
      <c r="K209" s="33">
        <f t="shared" si="2"/>
        <v>0.18510000000000204</v>
      </c>
    </row>
    <row r="210" spans="1:11" x14ac:dyDescent="0.2">
      <c r="A210" s="63">
        <v>44650</v>
      </c>
      <c r="B210" s="57">
        <v>2378</v>
      </c>
      <c r="C210" s="57" t="s">
        <v>157</v>
      </c>
      <c r="D210" s="57" t="s">
        <v>158</v>
      </c>
      <c r="E210" s="57" t="s">
        <v>159</v>
      </c>
      <c r="F210" s="57">
        <f t="shared" si="8"/>
        <v>1</v>
      </c>
      <c r="G210" s="57">
        <v>26.5167</v>
      </c>
      <c r="H210" s="57">
        <v>27.4468</v>
      </c>
      <c r="I210" s="57">
        <v>26.9452</v>
      </c>
      <c r="J210" s="33">
        <f t="shared" si="1"/>
        <v>0.93009999999999948</v>
      </c>
      <c r="K210" s="33">
        <f t="shared" si="2"/>
        <v>0.42849999999999966</v>
      </c>
    </row>
    <row r="211" spans="1:11" x14ac:dyDescent="0.2">
      <c r="A211" s="63">
        <v>44650</v>
      </c>
      <c r="B211" s="57">
        <v>2343</v>
      </c>
      <c r="C211" s="57" t="s">
        <v>157</v>
      </c>
      <c r="D211" s="57" t="s">
        <v>161</v>
      </c>
      <c r="E211" s="57" t="s">
        <v>159</v>
      </c>
      <c r="F211" s="57">
        <f t="shared" si="8"/>
        <v>0</v>
      </c>
      <c r="G211" s="57">
        <v>26.3505</v>
      </c>
      <c r="H211" s="57">
        <v>27.5913</v>
      </c>
      <c r="I211" s="57">
        <v>26.647300000000001</v>
      </c>
      <c r="J211" s="33">
        <f t="shared" si="1"/>
        <v>1.2408000000000001</v>
      </c>
      <c r="K211" s="33">
        <f t="shared" si="2"/>
        <v>0.29680000000000106</v>
      </c>
    </row>
    <row r="212" spans="1:11" x14ac:dyDescent="0.2">
      <c r="A212" s="63">
        <v>44655</v>
      </c>
      <c r="B212" s="57">
        <v>2031</v>
      </c>
      <c r="C212" s="57" t="s">
        <v>157</v>
      </c>
      <c r="D212" s="57" t="s">
        <v>161</v>
      </c>
      <c r="E212" s="57" t="s">
        <v>162</v>
      </c>
      <c r="F212" s="57">
        <f t="shared" si="8"/>
        <v>0</v>
      </c>
      <c r="G212" s="57">
        <v>26.209</v>
      </c>
      <c r="H212" s="57">
        <v>30.941400000000002</v>
      </c>
      <c r="I212" s="57">
        <v>28.235499999999998</v>
      </c>
      <c r="J212" s="33">
        <f t="shared" si="1"/>
        <v>4.7324000000000019</v>
      </c>
      <c r="K212" s="33">
        <f t="shared" si="2"/>
        <v>2.0264999999999986</v>
      </c>
    </row>
    <row r="213" spans="1:11" x14ac:dyDescent="0.2">
      <c r="A213" s="63">
        <v>44655</v>
      </c>
      <c r="B213" s="57">
        <v>2011</v>
      </c>
      <c r="C213" s="57" t="s">
        <v>157</v>
      </c>
      <c r="D213" s="57" t="s">
        <v>161</v>
      </c>
      <c r="E213" s="57" t="s">
        <v>162</v>
      </c>
      <c r="F213" s="57">
        <f t="shared" si="8"/>
        <v>0</v>
      </c>
      <c r="G213" s="57">
        <v>25.987200000000001</v>
      </c>
      <c r="H213" s="57">
        <v>30.302</v>
      </c>
      <c r="I213" s="57">
        <v>27.77</v>
      </c>
      <c r="J213" s="33">
        <f t="shared" si="1"/>
        <v>4.3147999999999982</v>
      </c>
      <c r="K213" s="33">
        <f t="shared" si="2"/>
        <v>1.7827999999999982</v>
      </c>
    </row>
    <row r="214" spans="1:11" x14ac:dyDescent="0.2">
      <c r="A214" s="63">
        <v>44650</v>
      </c>
      <c r="B214" s="57">
        <v>2380</v>
      </c>
      <c r="C214" s="57" t="s">
        <v>157</v>
      </c>
      <c r="D214" s="57" t="s">
        <v>161</v>
      </c>
      <c r="E214" s="57" t="s">
        <v>162</v>
      </c>
      <c r="F214" s="57">
        <f t="shared" si="8"/>
        <v>0</v>
      </c>
      <c r="G214" s="57">
        <v>26.139099999999999</v>
      </c>
      <c r="H214" s="57">
        <v>26.6951</v>
      </c>
      <c r="I214" s="57">
        <v>26.313800000000001</v>
      </c>
      <c r="J214" s="33">
        <f t="shared" si="1"/>
        <v>0.55600000000000094</v>
      </c>
      <c r="K214" s="33">
        <f t="shared" si="2"/>
        <v>0.17470000000000141</v>
      </c>
    </row>
    <row r="215" spans="1:11" x14ac:dyDescent="0.2">
      <c r="A215" s="63">
        <v>44655</v>
      </c>
      <c r="B215" s="57">
        <v>2090</v>
      </c>
      <c r="C215" s="57" t="s">
        <v>157</v>
      </c>
      <c r="D215" s="57" t="s">
        <v>158</v>
      </c>
      <c r="E215" s="57" t="s">
        <v>159</v>
      </c>
      <c r="F215" s="57">
        <f t="shared" si="8"/>
        <v>1</v>
      </c>
      <c r="G215" s="57">
        <v>26.1816</v>
      </c>
      <c r="H215" s="57">
        <v>27.433</v>
      </c>
      <c r="I215" s="57">
        <v>26.9313</v>
      </c>
      <c r="J215" s="33">
        <f t="shared" si="1"/>
        <v>1.2514000000000003</v>
      </c>
      <c r="K215" s="33">
        <f t="shared" si="2"/>
        <v>0.7497000000000007</v>
      </c>
    </row>
    <row r="216" spans="1:11" x14ac:dyDescent="0.2">
      <c r="A216" s="63">
        <v>44650</v>
      </c>
      <c r="B216" s="57">
        <v>2009</v>
      </c>
      <c r="C216" s="57" t="s">
        <v>157</v>
      </c>
      <c r="D216" s="57" t="s">
        <v>161</v>
      </c>
      <c r="E216" s="57" t="s">
        <v>162</v>
      </c>
      <c r="F216" s="57">
        <f t="shared" si="8"/>
        <v>0</v>
      </c>
      <c r="G216" s="57">
        <v>25.843299999999999</v>
      </c>
      <c r="H216" s="57">
        <v>29.762599999999999</v>
      </c>
      <c r="I216" s="57">
        <v>27.392800000000001</v>
      </c>
      <c r="J216" s="33">
        <f t="shared" si="1"/>
        <v>3.9192999999999998</v>
      </c>
      <c r="K216" s="33">
        <f t="shared" si="2"/>
        <v>1.5495000000000019</v>
      </c>
    </row>
    <row r="217" spans="1:11" x14ac:dyDescent="0.2">
      <c r="A217" s="63">
        <v>44655</v>
      </c>
      <c r="B217" s="57">
        <v>2092</v>
      </c>
      <c r="C217" s="57" t="s">
        <v>157</v>
      </c>
      <c r="D217" s="57" t="s">
        <v>158</v>
      </c>
      <c r="E217" s="57" t="s">
        <v>162</v>
      </c>
      <c r="F217" s="57">
        <f t="shared" si="8"/>
        <v>1</v>
      </c>
      <c r="G217" s="57">
        <v>25.927199999999999</v>
      </c>
      <c r="H217" s="57">
        <v>30.7864</v>
      </c>
      <c r="I217" s="57">
        <v>28.66</v>
      </c>
      <c r="J217" s="33">
        <f t="shared" si="1"/>
        <v>4.8592000000000013</v>
      </c>
      <c r="K217" s="33">
        <f t="shared" si="2"/>
        <v>2.732800000000001</v>
      </c>
    </row>
    <row r="218" spans="1:11" x14ac:dyDescent="0.2">
      <c r="A218" s="63">
        <v>44655</v>
      </c>
      <c r="B218" s="57">
        <v>1478</v>
      </c>
      <c r="C218" s="57" t="s">
        <v>157</v>
      </c>
      <c r="D218" s="57" t="s">
        <v>158</v>
      </c>
      <c r="E218" s="57" t="s">
        <v>159</v>
      </c>
      <c r="F218" s="57">
        <f t="shared" si="8"/>
        <v>1</v>
      </c>
      <c r="G218" s="57">
        <v>25.709199999999999</v>
      </c>
      <c r="H218" s="57">
        <v>27.986000000000001</v>
      </c>
      <c r="I218" s="57">
        <v>26.574300000000001</v>
      </c>
      <c r="J218" s="33">
        <f t="shared" si="1"/>
        <v>2.2768000000000015</v>
      </c>
      <c r="K218" s="33">
        <f t="shared" si="2"/>
        <v>0.86510000000000176</v>
      </c>
    </row>
    <row r="219" spans="1:11" x14ac:dyDescent="0.2">
      <c r="A219" s="63">
        <v>44655</v>
      </c>
      <c r="B219" s="57">
        <v>2012</v>
      </c>
      <c r="C219" s="57" t="s">
        <v>157</v>
      </c>
      <c r="D219" s="57" t="s">
        <v>158</v>
      </c>
      <c r="E219" s="57" t="s">
        <v>159</v>
      </c>
      <c r="F219" s="57">
        <f t="shared" si="8"/>
        <v>1</v>
      </c>
      <c r="G219" s="57">
        <v>25.886600000000001</v>
      </c>
      <c r="H219" s="57">
        <v>27.927600000000002</v>
      </c>
      <c r="I219" s="57">
        <v>26.8505</v>
      </c>
      <c r="J219" s="33">
        <f t="shared" si="1"/>
        <v>2.0410000000000004</v>
      </c>
      <c r="K219" s="33">
        <f t="shared" si="2"/>
        <v>0.96389999999999887</v>
      </c>
    </row>
    <row r="220" spans="1:11" x14ac:dyDescent="0.2">
      <c r="A220" s="63">
        <v>44650</v>
      </c>
      <c r="B220" s="57">
        <v>2352</v>
      </c>
      <c r="C220" s="57" t="s">
        <v>157</v>
      </c>
      <c r="D220" s="57" t="s">
        <v>158</v>
      </c>
      <c r="E220" s="57" t="s">
        <v>162</v>
      </c>
      <c r="F220" s="57">
        <f t="shared" si="8"/>
        <v>1</v>
      </c>
      <c r="G220" s="57">
        <v>25.636299999999999</v>
      </c>
      <c r="H220" s="57">
        <v>28.831</v>
      </c>
      <c r="I220" s="57">
        <v>27.559000000000001</v>
      </c>
      <c r="J220" s="33">
        <f t="shared" si="1"/>
        <v>3.194700000000001</v>
      </c>
      <c r="K220" s="33">
        <f t="shared" si="2"/>
        <v>1.9227000000000025</v>
      </c>
    </row>
    <row r="221" spans="1:11" x14ac:dyDescent="0.2">
      <c r="A221" s="63">
        <v>44655</v>
      </c>
      <c r="B221" s="57">
        <v>2087</v>
      </c>
      <c r="C221" s="57" t="s">
        <v>160</v>
      </c>
      <c r="D221" s="57" t="s">
        <v>161</v>
      </c>
      <c r="E221" s="57" t="s">
        <v>159</v>
      </c>
      <c r="F221" s="57">
        <f t="shared" si="8"/>
        <v>0</v>
      </c>
      <c r="G221" s="57">
        <v>25.891300000000001</v>
      </c>
      <c r="H221" s="57">
        <v>27.533799999999999</v>
      </c>
      <c r="I221" s="57">
        <v>26.2715</v>
      </c>
      <c r="J221" s="33">
        <f t="shared" si="1"/>
        <v>1.6424999999999983</v>
      </c>
      <c r="K221" s="33">
        <f t="shared" si="2"/>
        <v>0.38019999999999854</v>
      </c>
    </row>
    <row r="222" spans="1:11" x14ac:dyDescent="0.2">
      <c r="A222" s="63">
        <v>44655</v>
      </c>
      <c r="B222" s="57">
        <v>2029</v>
      </c>
      <c r="C222" s="57" t="s">
        <v>157</v>
      </c>
      <c r="D222" s="57" t="s">
        <v>161</v>
      </c>
      <c r="E222" s="57" t="s">
        <v>159</v>
      </c>
      <c r="F222" s="57">
        <f t="shared" si="8"/>
        <v>0</v>
      </c>
      <c r="G222" s="57">
        <v>25.8444</v>
      </c>
      <c r="H222" s="57">
        <v>25.786000000000001</v>
      </c>
      <c r="I222" s="57">
        <v>25.981300000000001</v>
      </c>
      <c r="J222" s="33">
        <f t="shared" si="1"/>
        <v>-5.8399999999998897E-2</v>
      </c>
      <c r="K222" s="33">
        <f t="shared" si="2"/>
        <v>0.13690000000000069</v>
      </c>
    </row>
    <row r="223" spans="1:11" x14ac:dyDescent="0.2">
      <c r="A223" s="63">
        <v>44650</v>
      </c>
      <c r="B223" s="57">
        <v>2352</v>
      </c>
      <c r="C223" s="57" t="s">
        <v>157</v>
      </c>
      <c r="D223" s="57" t="s">
        <v>161</v>
      </c>
      <c r="E223" s="57" t="s">
        <v>159</v>
      </c>
      <c r="F223" s="57">
        <f t="shared" si="8"/>
        <v>0</v>
      </c>
      <c r="G223" s="57">
        <v>25.949400000000001</v>
      </c>
      <c r="H223" s="57">
        <v>26.484000000000002</v>
      </c>
      <c r="I223" s="57">
        <v>26.122499999999999</v>
      </c>
      <c r="J223" s="33">
        <f t="shared" si="1"/>
        <v>0.53460000000000107</v>
      </c>
      <c r="K223" s="33">
        <f t="shared" si="2"/>
        <v>0.17309999999999803</v>
      </c>
    </row>
    <row r="224" spans="1:11" x14ac:dyDescent="0.2">
      <c r="A224" s="63">
        <v>44655</v>
      </c>
      <c r="B224" s="57">
        <v>2024</v>
      </c>
      <c r="C224" s="57" t="s">
        <v>157</v>
      </c>
      <c r="D224" s="57" t="s">
        <v>158</v>
      </c>
      <c r="E224" s="57" t="s">
        <v>159</v>
      </c>
      <c r="F224" s="57">
        <f t="shared" si="8"/>
        <v>1</v>
      </c>
      <c r="G224" s="57">
        <v>26.222000000000001</v>
      </c>
      <c r="H224" s="57">
        <v>27.578399999999998</v>
      </c>
      <c r="I224" s="57">
        <v>26.851800000000001</v>
      </c>
      <c r="J224" s="33">
        <f t="shared" si="1"/>
        <v>1.3563999999999972</v>
      </c>
      <c r="K224" s="33">
        <f t="shared" si="2"/>
        <v>0.62979999999999947</v>
      </c>
    </row>
    <row r="225" spans="1:11" x14ac:dyDescent="0.2">
      <c r="A225" s="63">
        <v>44655</v>
      </c>
      <c r="B225" s="57">
        <v>2088</v>
      </c>
      <c r="C225" s="57" t="s">
        <v>160</v>
      </c>
      <c r="D225" s="57" t="s">
        <v>161</v>
      </c>
      <c r="E225" s="57" t="s">
        <v>159</v>
      </c>
      <c r="F225" s="57">
        <f t="shared" si="8"/>
        <v>0</v>
      </c>
      <c r="G225" s="57">
        <v>15.6167</v>
      </c>
      <c r="H225" s="57">
        <v>17.200299999999999</v>
      </c>
      <c r="I225" s="57">
        <v>16.012799999999999</v>
      </c>
      <c r="J225" s="33">
        <f t="shared" si="1"/>
        <v>1.5835999999999988</v>
      </c>
      <c r="K225" s="33">
        <f t="shared" si="2"/>
        <v>0.39609999999999879</v>
      </c>
    </row>
    <row r="226" spans="1:11" x14ac:dyDescent="0.2">
      <c r="A226" s="63">
        <v>44655</v>
      </c>
      <c r="B226" s="57">
        <v>2022</v>
      </c>
      <c r="C226" s="57" t="s">
        <v>157</v>
      </c>
      <c r="D226" s="57" t="s">
        <v>158</v>
      </c>
      <c r="E226" s="57" t="s">
        <v>159</v>
      </c>
      <c r="F226" s="57">
        <f t="shared" si="8"/>
        <v>1</v>
      </c>
      <c r="G226" s="57">
        <v>25.946400000000001</v>
      </c>
      <c r="H226" s="57">
        <v>27.770399999999999</v>
      </c>
      <c r="I226" s="57">
        <v>26.7712</v>
      </c>
      <c r="J226" s="33">
        <f t="shared" si="1"/>
        <v>1.8239999999999981</v>
      </c>
      <c r="K226" s="33">
        <f t="shared" si="2"/>
        <v>0.82479999999999976</v>
      </c>
    </row>
    <row r="227" spans="1:11" x14ac:dyDescent="0.2">
      <c r="A227" s="63">
        <v>44650</v>
      </c>
      <c r="B227" s="57">
        <v>2367</v>
      </c>
      <c r="C227" s="57" t="s">
        <v>157</v>
      </c>
      <c r="D227" s="57" t="s">
        <v>158</v>
      </c>
      <c r="E227" s="57" t="s">
        <v>159</v>
      </c>
      <c r="F227" s="57">
        <f t="shared" si="8"/>
        <v>1</v>
      </c>
      <c r="G227" s="57">
        <v>25.9771</v>
      </c>
      <c r="H227" s="57">
        <v>27.109100000000002</v>
      </c>
      <c r="I227" s="57">
        <v>26.821200000000001</v>
      </c>
      <c r="J227" s="33">
        <f t="shared" si="1"/>
        <v>1.1320000000000014</v>
      </c>
      <c r="K227" s="33">
        <f t="shared" si="2"/>
        <v>0.84410000000000096</v>
      </c>
    </row>
    <row r="228" spans="1:11" x14ac:dyDescent="0.2">
      <c r="A228" s="63">
        <v>44650</v>
      </c>
      <c r="B228" s="57">
        <v>2354</v>
      </c>
      <c r="C228" s="57" t="s">
        <v>157</v>
      </c>
      <c r="D228" s="57" t="s">
        <v>161</v>
      </c>
      <c r="E228" s="57" t="s">
        <v>159</v>
      </c>
      <c r="F228" s="57">
        <f t="shared" si="8"/>
        <v>0</v>
      </c>
      <c r="G228" s="57">
        <v>26.501000000000001</v>
      </c>
      <c r="H228" s="57">
        <v>26.276700000000002</v>
      </c>
      <c r="I228" s="57">
        <v>26.5444</v>
      </c>
      <c r="J228" s="33">
        <f t="shared" si="1"/>
        <v>-0.2242999999999995</v>
      </c>
      <c r="K228" s="33">
        <f t="shared" si="2"/>
        <v>4.3399999999998329E-2</v>
      </c>
    </row>
    <row r="229" spans="1:11" x14ac:dyDescent="0.2">
      <c r="A229" s="63">
        <v>44655</v>
      </c>
      <c r="B229" s="57">
        <v>2093</v>
      </c>
      <c r="C229" s="57" t="s">
        <v>157</v>
      </c>
      <c r="D229" s="57" t="s">
        <v>161</v>
      </c>
      <c r="E229" s="57" t="s">
        <v>162</v>
      </c>
      <c r="F229" s="57">
        <f t="shared" si="8"/>
        <v>0</v>
      </c>
      <c r="G229" s="57">
        <v>26.0688</v>
      </c>
      <c r="H229" s="57">
        <v>26.436299999999999</v>
      </c>
      <c r="I229" s="57">
        <v>26.166899999999998</v>
      </c>
      <c r="J229" s="33">
        <f t="shared" si="1"/>
        <v>0.36749999999999972</v>
      </c>
      <c r="K229" s="33">
        <f t="shared" si="2"/>
        <v>9.8099999999998744E-2</v>
      </c>
    </row>
    <row r="230" spans="1:11" x14ac:dyDescent="0.2">
      <c r="A230" s="63">
        <v>44650</v>
      </c>
      <c r="B230" s="57">
        <v>2377</v>
      </c>
      <c r="C230" s="57" t="s">
        <v>157</v>
      </c>
      <c r="D230" s="57" t="s">
        <v>158</v>
      </c>
      <c r="E230" s="57" t="s">
        <v>159</v>
      </c>
      <c r="F230" s="57">
        <f t="shared" si="8"/>
        <v>1</v>
      </c>
      <c r="G230" s="57">
        <v>26.550699999999999</v>
      </c>
      <c r="H230" s="57">
        <v>26.962199999999999</v>
      </c>
      <c r="I230" s="57">
        <v>27.0137</v>
      </c>
      <c r="J230" s="33">
        <f t="shared" si="1"/>
        <v>0.4115000000000002</v>
      </c>
      <c r="K230" s="33">
        <f t="shared" si="2"/>
        <v>0.46300000000000097</v>
      </c>
    </row>
    <row r="231" spans="1:11" x14ac:dyDescent="0.2">
      <c r="A231" s="63">
        <v>44655</v>
      </c>
      <c r="B231" s="57">
        <v>2008</v>
      </c>
      <c r="C231" s="57" t="s">
        <v>157</v>
      </c>
      <c r="D231" s="57" t="s">
        <v>161</v>
      </c>
      <c r="E231" s="57" t="s">
        <v>162</v>
      </c>
      <c r="F231" s="57">
        <f t="shared" si="8"/>
        <v>0</v>
      </c>
      <c r="G231" s="57">
        <v>26.180499999999999</v>
      </c>
      <c r="H231" s="57">
        <v>31.734100000000002</v>
      </c>
      <c r="I231" s="57">
        <v>28.349399999999999</v>
      </c>
      <c r="J231" s="33">
        <f t="shared" si="1"/>
        <v>5.553600000000003</v>
      </c>
      <c r="K231" s="33">
        <f t="shared" si="2"/>
        <v>2.1689000000000007</v>
      </c>
    </row>
    <row r="232" spans="1:11" x14ac:dyDescent="0.2">
      <c r="A232" s="63">
        <v>44650</v>
      </c>
      <c r="B232" s="57">
        <v>2367</v>
      </c>
      <c r="C232" s="57" t="s">
        <v>157</v>
      </c>
      <c r="D232" s="57" t="s">
        <v>161</v>
      </c>
      <c r="E232" s="57" t="s">
        <v>159</v>
      </c>
      <c r="F232" s="57">
        <f t="shared" si="8"/>
        <v>0</v>
      </c>
      <c r="G232" s="57">
        <v>25.881799999999998</v>
      </c>
      <c r="H232" s="57">
        <v>26.025700000000001</v>
      </c>
      <c r="I232" s="57">
        <v>25.9787</v>
      </c>
      <c r="J232" s="33">
        <f t="shared" si="1"/>
        <v>0.14390000000000214</v>
      </c>
      <c r="K232" s="33">
        <f t="shared" si="2"/>
        <v>9.690000000000154E-2</v>
      </c>
    </row>
    <row r="233" spans="1:11" x14ac:dyDescent="0.2">
      <c r="A233" s="63">
        <v>44655</v>
      </c>
      <c r="B233" s="57">
        <v>2021</v>
      </c>
      <c r="C233" s="57" t="s">
        <v>157</v>
      </c>
      <c r="D233" s="57" t="s">
        <v>161</v>
      </c>
      <c r="E233" s="57" t="s">
        <v>162</v>
      </c>
      <c r="F233" s="57">
        <f t="shared" si="8"/>
        <v>0</v>
      </c>
      <c r="G233" s="57">
        <v>26.0852</v>
      </c>
      <c r="H233" s="57">
        <v>32.2483</v>
      </c>
      <c r="I233" s="57">
        <v>29.033300000000001</v>
      </c>
      <c r="J233" s="33">
        <f t="shared" si="1"/>
        <v>6.1631</v>
      </c>
      <c r="K233" s="33">
        <f t="shared" si="2"/>
        <v>2.9481000000000002</v>
      </c>
    </row>
    <row r="234" spans="1:11" x14ac:dyDescent="0.2">
      <c r="A234" s="63">
        <v>44655</v>
      </c>
      <c r="B234" s="57">
        <v>2027</v>
      </c>
      <c r="C234" s="57" t="s">
        <v>157</v>
      </c>
      <c r="D234" s="57" t="s">
        <v>161</v>
      </c>
      <c r="E234" s="57" t="s">
        <v>162</v>
      </c>
      <c r="F234" s="57">
        <f t="shared" si="8"/>
        <v>0</v>
      </c>
      <c r="G234" s="57">
        <v>26.747499999999999</v>
      </c>
      <c r="H234" s="57">
        <v>32.285600000000002</v>
      </c>
      <c r="I234" s="57">
        <v>29.3767</v>
      </c>
      <c r="J234" s="33">
        <f t="shared" si="1"/>
        <v>5.5381000000000036</v>
      </c>
      <c r="K234" s="33">
        <f t="shared" si="2"/>
        <v>2.6292000000000009</v>
      </c>
    </row>
    <row r="235" spans="1:11" x14ac:dyDescent="0.2">
      <c r="A235" s="63">
        <v>44650</v>
      </c>
      <c r="B235" s="57">
        <v>2360</v>
      </c>
      <c r="C235" s="57" t="s">
        <v>157</v>
      </c>
      <c r="D235" s="57" t="s">
        <v>161</v>
      </c>
      <c r="E235" s="57" t="s">
        <v>159</v>
      </c>
      <c r="F235" s="57">
        <f t="shared" si="8"/>
        <v>0</v>
      </c>
      <c r="G235" s="57">
        <v>25.648800000000001</v>
      </c>
      <c r="H235" s="57">
        <v>26.741599999999998</v>
      </c>
      <c r="I235" s="57">
        <v>25.937999999999999</v>
      </c>
      <c r="J235" s="33">
        <f t="shared" si="1"/>
        <v>1.0927999999999969</v>
      </c>
      <c r="K235" s="33">
        <f t="shared" si="2"/>
        <v>0.28919999999999746</v>
      </c>
    </row>
    <row r="236" spans="1:11" x14ac:dyDescent="0.2">
      <c r="A236" s="63">
        <v>44655</v>
      </c>
      <c r="B236" s="57">
        <v>2085</v>
      </c>
      <c r="C236" s="57" t="s">
        <v>157</v>
      </c>
      <c r="D236" s="57" t="s">
        <v>161</v>
      </c>
      <c r="E236" s="57" t="s">
        <v>159</v>
      </c>
      <c r="F236" s="57">
        <f t="shared" si="8"/>
        <v>0</v>
      </c>
      <c r="G236" s="57">
        <v>25.877700000000001</v>
      </c>
      <c r="H236" s="57">
        <v>27.4682</v>
      </c>
      <c r="I236" s="57">
        <v>26.445599999999999</v>
      </c>
      <c r="J236" s="33">
        <f t="shared" si="1"/>
        <v>1.5904999999999987</v>
      </c>
      <c r="K236" s="33">
        <f t="shared" si="2"/>
        <v>0.56789999999999807</v>
      </c>
    </row>
    <row r="237" spans="1:11" x14ac:dyDescent="0.2">
      <c r="A237" s="63">
        <v>44655</v>
      </c>
      <c r="B237" s="57">
        <v>2031</v>
      </c>
      <c r="C237" s="57" t="s">
        <v>60</v>
      </c>
      <c r="D237" s="57" t="s">
        <v>161</v>
      </c>
      <c r="E237" s="57" t="s">
        <v>162</v>
      </c>
      <c r="F237" s="57">
        <f t="shared" si="8"/>
        <v>0</v>
      </c>
      <c r="G237" s="57">
        <v>25.4177</v>
      </c>
      <c r="H237" s="57">
        <v>34.271500000000003</v>
      </c>
      <c r="I237" s="57">
        <v>29.753499999999999</v>
      </c>
      <c r="J237" s="33">
        <f t="shared" si="1"/>
        <v>8.8538000000000032</v>
      </c>
      <c r="K237" s="33">
        <f t="shared" si="2"/>
        <v>4.335799999999999</v>
      </c>
    </row>
    <row r="238" spans="1:11" x14ac:dyDescent="0.2">
      <c r="A238" s="63">
        <v>44650</v>
      </c>
      <c r="B238" s="57">
        <v>2379</v>
      </c>
      <c r="C238" s="57" t="s">
        <v>157</v>
      </c>
      <c r="D238" s="57" t="s">
        <v>161</v>
      </c>
      <c r="E238" s="57" t="s">
        <v>159</v>
      </c>
      <c r="F238" s="57">
        <f t="shared" si="8"/>
        <v>0</v>
      </c>
      <c r="G238" s="57">
        <v>26.259</v>
      </c>
      <c r="H238" s="57">
        <v>27.135000000000002</v>
      </c>
      <c r="I238" s="57">
        <v>26.625499999999999</v>
      </c>
      <c r="J238" s="33">
        <f t="shared" si="1"/>
        <v>0.87600000000000122</v>
      </c>
      <c r="K238" s="33">
        <f t="shared" si="2"/>
        <v>0.36649999999999849</v>
      </c>
    </row>
    <row r="239" spans="1:11" x14ac:dyDescent="0.2">
      <c r="A239" s="63">
        <v>44650</v>
      </c>
      <c r="B239" s="57">
        <v>2382</v>
      </c>
      <c r="C239" s="57" t="s">
        <v>157</v>
      </c>
      <c r="D239" s="57" t="s">
        <v>161</v>
      </c>
      <c r="E239" s="57" t="s">
        <v>162</v>
      </c>
      <c r="F239" s="57">
        <f t="shared" si="8"/>
        <v>0</v>
      </c>
      <c r="G239" s="57">
        <v>26.151700000000002</v>
      </c>
      <c r="H239" s="57">
        <v>35.35</v>
      </c>
      <c r="I239" s="57">
        <v>30.4801</v>
      </c>
      <c r="J239" s="33">
        <f t="shared" si="1"/>
        <v>9.1982999999999997</v>
      </c>
      <c r="K239" s="33">
        <f t="shared" si="2"/>
        <v>4.3283999999999985</v>
      </c>
    </row>
    <row r="240" spans="1:11" x14ac:dyDescent="0.2">
      <c r="A240" s="63">
        <v>44655</v>
      </c>
      <c r="B240" s="57">
        <v>2026</v>
      </c>
      <c r="C240" s="57" t="s">
        <v>157</v>
      </c>
      <c r="D240" s="57" t="s">
        <v>161</v>
      </c>
      <c r="E240" s="57" t="s">
        <v>159</v>
      </c>
      <c r="F240" s="57">
        <f t="shared" si="8"/>
        <v>0</v>
      </c>
      <c r="G240" s="57">
        <v>25.898900000000001</v>
      </c>
      <c r="H240" s="57">
        <v>26.792300000000001</v>
      </c>
      <c r="I240" s="57">
        <v>26.432500000000001</v>
      </c>
      <c r="J240" s="33">
        <f t="shared" si="1"/>
        <v>0.89339999999999975</v>
      </c>
      <c r="K240" s="33">
        <f t="shared" si="2"/>
        <v>0.53359999999999985</v>
      </c>
    </row>
    <row r="241" spans="1:11" x14ac:dyDescent="0.2">
      <c r="A241" s="63">
        <v>44650</v>
      </c>
      <c r="B241" s="57">
        <v>2380</v>
      </c>
      <c r="C241" s="57" t="s">
        <v>157</v>
      </c>
      <c r="D241" s="57" t="s">
        <v>158</v>
      </c>
      <c r="E241" s="57" t="s">
        <v>159</v>
      </c>
      <c r="F241" s="57">
        <f t="shared" si="8"/>
        <v>1</v>
      </c>
      <c r="G241" s="57">
        <v>26.282800000000002</v>
      </c>
      <c r="H241" s="57">
        <v>28.034500000000001</v>
      </c>
      <c r="I241" s="57">
        <v>27.242899999999999</v>
      </c>
      <c r="J241" s="33">
        <f t="shared" si="1"/>
        <v>1.7516999999999996</v>
      </c>
      <c r="K241" s="33">
        <f t="shared" si="2"/>
        <v>0.96009999999999707</v>
      </c>
    </row>
    <row r="242" spans="1:11" x14ac:dyDescent="0.2">
      <c r="A242" s="63">
        <v>44650</v>
      </c>
      <c r="B242" s="57">
        <v>2301</v>
      </c>
      <c r="C242" s="57" t="s">
        <v>157</v>
      </c>
      <c r="D242" s="57" t="s">
        <v>158</v>
      </c>
      <c r="E242" s="57" t="s">
        <v>159</v>
      </c>
      <c r="F242" s="57">
        <f t="shared" si="8"/>
        <v>1</v>
      </c>
      <c r="G242" s="57">
        <v>25.927600000000002</v>
      </c>
      <c r="H242" s="57">
        <v>29.249199999999998</v>
      </c>
      <c r="I242" s="57">
        <v>27.9163</v>
      </c>
      <c r="J242" s="33">
        <f t="shared" si="1"/>
        <v>3.3215999999999966</v>
      </c>
      <c r="K242" s="33">
        <f t="shared" si="2"/>
        <v>1.9886999999999979</v>
      </c>
    </row>
    <row r="243" spans="1:11" x14ac:dyDescent="0.2">
      <c r="A243" s="63">
        <v>44650</v>
      </c>
      <c r="B243" s="57">
        <v>2381</v>
      </c>
      <c r="C243" s="57" t="s">
        <v>157</v>
      </c>
      <c r="D243" s="57" t="s">
        <v>161</v>
      </c>
      <c r="E243" s="57" t="s">
        <v>162</v>
      </c>
      <c r="F243" s="57">
        <f t="shared" si="8"/>
        <v>0</v>
      </c>
      <c r="G243" s="57">
        <v>25.643799999999999</v>
      </c>
      <c r="H243" s="57">
        <v>30.672899999999998</v>
      </c>
      <c r="I243" s="57">
        <v>27.842500000000001</v>
      </c>
      <c r="J243" s="33">
        <f t="shared" si="1"/>
        <v>5.0290999999999997</v>
      </c>
      <c r="K243" s="33">
        <f t="shared" si="2"/>
        <v>2.1987000000000023</v>
      </c>
    </row>
    <row r="244" spans="1:11" x14ac:dyDescent="0.2">
      <c r="A244" s="63">
        <v>44655</v>
      </c>
      <c r="B244" s="57">
        <v>2086</v>
      </c>
      <c r="C244" s="57" t="s">
        <v>160</v>
      </c>
      <c r="D244" s="57" t="s">
        <v>161</v>
      </c>
      <c r="E244" s="57" t="s">
        <v>162</v>
      </c>
      <c r="F244" s="57">
        <f t="shared" si="8"/>
        <v>0</v>
      </c>
      <c r="G244" s="57">
        <v>26.934699999999999</v>
      </c>
      <c r="H244" s="57">
        <v>31.292400000000001</v>
      </c>
      <c r="I244" s="57">
        <v>28.444700000000001</v>
      </c>
      <c r="J244" s="33">
        <f t="shared" si="1"/>
        <v>4.3577000000000012</v>
      </c>
      <c r="K244" s="33">
        <f t="shared" si="2"/>
        <v>1.5100000000000016</v>
      </c>
    </row>
    <row r="245" spans="1:11" x14ac:dyDescent="0.2">
      <c r="A245" s="63">
        <v>44650</v>
      </c>
      <c r="B245" s="57">
        <v>2331</v>
      </c>
      <c r="C245" s="57" t="s">
        <v>157</v>
      </c>
      <c r="D245" s="57" t="s">
        <v>158</v>
      </c>
      <c r="E245" s="57" t="s">
        <v>159</v>
      </c>
      <c r="F245" s="57">
        <f t="shared" si="8"/>
        <v>1</v>
      </c>
      <c r="G245" s="57">
        <v>26.442599999999999</v>
      </c>
      <c r="H245" s="57">
        <v>27.91</v>
      </c>
      <c r="I245" s="57">
        <v>27.2667</v>
      </c>
      <c r="J245" s="33">
        <f t="shared" si="1"/>
        <v>1.4674000000000014</v>
      </c>
      <c r="K245" s="33">
        <f t="shared" si="2"/>
        <v>0.82410000000000139</v>
      </c>
    </row>
    <row r="246" spans="1:11" x14ac:dyDescent="0.2">
      <c r="A246" s="63">
        <v>44650</v>
      </c>
      <c r="B246" s="57">
        <v>2377</v>
      </c>
      <c r="C246" s="57" t="s">
        <v>157</v>
      </c>
      <c r="D246" s="57" t="s">
        <v>158</v>
      </c>
      <c r="E246" s="57" t="s">
        <v>162</v>
      </c>
      <c r="F246" s="57">
        <f t="shared" si="8"/>
        <v>1</v>
      </c>
      <c r="G246" s="57">
        <v>26.257999999999999</v>
      </c>
      <c r="H246" s="57">
        <v>30.126999999999999</v>
      </c>
      <c r="I246" s="57">
        <v>28.772600000000001</v>
      </c>
      <c r="J246" s="33">
        <f t="shared" si="1"/>
        <v>3.8689999999999998</v>
      </c>
      <c r="K246" s="33">
        <f t="shared" si="2"/>
        <v>2.5146000000000015</v>
      </c>
    </row>
    <row r="247" spans="1:11" x14ac:dyDescent="0.2">
      <c r="A247" s="63">
        <v>44650</v>
      </c>
      <c r="B247" s="57">
        <v>2347</v>
      </c>
      <c r="C247" s="57" t="s">
        <v>157</v>
      </c>
      <c r="D247" s="57" t="s">
        <v>158</v>
      </c>
      <c r="E247" s="57" t="s">
        <v>159</v>
      </c>
      <c r="F247" s="57">
        <f t="shared" si="8"/>
        <v>1</v>
      </c>
      <c r="G247" s="57">
        <v>25.4573</v>
      </c>
      <c r="H247" s="57">
        <v>26.243200000000002</v>
      </c>
      <c r="I247" s="57">
        <v>25.898599999999998</v>
      </c>
      <c r="J247" s="33">
        <f t="shared" si="1"/>
        <v>0.7859000000000016</v>
      </c>
      <c r="K247" s="33">
        <f t="shared" si="2"/>
        <v>0.44129999999999825</v>
      </c>
    </row>
    <row r="248" spans="1:11" x14ac:dyDescent="0.2">
      <c r="A248" s="63">
        <v>44655</v>
      </c>
      <c r="B248" s="57">
        <v>2029</v>
      </c>
      <c r="C248" s="57" t="s">
        <v>157</v>
      </c>
      <c r="D248" s="57" t="s">
        <v>158</v>
      </c>
      <c r="E248" s="57" t="s">
        <v>159</v>
      </c>
      <c r="F248" s="57">
        <f t="shared" si="8"/>
        <v>1</v>
      </c>
      <c r="G248" s="57">
        <v>25.6111</v>
      </c>
      <c r="H248" s="57">
        <v>26.862200000000001</v>
      </c>
      <c r="I248" s="57">
        <v>25.968900000000001</v>
      </c>
      <c r="J248" s="33">
        <f t="shared" si="1"/>
        <v>1.251100000000001</v>
      </c>
      <c r="K248" s="33">
        <f t="shared" si="2"/>
        <v>0.35780000000000101</v>
      </c>
    </row>
    <row r="249" spans="1:11" x14ac:dyDescent="0.2">
      <c r="A249" s="63">
        <v>44650</v>
      </c>
      <c r="B249" s="57">
        <v>2378</v>
      </c>
      <c r="C249" s="57" t="s">
        <v>157</v>
      </c>
      <c r="D249" s="57" t="s">
        <v>161</v>
      </c>
      <c r="E249" s="57" t="s">
        <v>159</v>
      </c>
      <c r="F249" s="57">
        <f t="shared" si="8"/>
        <v>0</v>
      </c>
      <c r="G249" s="57">
        <v>26.348199999999999</v>
      </c>
      <c r="H249" s="57">
        <v>26.973600000000001</v>
      </c>
      <c r="I249" s="57">
        <v>26.579699999999999</v>
      </c>
      <c r="J249" s="33">
        <f t="shared" si="1"/>
        <v>0.62540000000000262</v>
      </c>
      <c r="K249" s="33">
        <f t="shared" si="2"/>
        <v>0.23150000000000048</v>
      </c>
    </row>
    <row r="250" spans="1:11" x14ac:dyDescent="0.2">
      <c r="A250" s="63">
        <v>44655</v>
      </c>
      <c r="B250" s="57">
        <v>2085</v>
      </c>
      <c r="C250" s="57" t="s">
        <v>157</v>
      </c>
      <c r="D250" s="57" t="s">
        <v>158</v>
      </c>
      <c r="E250" s="57" t="s">
        <v>159</v>
      </c>
      <c r="F250" s="57">
        <f t="shared" si="8"/>
        <v>1</v>
      </c>
      <c r="G250" s="57">
        <v>26.329799999999999</v>
      </c>
      <c r="H250" s="57">
        <v>29.046399999999998</v>
      </c>
      <c r="I250" s="57">
        <v>27.390999999999998</v>
      </c>
      <c r="J250" s="33">
        <f t="shared" si="1"/>
        <v>2.7165999999999997</v>
      </c>
      <c r="K250" s="33">
        <f t="shared" si="2"/>
        <v>1.0611999999999995</v>
      </c>
    </row>
    <row r="251" spans="1:11" x14ac:dyDescent="0.2">
      <c r="A251" s="63">
        <v>44655</v>
      </c>
      <c r="B251" s="57">
        <v>2023</v>
      </c>
      <c r="C251" s="57" t="s">
        <v>157</v>
      </c>
      <c r="D251" s="57" t="s">
        <v>161</v>
      </c>
      <c r="E251" s="57" t="s">
        <v>162</v>
      </c>
      <c r="F251" s="57">
        <f t="shared" si="8"/>
        <v>0</v>
      </c>
      <c r="G251" s="57">
        <v>26.053799999999999</v>
      </c>
      <c r="H251" s="57">
        <v>31.2959</v>
      </c>
      <c r="I251" s="57">
        <v>28.546399999999998</v>
      </c>
      <c r="J251" s="33">
        <f t="shared" si="1"/>
        <v>5.2421000000000006</v>
      </c>
      <c r="K251" s="33">
        <f t="shared" si="2"/>
        <v>2.4925999999999995</v>
      </c>
    </row>
    <row r="252" spans="1:11" x14ac:dyDescent="0.2">
      <c r="A252" s="63">
        <v>44655</v>
      </c>
      <c r="B252" s="57">
        <v>2015</v>
      </c>
      <c r="C252" s="57" t="s">
        <v>157</v>
      </c>
      <c r="D252" s="57" t="s">
        <v>161</v>
      </c>
      <c r="E252" s="57" t="s">
        <v>159</v>
      </c>
      <c r="F252" s="57">
        <f t="shared" si="8"/>
        <v>0</v>
      </c>
      <c r="G252" s="57">
        <v>25.697800000000001</v>
      </c>
      <c r="H252" s="57">
        <v>27.099900000000002</v>
      </c>
      <c r="I252" s="57">
        <v>26.187000000000001</v>
      </c>
      <c r="J252" s="33">
        <f t="shared" si="1"/>
        <v>1.4021000000000008</v>
      </c>
      <c r="K252" s="33">
        <f t="shared" si="2"/>
        <v>0.4892000000000003</v>
      </c>
    </row>
    <row r="253" spans="1:11" x14ac:dyDescent="0.2">
      <c r="A253" s="63">
        <v>44650</v>
      </c>
      <c r="B253" s="57">
        <v>2010</v>
      </c>
      <c r="C253" s="57" t="s">
        <v>157</v>
      </c>
      <c r="D253" s="57" t="s">
        <v>161</v>
      </c>
      <c r="E253" s="57" t="s">
        <v>162</v>
      </c>
      <c r="F253" s="57">
        <f t="shared" si="8"/>
        <v>0</v>
      </c>
      <c r="G253" s="57">
        <v>25.5471</v>
      </c>
      <c r="H253" s="57">
        <v>31.465399999999999</v>
      </c>
      <c r="I253" s="57">
        <v>27.984300000000001</v>
      </c>
      <c r="J253" s="33">
        <f t="shared" si="1"/>
        <v>5.9182999999999986</v>
      </c>
      <c r="K253" s="33">
        <f t="shared" si="2"/>
        <v>2.4372000000000007</v>
      </c>
    </row>
    <row r="254" spans="1:11" x14ac:dyDescent="0.2">
      <c r="A254" s="63">
        <v>44655</v>
      </c>
      <c r="B254" s="57">
        <v>2086</v>
      </c>
      <c r="C254" s="57" t="s">
        <v>160</v>
      </c>
      <c r="D254" s="57" t="s">
        <v>158</v>
      </c>
      <c r="E254" s="57" t="s">
        <v>159</v>
      </c>
      <c r="F254" s="57">
        <f t="shared" si="8"/>
        <v>1</v>
      </c>
      <c r="G254" s="57">
        <v>25.403099999999998</v>
      </c>
      <c r="H254" s="57">
        <v>26.915199999999999</v>
      </c>
      <c r="I254" s="57">
        <v>25.869599999999998</v>
      </c>
      <c r="J254" s="33">
        <f t="shared" si="1"/>
        <v>1.5121000000000002</v>
      </c>
      <c r="K254" s="33">
        <f t="shared" si="2"/>
        <v>0.46649999999999991</v>
      </c>
    </row>
    <row r="255" spans="1:11" x14ac:dyDescent="0.2">
      <c r="A255" s="63">
        <v>44650</v>
      </c>
      <c r="B255" s="57">
        <v>2378</v>
      </c>
      <c r="C255" s="57" t="s">
        <v>157</v>
      </c>
      <c r="D255" s="57" t="s">
        <v>161</v>
      </c>
      <c r="E255" s="57" t="s">
        <v>162</v>
      </c>
      <c r="F255" s="57">
        <f t="shared" si="8"/>
        <v>0</v>
      </c>
      <c r="G255" s="57">
        <v>26.703600000000002</v>
      </c>
      <c r="H255" s="57">
        <v>32.720199999999998</v>
      </c>
      <c r="I255" s="57">
        <v>29.598800000000001</v>
      </c>
      <c r="J255" s="33">
        <f t="shared" si="1"/>
        <v>6.0165999999999968</v>
      </c>
      <c r="K255" s="33">
        <f t="shared" si="2"/>
        <v>2.8951999999999991</v>
      </c>
    </row>
    <row r="256" spans="1:11" x14ac:dyDescent="0.2">
      <c r="A256" s="63">
        <v>44650</v>
      </c>
      <c r="B256" s="57">
        <v>2383</v>
      </c>
      <c r="C256" s="57" t="s">
        <v>157</v>
      </c>
      <c r="D256" s="57" t="s">
        <v>161</v>
      </c>
      <c r="E256" s="57" t="s">
        <v>159</v>
      </c>
      <c r="F256" s="57">
        <f t="shared" si="8"/>
        <v>0</v>
      </c>
      <c r="G256" s="57">
        <v>25.881699999999999</v>
      </c>
      <c r="H256" s="57">
        <v>26.640999999999998</v>
      </c>
      <c r="I256" s="57">
        <v>26.174199999999999</v>
      </c>
      <c r="J256" s="33">
        <f t="shared" si="1"/>
        <v>0.75929999999999964</v>
      </c>
      <c r="K256" s="33">
        <f t="shared" si="2"/>
        <v>0.29250000000000043</v>
      </c>
    </row>
    <row r="257" spans="1:11" x14ac:dyDescent="0.2">
      <c r="A257" s="63">
        <v>44655</v>
      </c>
      <c r="B257" s="57">
        <v>2005</v>
      </c>
      <c r="C257" s="57" t="s">
        <v>157</v>
      </c>
      <c r="D257" s="57" t="s">
        <v>161</v>
      </c>
      <c r="E257" s="57" t="s">
        <v>159</v>
      </c>
      <c r="F257" s="57">
        <f t="shared" si="8"/>
        <v>0</v>
      </c>
      <c r="G257" s="57">
        <v>25.824200000000001</v>
      </c>
      <c r="H257" s="57">
        <v>26.637799999999999</v>
      </c>
      <c r="I257" s="57">
        <v>26.299499999999998</v>
      </c>
      <c r="J257" s="33">
        <f t="shared" ref="J257:J511" si="9">H257-G257</f>
        <v>0.81359999999999744</v>
      </c>
      <c r="K257" s="33">
        <f t="shared" ref="K257:K511" si="10">I257-G257</f>
        <v>0.47529999999999717</v>
      </c>
    </row>
    <row r="258" spans="1:11" x14ac:dyDescent="0.2">
      <c r="A258" s="63">
        <v>44655</v>
      </c>
      <c r="B258" s="57">
        <v>1478</v>
      </c>
      <c r="C258" s="57" t="s">
        <v>157</v>
      </c>
      <c r="D258" s="57" t="s">
        <v>161</v>
      </c>
      <c r="E258" s="57" t="s">
        <v>162</v>
      </c>
      <c r="F258" s="57">
        <f t="shared" si="8"/>
        <v>0</v>
      </c>
      <c r="G258" s="57">
        <v>26.4725</v>
      </c>
      <c r="H258" s="57">
        <v>31.220800000000001</v>
      </c>
      <c r="I258" s="57">
        <v>28.197199999999999</v>
      </c>
      <c r="J258" s="33">
        <f t="shared" si="9"/>
        <v>4.7483000000000004</v>
      </c>
      <c r="K258" s="33">
        <f t="shared" si="10"/>
        <v>1.7246999999999986</v>
      </c>
    </row>
    <row r="259" spans="1:11" x14ac:dyDescent="0.2">
      <c r="A259" s="63">
        <v>44650</v>
      </c>
      <c r="B259" s="57">
        <v>2380</v>
      </c>
      <c r="C259" s="57" t="s">
        <v>157</v>
      </c>
      <c r="D259" s="57" t="s">
        <v>161</v>
      </c>
      <c r="E259" s="57" t="s">
        <v>159</v>
      </c>
      <c r="F259" s="57">
        <f t="shared" si="8"/>
        <v>0</v>
      </c>
      <c r="G259" s="57">
        <v>25.6021</v>
      </c>
      <c r="H259" s="57">
        <v>26.0319</v>
      </c>
      <c r="I259" s="57">
        <v>25.606300000000001</v>
      </c>
      <c r="J259" s="33">
        <f t="shared" si="9"/>
        <v>0.42980000000000018</v>
      </c>
      <c r="K259" s="33">
        <f t="shared" si="10"/>
        <v>4.2000000000008697E-3</v>
      </c>
    </row>
    <row r="260" spans="1:11" x14ac:dyDescent="0.2">
      <c r="A260" s="63">
        <v>44655</v>
      </c>
      <c r="B260" s="57">
        <v>2090</v>
      </c>
      <c r="C260" s="57" t="s">
        <v>157</v>
      </c>
      <c r="D260" s="57" t="s">
        <v>161</v>
      </c>
      <c r="E260" s="57" t="s">
        <v>162</v>
      </c>
      <c r="F260" s="57">
        <f t="shared" si="8"/>
        <v>0</v>
      </c>
      <c r="G260" s="57">
        <v>26.173100000000002</v>
      </c>
      <c r="H260" s="57">
        <v>31.537800000000001</v>
      </c>
      <c r="I260" s="57">
        <v>28.302800000000001</v>
      </c>
      <c r="J260" s="33">
        <f t="shared" si="9"/>
        <v>5.3646999999999991</v>
      </c>
      <c r="K260" s="33">
        <f t="shared" si="10"/>
        <v>2.1296999999999997</v>
      </c>
    </row>
    <row r="261" spans="1:11" x14ac:dyDescent="0.2">
      <c r="A261" s="63">
        <v>44655</v>
      </c>
      <c r="B261" s="57">
        <v>2091</v>
      </c>
      <c r="C261" s="57" t="s">
        <v>157</v>
      </c>
      <c r="D261" s="57" t="s">
        <v>158</v>
      </c>
      <c r="E261" s="57" t="s">
        <v>162</v>
      </c>
      <c r="F261" s="57">
        <f t="shared" si="8"/>
        <v>1</v>
      </c>
      <c r="G261" s="57">
        <v>26.341699999999999</v>
      </c>
      <c r="H261" s="57">
        <v>32.492699999999999</v>
      </c>
      <c r="I261" s="57">
        <v>29.775400000000001</v>
      </c>
      <c r="J261" s="33">
        <f t="shared" si="9"/>
        <v>6.1509999999999998</v>
      </c>
      <c r="K261" s="33">
        <f t="shared" si="10"/>
        <v>3.4337000000000018</v>
      </c>
    </row>
    <row r="262" spans="1:11" x14ac:dyDescent="0.2">
      <c r="A262" s="63">
        <v>44655</v>
      </c>
      <c r="B262" s="57">
        <v>2028</v>
      </c>
      <c r="C262" s="57" t="s">
        <v>157</v>
      </c>
      <c r="D262" s="57" t="s">
        <v>161</v>
      </c>
      <c r="E262" s="57" t="s">
        <v>162</v>
      </c>
      <c r="F262" s="57">
        <f t="shared" si="8"/>
        <v>0</v>
      </c>
      <c r="G262" s="57">
        <v>25.7088</v>
      </c>
      <c r="H262" s="57">
        <v>33.522199999999998</v>
      </c>
      <c r="I262" s="57">
        <v>29.496400000000001</v>
      </c>
      <c r="J262" s="33">
        <f t="shared" si="9"/>
        <v>7.8133999999999979</v>
      </c>
      <c r="K262" s="33">
        <f t="shared" si="10"/>
        <v>3.7876000000000012</v>
      </c>
    </row>
    <row r="263" spans="1:11" x14ac:dyDescent="0.2">
      <c r="A263" s="63">
        <v>44655</v>
      </c>
      <c r="B263" s="57">
        <v>2025</v>
      </c>
      <c r="C263" s="57" t="s">
        <v>157</v>
      </c>
      <c r="D263" s="57" t="s">
        <v>158</v>
      </c>
      <c r="E263" s="57" t="s">
        <v>159</v>
      </c>
      <c r="F263" s="57">
        <f t="shared" si="8"/>
        <v>1</v>
      </c>
      <c r="G263" s="57">
        <v>25.854900000000001</v>
      </c>
      <c r="H263" s="57">
        <v>26.596599999999999</v>
      </c>
      <c r="I263" s="57">
        <v>26.283999999999999</v>
      </c>
      <c r="J263" s="33">
        <f t="shared" si="9"/>
        <v>0.74169999999999803</v>
      </c>
      <c r="K263" s="33">
        <f t="shared" si="10"/>
        <v>0.42909999999999826</v>
      </c>
    </row>
    <row r="264" spans="1:11" x14ac:dyDescent="0.2">
      <c r="A264" s="63">
        <v>44655</v>
      </c>
      <c r="B264" s="57">
        <v>2008</v>
      </c>
      <c r="C264" s="57" t="s">
        <v>157</v>
      </c>
      <c r="D264" s="57" t="s">
        <v>161</v>
      </c>
      <c r="E264" s="57" t="s">
        <v>159</v>
      </c>
      <c r="F264" s="57">
        <f t="shared" si="8"/>
        <v>0</v>
      </c>
      <c r="G264" s="57">
        <v>26.054099999999998</v>
      </c>
      <c r="H264" s="57">
        <v>26.7667</v>
      </c>
      <c r="I264" s="57">
        <v>26.2666</v>
      </c>
      <c r="J264" s="33">
        <f t="shared" si="9"/>
        <v>0.7126000000000019</v>
      </c>
      <c r="K264" s="33">
        <f t="shared" si="10"/>
        <v>0.21250000000000213</v>
      </c>
    </row>
    <row r="265" spans="1:11" x14ac:dyDescent="0.2">
      <c r="A265" s="63">
        <v>44655</v>
      </c>
      <c r="B265" s="57">
        <v>2021</v>
      </c>
      <c r="C265" s="57" t="s">
        <v>157</v>
      </c>
      <c r="D265" s="57" t="s">
        <v>158</v>
      </c>
      <c r="E265" s="57" t="s">
        <v>159</v>
      </c>
      <c r="F265" s="57">
        <f t="shared" si="8"/>
        <v>1</v>
      </c>
      <c r="G265" s="57">
        <v>26.330500000000001</v>
      </c>
      <c r="H265" s="57">
        <v>27.905899999999999</v>
      </c>
      <c r="I265" s="57">
        <v>27.0318</v>
      </c>
      <c r="J265" s="33">
        <f t="shared" si="9"/>
        <v>1.5753999999999984</v>
      </c>
      <c r="K265" s="33">
        <f t="shared" si="10"/>
        <v>0.70129999999999981</v>
      </c>
    </row>
    <row r="266" spans="1:11" x14ac:dyDescent="0.2">
      <c r="A266" s="63">
        <v>44650</v>
      </c>
      <c r="B266" s="57">
        <v>2384</v>
      </c>
      <c r="C266" s="57" t="s">
        <v>157</v>
      </c>
      <c r="D266" s="57" t="s">
        <v>158</v>
      </c>
      <c r="E266" s="57" t="s">
        <v>159</v>
      </c>
      <c r="F266" s="57">
        <f t="shared" si="8"/>
        <v>1</v>
      </c>
      <c r="G266" s="57">
        <v>26.3141</v>
      </c>
      <c r="H266" s="57">
        <v>26.952300000000001</v>
      </c>
      <c r="I266" s="57">
        <v>26.832699999999999</v>
      </c>
      <c r="J266" s="33">
        <f t="shared" si="9"/>
        <v>0.63820000000000121</v>
      </c>
      <c r="K266" s="33">
        <f t="shared" si="10"/>
        <v>0.51859999999999928</v>
      </c>
    </row>
    <row r="267" spans="1:11" x14ac:dyDescent="0.2">
      <c r="A267" s="63">
        <v>44650</v>
      </c>
      <c r="B267" s="57">
        <v>2345</v>
      </c>
      <c r="C267" s="57" t="s">
        <v>157</v>
      </c>
      <c r="D267" s="57" t="s">
        <v>161</v>
      </c>
      <c r="E267" s="57" t="s">
        <v>162</v>
      </c>
      <c r="F267" s="57">
        <f t="shared" si="8"/>
        <v>0</v>
      </c>
      <c r="G267" s="57">
        <v>26.251899999999999</v>
      </c>
      <c r="H267" s="57">
        <v>26.288499999999999</v>
      </c>
      <c r="I267" s="57">
        <v>26.267399999999999</v>
      </c>
      <c r="J267" s="33">
        <f t="shared" si="9"/>
        <v>3.6599999999999966E-2</v>
      </c>
      <c r="K267" s="33">
        <f t="shared" si="10"/>
        <v>1.5499999999999403E-2</v>
      </c>
    </row>
    <row r="268" spans="1:11" x14ac:dyDescent="0.2">
      <c r="A268" s="63">
        <v>44650</v>
      </c>
      <c r="B268" s="57">
        <v>2369</v>
      </c>
      <c r="C268" s="57" t="s">
        <v>157</v>
      </c>
      <c r="D268" s="57" t="s">
        <v>161</v>
      </c>
      <c r="E268" s="57" t="s">
        <v>159</v>
      </c>
      <c r="F268" s="57">
        <f t="shared" si="8"/>
        <v>0</v>
      </c>
      <c r="G268" s="57">
        <v>26.081099999999999</v>
      </c>
      <c r="H268" s="57">
        <v>26.5731</v>
      </c>
      <c r="I268" s="57">
        <v>26.258400000000002</v>
      </c>
      <c r="J268" s="33">
        <f t="shared" si="9"/>
        <v>0.49200000000000088</v>
      </c>
      <c r="K268" s="33">
        <f t="shared" si="10"/>
        <v>0.17730000000000246</v>
      </c>
    </row>
    <row r="269" spans="1:11" x14ac:dyDescent="0.2">
      <c r="A269" s="63">
        <v>44655</v>
      </c>
      <c r="B269" s="57">
        <v>2015</v>
      </c>
      <c r="C269" s="57" t="s">
        <v>160</v>
      </c>
      <c r="D269" s="57" t="s">
        <v>158</v>
      </c>
      <c r="E269" s="57" t="s">
        <v>159</v>
      </c>
      <c r="F269" s="57">
        <f t="shared" si="8"/>
        <v>1</v>
      </c>
      <c r="G269" s="57">
        <v>26.409400000000002</v>
      </c>
      <c r="H269" s="57">
        <v>27.026800000000001</v>
      </c>
      <c r="I269" s="57">
        <v>26.879200000000001</v>
      </c>
      <c r="J269" s="33">
        <f t="shared" si="9"/>
        <v>0.61739999999999995</v>
      </c>
      <c r="K269" s="33">
        <f t="shared" si="10"/>
        <v>0.46979999999999933</v>
      </c>
    </row>
    <row r="270" spans="1:11" x14ac:dyDescent="0.2">
      <c r="A270" s="63">
        <v>44650</v>
      </c>
      <c r="B270" s="57">
        <v>2331</v>
      </c>
      <c r="C270" s="57" t="s">
        <v>157</v>
      </c>
      <c r="D270" s="57" t="s">
        <v>158</v>
      </c>
      <c r="E270" s="57" t="s">
        <v>162</v>
      </c>
      <c r="F270" s="57">
        <f t="shared" si="8"/>
        <v>1</v>
      </c>
      <c r="G270" s="57">
        <v>26.220199999999998</v>
      </c>
      <c r="H270" s="57">
        <v>33.578899999999997</v>
      </c>
      <c r="I270" s="57">
        <v>30.182400000000001</v>
      </c>
      <c r="J270" s="33">
        <f t="shared" si="9"/>
        <v>7.3586999999999989</v>
      </c>
      <c r="K270" s="33">
        <f t="shared" si="10"/>
        <v>3.9622000000000028</v>
      </c>
    </row>
    <row r="271" spans="1:11" x14ac:dyDescent="0.2">
      <c r="A271" s="63">
        <v>44650</v>
      </c>
      <c r="B271" s="57">
        <v>2010</v>
      </c>
      <c r="C271" s="57" t="s">
        <v>157</v>
      </c>
      <c r="D271" s="57" t="s">
        <v>161</v>
      </c>
      <c r="E271" s="57" t="s">
        <v>159</v>
      </c>
      <c r="F271" s="57">
        <f t="shared" si="8"/>
        <v>0</v>
      </c>
      <c r="G271" s="57">
        <v>25.98</v>
      </c>
      <c r="H271" s="57">
        <v>26.726099999999999</v>
      </c>
      <c r="I271" s="57">
        <v>26.223600000000001</v>
      </c>
      <c r="J271" s="33">
        <f t="shared" si="9"/>
        <v>0.74609999999999843</v>
      </c>
      <c r="K271" s="33">
        <f t="shared" si="10"/>
        <v>0.2436000000000007</v>
      </c>
    </row>
    <row r="272" spans="1:11" x14ac:dyDescent="0.2">
      <c r="A272" s="63">
        <v>44650</v>
      </c>
      <c r="B272" s="57">
        <v>2383</v>
      </c>
      <c r="C272" s="57" t="s">
        <v>157</v>
      </c>
      <c r="D272" s="57" t="s">
        <v>158</v>
      </c>
      <c r="E272" s="57" t="s">
        <v>159</v>
      </c>
      <c r="F272" s="57">
        <f t="shared" si="8"/>
        <v>1</v>
      </c>
      <c r="G272" s="57">
        <v>25.745899999999999</v>
      </c>
      <c r="H272" s="57">
        <v>27.412400000000002</v>
      </c>
      <c r="I272" s="57">
        <v>26.360299999999999</v>
      </c>
      <c r="J272" s="33">
        <f t="shared" si="9"/>
        <v>1.6665000000000028</v>
      </c>
      <c r="K272" s="33">
        <f t="shared" si="10"/>
        <v>0.61439999999999984</v>
      </c>
    </row>
    <row r="273" spans="1:11" x14ac:dyDescent="0.2">
      <c r="A273" s="63">
        <v>44650</v>
      </c>
      <c r="B273" s="57">
        <v>2360</v>
      </c>
      <c r="C273" s="57" t="s">
        <v>157</v>
      </c>
      <c r="D273" s="57" t="s">
        <v>161</v>
      </c>
      <c r="E273" s="57" t="s">
        <v>162</v>
      </c>
      <c r="F273" s="57">
        <f t="shared" si="8"/>
        <v>0</v>
      </c>
      <c r="G273" s="57">
        <v>25.923400000000001</v>
      </c>
      <c r="H273" s="57">
        <v>31.650600000000001</v>
      </c>
      <c r="I273" s="57">
        <v>28.580400000000001</v>
      </c>
      <c r="J273" s="33">
        <f t="shared" si="9"/>
        <v>5.7271999999999998</v>
      </c>
      <c r="K273" s="33">
        <f t="shared" si="10"/>
        <v>2.657</v>
      </c>
    </row>
    <row r="274" spans="1:11" x14ac:dyDescent="0.2">
      <c r="A274" s="63">
        <v>44655</v>
      </c>
      <c r="B274" s="57">
        <v>2088</v>
      </c>
      <c r="C274" s="57" t="s">
        <v>160</v>
      </c>
      <c r="D274" s="57" t="s">
        <v>158</v>
      </c>
      <c r="E274" s="57" t="s">
        <v>159</v>
      </c>
      <c r="F274" s="57">
        <f t="shared" si="8"/>
        <v>1</v>
      </c>
      <c r="G274" s="57">
        <v>15.396100000000001</v>
      </c>
      <c r="H274" s="57">
        <v>17.3795</v>
      </c>
      <c r="I274" s="57">
        <v>16.1952</v>
      </c>
      <c r="J274" s="33">
        <f t="shared" si="9"/>
        <v>1.9833999999999996</v>
      </c>
      <c r="K274" s="33">
        <f t="shared" si="10"/>
        <v>0.79909999999999926</v>
      </c>
    </row>
    <row r="275" spans="1:11" x14ac:dyDescent="0.2">
      <c r="A275" s="63">
        <v>44655</v>
      </c>
      <c r="B275" s="57">
        <v>2008</v>
      </c>
      <c r="C275" s="57" t="s">
        <v>157</v>
      </c>
      <c r="D275" s="57" t="s">
        <v>161</v>
      </c>
      <c r="E275" s="57" t="s">
        <v>162</v>
      </c>
      <c r="F275" s="57">
        <f t="shared" si="8"/>
        <v>0</v>
      </c>
      <c r="G275" s="57">
        <v>26.7896</v>
      </c>
      <c r="H275" s="57">
        <v>34.6008</v>
      </c>
      <c r="I275" s="57">
        <v>30.702000000000002</v>
      </c>
      <c r="J275" s="33">
        <f t="shared" si="9"/>
        <v>7.8111999999999995</v>
      </c>
      <c r="K275" s="33">
        <f t="shared" si="10"/>
        <v>3.9124000000000017</v>
      </c>
    </row>
    <row r="276" spans="1:11" x14ac:dyDescent="0.2">
      <c r="A276" s="63">
        <v>44655</v>
      </c>
      <c r="B276" s="57">
        <v>2013</v>
      </c>
      <c r="C276" s="57" t="s">
        <v>157</v>
      </c>
      <c r="D276" s="57" t="s">
        <v>161</v>
      </c>
      <c r="E276" s="57" t="s">
        <v>159</v>
      </c>
      <c r="F276" s="57">
        <f t="shared" si="8"/>
        <v>0</v>
      </c>
      <c r="G276" s="57">
        <v>26.355</v>
      </c>
      <c r="H276" s="57">
        <v>26.973099999999999</v>
      </c>
      <c r="I276" s="57">
        <v>26.561900000000001</v>
      </c>
      <c r="J276" s="33">
        <f t="shared" si="9"/>
        <v>0.61809999999999832</v>
      </c>
      <c r="K276" s="33">
        <f t="shared" si="10"/>
        <v>0.20690000000000097</v>
      </c>
    </row>
    <row r="277" spans="1:11" x14ac:dyDescent="0.2">
      <c r="A277" s="63">
        <v>44655</v>
      </c>
      <c r="B277" s="57">
        <v>2004</v>
      </c>
      <c r="C277" s="57" t="s">
        <v>157</v>
      </c>
      <c r="D277" s="57" t="s">
        <v>161</v>
      </c>
      <c r="E277" s="57" t="s">
        <v>162</v>
      </c>
      <c r="F277" s="57">
        <f t="shared" si="8"/>
        <v>0</v>
      </c>
      <c r="G277" s="57">
        <v>26.697099999999999</v>
      </c>
      <c r="H277" s="57">
        <v>34.189900000000002</v>
      </c>
      <c r="I277" s="57">
        <v>30.132200000000001</v>
      </c>
      <c r="J277" s="33">
        <f t="shared" si="9"/>
        <v>7.4928000000000026</v>
      </c>
      <c r="K277" s="33">
        <f t="shared" si="10"/>
        <v>3.435100000000002</v>
      </c>
    </row>
    <row r="278" spans="1:11" x14ac:dyDescent="0.2">
      <c r="A278" s="63">
        <v>44650</v>
      </c>
      <c r="B278" s="57">
        <v>2376</v>
      </c>
      <c r="C278" s="57" t="s">
        <v>157</v>
      </c>
      <c r="D278" s="57" t="s">
        <v>158</v>
      </c>
      <c r="E278" s="57" t="s">
        <v>159</v>
      </c>
      <c r="F278" s="57">
        <f t="shared" si="8"/>
        <v>1</v>
      </c>
      <c r="G278" s="57">
        <v>26.0548</v>
      </c>
      <c r="H278" s="57">
        <v>27.4084</v>
      </c>
      <c r="I278" s="57">
        <v>26.5901</v>
      </c>
      <c r="J278" s="33">
        <f t="shared" si="9"/>
        <v>1.3536000000000001</v>
      </c>
      <c r="K278" s="33">
        <f t="shared" si="10"/>
        <v>0.53529999999999944</v>
      </c>
    </row>
    <row r="279" spans="1:11" x14ac:dyDescent="0.2">
      <c r="A279" s="63">
        <v>44650</v>
      </c>
      <c r="B279" s="57">
        <v>2346</v>
      </c>
      <c r="C279" s="57" t="s">
        <v>157</v>
      </c>
      <c r="D279" s="57" t="s">
        <v>161</v>
      </c>
      <c r="E279" s="57" t="s">
        <v>159</v>
      </c>
      <c r="F279" s="57">
        <f t="shared" si="8"/>
        <v>0</v>
      </c>
      <c r="G279" s="57">
        <v>25.849399999999999</v>
      </c>
      <c r="H279" s="57">
        <v>25.556100000000001</v>
      </c>
      <c r="I279" s="57">
        <v>25.9071</v>
      </c>
      <c r="J279" s="33">
        <f t="shared" si="9"/>
        <v>-0.29329999999999856</v>
      </c>
      <c r="K279" s="33">
        <f t="shared" si="10"/>
        <v>5.7700000000000529E-2</v>
      </c>
    </row>
    <row r="280" spans="1:11" x14ac:dyDescent="0.2">
      <c r="A280" s="63">
        <v>44650</v>
      </c>
      <c r="B280" s="57">
        <v>2346</v>
      </c>
      <c r="C280" s="57" t="s">
        <v>157</v>
      </c>
      <c r="D280" s="57" t="s">
        <v>158</v>
      </c>
      <c r="E280" s="57" t="s">
        <v>162</v>
      </c>
      <c r="F280" s="57">
        <f t="shared" si="8"/>
        <v>1</v>
      </c>
      <c r="G280" s="57">
        <v>25.723299999999998</v>
      </c>
      <c r="H280" s="57">
        <v>26.172599999999999</v>
      </c>
      <c r="I280" s="57">
        <v>25.9465</v>
      </c>
      <c r="J280" s="33">
        <f t="shared" si="9"/>
        <v>0.44930000000000092</v>
      </c>
      <c r="K280" s="33">
        <f t="shared" si="10"/>
        <v>0.22320000000000206</v>
      </c>
    </row>
    <row r="281" spans="1:11" x14ac:dyDescent="0.2">
      <c r="A281" s="63">
        <v>44655</v>
      </c>
      <c r="B281" s="57">
        <v>2093</v>
      </c>
      <c r="C281" s="57" t="s">
        <v>157</v>
      </c>
      <c r="D281" s="57" t="s">
        <v>158</v>
      </c>
      <c r="E281" s="57" t="s">
        <v>162</v>
      </c>
      <c r="F281" s="57">
        <f t="shared" si="8"/>
        <v>1</v>
      </c>
      <c r="G281" s="57">
        <v>26.343299999999999</v>
      </c>
      <c r="H281" s="57">
        <v>31.083500000000001</v>
      </c>
      <c r="I281" s="57">
        <v>29.098800000000001</v>
      </c>
      <c r="J281" s="33">
        <f t="shared" si="9"/>
        <v>4.7402000000000015</v>
      </c>
      <c r="K281" s="33">
        <f t="shared" si="10"/>
        <v>2.7555000000000014</v>
      </c>
    </row>
    <row r="282" spans="1:11" x14ac:dyDescent="0.2">
      <c r="A282" s="63">
        <v>44655</v>
      </c>
      <c r="B282" s="57">
        <v>2091</v>
      </c>
      <c r="C282" s="57" t="s">
        <v>157</v>
      </c>
      <c r="D282" s="57" t="s">
        <v>158</v>
      </c>
      <c r="E282" s="57" t="s">
        <v>159</v>
      </c>
      <c r="F282" s="57">
        <f t="shared" si="8"/>
        <v>1</v>
      </c>
      <c r="G282" s="57">
        <v>25.920500000000001</v>
      </c>
      <c r="H282" s="57">
        <v>27.571000000000002</v>
      </c>
      <c r="I282" s="57">
        <v>26.5655</v>
      </c>
      <c r="J282" s="33">
        <f t="shared" si="9"/>
        <v>1.650500000000001</v>
      </c>
      <c r="K282" s="33">
        <f t="shared" si="10"/>
        <v>0.64499999999999957</v>
      </c>
    </row>
    <row r="283" spans="1:11" x14ac:dyDescent="0.2">
      <c r="A283" s="63">
        <v>44655</v>
      </c>
      <c r="B283" s="57">
        <v>2031</v>
      </c>
      <c r="C283" s="57" t="s">
        <v>60</v>
      </c>
      <c r="D283" s="57" t="s">
        <v>161</v>
      </c>
      <c r="E283" s="57" t="s">
        <v>162</v>
      </c>
      <c r="F283" s="57">
        <f t="shared" si="8"/>
        <v>0</v>
      </c>
      <c r="G283" s="57">
        <v>15.520200000000001</v>
      </c>
      <c r="H283" s="57">
        <v>15.8781</v>
      </c>
      <c r="I283" s="57">
        <v>15.8775</v>
      </c>
      <c r="J283" s="33">
        <f t="shared" si="9"/>
        <v>0.357899999999999</v>
      </c>
      <c r="K283" s="33">
        <f t="shared" si="10"/>
        <v>0.35729999999999862</v>
      </c>
    </row>
    <row r="284" spans="1:11" x14ac:dyDescent="0.2">
      <c r="A284" s="63">
        <v>44650</v>
      </c>
      <c r="B284" s="57">
        <v>2346</v>
      </c>
      <c r="C284" s="57" t="s">
        <v>157</v>
      </c>
      <c r="D284" s="57" t="s">
        <v>158</v>
      </c>
      <c r="E284" s="57" t="s">
        <v>159</v>
      </c>
      <c r="F284" s="57">
        <f t="shared" si="8"/>
        <v>1</v>
      </c>
      <c r="G284" s="57">
        <v>26.5944</v>
      </c>
      <c r="H284" s="57">
        <v>27.475999999999999</v>
      </c>
      <c r="I284" s="57">
        <v>27.261099999999999</v>
      </c>
      <c r="J284" s="33">
        <f t="shared" si="9"/>
        <v>0.88159999999999883</v>
      </c>
      <c r="K284" s="33">
        <f t="shared" si="10"/>
        <v>0.66669999999999874</v>
      </c>
    </row>
    <row r="285" spans="1:11" x14ac:dyDescent="0.2">
      <c r="A285" s="63">
        <v>44650</v>
      </c>
      <c r="B285" s="57">
        <v>2010</v>
      </c>
      <c r="C285" s="57" t="s">
        <v>157</v>
      </c>
      <c r="D285" s="57" t="s">
        <v>158</v>
      </c>
      <c r="E285" s="57" t="s">
        <v>159</v>
      </c>
      <c r="F285" s="57">
        <f t="shared" si="8"/>
        <v>1</v>
      </c>
      <c r="G285" s="57">
        <v>25.948599999999999</v>
      </c>
      <c r="H285" s="57">
        <v>26.419</v>
      </c>
      <c r="I285" s="57">
        <v>26.135000000000002</v>
      </c>
      <c r="J285" s="33">
        <f t="shared" si="9"/>
        <v>0.47040000000000148</v>
      </c>
      <c r="K285" s="33">
        <f t="shared" si="10"/>
        <v>0.18640000000000256</v>
      </c>
    </row>
    <row r="286" spans="1:11" x14ac:dyDescent="0.2">
      <c r="A286" s="63">
        <v>44655</v>
      </c>
      <c r="B286" s="57">
        <v>2013</v>
      </c>
      <c r="C286" s="57" t="s">
        <v>157</v>
      </c>
      <c r="D286" s="57" t="s">
        <v>161</v>
      </c>
      <c r="E286" s="57" t="s">
        <v>162</v>
      </c>
      <c r="F286" s="57">
        <f t="shared" si="8"/>
        <v>0</v>
      </c>
      <c r="G286" s="57">
        <v>26.4542</v>
      </c>
      <c r="H286" s="57">
        <v>29.443899999999999</v>
      </c>
      <c r="I286" s="57">
        <v>27.459299999999999</v>
      </c>
      <c r="J286" s="33">
        <f t="shared" si="9"/>
        <v>2.9896999999999991</v>
      </c>
      <c r="K286" s="33">
        <f t="shared" si="10"/>
        <v>1.0050999999999988</v>
      </c>
    </row>
    <row r="287" spans="1:11" x14ac:dyDescent="0.2">
      <c r="A287" s="63">
        <v>44655</v>
      </c>
      <c r="B287" s="57">
        <v>2092</v>
      </c>
      <c r="C287" s="57" t="s">
        <v>157</v>
      </c>
      <c r="D287" s="57" t="s">
        <v>161</v>
      </c>
      <c r="E287" s="57" t="s">
        <v>159</v>
      </c>
      <c r="F287" s="57">
        <f t="shared" si="8"/>
        <v>0</v>
      </c>
      <c r="G287" s="57">
        <v>25.179600000000001</v>
      </c>
      <c r="H287" s="57">
        <v>25.418500000000002</v>
      </c>
      <c r="I287" s="57">
        <v>25.247900000000001</v>
      </c>
      <c r="J287" s="33">
        <f t="shared" si="9"/>
        <v>0.238900000000001</v>
      </c>
      <c r="K287" s="33">
        <f t="shared" si="10"/>
        <v>6.8300000000000693E-2</v>
      </c>
    </row>
    <row r="288" spans="1:11" x14ac:dyDescent="0.2">
      <c r="A288" s="63">
        <v>44655</v>
      </c>
      <c r="B288" s="57">
        <v>2026</v>
      </c>
      <c r="C288" s="57" t="s">
        <v>157</v>
      </c>
      <c r="D288" s="57" t="s">
        <v>161</v>
      </c>
      <c r="E288" s="57" t="s">
        <v>162</v>
      </c>
      <c r="F288" s="57">
        <f t="shared" si="8"/>
        <v>0</v>
      </c>
      <c r="G288" s="57">
        <v>25.7074</v>
      </c>
      <c r="H288" s="57">
        <v>27.959299999999999</v>
      </c>
      <c r="I288" s="57">
        <v>26.759</v>
      </c>
      <c r="J288" s="33">
        <f t="shared" si="9"/>
        <v>2.2518999999999991</v>
      </c>
      <c r="K288" s="33">
        <f t="shared" si="10"/>
        <v>1.0516000000000005</v>
      </c>
    </row>
    <row r="289" spans="1:11" x14ac:dyDescent="0.2">
      <c r="A289" s="63">
        <v>44655</v>
      </c>
      <c r="B289" s="57">
        <v>2013</v>
      </c>
      <c r="C289" s="57" t="s">
        <v>157</v>
      </c>
      <c r="D289" s="57" t="s">
        <v>158</v>
      </c>
      <c r="E289" s="57" t="s">
        <v>159</v>
      </c>
      <c r="F289" s="57">
        <f t="shared" si="8"/>
        <v>1</v>
      </c>
      <c r="G289" s="57">
        <v>25.623699999999999</v>
      </c>
      <c r="H289" s="57">
        <v>28.488</v>
      </c>
      <c r="I289" s="57">
        <v>26.881499999999999</v>
      </c>
      <c r="J289" s="33">
        <f t="shared" si="9"/>
        <v>2.8643000000000001</v>
      </c>
      <c r="K289" s="33">
        <f t="shared" si="10"/>
        <v>1.2577999999999996</v>
      </c>
    </row>
    <row r="290" spans="1:11" x14ac:dyDescent="0.2">
      <c r="A290" s="63">
        <v>44655</v>
      </c>
      <c r="B290" s="57">
        <v>2022</v>
      </c>
      <c r="C290" s="57" t="s">
        <v>157</v>
      </c>
      <c r="D290" s="57" t="s">
        <v>161</v>
      </c>
      <c r="E290" s="57" t="s">
        <v>162</v>
      </c>
      <c r="F290" s="57">
        <f t="shared" si="8"/>
        <v>0</v>
      </c>
      <c r="G290" s="57">
        <v>26.167300000000001</v>
      </c>
      <c r="H290" s="57">
        <v>31.671299999999999</v>
      </c>
      <c r="I290" s="57">
        <v>28.7058</v>
      </c>
      <c r="J290" s="33">
        <f t="shared" si="9"/>
        <v>5.5039999999999978</v>
      </c>
      <c r="K290" s="33">
        <f t="shared" si="10"/>
        <v>2.5384999999999991</v>
      </c>
    </row>
    <row r="291" spans="1:11" x14ac:dyDescent="0.2">
      <c r="A291" s="63">
        <v>44650</v>
      </c>
      <c r="B291" s="57">
        <v>2384</v>
      </c>
      <c r="C291" s="57" t="s">
        <v>157</v>
      </c>
      <c r="D291" s="57" t="s">
        <v>161</v>
      </c>
      <c r="E291" s="57" t="s">
        <v>159</v>
      </c>
      <c r="F291" s="57">
        <f t="shared" si="8"/>
        <v>0</v>
      </c>
      <c r="G291" s="57">
        <v>26.166399999999999</v>
      </c>
      <c r="H291" s="57">
        <v>26.283200000000001</v>
      </c>
      <c r="I291" s="57">
        <v>26.248000000000001</v>
      </c>
      <c r="J291" s="33">
        <f t="shared" si="9"/>
        <v>0.11680000000000135</v>
      </c>
      <c r="K291" s="33">
        <f t="shared" si="10"/>
        <v>8.1600000000001671E-2</v>
      </c>
    </row>
    <row r="292" spans="1:11" x14ac:dyDescent="0.2">
      <c r="A292" s="63">
        <v>44655</v>
      </c>
      <c r="B292" s="57">
        <v>2026</v>
      </c>
      <c r="C292" s="57" t="s">
        <v>157</v>
      </c>
      <c r="D292" s="57" t="s">
        <v>158</v>
      </c>
      <c r="E292" s="57" t="s">
        <v>159</v>
      </c>
      <c r="F292" s="57">
        <f t="shared" si="8"/>
        <v>1</v>
      </c>
      <c r="G292" s="57">
        <v>26.085699999999999</v>
      </c>
      <c r="H292" s="57">
        <v>26.9894</v>
      </c>
      <c r="I292" s="57">
        <v>26.5122</v>
      </c>
      <c r="J292" s="33">
        <f t="shared" si="9"/>
        <v>0.90370000000000061</v>
      </c>
      <c r="K292" s="33">
        <f t="shared" si="10"/>
        <v>0.42650000000000077</v>
      </c>
    </row>
    <row r="293" spans="1:11" x14ac:dyDescent="0.2">
      <c r="A293" s="63">
        <v>44655</v>
      </c>
      <c r="B293" s="57">
        <v>1478</v>
      </c>
      <c r="C293" s="57" t="s">
        <v>160</v>
      </c>
      <c r="D293" s="57" t="s">
        <v>161</v>
      </c>
      <c r="E293" s="57" t="s">
        <v>159</v>
      </c>
      <c r="F293" s="57">
        <f t="shared" si="8"/>
        <v>0</v>
      </c>
      <c r="G293" s="57">
        <v>26.555399999999999</v>
      </c>
      <c r="H293" s="57">
        <v>27.4331</v>
      </c>
      <c r="I293" s="57">
        <v>26.797799999999999</v>
      </c>
      <c r="J293" s="33">
        <f t="shared" si="9"/>
        <v>0.87770000000000081</v>
      </c>
      <c r="K293" s="33">
        <f t="shared" si="10"/>
        <v>0.24239999999999995</v>
      </c>
    </row>
    <row r="294" spans="1:11" x14ac:dyDescent="0.2">
      <c r="A294" s="63">
        <v>44655</v>
      </c>
      <c r="B294" s="57">
        <v>2012</v>
      </c>
      <c r="C294" s="57" t="s">
        <v>160</v>
      </c>
      <c r="D294" s="57" t="s">
        <v>158</v>
      </c>
      <c r="E294" s="57" t="s">
        <v>159</v>
      </c>
      <c r="F294" s="57">
        <f t="shared" si="8"/>
        <v>1</v>
      </c>
      <c r="G294" s="57">
        <v>26.448</v>
      </c>
      <c r="H294" s="57">
        <v>28.234100000000002</v>
      </c>
      <c r="I294" s="57">
        <v>27.3721</v>
      </c>
      <c r="J294" s="33">
        <f t="shared" si="9"/>
        <v>1.7861000000000011</v>
      </c>
      <c r="K294" s="33">
        <f t="shared" si="10"/>
        <v>0.92409999999999926</v>
      </c>
    </row>
    <row r="295" spans="1:11" x14ac:dyDescent="0.2">
      <c r="A295" s="63">
        <v>44655</v>
      </c>
      <c r="B295" s="57">
        <v>2007</v>
      </c>
      <c r="C295" s="57" t="s">
        <v>157</v>
      </c>
      <c r="D295" s="57" t="s">
        <v>161</v>
      </c>
      <c r="E295" s="57" t="s">
        <v>159</v>
      </c>
      <c r="F295" s="57">
        <f t="shared" si="8"/>
        <v>0</v>
      </c>
      <c r="G295" s="57">
        <v>25.437899999999999</v>
      </c>
      <c r="H295" s="57">
        <v>26.107800000000001</v>
      </c>
      <c r="I295" s="57">
        <v>25.7119</v>
      </c>
      <c r="J295" s="33">
        <f t="shared" si="9"/>
        <v>0.66990000000000194</v>
      </c>
      <c r="K295" s="33">
        <f t="shared" si="10"/>
        <v>0.27400000000000091</v>
      </c>
    </row>
    <row r="296" spans="1:11" x14ac:dyDescent="0.2">
      <c r="A296" s="63">
        <v>44655</v>
      </c>
      <c r="B296" s="57">
        <v>2086</v>
      </c>
      <c r="C296" s="57" t="s">
        <v>160</v>
      </c>
      <c r="D296" s="57" t="s">
        <v>161</v>
      </c>
      <c r="E296" s="57" t="s">
        <v>159</v>
      </c>
      <c r="F296" s="57">
        <v>0</v>
      </c>
      <c r="G296" s="57">
        <v>26.579899999999999</v>
      </c>
      <c r="H296" s="57">
        <v>27.124199999999998</v>
      </c>
      <c r="I296" s="57">
        <v>26.795300000000001</v>
      </c>
      <c r="J296" s="33">
        <f t="shared" si="9"/>
        <v>0.54429999999999978</v>
      </c>
      <c r="K296" s="33">
        <f t="shared" si="10"/>
        <v>0.21540000000000248</v>
      </c>
    </row>
    <row r="297" spans="1:11" x14ac:dyDescent="0.2">
      <c r="A297" s="63">
        <v>44650</v>
      </c>
      <c r="B297" s="57">
        <v>2384</v>
      </c>
      <c r="C297" s="57" t="s">
        <v>157</v>
      </c>
      <c r="D297" s="57" t="s">
        <v>161</v>
      </c>
      <c r="E297" s="57" t="s">
        <v>162</v>
      </c>
      <c r="F297" s="57">
        <f t="shared" ref="F297:F370" si="11">IF(D297="old",1,0)</f>
        <v>0</v>
      </c>
      <c r="G297" s="57">
        <v>26.1053</v>
      </c>
      <c r="H297" s="57">
        <v>29.658200000000001</v>
      </c>
      <c r="I297" s="57">
        <v>27.664000000000001</v>
      </c>
      <c r="J297" s="33">
        <f t="shared" si="9"/>
        <v>3.5529000000000011</v>
      </c>
      <c r="K297" s="33">
        <f t="shared" si="10"/>
        <v>1.5587000000000018</v>
      </c>
    </row>
    <row r="298" spans="1:11" x14ac:dyDescent="0.2">
      <c r="A298" s="63">
        <v>44650</v>
      </c>
      <c r="B298" s="57">
        <v>2347</v>
      </c>
      <c r="C298" s="57" t="s">
        <v>157</v>
      </c>
      <c r="D298" s="57" t="s">
        <v>161</v>
      </c>
      <c r="E298" s="57" t="s">
        <v>159</v>
      </c>
      <c r="F298" s="57">
        <f t="shared" si="11"/>
        <v>0</v>
      </c>
      <c r="G298" s="57">
        <v>26.2544</v>
      </c>
      <c r="H298" s="57">
        <v>27.082899999999999</v>
      </c>
      <c r="I298" s="57">
        <v>26.514800000000001</v>
      </c>
      <c r="J298" s="33">
        <f t="shared" si="9"/>
        <v>0.82849999999999824</v>
      </c>
      <c r="K298" s="33">
        <f t="shared" si="10"/>
        <v>0.26040000000000063</v>
      </c>
    </row>
    <row r="299" spans="1:11" x14ac:dyDescent="0.2">
      <c r="A299" s="63">
        <v>44650</v>
      </c>
      <c r="B299" s="57">
        <v>2381</v>
      </c>
      <c r="C299" s="57" t="s">
        <v>157</v>
      </c>
      <c r="D299" s="57" t="s">
        <v>158</v>
      </c>
      <c r="E299" s="57" t="s">
        <v>159</v>
      </c>
      <c r="F299" s="57">
        <f t="shared" si="11"/>
        <v>1</v>
      </c>
      <c r="G299" s="57">
        <v>26.327500000000001</v>
      </c>
      <c r="H299" s="57">
        <v>26.2529</v>
      </c>
      <c r="I299" s="57">
        <v>26.4862</v>
      </c>
      <c r="J299" s="33">
        <f t="shared" si="9"/>
        <v>-7.4600000000000222E-2</v>
      </c>
      <c r="K299" s="33">
        <f t="shared" si="10"/>
        <v>0.15869999999999962</v>
      </c>
    </row>
    <row r="300" spans="1:11" x14ac:dyDescent="0.2">
      <c r="A300" s="63">
        <v>44655</v>
      </c>
      <c r="B300" s="57">
        <v>2008</v>
      </c>
      <c r="C300" s="57" t="s">
        <v>157</v>
      </c>
      <c r="D300" s="57" t="s">
        <v>158</v>
      </c>
      <c r="E300" s="57" t="s">
        <v>159</v>
      </c>
      <c r="F300" s="57">
        <f t="shared" si="11"/>
        <v>1</v>
      </c>
      <c r="G300" s="57">
        <v>26.133400000000002</v>
      </c>
      <c r="H300" s="57">
        <v>27.597799999999999</v>
      </c>
      <c r="I300" s="57">
        <v>26.476800000000001</v>
      </c>
      <c r="J300" s="33">
        <f t="shared" si="9"/>
        <v>1.4643999999999977</v>
      </c>
      <c r="K300" s="33">
        <f t="shared" si="10"/>
        <v>0.34339999999999904</v>
      </c>
    </row>
    <row r="301" spans="1:11" x14ac:dyDescent="0.2">
      <c r="A301" s="63">
        <v>44655</v>
      </c>
      <c r="B301" s="57">
        <v>2015</v>
      </c>
      <c r="C301" s="57" t="s">
        <v>160</v>
      </c>
      <c r="D301" s="57" t="s">
        <v>161</v>
      </c>
      <c r="E301" s="57" t="s">
        <v>162</v>
      </c>
      <c r="F301" s="57">
        <f t="shared" si="11"/>
        <v>0</v>
      </c>
      <c r="G301" s="57">
        <v>26.5947</v>
      </c>
      <c r="H301" s="57">
        <v>33.164900000000003</v>
      </c>
      <c r="I301" s="57">
        <v>29.625599999999999</v>
      </c>
      <c r="J301" s="33">
        <f t="shared" si="9"/>
        <v>6.5702000000000034</v>
      </c>
      <c r="K301" s="33">
        <f t="shared" si="10"/>
        <v>3.030899999999999</v>
      </c>
    </row>
    <row r="302" spans="1:11" x14ac:dyDescent="0.2">
      <c r="A302" s="63">
        <v>44655</v>
      </c>
      <c r="B302" s="57">
        <v>2085</v>
      </c>
      <c r="C302" s="57" t="s">
        <v>157</v>
      </c>
      <c r="D302" s="57" t="s">
        <v>161</v>
      </c>
      <c r="E302" s="57" t="s">
        <v>162</v>
      </c>
      <c r="F302" s="57">
        <f t="shared" si="11"/>
        <v>0</v>
      </c>
      <c r="G302" s="57">
        <v>26.087900000000001</v>
      </c>
      <c r="H302" s="57">
        <v>33.732399999999998</v>
      </c>
      <c r="I302" s="57">
        <v>28.9513</v>
      </c>
      <c r="J302" s="33">
        <f t="shared" si="9"/>
        <v>7.6444999999999972</v>
      </c>
      <c r="K302" s="33">
        <f t="shared" si="10"/>
        <v>2.8633999999999986</v>
      </c>
    </row>
    <row r="303" spans="1:11" x14ac:dyDescent="0.2">
      <c r="A303" s="63">
        <v>44655</v>
      </c>
      <c r="B303" s="57" t="s">
        <v>164</v>
      </c>
      <c r="C303" s="57" t="s">
        <v>157</v>
      </c>
      <c r="D303" s="57" t="s">
        <v>161</v>
      </c>
      <c r="E303" s="57" t="s">
        <v>163</v>
      </c>
      <c r="F303" s="57">
        <f t="shared" si="11"/>
        <v>0</v>
      </c>
      <c r="G303" s="57">
        <v>26.5227</v>
      </c>
      <c r="H303" s="57">
        <v>30.1783</v>
      </c>
      <c r="I303" s="57">
        <v>27.646100000000001</v>
      </c>
      <c r="J303" s="33">
        <f t="shared" si="9"/>
        <v>3.6555999999999997</v>
      </c>
      <c r="K303" s="33">
        <f t="shared" si="10"/>
        <v>1.1234000000000002</v>
      </c>
    </row>
    <row r="304" spans="1:11" x14ac:dyDescent="0.2">
      <c r="A304" s="63">
        <v>44655</v>
      </c>
      <c r="B304" s="57">
        <v>2007</v>
      </c>
      <c r="C304" s="57" t="s">
        <v>157</v>
      </c>
      <c r="D304" s="57" t="s">
        <v>161</v>
      </c>
      <c r="E304" s="57" t="s">
        <v>162</v>
      </c>
      <c r="F304" s="57">
        <f t="shared" si="11"/>
        <v>0</v>
      </c>
      <c r="G304" s="57">
        <v>26.496200000000002</v>
      </c>
      <c r="H304" s="57">
        <v>32.143999999999998</v>
      </c>
      <c r="I304" s="57">
        <v>29.3995</v>
      </c>
      <c r="J304" s="33">
        <f t="shared" si="9"/>
        <v>5.6477999999999966</v>
      </c>
      <c r="K304" s="33">
        <f t="shared" si="10"/>
        <v>2.903299999999998</v>
      </c>
    </row>
    <row r="305" spans="1:11" x14ac:dyDescent="0.2">
      <c r="A305" s="63">
        <v>44650</v>
      </c>
      <c r="B305" s="57">
        <v>2345</v>
      </c>
      <c r="C305" s="57" t="s">
        <v>157</v>
      </c>
      <c r="D305" s="57" t="s">
        <v>158</v>
      </c>
      <c r="E305" s="57" t="s">
        <v>159</v>
      </c>
      <c r="F305" s="57">
        <f t="shared" si="11"/>
        <v>1</v>
      </c>
      <c r="G305" s="57">
        <v>26.6145</v>
      </c>
      <c r="H305" s="57">
        <v>27.893999999999998</v>
      </c>
      <c r="I305" s="57">
        <v>27.322600000000001</v>
      </c>
      <c r="J305" s="33">
        <f t="shared" si="9"/>
        <v>1.2794999999999987</v>
      </c>
      <c r="K305" s="33">
        <f t="shared" si="10"/>
        <v>0.70810000000000173</v>
      </c>
    </row>
    <row r="306" spans="1:11" x14ac:dyDescent="0.2">
      <c r="A306" s="63">
        <v>44655</v>
      </c>
      <c r="B306" s="57">
        <v>2012</v>
      </c>
      <c r="C306" s="57" t="s">
        <v>160</v>
      </c>
      <c r="D306" s="57" t="s">
        <v>161</v>
      </c>
      <c r="E306" s="57" t="s">
        <v>159</v>
      </c>
      <c r="F306" s="57">
        <f t="shared" si="11"/>
        <v>0</v>
      </c>
      <c r="G306" s="57">
        <v>16.123000000000001</v>
      </c>
      <c r="H306" s="57">
        <v>16.487500000000001</v>
      </c>
      <c r="I306" s="57">
        <v>16.235099999999999</v>
      </c>
      <c r="J306" s="33">
        <f t="shared" si="9"/>
        <v>0.3644999999999996</v>
      </c>
      <c r="K306" s="33">
        <f t="shared" si="10"/>
        <v>0.11209999999999809</v>
      </c>
    </row>
    <row r="307" spans="1:11" x14ac:dyDescent="0.2">
      <c r="A307" s="63">
        <v>44655</v>
      </c>
      <c r="B307" s="57">
        <v>2004</v>
      </c>
      <c r="C307" s="57" t="s">
        <v>157</v>
      </c>
      <c r="D307" s="57" t="s">
        <v>158</v>
      </c>
      <c r="E307" s="57" t="s">
        <v>159</v>
      </c>
      <c r="F307" s="57">
        <f t="shared" si="11"/>
        <v>1</v>
      </c>
      <c r="G307" s="57">
        <v>25.802299999999999</v>
      </c>
      <c r="H307" s="57">
        <v>27.4389</v>
      </c>
      <c r="I307" s="57">
        <v>26.563500000000001</v>
      </c>
      <c r="J307" s="33">
        <f t="shared" si="9"/>
        <v>1.6366000000000014</v>
      </c>
      <c r="K307" s="33">
        <f t="shared" si="10"/>
        <v>0.76120000000000232</v>
      </c>
    </row>
    <row r="308" spans="1:11" x14ac:dyDescent="0.2">
      <c r="A308" s="63">
        <v>44655</v>
      </c>
      <c r="B308" s="57">
        <v>2030</v>
      </c>
      <c r="C308" s="57" t="s">
        <v>157</v>
      </c>
      <c r="D308" s="57" t="s">
        <v>161</v>
      </c>
      <c r="E308" s="57" t="s">
        <v>159</v>
      </c>
      <c r="F308" s="57">
        <f t="shared" si="11"/>
        <v>0</v>
      </c>
      <c r="G308" s="57">
        <v>26.489899999999999</v>
      </c>
      <c r="H308" s="57">
        <v>27.200600000000001</v>
      </c>
      <c r="I308" s="57">
        <v>26.767700000000001</v>
      </c>
      <c r="J308" s="33">
        <f t="shared" si="9"/>
        <v>0.71070000000000277</v>
      </c>
      <c r="K308" s="33">
        <f t="shared" si="10"/>
        <v>0.27780000000000271</v>
      </c>
    </row>
    <row r="309" spans="1:11" x14ac:dyDescent="0.2">
      <c r="A309" s="63">
        <v>44655</v>
      </c>
      <c r="B309" s="57">
        <v>2087</v>
      </c>
      <c r="C309" s="57" t="s">
        <v>160</v>
      </c>
      <c r="D309" s="57" t="s">
        <v>161</v>
      </c>
      <c r="E309" s="57" t="s">
        <v>162</v>
      </c>
      <c r="F309" s="57">
        <f t="shared" si="11"/>
        <v>0</v>
      </c>
      <c r="G309" s="57">
        <v>25.998799999999999</v>
      </c>
      <c r="H309" s="57">
        <v>31.9758</v>
      </c>
      <c r="I309" s="57">
        <v>28.332699999999999</v>
      </c>
      <c r="J309" s="33">
        <f t="shared" si="9"/>
        <v>5.9770000000000003</v>
      </c>
      <c r="K309" s="33">
        <f t="shared" si="10"/>
        <v>2.3338999999999999</v>
      </c>
    </row>
    <row r="310" spans="1:11" x14ac:dyDescent="0.2">
      <c r="A310" s="63">
        <v>44655</v>
      </c>
      <c r="B310" s="57">
        <v>2012</v>
      </c>
      <c r="C310" s="57" t="s">
        <v>160</v>
      </c>
      <c r="D310" s="57" t="s">
        <v>161</v>
      </c>
      <c r="E310" s="57" t="s">
        <v>162</v>
      </c>
      <c r="F310" s="57">
        <f t="shared" si="11"/>
        <v>0</v>
      </c>
      <c r="G310" s="57">
        <v>25.364999999999998</v>
      </c>
      <c r="H310" s="57">
        <v>29.770399999999999</v>
      </c>
      <c r="I310" s="57">
        <v>27.07</v>
      </c>
      <c r="J310" s="33">
        <f t="shared" si="9"/>
        <v>4.4054000000000002</v>
      </c>
      <c r="K310" s="33">
        <f t="shared" si="10"/>
        <v>1.7050000000000018</v>
      </c>
    </row>
    <row r="311" spans="1:11" x14ac:dyDescent="0.2">
      <c r="A311" s="63">
        <v>44650</v>
      </c>
      <c r="B311" s="57">
        <v>2382</v>
      </c>
      <c r="C311" s="57" t="s">
        <v>157</v>
      </c>
      <c r="D311" s="57" t="s">
        <v>158</v>
      </c>
      <c r="E311" s="57" t="s">
        <v>159</v>
      </c>
      <c r="F311" s="57">
        <f t="shared" si="11"/>
        <v>1</v>
      </c>
      <c r="G311" s="57">
        <v>26.037400000000002</v>
      </c>
      <c r="H311" s="57">
        <v>26.987500000000001</v>
      </c>
      <c r="I311" s="57">
        <v>26.4651</v>
      </c>
      <c r="J311" s="33">
        <f t="shared" si="9"/>
        <v>0.95009999999999906</v>
      </c>
      <c r="K311" s="33">
        <f t="shared" si="10"/>
        <v>0.42769999999999797</v>
      </c>
    </row>
    <row r="312" spans="1:11" x14ac:dyDescent="0.2">
      <c r="A312" s="63">
        <v>44655</v>
      </c>
      <c r="B312" s="57">
        <v>2023</v>
      </c>
      <c r="C312" s="57" t="s">
        <v>157</v>
      </c>
      <c r="D312" s="57" t="s">
        <v>161</v>
      </c>
      <c r="E312" s="57" t="s">
        <v>159</v>
      </c>
      <c r="F312" s="57">
        <f t="shared" si="11"/>
        <v>0</v>
      </c>
      <c r="G312" s="57">
        <v>15.9682</v>
      </c>
      <c r="H312" s="57">
        <v>16.334099999999999</v>
      </c>
      <c r="I312" s="57">
        <v>16.218900000000001</v>
      </c>
      <c r="J312" s="33">
        <f t="shared" si="9"/>
        <v>0.36589999999999989</v>
      </c>
      <c r="K312" s="33">
        <f t="shared" si="10"/>
        <v>0.25070000000000192</v>
      </c>
    </row>
    <row r="313" spans="1:11" x14ac:dyDescent="0.2">
      <c r="A313" s="63">
        <v>44650</v>
      </c>
      <c r="B313" s="57">
        <v>2369</v>
      </c>
      <c r="C313" s="57" t="s">
        <v>157</v>
      </c>
      <c r="D313" s="57" t="s">
        <v>161</v>
      </c>
      <c r="E313" s="57" t="s">
        <v>162</v>
      </c>
      <c r="F313" s="57">
        <f t="shared" si="11"/>
        <v>0</v>
      </c>
      <c r="G313" s="57">
        <v>26.161300000000001</v>
      </c>
      <c r="H313" s="57">
        <v>33.650300000000001</v>
      </c>
      <c r="I313" s="57">
        <v>29.357700000000001</v>
      </c>
      <c r="J313" s="33">
        <f t="shared" si="9"/>
        <v>7.4890000000000008</v>
      </c>
      <c r="K313" s="33">
        <f t="shared" si="10"/>
        <v>3.1964000000000006</v>
      </c>
    </row>
    <row r="314" spans="1:11" x14ac:dyDescent="0.2">
      <c r="A314" s="63">
        <v>44650</v>
      </c>
      <c r="B314" s="57">
        <v>2354</v>
      </c>
      <c r="C314" s="57" t="s">
        <v>157</v>
      </c>
      <c r="D314" s="57" t="s">
        <v>158</v>
      </c>
      <c r="E314" s="57" t="s">
        <v>162</v>
      </c>
      <c r="F314" s="57">
        <f t="shared" si="11"/>
        <v>1</v>
      </c>
      <c r="G314" s="57">
        <v>26.154499999999999</v>
      </c>
      <c r="H314" s="57">
        <v>27.108000000000001</v>
      </c>
      <c r="I314" s="57">
        <v>26.936599999999999</v>
      </c>
      <c r="J314" s="33">
        <f t="shared" si="9"/>
        <v>0.95350000000000179</v>
      </c>
      <c r="K314" s="33">
        <f t="shared" si="10"/>
        <v>0.7820999999999998</v>
      </c>
    </row>
    <row r="315" spans="1:11" x14ac:dyDescent="0.2">
      <c r="A315" s="63">
        <v>44655</v>
      </c>
      <c r="B315" s="57">
        <v>2021</v>
      </c>
      <c r="C315" s="57" t="s">
        <v>157</v>
      </c>
      <c r="D315" s="57" t="s">
        <v>161</v>
      </c>
      <c r="E315" s="57" t="s">
        <v>159</v>
      </c>
      <c r="F315" s="57">
        <f t="shared" si="11"/>
        <v>0</v>
      </c>
      <c r="G315" s="57">
        <v>25.800999999999998</v>
      </c>
      <c r="H315" s="57">
        <v>26.304200000000002</v>
      </c>
      <c r="I315" s="57">
        <v>25.994399999999999</v>
      </c>
      <c r="J315" s="33">
        <f t="shared" si="9"/>
        <v>0.5032000000000032</v>
      </c>
      <c r="K315" s="33">
        <f t="shared" si="10"/>
        <v>0.19340000000000046</v>
      </c>
    </row>
    <row r="316" spans="1:11" x14ac:dyDescent="0.2">
      <c r="A316" s="63">
        <v>44655</v>
      </c>
      <c r="B316" s="57">
        <v>2006</v>
      </c>
      <c r="C316" s="57" t="s">
        <v>157</v>
      </c>
      <c r="D316" s="57" t="s">
        <v>158</v>
      </c>
      <c r="E316" s="57" t="s">
        <v>159</v>
      </c>
      <c r="F316" s="57">
        <f t="shared" si="11"/>
        <v>1</v>
      </c>
      <c r="G316" s="57">
        <v>25.75</v>
      </c>
      <c r="H316" s="57">
        <v>27.149000000000001</v>
      </c>
      <c r="I316" s="57">
        <v>26.2043</v>
      </c>
      <c r="J316" s="33">
        <f t="shared" si="9"/>
        <v>1.3990000000000009</v>
      </c>
      <c r="K316" s="33">
        <f t="shared" si="10"/>
        <v>0.45429999999999993</v>
      </c>
    </row>
    <row r="317" spans="1:11" x14ac:dyDescent="0.2">
      <c r="A317" s="63">
        <v>44650</v>
      </c>
      <c r="B317" s="57">
        <v>2371</v>
      </c>
      <c r="C317" s="57" t="s">
        <v>157</v>
      </c>
      <c r="D317" s="57" t="s">
        <v>161</v>
      </c>
      <c r="E317" s="57" t="s">
        <v>162</v>
      </c>
      <c r="F317" s="57">
        <f t="shared" si="11"/>
        <v>0</v>
      </c>
      <c r="G317" s="57">
        <v>26.305800000000001</v>
      </c>
      <c r="H317" s="57">
        <v>30.502199999999998</v>
      </c>
      <c r="I317" s="57">
        <v>27.572500000000002</v>
      </c>
      <c r="J317" s="33">
        <f t="shared" si="9"/>
        <v>4.196399999999997</v>
      </c>
      <c r="K317" s="33">
        <f t="shared" si="10"/>
        <v>1.2667000000000002</v>
      </c>
    </row>
    <row r="318" spans="1:11" x14ac:dyDescent="0.2">
      <c r="A318" s="63">
        <v>44655</v>
      </c>
      <c r="B318" s="57">
        <v>2092</v>
      </c>
      <c r="C318" s="57" t="s">
        <v>157</v>
      </c>
      <c r="D318" s="57" t="s">
        <v>158</v>
      </c>
      <c r="E318" s="57" t="s">
        <v>159</v>
      </c>
      <c r="F318" s="57">
        <f t="shared" si="11"/>
        <v>1</v>
      </c>
      <c r="G318" s="57">
        <v>26.128399999999999</v>
      </c>
      <c r="H318" s="57">
        <v>26.683</v>
      </c>
      <c r="I318" s="57">
        <v>26.590699999999998</v>
      </c>
      <c r="J318" s="33">
        <f t="shared" si="9"/>
        <v>0.55460000000000065</v>
      </c>
      <c r="K318" s="33">
        <f t="shared" si="10"/>
        <v>0.46229999999999905</v>
      </c>
    </row>
    <row r="319" spans="1:11" x14ac:dyDescent="0.2">
      <c r="A319" s="63">
        <v>44655</v>
      </c>
      <c r="B319" s="57">
        <v>2090</v>
      </c>
      <c r="C319" s="57" t="s">
        <v>157</v>
      </c>
      <c r="D319" s="57" t="s">
        <v>161</v>
      </c>
      <c r="E319" s="57" t="s">
        <v>159</v>
      </c>
      <c r="F319" s="57">
        <f t="shared" si="11"/>
        <v>0</v>
      </c>
      <c r="G319" s="57">
        <v>26.063800000000001</v>
      </c>
      <c r="H319" s="57">
        <v>26.846</v>
      </c>
      <c r="I319" s="57">
        <v>26.194800000000001</v>
      </c>
      <c r="J319" s="33">
        <f t="shared" si="9"/>
        <v>0.78219999999999956</v>
      </c>
      <c r="K319" s="33">
        <f t="shared" si="10"/>
        <v>0.13100000000000023</v>
      </c>
    </row>
    <row r="320" spans="1:11" x14ac:dyDescent="0.2">
      <c r="A320" s="63">
        <v>44650</v>
      </c>
      <c r="B320" s="57">
        <v>2375</v>
      </c>
      <c r="C320" s="57" t="s">
        <v>157</v>
      </c>
      <c r="D320" s="57" t="s">
        <v>161</v>
      </c>
      <c r="E320" s="57" t="s">
        <v>159</v>
      </c>
      <c r="F320" s="57">
        <f t="shared" si="11"/>
        <v>0</v>
      </c>
      <c r="G320" s="57">
        <v>26.337900000000001</v>
      </c>
      <c r="H320" s="57">
        <v>27.0124</v>
      </c>
      <c r="I320" s="57">
        <v>26.687200000000001</v>
      </c>
      <c r="J320" s="33">
        <f t="shared" si="9"/>
        <v>0.67449999999999832</v>
      </c>
      <c r="K320" s="33">
        <f t="shared" si="10"/>
        <v>0.3492999999999995</v>
      </c>
    </row>
    <row r="321" spans="1:11" x14ac:dyDescent="0.2">
      <c r="A321" s="63">
        <v>44655</v>
      </c>
      <c r="B321" s="57">
        <v>2089</v>
      </c>
      <c r="C321" s="57" t="s">
        <v>157</v>
      </c>
      <c r="D321" s="57" t="s">
        <v>158</v>
      </c>
      <c r="E321" s="57" t="s">
        <v>159</v>
      </c>
      <c r="F321" s="57">
        <f t="shared" si="11"/>
        <v>1</v>
      </c>
      <c r="G321" s="57">
        <v>26.253499999999999</v>
      </c>
      <c r="H321" s="57">
        <v>27.420500000000001</v>
      </c>
      <c r="I321" s="57">
        <v>27.0992</v>
      </c>
      <c r="J321" s="33">
        <f t="shared" si="9"/>
        <v>1.1670000000000016</v>
      </c>
      <c r="K321" s="33">
        <f t="shared" si="10"/>
        <v>0.84570000000000078</v>
      </c>
    </row>
    <row r="322" spans="1:11" x14ac:dyDescent="0.2">
      <c r="A322" s="63">
        <v>44650</v>
      </c>
      <c r="B322" s="57">
        <v>2371</v>
      </c>
      <c r="C322" s="57" t="s">
        <v>157</v>
      </c>
      <c r="D322" s="57" t="s">
        <v>158</v>
      </c>
      <c r="E322" s="57" t="s">
        <v>159</v>
      </c>
      <c r="F322" s="57">
        <f t="shared" si="11"/>
        <v>1</v>
      </c>
      <c r="G322" s="57">
        <v>15.090199999999999</v>
      </c>
      <c r="H322" s="57">
        <v>16.039300000000001</v>
      </c>
      <c r="I322" s="57">
        <v>15.3919</v>
      </c>
      <c r="J322" s="33">
        <f t="shared" si="9"/>
        <v>0.94910000000000139</v>
      </c>
      <c r="K322" s="33">
        <f t="shared" si="10"/>
        <v>0.3017000000000003</v>
      </c>
    </row>
    <row r="323" spans="1:11" x14ac:dyDescent="0.2">
      <c r="A323" s="63">
        <v>44655</v>
      </c>
      <c r="B323" s="57">
        <v>2020</v>
      </c>
      <c r="C323" s="57" t="s">
        <v>157</v>
      </c>
      <c r="D323" s="57" t="s">
        <v>161</v>
      </c>
      <c r="E323" s="57" t="s">
        <v>159</v>
      </c>
      <c r="F323" s="57">
        <f t="shared" si="11"/>
        <v>0</v>
      </c>
      <c r="G323" s="57">
        <v>15.5764</v>
      </c>
      <c r="H323" s="57">
        <v>17.174399999999999</v>
      </c>
      <c r="I323" s="57">
        <v>16.026399999999999</v>
      </c>
      <c r="J323" s="33">
        <f t="shared" si="9"/>
        <v>1.597999999999999</v>
      </c>
      <c r="K323" s="33">
        <f t="shared" si="10"/>
        <v>0.44999999999999929</v>
      </c>
    </row>
    <row r="324" spans="1:11" x14ac:dyDescent="0.2">
      <c r="A324" s="63">
        <v>44650</v>
      </c>
      <c r="B324" s="57">
        <v>2347</v>
      </c>
      <c r="C324" s="57" t="s">
        <v>157</v>
      </c>
      <c r="D324" s="57" t="s">
        <v>161</v>
      </c>
      <c r="E324" s="57" t="s">
        <v>162</v>
      </c>
      <c r="F324" s="57">
        <f t="shared" si="11"/>
        <v>0</v>
      </c>
      <c r="G324" s="57">
        <v>25.968299999999999</v>
      </c>
      <c r="H324" s="57">
        <v>33.506300000000003</v>
      </c>
      <c r="I324" s="57">
        <v>28.882300000000001</v>
      </c>
      <c r="J324" s="33">
        <f t="shared" si="9"/>
        <v>7.5380000000000038</v>
      </c>
      <c r="K324" s="33">
        <f t="shared" si="10"/>
        <v>2.9140000000000015</v>
      </c>
    </row>
    <row r="325" spans="1:11" x14ac:dyDescent="0.2">
      <c r="A325" s="63">
        <v>44655</v>
      </c>
      <c r="B325" s="57">
        <v>2024</v>
      </c>
      <c r="C325" s="57" t="s">
        <v>160</v>
      </c>
      <c r="D325" s="57" t="s">
        <v>161</v>
      </c>
      <c r="E325" s="57" t="s">
        <v>162</v>
      </c>
      <c r="F325" s="57">
        <f t="shared" si="11"/>
        <v>0</v>
      </c>
      <c r="G325" s="57">
        <v>16.433399999999999</v>
      </c>
      <c r="H325" s="57">
        <v>23.464600000000001</v>
      </c>
      <c r="I325" s="57">
        <v>19.684999999999999</v>
      </c>
      <c r="J325" s="33">
        <f t="shared" si="9"/>
        <v>7.0312000000000019</v>
      </c>
      <c r="K325" s="33">
        <f t="shared" si="10"/>
        <v>3.2515999999999998</v>
      </c>
    </row>
    <row r="326" spans="1:11" x14ac:dyDescent="0.2">
      <c r="A326" s="63">
        <v>44655</v>
      </c>
      <c r="B326" s="57">
        <v>2012</v>
      </c>
      <c r="C326" s="57" t="s">
        <v>157</v>
      </c>
      <c r="D326" s="57" t="s">
        <v>161</v>
      </c>
      <c r="E326" s="57" t="s">
        <v>159</v>
      </c>
      <c r="F326" s="57">
        <f t="shared" si="11"/>
        <v>0</v>
      </c>
      <c r="G326" s="57">
        <v>26.400500000000001</v>
      </c>
      <c r="H326" s="57">
        <v>27.052</v>
      </c>
      <c r="I326" s="57">
        <v>26.643899999999999</v>
      </c>
      <c r="J326" s="33">
        <f t="shared" si="9"/>
        <v>0.65149999999999864</v>
      </c>
      <c r="K326" s="33">
        <f t="shared" si="10"/>
        <v>0.24339999999999762</v>
      </c>
    </row>
    <row r="327" spans="1:11" x14ac:dyDescent="0.2">
      <c r="A327" s="63">
        <v>44650</v>
      </c>
      <c r="B327" s="57">
        <v>2376</v>
      </c>
      <c r="C327" s="57" t="s">
        <v>157</v>
      </c>
      <c r="D327" s="57" t="s">
        <v>158</v>
      </c>
      <c r="E327" s="57" t="s">
        <v>162</v>
      </c>
      <c r="F327" s="57">
        <f t="shared" si="11"/>
        <v>1</v>
      </c>
      <c r="G327" s="57">
        <v>25.5168</v>
      </c>
      <c r="H327" s="57">
        <v>32.358899999999998</v>
      </c>
      <c r="I327" s="57">
        <v>29.1891</v>
      </c>
      <c r="J327" s="33">
        <f t="shared" si="9"/>
        <v>6.8420999999999985</v>
      </c>
      <c r="K327" s="33">
        <f t="shared" si="10"/>
        <v>3.6722999999999999</v>
      </c>
    </row>
    <row r="328" spans="1:11" x14ac:dyDescent="0.2">
      <c r="A328" s="63">
        <v>44650</v>
      </c>
      <c r="B328" s="57">
        <v>2383</v>
      </c>
      <c r="C328" s="57" t="s">
        <v>157</v>
      </c>
      <c r="D328" s="57" t="s">
        <v>161</v>
      </c>
      <c r="E328" s="57" t="s">
        <v>162</v>
      </c>
      <c r="F328" s="57">
        <f t="shared" si="11"/>
        <v>0</v>
      </c>
      <c r="G328" s="57">
        <v>25.795200000000001</v>
      </c>
      <c r="H328" s="57">
        <v>32.872399999999999</v>
      </c>
      <c r="I328" s="57">
        <v>29.128900000000002</v>
      </c>
      <c r="J328" s="33">
        <f t="shared" si="9"/>
        <v>7.0771999999999977</v>
      </c>
      <c r="K328" s="33">
        <f t="shared" si="10"/>
        <v>3.3337000000000003</v>
      </c>
    </row>
    <row r="329" spans="1:11" x14ac:dyDescent="0.2">
      <c r="A329" s="63">
        <v>44650</v>
      </c>
      <c r="B329" s="57">
        <v>2346</v>
      </c>
      <c r="C329" s="57" t="s">
        <v>157</v>
      </c>
      <c r="D329" s="57" t="s">
        <v>161</v>
      </c>
      <c r="E329" s="57" t="s">
        <v>162</v>
      </c>
      <c r="F329" s="57">
        <f t="shared" si="11"/>
        <v>0</v>
      </c>
      <c r="G329" s="57">
        <v>25.568100000000001</v>
      </c>
      <c r="H329" s="57">
        <v>28.767199999999999</v>
      </c>
      <c r="I329" s="57">
        <v>26.605899999999998</v>
      </c>
      <c r="J329" s="33">
        <f t="shared" si="9"/>
        <v>3.1990999999999978</v>
      </c>
      <c r="K329" s="33">
        <f t="shared" si="10"/>
        <v>1.0377999999999972</v>
      </c>
    </row>
    <row r="330" spans="1:11" x14ac:dyDescent="0.2">
      <c r="A330" s="63">
        <v>44650</v>
      </c>
      <c r="B330" s="57">
        <v>2331</v>
      </c>
      <c r="C330" s="57" t="s">
        <v>157</v>
      </c>
      <c r="D330" s="57" t="s">
        <v>161</v>
      </c>
      <c r="E330" s="57" t="s">
        <v>162</v>
      </c>
      <c r="F330" s="57">
        <f t="shared" si="11"/>
        <v>0</v>
      </c>
      <c r="G330" s="57">
        <v>26.211600000000001</v>
      </c>
      <c r="H330" s="57">
        <v>26.785399999999999</v>
      </c>
      <c r="I330" s="57">
        <v>26.500499999999999</v>
      </c>
      <c r="J330" s="33">
        <f t="shared" si="9"/>
        <v>0.57379999999999853</v>
      </c>
      <c r="K330" s="33">
        <f t="shared" si="10"/>
        <v>0.28889999999999816</v>
      </c>
    </row>
    <row r="331" spans="1:11" x14ac:dyDescent="0.2">
      <c r="A331" s="63">
        <v>44655</v>
      </c>
      <c r="B331" s="57">
        <v>2092</v>
      </c>
      <c r="C331" s="57" t="s">
        <v>157</v>
      </c>
      <c r="D331" s="57" t="s">
        <v>161</v>
      </c>
      <c r="E331" s="57" t="s">
        <v>162</v>
      </c>
      <c r="F331" s="57">
        <f t="shared" si="11"/>
        <v>0</v>
      </c>
      <c r="G331" s="57">
        <v>26.241</v>
      </c>
      <c r="H331" s="57">
        <v>26.2698</v>
      </c>
      <c r="I331" s="57">
        <v>26.416</v>
      </c>
      <c r="J331" s="33">
        <f t="shared" si="9"/>
        <v>2.8800000000000381E-2</v>
      </c>
      <c r="K331" s="33">
        <f t="shared" si="10"/>
        <v>0.17500000000000071</v>
      </c>
    </row>
    <row r="332" spans="1:11" x14ac:dyDescent="0.2">
      <c r="A332" s="63">
        <v>44655</v>
      </c>
      <c r="B332" s="57">
        <v>2020</v>
      </c>
      <c r="C332" s="57" t="s">
        <v>157</v>
      </c>
      <c r="D332" s="57" t="s">
        <v>158</v>
      </c>
      <c r="E332" s="57" t="s">
        <v>159</v>
      </c>
      <c r="F332" s="57">
        <f t="shared" si="11"/>
        <v>1</v>
      </c>
      <c r="G332" s="57">
        <v>15.069100000000001</v>
      </c>
      <c r="H332" s="57">
        <v>15.9741</v>
      </c>
      <c r="I332" s="57">
        <v>15.4491</v>
      </c>
      <c r="J332" s="33">
        <f t="shared" si="9"/>
        <v>0.90499999999999936</v>
      </c>
      <c r="K332" s="33">
        <f t="shared" si="10"/>
        <v>0.37999999999999901</v>
      </c>
    </row>
    <row r="333" spans="1:11" x14ac:dyDescent="0.2">
      <c r="A333" s="63">
        <v>44655</v>
      </c>
      <c r="B333" s="57">
        <v>2087</v>
      </c>
      <c r="C333" s="57" t="s">
        <v>160</v>
      </c>
      <c r="D333" s="57" t="s">
        <v>158</v>
      </c>
      <c r="E333" s="57" t="s">
        <v>159</v>
      </c>
      <c r="F333" s="57">
        <f t="shared" si="11"/>
        <v>1</v>
      </c>
      <c r="G333" s="57">
        <v>15.5214</v>
      </c>
      <c r="H333" s="57">
        <v>17.232700000000001</v>
      </c>
      <c r="I333" s="57">
        <v>16.358799999999999</v>
      </c>
      <c r="J333" s="33">
        <f t="shared" si="9"/>
        <v>1.7113000000000014</v>
      </c>
      <c r="K333" s="33">
        <f t="shared" si="10"/>
        <v>0.83739999999999881</v>
      </c>
    </row>
    <row r="334" spans="1:11" x14ac:dyDescent="0.2">
      <c r="A334" s="63">
        <v>44655</v>
      </c>
      <c r="B334" s="57">
        <v>2014</v>
      </c>
      <c r="C334" s="57" t="s">
        <v>157</v>
      </c>
      <c r="D334" s="57" t="s">
        <v>161</v>
      </c>
      <c r="E334" s="57" t="s">
        <v>162</v>
      </c>
      <c r="F334" s="57">
        <f t="shared" si="11"/>
        <v>0</v>
      </c>
      <c r="G334" s="57">
        <v>25.980499999999999</v>
      </c>
      <c r="H334" s="57">
        <v>30.671600000000002</v>
      </c>
      <c r="I334" s="57">
        <v>27.7759</v>
      </c>
      <c r="J334" s="33">
        <f t="shared" si="9"/>
        <v>4.6911000000000023</v>
      </c>
      <c r="K334" s="33">
        <f t="shared" si="10"/>
        <v>1.7954000000000008</v>
      </c>
    </row>
    <row r="335" spans="1:11" x14ac:dyDescent="0.2">
      <c r="A335" s="63">
        <v>44655</v>
      </c>
      <c r="B335" s="57">
        <v>2088</v>
      </c>
      <c r="C335" s="57" t="s">
        <v>160</v>
      </c>
      <c r="D335" s="57" t="s">
        <v>161</v>
      </c>
      <c r="E335" s="57" t="s">
        <v>162</v>
      </c>
      <c r="F335" s="57">
        <f t="shared" si="11"/>
        <v>0</v>
      </c>
      <c r="G335" s="57">
        <v>26.148700000000002</v>
      </c>
      <c r="H335" s="57">
        <v>34.542400000000001</v>
      </c>
      <c r="I335" s="57">
        <v>29.730499999999999</v>
      </c>
      <c r="J335" s="33">
        <f t="shared" si="9"/>
        <v>8.3936999999999991</v>
      </c>
      <c r="K335" s="33">
        <f t="shared" si="10"/>
        <v>3.5817999999999977</v>
      </c>
    </row>
    <row r="336" spans="1:11" x14ac:dyDescent="0.2">
      <c r="A336" s="63">
        <v>44655</v>
      </c>
      <c r="B336" s="57">
        <v>2006</v>
      </c>
      <c r="C336" s="57" t="s">
        <v>157</v>
      </c>
      <c r="D336" s="57" t="s">
        <v>161</v>
      </c>
      <c r="E336" s="57" t="s">
        <v>159</v>
      </c>
      <c r="F336" s="57">
        <f t="shared" si="11"/>
        <v>0</v>
      </c>
      <c r="G336" s="57">
        <v>25.621200000000002</v>
      </c>
      <c r="H336" s="57">
        <v>27.191800000000001</v>
      </c>
      <c r="I336" s="57">
        <v>26.199000000000002</v>
      </c>
      <c r="J336" s="33">
        <f t="shared" si="9"/>
        <v>1.5705999999999989</v>
      </c>
      <c r="K336" s="33">
        <f t="shared" si="10"/>
        <v>0.57779999999999987</v>
      </c>
    </row>
    <row r="337" spans="1:11" x14ac:dyDescent="0.2">
      <c r="A337" s="63">
        <v>44650</v>
      </c>
      <c r="B337" s="57">
        <v>2381</v>
      </c>
      <c r="C337" s="57" t="s">
        <v>157</v>
      </c>
      <c r="D337" s="57" t="s">
        <v>161</v>
      </c>
      <c r="E337" s="57" t="s">
        <v>159</v>
      </c>
      <c r="F337" s="57">
        <f t="shared" si="11"/>
        <v>0</v>
      </c>
      <c r="G337" s="57">
        <v>26.4192</v>
      </c>
      <c r="H337" s="57">
        <v>27.158300000000001</v>
      </c>
      <c r="I337" s="57">
        <v>26.758600000000001</v>
      </c>
      <c r="J337" s="33">
        <f t="shared" si="9"/>
        <v>0.73910000000000053</v>
      </c>
      <c r="K337" s="33">
        <f t="shared" si="10"/>
        <v>0.33940000000000126</v>
      </c>
    </row>
    <row r="338" spans="1:11" x14ac:dyDescent="0.2">
      <c r="A338" s="63">
        <v>44655</v>
      </c>
      <c r="B338" s="57">
        <v>2004</v>
      </c>
      <c r="C338" s="57" t="s">
        <v>157</v>
      </c>
      <c r="D338" s="57" t="s">
        <v>161</v>
      </c>
      <c r="E338" s="57" t="s">
        <v>159</v>
      </c>
      <c r="F338" s="57">
        <f t="shared" si="11"/>
        <v>0</v>
      </c>
      <c r="G338" s="57">
        <v>25.779599999999999</v>
      </c>
      <c r="H338" s="57">
        <v>27.6005</v>
      </c>
      <c r="I338" s="57">
        <v>26.304099999999998</v>
      </c>
      <c r="J338" s="33">
        <f t="shared" si="9"/>
        <v>1.8209000000000017</v>
      </c>
      <c r="K338" s="33">
        <f t="shared" si="10"/>
        <v>0.52449999999999974</v>
      </c>
    </row>
    <row r="339" spans="1:11" x14ac:dyDescent="0.2">
      <c r="A339" s="63">
        <v>44650</v>
      </c>
      <c r="B339" s="57">
        <v>2343</v>
      </c>
      <c r="C339" s="57" t="s">
        <v>157</v>
      </c>
      <c r="D339" s="57" t="s">
        <v>161</v>
      </c>
      <c r="E339" s="57" t="s">
        <v>162</v>
      </c>
      <c r="F339" s="57">
        <f t="shared" si="11"/>
        <v>0</v>
      </c>
      <c r="G339" s="57">
        <v>25.556799999999999</v>
      </c>
      <c r="H339" s="57">
        <v>32.886000000000003</v>
      </c>
      <c r="I339" s="57">
        <v>28.406500000000001</v>
      </c>
      <c r="J339" s="33">
        <f t="shared" si="9"/>
        <v>7.3292000000000037</v>
      </c>
      <c r="K339" s="33">
        <f t="shared" si="10"/>
        <v>2.8497000000000021</v>
      </c>
    </row>
    <row r="340" spans="1:11" x14ac:dyDescent="0.2">
      <c r="A340" s="63">
        <v>44650</v>
      </c>
      <c r="B340" s="57">
        <v>2375</v>
      </c>
      <c r="C340" s="57" t="s">
        <v>157</v>
      </c>
      <c r="D340" s="57" t="s">
        <v>161</v>
      </c>
      <c r="E340" s="57" t="s">
        <v>162</v>
      </c>
      <c r="F340" s="57">
        <f t="shared" si="11"/>
        <v>0</v>
      </c>
      <c r="G340" s="57">
        <v>26.497499999999999</v>
      </c>
      <c r="H340" s="57">
        <v>31.188800000000001</v>
      </c>
      <c r="I340" s="57">
        <v>28.261500000000002</v>
      </c>
      <c r="J340" s="33">
        <f t="shared" si="9"/>
        <v>4.6913000000000018</v>
      </c>
      <c r="K340" s="33">
        <f t="shared" si="10"/>
        <v>1.7640000000000029</v>
      </c>
    </row>
    <row r="341" spans="1:11" x14ac:dyDescent="0.2">
      <c r="A341" s="63">
        <v>44650</v>
      </c>
      <c r="B341" s="57">
        <v>2367</v>
      </c>
      <c r="C341" s="57" t="s">
        <v>157</v>
      </c>
      <c r="D341" s="57" t="s">
        <v>161</v>
      </c>
      <c r="E341" s="57" t="s">
        <v>162</v>
      </c>
      <c r="F341" s="57">
        <f t="shared" si="11"/>
        <v>0</v>
      </c>
      <c r="G341" s="57">
        <v>26.3948</v>
      </c>
      <c r="H341" s="57">
        <v>29.4621</v>
      </c>
      <c r="I341" s="57">
        <v>27.686900000000001</v>
      </c>
      <c r="J341" s="33">
        <f t="shared" si="9"/>
        <v>3.0672999999999995</v>
      </c>
      <c r="K341" s="33">
        <f t="shared" si="10"/>
        <v>1.2921000000000014</v>
      </c>
    </row>
    <row r="342" spans="1:11" x14ac:dyDescent="0.2">
      <c r="A342" s="63">
        <v>44650</v>
      </c>
      <c r="B342" s="57">
        <v>2354</v>
      </c>
      <c r="C342" s="57" t="s">
        <v>157</v>
      </c>
      <c r="D342" s="57" t="s">
        <v>158</v>
      </c>
      <c r="E342" s="57" t="s">
        <v>159</v>
      </c>
      <c r="F342" s="57">
        <f t="shared" si="11"/>
        <v>1</v>
      </c>
      <c r="G342" s="57">
        <v>26.727799999999998</v>
      </c>
      <c r="H342" s="57">
        <v>26.59</v>
      </c>
      <c r="I342" s="57">
        <v>26.845700000000001</v>
      </c>
      <c r="J342" s="33">
        <f t="shared" si="9"/>
        <v>-0.13779999999999859</v>
      </c>
      <c r="K342" s="33">
        <f t="shared" si="10"/>
        <v>0.11790000000000234</v>
      </c>
    </row>
    <row r="343" spans="1:11" x14ac:dyDescent="0.2">
      <c r="A343" s="63">
        <v>44650</v>
      </c>
      <c r="B343" s="57">
        <v>2331</v>
      </c>
      <c r="C343" s="57" t="s">
        <v>157</v>
      </c>
      <c r="D343" s="57" t="s">
        <v>161</v>
      </c>
      <c r="E343" s="57" t="s">
        <v>159</v>
      </c>
      <c r="F343" s="57">
        <f t="shared" si="11"/>
        <v>0</v>
      </c>
      <c r="G343" s="57">
        <v>26.614799999999999</v>
      </c>
      <c r="H343" s="57">
        <v>26.735700000000001</v>
      </c>
      <c r="I343" s="57">
        <v>26.687999999999999</v>
      </c>
      <c r="J343" s="33">
        <f t="shared" si="9"/>
        <v>0.12090000000000245</v>
      </c>
      <c r="K343" s="33">
        <f t="shared" si="10"/>
        <v>7.3199999999999932E-2</v>
      </c>
    </row>
    <row r="344" spans="1:11" x14ac:dyDescent="0.2">
      <c r="A344" s="63">
        <v>44655</v>
      </c>
      <c r="B344" s="57">
        <v>2027</v>
      </c>
      <c r="C344" s="57" t="s">
        <v>157</v>
      </c>
      <c r="D344" s="57" t="s">
        <v>161</v>
      </c>
      <c r="E344" s="57" t="s">
        <v>159</v>
      </c>
      <c r="F344" s="57">
        <f t="shared" si="11"/>
        <v>0</v>
      </c>
      <c r="G344" s="57">
        <v>15.9872</v>
      </c>
      <c r="H344" s="57">
        <v>16.0457</v>
      </c>
      <c r="I344" s="57">
        <v>16.174299999999999</v>
      </c>
      <c r="J344" s="33">
        <f t="shared" si="9"/>
        <v>5.8500000000000441E-2</v>
      </c>
      <c r="K344" s="33">
        <f t="shared" si="10"/>
        <v>0.18709999999999916</v>
      </c>
    </row>
    <row r="345" spans="1:11" x14ac:dyDescent="0.2">
      <c r="A345" s="63">
        <v>44650</v>
      </c>
      <c r="B345" s="57">
        <v>2352</v>
      </c>
      <c r="C345" s="57" t="s">
        <v>157</v>
      </c>
      <c r="D345" s="57" t="s">
        <v>161</v>
      </c>
      <c r="E345" s="57" t="s">
        <v>162</v>
      </c>
      <c r="F345" s="57">
        <f t="shared" si="11"/>
        <v>0</v>
      </c>
      <c r="G345" s="57">
        <v>25.9237</v>
      </c>
      <c r="H345" s="57">
        <v>26.764099999999999</v>
      </c>
      <c r="I345" s="57">
        <v>26.0517</v>
      </c>
      <c r="J345" s="33">
        <f t="shared" si="9"/>
        <v>0.84039999999999893</v>
      </c>
      <c r="K345" s="33">
        <f t="shared" si="10"/>
        <v>0.12800000000000011</v>
      </c>
    </row>
    <row r="346" spans="1:11" x14ac:dyDescent="0.2">
      <c r="A346" s="63">
        <v>44650</v>
      </c>
      <c r="B346" s="57">
        <v>2379</v>
      </c>
      <c r="C346" s="57" t="s">
        <v>157</v>
      </c>
      <c r="D346" s="57" t="s">
        <v>158</v>
      </c>
      <c r="E346" s="57" t="s">
        <v>159</v>
      </c>
      <c r="F346" s="57">
        <f t="shared" si="11"/>
        <v>1</v>
      </c>
      <c r="G346" s="57">
        <v>26.6387</v>
      </c>
      <c r="H346" s="57">
        <v>26.282900000000001</v>
      </c>
      <c r="I346" s="57">
        <v>26.904299999999999</v>
      </c>
      <c r="J346" s="33">
        <f t="shared" si="9"/>
        <v>-0.35579999999999856</v>
      </c>
      <c r="K346" s="33">
        <f t="shared" si="10"/>
        <v>0.26559999999999917</v>
      </c>
    </row>
    <row r="347" spans="1:11" x14ac:dyDescent="0.2">
      <c r="A347" s="63">
        <v>44655</v>
      </c>
      <c r="B347" s="57">
        <v>2029</v>
      </c>
      <c r="C347" s="57" t="s">
        <v>157</v>
      </c>
      <c r="D347" s="57" t="s">
        <v>161</v>
      </c>
      <c r="E347" s="57" t="s">
        <v>162</v>
      </c>
      <c r="F347" s="57">
        <f t="shared" si="11"/>
        <v>0</v>
      </c>
      <c r="G347" s="57">
        <v>26.572700000000001</v>
      </c>
      <c r="H347" s="57">
        <v>31.842500000000001</v>
      </c>
      <c r="I347" s="57">
        <v>28.983699999999999</v>
      </c>
      <c r="J347" s="33">
        <f t="shared" si="9"/>
        <v>5.2698</v>
      </c>
      <c r="K347" s="33">
        <f t="shared" si="10"/>
        <v>2.4109999999999978</v>
      </c>
    </row>
    <row r="348" spans="1:11" x14ac:dyDescent="0.2">
      <c r="A348" s="63">
        <v>44655</v>
      </c>
      <c r="B348" s="57">
        <v>1478</v>
      </c>
      <c r="C348" s="57" t="s">
        <v>160</v>
      </c>
      <c r="D348" s="57" t="s">
        <v>161</v>
      </c>
      <c r="E348" s="57" t="s">
        <v>162</v>
      </c>
      <c r="F348" s="57">
        <f t="shared" si="11"/>
        <v>0</v>
      </c>
      <c r="G348" s="57">
        <v>26.234100000000002</v>
      </c>
      <c r="H348" s="57">
        <v>30.870899999999999</v>
      </c>
      <c r="I348" s="57">
        <v>27.93</v>
      </c>
      <c r="J348" s="33">
        <f t="shared" si="9"/>
        <v>4.6367999999999974</v>
      </c>
      <c r="K348" s="33">
        <f t="shared" si="10"/>
        <v>1.6958999999999982</v>
      </c>
    </row>
    <row r="349" spans="1:11" x14ac:dyDescent="0.2">
      <c r="A349" s="63">
        <v>44655</v>
      </c>
      <c r="B349" s="57">
        <v>2030</v>
      </c>
      <c r="C349" s="57" t="s">
        <v>157</v>
      </c>
      <c r="D349" s="57" t="s">
        <v>161</v>
      </c>
      <c r="E349" s="57" t="s">
        <v>162</v>
      </c>
      <c r="F349" s="57">
        <f t="shared" si="11"/>
        <v>0</v>
      </c>
      <c r="G349" s="57">
        <v>26.2133</v>
      </c>
      <c r="H349" s="57">
        <v>30.2608</v>
      </c>
      <c r="I349" s="57">
        <v>28.385999999999999</v>
      </c>
      <c r="J349" s="33">
        <f t="shared" si="9"/>
        <v>4.0474999999999994</v>
      </c>
      <c r="K349" s="33">
        <f t="shared" si="10"/>
        <v>2.172699999999999</v>
      </c>
    </row>
    <row r="350" spans="1:11" x14ac:dyDescent="0.2">
      <c r="A350" s="63">
        <v>44655</v>
      </c>
      <c r="B350" s="57">
        <v>2023</v>
      </c>
      <c r="C350" s="57" t="s">
        <v>157</v>
      </c>
      <c r="D350" s="57" t="s">
        <v>158</v>
      </c>
      <c r="E350" s="57" t="s">
        <v>159</v>
      </c>
      <c r="F350" s="57">
        <f t="shared" si="11"/>
        <v>1</v>
      </c>
      <c r="G350" s="57">
        <v>15.5906</v>
      </c>
      <c r="H350" s="57">
        <v>17.511800000000001</v>
      </c>
      <c r="I350" s="57">
        <v>16.482600000000001</v>
      </c>
      <c r="J350" s="33">
        <f t="shared" si="9"/>
        <v>1.9212000000000007</v>
      </c>
      <c r="K350" s="33">
        <f t="shared" si="10"/>
        <v>0.89200000000000124</v>
      </c>
    </row>
    <row r="351" spans="1:11" x14ac:dyDescent="0.2">
      <c r="A351" s="63">
        <v>44650</v>
      </c>
      <c r="B351" s="57">
        <v>2365</v>
      </c>
      <c r="C351" s="57" t="s">
        <v>157</v>
      </c>
      <c r="D351" s="57" t="s">
        <v>161</v>
      </c>
      <c r="E351" s="57" t="s">
        <v>159</v>
      </c>
      <c r="F351" s="57">
        <f t="shared" si="11"/>
        <v>0</v>
      </c>
      <c r="G351" s="57">
        <v>26.439800000000002</v>
      </c>
      <c r="H351" s="57">
        <v>27.059899999999999</v>
      </c>
      <c r="I351" s="57">
        <v>26.555099999999999</v>
      </c>
      <c r="J351" s="33">
        <f t="shared" si="9"/>
        <v>0.62009999999999721</v>
      </c>
      <c r="K351" s="33">
        <f t="shared" si="10"/>
        <v>0.11529999999999774</v>
      </c>
    </row>
    <row r="352" spans="1:11" x14ac:dyDescent="0.2">
      <c r="A352" s="63">
        <v>44650</v>
      </c>
      <c r="B352" s="57">
        <v>2375</v>
      </c>
      <c r="C352" s="57" t="s">
        <v>157</v>
      </c>
      <c r="D352" s="57" t="s">
        <v>158</v>
      </c>
      <c r="E352" s="57" t="s">
        <v>159</v>
      </c>
      <c r="F352" s="57">
        <f t="shared" si="11"/>
        <v>1</v>
      </c>
      <c r="G352" s="57">
        <v>14.8744</v>
      </c>
      <c r="H352" s="57">
        <v>15.871</v>
      </c>
      <c r="I352" s="57">
        <v>15.059100000000001</v>
      </c>
      <c r="J352" s="33">
        <f t="shared" si="9"/>
        <v>0.99660000000000082</v>
      </c>
      <c r="K352" s="33">
        <f t="shared" si="10"/>
        <v>0.1847000000000012</v>
      </c>
    </row>
    <row r="353" spans="1:11" x14ac:dyDescent="0.2">
      <c r="A353" s="63">
        <v>44650</v>
      </c>
      <c r="B353" s="57">
        <v>2380</v>
      </c>
      <c r="C353" s="57" t="s">
        <v>157</v>
      </c>
      <c r="D353" s="57" t="s">
        <v>158</v>
      </c>
      <c r="E353" s="57" t="s">
        <v>162</v>
      </c>
      <c r="F353" s="57">
        <f t="shared" si="11"/>
        <v>1</v>
      </c>
      <c r="G353" s="57">
        <v>26.034500000000001</v>
      </c>
      <c r="H353" s="57">
        <v>34.438800000000001</v>
      </c>
      <c r="I353" s="57">
        <v>30.793399999999998</v>
      </c>
      <c r="J353" s="33">
        <f t="shared" si="9"/>
        <v>8.4042999999999992</v>
      </c>
      <c r="K353" s="33">
        <f t="shared" si="10"/>
        <v>4.758899999999997</v>
      </c>
    </row>
    <row r="354" spans="1:11" x14ac:dyDescent="0.2">
      <c r="A354" s="63">
        <v>44655</v>
      </c>
      <c r="B354" s="57">
        <v>2031</v>
      </c>
      <c r="C354" s="57" t="s">
        <v>60</v>
      </c>
      <c r="D354" s="57" t="s">
        <v>158</v>
      </c>
      <c r="E354" s="57" t="s">
        <v>159</v>
      </c>
      <c r="F354" s="57">
        <f t="shared" si="11"/>
        <v>1</v>
      </c>
      <c r="G354" s="57">
        <v>16.070900000000002</v>
      </c>
      <c r="H354" s="57">
        <v>17.032499999999999</v>
      </c>
      <c r="I354" s="57">
        <v>16.5871</v>
      </c>
      <c r="J354" s="33">
        <f t="shared" si="9"/>
        <v>0.96159999999999712</v>
      </c>
      <c r="K354" s="33">
        <f t="shared" si="10"/>
        <v>0.51619999999999777</v>
      </c>
    </row>
    <row r="355" spans="1:11" x14ac:dyDescent="0.2">
      <c r="A355" s="63">
        <v>44650</v>
      </c>
      <c r="B355" s="57">
        <v>2370</v>
      </c>
      <c r="C355" s="57" t="s">
        <v>157</v>
      </c>
      <c r="D355" s="57" t="s">
        <v>161</v>
      </c>
      <c r="E355" s="57" t="s">
        <v>162</v>
      </c>
      <c r="F355" s="57">
        <f t="shared" si="11"/>
        <v>0</v>
      </c>
      <c r="G355" s="57">
        <v>26.0505</v>
      </c>
      <c r="H355" s="57">
        <v>27.971900000000002</v>
      </c>
      <c r="I355" s="57">
        <v>26.873200000000001</v>
      </c>
      <c r="J355" s="33">
        <f t="shared" si="9"/>
        <v>1.921400000000002</v>
      </c>
      <c r="K355" s="33">
        <f t="shared" si="10"/>
        <v>0.8227000000000011</v>
      </c>
    </row>
    <row r="356" spans="1:11" x14ac:dyDescent="0.2">
      <c r="A356" s="63">
        <v>44655</v>
      </c>
      <c r="B356" s="57">
        <v>2014</v>
      </c>
      <c r="C356" s="57" t="s">
        <v>157</v>
      </c>
      <c r="D356" s="57" t="s">
        <v>161</v>
      </c>
      <c r="E356" s="57" t="s">
        <v>159</v>
      </c>
      <c r="F356" s="57">
        <f t="shared" si="11"/>
        <v>0</v>
      </c>
      <c r="G356" s="57">
        <v>25.6721</v>
      </c>
      <c r="H356" s="57">
        <v>27.161100000000001</v>
      </c>
      <c r="I356" s="57">
        <v>26.0321</v>
      </c>
      <c r="J356" s="33">
        <f t="shared" si="9"/>
        <v>1.4890000000000008</v>
      </c>
      <c r="K356" s="33">
        <f t="shared" si="10"/>
        <v>0.35999999999999943</v>
      </c>
    </row>
    <row r="357" spans="1:11" x14ac:dyDescent="0.2">
      <c r="A357" s="63">
        <v>44650</v>
      </c>
      <c r="B357" s="57">
        <v>2365</v>
      </c>
      <c r="C357" s="57" t="s">
        <v>157</v>
      </c>
      <c r="D357" s="57" t="s">
        <v>158</v>
      </c>
      <c r="E357" s="57" t="s">
        <v>159</v>
      </c>
      <c r="F357" s="57">
        <f t="shared" si="11"/>
        <v>1</v>
      </c>
      <c r="G357" s="57">
        <v>26.3475</v>
      </c>
      <c r="H357" s="57">
        <v>27.494</v>
      </c>
      <c r="I357" s="57">
        <v>26.937899999999999</v>
      </c>
      <c r="J357" s="33">
        <f t="shared" si="9"/>
        <v>1.1464999999999996</v>
      </c>
      <c r="K357" s="33">
        <f t="shared" si="10"/>
        <v>0.59039999999999893</v>
      </c>
    </row>
    <row r="358" spans="1:11" x14ac:dyDescent="0.2">
      <c r="A358" s="63">
        <v>44650</v>
      </c>
      <c r="B358" s="57">
        <v>2370</v>
      </c>
      <c r="C358" s="57" t="s">
        <v>157</v>
      </c>
      <c r="D358" s="57" t="s">
        <v>158</v>
      </c>
      <c r="E358" s="57" t="s">
        <v>159</v>
      </c>
      <c r="F358" s="57">
        <f t="shared" si="11"/>
        <v>1</v>
      </c>
      <c r="G358" s="57">
        <v>25.503299999999999</v>
      </c>
      <c r="H358" s="57">
        <v>27.369299999999999</v>
      </c>
      <c r="I358" s="57">
        <v>26.212700000000002</v>
      </c>
      <c r="J358" s="33">
        <f t="shared" si="9"/>
        <v>1.8659999999999997</v>
      </c>
      <c r="K358" s="33">
        <f t="shared" si="10"/>
        <v>0.70940000000000225</v>
      </c>
    </row>
    <row r="359" spans="1:11" x14ac:dyDescent="0.2">
      <c r="A359" s="63">
        <v>44650</v>
      </c>
      <c r="B359" s="57">
        <v>2372</v>
      </c>
      <c r="C359" s="57" t="s">
        <v>157</v>
      </c>
      <c r="D359" s="57" t="s">
        <v>161</v>
      </c>
      <c r="E359" s="57" t="s">
        <v>159</v>
      </c>
      <c r="F359" s="57">
        <f t="shared" si="11"/>
        <v>0</v>
      </c>
      <c r="G359" s="57">
        <v>25.9879</v>
      </c>
      <c r="H359" s="57">
        <v>27.0092</v>
      </c>
      <c r="I359" s="57">
        <v>26.212800000000001</v>
      </c>
      <c r="J359" s="33">
        <f t="shared" si="9"/>
        <v>1.0213000000000001</v>
      </c>
      <c r="K359" s="33">
        <f t="shared" si="10"/>
        <v>0.22490000000000165</v>
      </c>
    </row>
    <row r="360" spans="1:11" x14ac:dyDescent="0.2">
      <c r="A360" s="63">
        <v>44655</v>
      </c>
      <c r="B360" s="57">
        <v>2087</v>
      </c>
      <c r="C360" s="57" t="s">
        <v>157</v>
      </c>
      <c r="D360" s="57" t="s">
        <v>161</v>
      </c>
      <c r="E360" s="57" t="s">
        <v>162</v>
      </c>
      <c r="F360" s="57">
        <f t="shared" si="11"/>
        <v>0</v>
      </c>
      <c r="G360" s="57">
        <v>25.9665</v>
      </c>
      <c r="H360" s="57">
        <v>30.765499999999999</v>
      </c>
      <c r="I360" s="57">
        <v>27.4922</v>
      </c>
      <c r="J360" s="33">
        <f t="shared" si="9"/>
        <v>4.7989999999999995</v>
      </c>
      <c r="K360" s="33">
        <f t="shared" si="10"/>
        <v>1.5257000000000005</v>
      </c>
    </row>
    <row r="361" spans="1:11" x14ac:dyDescent="0.2">
      <c r="A361" s="63">
        <v>44655</v>
      </c>
      <c r="B361" s="57">
        <v>2030</v>
      </c>
      <c r="C361" s="57" t="s">
        <v>157</v>
      </c>
      <c r="D361" s="57" t="s">
        <v>158</v>
      </c>
      <c r="E361" s="57" t="s">
        <v>159</v>
      </c>
      <c r="F361" s="57">
        <f t="shared" si="11"/>
        <v>1</v>
      </c>
      <c r="G361" s="57">
        <v>26.5608</v>
      </c>
      <c r="H361" s="57">
        <v>27.306999999999999</v>
      </c>
      <c r="I361" s="57">
        <v>27.081399999999999</v>
      </c>
      <c r="J361" s="33">
        <f t="shared" si="9"/>
        <v>0.7461999999999982</v>
      </c>
      <c r="K361" s="33">
        <f t="shared" si="10"/>
        <v>0.52059999999999818</v>
      </c>
    </row>
    <row r="362" spans="1:11" x14ac:dyDescent="0.2">
      <c r="A362" s="63">
        <v>44650</v>
      </c>
      <c r="B362" s="57">
        <v>2345</v>
      </c>
      <c r="C362" s="57" t="s">
        <v>157</v>
      </c>
      <c r="D362" s="57" t="s">
        <v>158</v>
      </c>
      <c r="E362" s="57" t="s">
        <v>162</v>
      </c>
      <c r="F362" s="57">
        <f t="shared" si="11"/>
        <v>1</v>
      </c>
      <c r="G362" s="57">
        <v>25.953800000000001</v>
      </c>
      <c r="H362" s="57">
        <v>34.104100000000003</v>
      </c>
      <c r="I362" s="57">
        <v>30.517199999999999</v>
      </c>
      <c r="J362" s="33">
        <f t="shared" si="9"/>
        <v>8.1503000000000014</v>
      </c>
      <c r="K362" s="33">
        <f t="shared" si="10"/>
        <v>4.5633999999999979</v>
      </c>
    </row>
    <row r="363" spans="1:11" x14ac:dyDescent="0.2">
      <c r="A363" s="63">
        <v>44650</v>
      </c>
      <c r="B363" s="57">
        <v>2365</v>
      </c>
      <c r="C363" s="57" t="s">
        <v>157</v>
      </c>
      <c r="D363" s="57" t="s">
        <v>161</v>
      </c>
      <c r="E363" s="57" t="s">
        <v>162</v>
      </c>
      <c r="F363" s="57">
        <f t="shared" si="11"/>
        <v>0</v>
      </c>
      <c r="G363" s="57">
        <v>26.138999999999999</v>
      </c>
      <c r="H363" s="57">
        <v>30.5764</v>
      </c>
      <c r="I363" s="57">
        <v>28.0701</v>
      </c>
      <c r="J363" s="33">
        <f t="shared" si="9"/>
        <v>4.4374000000000002</v>
      </c>
      <c r="K363" s="33">
        <f t="shared" si="10"/>
        <v>1.9311000000000007</v>
      </c>
    </row>
    <row r="364" spans="1:11" x14ac:dyDescent="0.2">
      <c r="A364" s="63">
        <v>44650</v>
      </c>
      <c r="B364" s="57">
        <v>2372</v>
      </c>
      <c r="C364" s="57" t="s">
        <v>157</v>
      </c>
      <c r="D364" s="57" t="s">
        <v>158</v>
      </c>
      <c r="E364" s="57" t="s">
        <v>159</v>
      </c>
      <c r="F364" s="57">
        <f t="shared" si="11"/>
        <v>1</v>
      </c>
      <c r="G364" s="57">
        <v>25.610800000000001</v>
      </c>
      <c r="H364" s="57">
        <v>26.471900000000002</v>
      </c>
      <c r="I364" s="57">
        <v>26.0077</v>
      </c>
      <c r="J364" s="33">
        <f t="shared" si="9"/>
        <v>0.86110000000000042</v>
      </c>
      <c r="K364" s="33">
        <f t="shared" si="10"/>
        <v>0.3968999999999987</v>
      </c>
    </row>
    <row r="365" spans="1:11" x14ac:dyDescent="0.2">
      <c r="A365" s="63">
        <v>44655</v>
      </c>
      <c r="B365" s="57">
        <v>2026</v>
      </c>
      <c r="C365" s="57" t="s">
        <v>157</v>
      </c>
      <c r="D365" s="57" t="s">
        <v>158</v>
      </c>
      <c r="E365" s="57" t="s">
        <v>159</v>
      </c>
      <c r="F365" s="57">
        <f t="shared" si="11"/>
        <v>1</v>
      </c>
      <c r="G365" s="57">
        <v>25.777999999999999</v>
      </c>
      <c r="H365" s="57">
        <v>25.523299999999999</v>
      </c>
      <c r="I365" s="57">
        <v>25.852499999999999</v>
      </c>
      <c r="J365" s="33">
        <f t="shared" si="9"/>
        <v>-0.2546999999999997</v>
      </c>
      <c r="K365" s="33">
        <f t="shared" si="10"/>
        <v>7.4500000000000455E-2</v>
      </c>
    </row>
    <row r="366" spans="1:11" x14ac:dyDescent="0.2">
      <c r="A366" s="63">
        <v>44655</v>
      </c>
      <c r="B366" s="57">
        <v>2089</v>
      </c>
      <c r="C366" s="57" t="s">
        <v>157</v>
      </c>
      <c r="D366" s="57" t="s">
        <v>158</v>
      </c>
      <c r="E366" s="57" t="s">
        <v>162</v>
      </c>
      <c r="F366" s="57">
        <f t="shared" si="11"/>
        <v>1</v>
      </c>
      <c r="G366" s="57">
        <v>26.316800000000001</v>
      </c>
      <c r="H366" s="57">
        <v>34.2164</v>
      </c>
      <c r="I366" s="57">
        <v>30.4407</v>
      </c>
      <c r="J366" s="33">
        <f t="shared" si="9"/>
        <v>7.8995999999999995</v>
      </c>
      <c r="K366" s="33">
        <f t="shared" si="10"/>
        <v>4.123899999999999</v>
      </c>
    </row>
    <row r="367" spans="1:11" x14ac:dyDescent="0.2">
      <c r="A367" s="63">
        <v>44650</v>
      </c>
      <c r="B367" s="57">
        <v>2379</v>
      </c>
      <c r="C367" s="57" t="s">
        <v>157</v>
      </c>
      <c r="D367" s="57" t="s">
        <v>161</v>
      </c>
      <c r="E367" s="57" t="s">
        <v>162</v>
      </c>
      <c r="F367" s="57">
        <f t="shared" si="11"/>
        <v>0</v>
      </c>
      <c r="G367" s="57">
        <v>26.1053</v>
      </c>
      <c r="H367" s="57">
        <v>30.333600000000001</v>
      </c>
      <c r="I367" s="57">
        <v>28.002500000000001</v>
      </c>
      <c r="J367" s="33">
        <f t="shared" si="9"/>
        <v>4.2283000000000008</v>
      </c>
      <c r="K367" s="33">
        <f t="shared" si="10"/>
        <v>1.8972000000000016</v>
      </c>
    </row>
    <row r="368" spans="1:11" x14ac:dyDescent="0.2">
      <c r="A368" s="63">
        <v>44650</v>
      </c>
      <c r="B368" s="57">
        <v>2343</v>
      </c>
      <c r="C368" s="57" t="s">
        <v>157</v>
      </c>
      <c r="D368" s="57" t="s">
        <v>158</v>
      </c>
      <c r="E368" s="57" t="s">
        <v>159</v>
      </c>
      <c r="F368" s="57">
        <f t="shared" si="11"/>
        <v>1</v>
      </c>
      <c r="G368" s="57">
        <v>25.774799999999999</v>
      </c>
      <c r="H368" s="57">
        <v>26.225899999999999</v>
      </c>
      <c r="I368" s="57">
        <v>25.974900000000002</v>
      </c>
      <c r="J368" s="33">
        <f t="shared" si="9"/>
        <v>0.45110000000000028</v>
      </c>
      <c r="K368" s="33">
        <f t="shared" si="10"/>
        <v>0.20010000000000261</v>
      </c>
    </row>
    <row r="369" spans="1:12" x14ac:dyDescent="0.2">
      <c r="A369" s="63">
        <v>44655</v>
      </c>
      <c r="B369" s="57">
        <v>2029</v>
      </c>
      <c r="C369" s="57" t="s">
        <v>157</v>
      </c>
      <c r="D369" s="57" t="s">
        <v>158</v>
      </c>
      <c r="E369" s="57" t="s">
        <v>162</v>
      </c>
      <c r="F369" s="57">
        <f t="shared" si="11"/>
        <v>1</v>
      </c>
      <c r="G369" s="57">
        <v>26.168299999999999</v>
      </c>
      <c r="H369" s="57">
        <v>28.5474</v>
      </c>
      <c r="I369" s="57">
        <v>27.626000000000001</v>
      </c>
      <c r="J369" s="33">
        <f t="shared" si="9"/>
        <v>2.3791000000000011</v>
      </c>
      <c r="K369" s="33">
        <f t="shared" si="10"/>
        <v>1.4577000000000027</v>
      </c>
    </row>
    <row r="370" spans="1:12" x14ac:dyDescent="0.2">
      <c r="A370" s="63">
        <v>44655</v>
      </c>
      <c r="B370" s="57">
        <v>2014</v>
      </c>
      <c r="C370" s="57" t="s">
        <v>160</v>
      </c>
      <c r="D370" s="57" t="s">
        <v>161</v>
      </c>
      <c r="E370" s="57" t="s">
        <v>159</v>
      </c>
      <c r="F370" s="57">
        <f t="shared" si="11"/>
        <v>0</v>
      </c>
      <c r="G370" s="57">
        <v>15.1975</v>
      </c>
      <c r="H370" s="57">
        <v>16.187100000000001</v>
      </c>
      <c r="I370" s="57">
        <v>15.517899999999999</v>
      </c>
      <c r="J370" s="33">
        <f t="shared" si="9"/>
        <v>0.98960000000000115</v>
      </c>
      <c r="K370" s="33">
        <f t="shared" si="10"/>
        <v>0.32039999999999935</v>
      </c>
    </row>
    <row r="371" spans="1:12" x14ac:dyDescent="0.2">
      <c r="A371" s="63">
        <v>44670</v>
      </c>
      <c r="B371" s="57" t="s">
        <v>165</v>
      </c>
      <c r="C371" s="57" t="s">
        <v>160</v>
      </c>
      <c r="D371" s="57" t="s">
        <v>161</v>
      </c>
      <c r="E371" s="57" t="s">
        <v>162</v>
      </c>
      <c r="F371" s="57">
        <v>0</v>
      </c>
      <c r="G371" s="57">
        <v>66.964600000000004</v>
      </c>
      <c r="H371" s="57">
        <v>76.603700000000003</v>
      </c>
      <c r="I371" s="57">
        <v>69.060599999999994</v>
      </c>
      <c r="J371" s="33">
        <f t="shared" si="9"/>
        <v>9.6390999999999991</v>
      </c>
      <c r="K371" s="33">
        <f t="shared" si="10"/>
        <v>2.0959999999999894</v>
      </c>
      <c r="L371" s="57">
        <v>2</v>
      </c>
    </row>
    <row r="372" spans="1:12" x14ac:dyDescent="0.2">
      <c r="A372" s="63">
        <v>44677</v>
      </c>
      <c r="B372" s="57" t="s">
        <v>166</v>
      </c>
      <c r="C372" s="57" t="s">
        <v>160</v>
      </c>
      <c r="D372" s="57" t="s">
        <v>161</v>
      </c>
      <c r="E372" s="57" t="s">
        <v>159</v>
      </c>
      <c r="F372" s="57">
        <f t="shared" ref="F372:F374" si="12">IF(D372="old",1,0)</f>
        <v>0</v>
      </c>
      <c r="G372" s="57">
        <v>67.216899999999995</v>
      </c>
      <c r="H372" s="57">
        <v>69.271699999999996</v>
      </c>
      <c r="I372" s="57">
        <v>67.8523</v>
      </c>
      <c r="J372" s="33">
        <f t="shared" si="9"/>
        <v>2.0548000000000002</v>
      </c>
      <c r="K372" s="33">
        <f t="shared" si="10"/>
        <v>0.63540000000000418</v>
      </c>
      <c r="L372" s="57">
        <v>5</v>
      </c>
    </row>
    <row r="373" spans="1:12" x14ac:dyDescent="0.2">
      <c r="A373" s="63">
        <v>44677</v>
      </c>
      <c r="B373" s="57" t="s">
        <v>166</v>
      </c>
      <c r="C373" s="57" t="s">
        <v>160</v>
      </c>
      <c r="D373" s="57" t="s">
        <v>161</v>
      </c>
      <c r="E373" s="57" t="s">
        <v>159</v>
      </c>
      <c r="F373" s="57">
        <f t="shared" si="12"/>
        <v>0</v>
      </c>
      <c r="G373" s="57">
        <v>68.078000000000003</v>
      </c>
      <c r="H373" s="57">
        <v>69.290499999999994</v>
      </c>
      <c r="I373" s="57">
        <v>68.492999999999995</v>
      </c>
      <c r="J373" s="33">
        <f t="shared" si="9"/>
        <v>1.2124999999999915</v>
      </c>
      <c r="K373" s="33">
        <f t="shared" si="10"/>
        <v>0.41499999999999204</v>
      </c>
      <c r="L373" s="57">
        <v>4</v>
      </c>
    </row>
    <row r="374" spans="1:12" x14ac:dyDescent="0.2">
      <c r="A374" s="63">
        <v>44677</v>
      </c>
      <c r="B374" s="57" t="s">
        <v>166</v>
      </c>
      <c r="C374" s="57" t="s">
        <v>160</v>
      </c>
      <c r="D374" s="57" t="s">
        <v>161</v>
      </c>
      <c r="E374" s="57" t="s">
        <v>159</v>
      </c>
      <c r="F374" s="57">
        <f t="shared" si="12"/>
        <v>0</v>
      </c>
      <c r="G374" s="57">
        <v>68.185299999999998</v>
      </c>
      <c r="H374" s="57">
        <v>69.570499999999996</v>
      </c>
      <c r="I374" s="57">
        <v>68.576499999999996</v>
      </c>
      <c r="J374" s="33">
        <f t="shared" si="9"/>
        <v>1.3851999999999975</v>
      </c>
      <c r="K374" s="33">
        <f t="shared" si="10"/>
        <v>0.39119999999999777</v>
      </c>
      <c r="L374" s="57">
        <v>3</v>
      </c>
    </row>
    <row r="375" spans="1:12" x14ac:dyDescent="0.2">
      <c r="A375" s="63">
        <v>44670</v>
      </c>
      <c r="B375" s="57" t="s">
        <v>167</v>
      </c>
      <c r="C375" s="57" t="s">
        <v>160</v>
      </c>
      <c r="D375" s="57" t="s">
        <v>161</v>
      </c>
      <c r="E375" s="57" t="s">
        <v>159</v>
      </c>
      <c r="F375" s="57">
        <v>0</v>
      </c>
      <c r="G375" s="57">
        <v>68.192499999999995</v>
      </c>
      <c r="H375" s="57">
        <v>70.078199999999995</v>
      </c>
      <c r="I375" s="57">
        <v>68.737499999999997</v>
      </c>
      <c r="J375" s="33">
        <f t="shared" si="9"/>
        <v>1.8856999999999999</v>
      </c>
      <c r="K375" s="33">
        <f t="shared" si="10"/>
        <v>0.54500000000000171</v>
      </c>
      <c r="L375" s="57">
        <v>4</v>
      </c>
    </row>
    <row r="376" spans="1:12" x14ac:dyDescent="0.2">
      <c r="A376" s="63">
        <v>44670</v>
      </c>
      <c r="B376" s="57" t="s">
        <v>165</v>
      </c>
      <c r="C376" s="57" t="s">
        <v>160</v>
      </c>
      <c r="D376" s="57" t="s">
        <v>161</v>
      </c>
      <c r="E376" s="57" t="s">
        <v>162</v>
      </c>
      <c r="F376" s="57">
        <f t="shared" ref="F376:F630" si="13">IF(D376="old",1,0)</f>
        <v>0</v>
      </c>
      <c r="G376" s="57">
        <v>68.274100000000004</v>
      </c>
      <c r="H376" s="57">
        <v>79.684799999999996</v>
      </c>
      <c r="I376" s="57">
        <v>70.919399999999996</v>
      </c>
      <c r="J376" s="33">
        <f t="shared" si="9"/>
        <v>11.410699999999991</v>
      </c>
      <c r="K376" s="33">
        <f t="shared" si="10"/>
        <v>2.6452999999999918</v>
      </c>
      <c r="L376" s="57">
        <v>2</v>
      </c>
    </row>
    <row r="377" spans="1:12" x14ac:dyDescent="0.2">
      <c r="A377" s="63">
        <v>44677</v>
      </c>
      <c r="B377" s="57" t="s">
        <v>165</v>
      </c>
      <c r="C377" s="57" t="s">
        <v>160</v>
      </c>
      <c r="D377" s="57" t="s">
        <v>161</v>
      </c>
      <c r="E377" s="57" t="s">
        <v>162</v>
      </c>
      <c r="F377" s="57">
        <f t="shared" si="13"/>
        <v>0</v>
      </c>
      <c r="G377" s="57">
        <v>67.882099999999994</v>
      </c>
      <c r="H377" s="57">
        <v>79.841499999999996</v>
      </c>
      <c r="I377" s="57">
        <v>70.807900000000004</v>
      </c>
      <c r="J377" s="33">
        <f t="shared" si="9"/>
        <v>11.959400000000002</v>
      </c>
      <c r="K377" s="33">
        <f t="shared" si="10"/>
        <v>2.9258000000000095</v>
      </c>
      <c r="L377" s="57">
        <v>5</v>
      </c>
    </row>
    <row r="378" spans="1:12" x14ac:dyDescent="0.2">
      <c r="A378" s="63">
        <v>44670</v>
      </c>
      <c r="B378" s="57" t="s">
        <v>165</v>
      </c>
      <c r="C378" s="57" t="s">
        <v>160</v>
      </c>
      <c r="D378" s="57" t="s">
        <v>161</v>
      </c>
      <c r="E378" s="57" t="s">
        <v>162</v>
      </c>
      <c r="F378" s="57">
        <f t="shared" si="13"/>
        <v>0</v>
      </c>
      <c r="G378" s="57">
        <v>66.909599999999998</v>
      </c>
      <c r="H378" s="57">
        <v>75.752300000000005</v>
      </c>
      <c r="I378" s="57">
        <v>69.328199999999995</v>
      </c>
      <c r="J378" s="33">
        <f t="shared" si="9"/>
        <v>8.8427000000000078</v>
      </c>
      <c r="K378" s="33">
        <f t="shared" si="10"/>
        <v>2.4185999999999979</v>
      </c>
      <c r="L378" s="57">
        <v>1</v>
      </c>
    </row>
    <row r="379" spans="1:12" x14ac:dyDescent="0.2">
      <c r="A379" s="63">
        <v>44677</v>
      </c>
      <c r="B379" s="57" t="s">
        <v>166</v>
      </c>
      <c r="C379" s="57" t="s">
        <v>160</v>
      </c>
      <c r="D379" s="57" t="s">
        <v>161</v>
      </c>
      <c r="E379" s="57" t="s">
        <v>159</v>
      </c>
      <c r="F379" s="57">
        <f t="shared" si="13"/>
        <v>0</v>
      </c>
      <c r="G379" s="57">
        <v>67.792500000000004</v>
      </c>
      <c r="H379" s="57">
        <v>68.8964</v>
      </c>
      <c r="I379" s="57">
        <v>68.207300000000004</v>
      </c>
      <c r="J379" s="33">
        <f t="shared" si="9"/>
        <v>1.1038999999999959</v>
      </c>
      <c r="K379" s="33">
        <f t="shared" si="10"/>
        <v>0.41479999999999961</v>
      </c>
      <c r="L379" s="57">
        <v>1</v>
      </c>
    </row>
    <row r="380" spans="1:12" x14ac:dyDescent="0.2">
      <c r="A380" s="63">
        <v>44677</v>
      </c>
      <c r="B380" s="57" t="s">
        <v>165</v>
      </c>
      <c r="C380" s="57" t="s">
        <v>160</v>
      </c>
      <c r="D380" s="57" t="s">
        <v>161</v>
      </c>
      <c r="E380" s="57" t="s">
        <v>162</v>
      </c>
      <c r="F380" s="57">
        <f t="shared" si="13"/>
        <v>0</v>
      </c>
      <c r="G380" s="57">
        <v>67.2012</v>
      </c>
      <c r="H380" s="57">
        <v>73.342799999999997</v>
      </c>
      <c r="I380" s="57">
        <v>68.720500000000001</v>
      </c>
      <c r="J380" s="33">
        <f t="shared" si="9"/>
        <v>6.1415999999999968</v>
      </c>
      <c r="K380" s="33">
        <f t="shared" si="10"/>
        <v>1.5193000000000012</v>
      </c>
      <c r="L380" s="57">
        <v>1</v>
      </c>
    </row>
    <row r="381" spans="1:12" x14ac:dyDescent="0.2">
      <c r="A381" s="63">
        <v>44670</v>
      </c>
      <c r="B381" s="57" t="s">
        <v>167</v>
      </c>
      <c r="C381" s="57" t="s">
        <v>160</v>
      </c>
      <c r="D381" s="57" t="s">
        <v>161</v>
      </c>
      <c r="E381" s="57" t="s">
        <v>159</v>
      </c>
      <c r="F381" s="57">
        <f t="shared" si="13"/>
        <v>0</v>
      </c>
      <c r="G381" s="57">
        <v>68.914199999999994</v>
      </c>
      <c r="H381" s="57">
        <v>70.559200000000004</v>
      </c>
      <c r="I381" s="57">
        <v>69.424899999999994</v>
      </c>
      <c r="J381" s="33">
        <f t="shared" si="9"/>
        <v>1.6450000000000102</v>
      </c>
      <c r="K381" s="33">
        <f t="shared" si="10"/>
        <v>0.51069999999999993</v>
      </c>
      <c r="L381" s="57">
        <v>3</v>
      </c>
    </row>
    <row r="382" spans="1:12" x14ac:dyDescent="0.2">
      <c r="A382" s="63">
        <v>44677</v>
      </c>
      <c r="B382" s="57" t="s">
        <v>167</v>
      </c>
      <c r="C382" s="57" t="s">
        <v>160</v>
      </c>
      <c r="D382" s="57" t="s">
        <v>161</v>
      </c>
      <c r="E382" s="57" t="s">
        <v>162</v>
      </c>
      <c r="F382" s="57">
        <f t="shared" si="13"/>
        <v>0</v>
      </c>
      <c r="G382" s="57">
        <v>66.797799999999995</v>
      </c>
      <c r="H382" s="57">
        <v>74.615499999999997</v>
      </c>
      <c r="I382" s="57">
        <v>69.076400000000007</v>
      </c>
      <c r="J382" s="33">
        <f t="shared" si="9"/>
        <v>7.8177000000000021</v>
      </c>
      <c r="K382" s="33">
        <f t="shared" si="10"/>
        <v>2.2786000000000115</v>
      </c>
      <c r="L382" s="57">
        <v>5</v>
      </c>
    </row>
    <row r="383" spans="1:12" x14ac:dyDescent="0.2">
      <c r="A383" s="63">
        <v>44677</v>
      </c>
      <c r="B383" s="57" t="s">
        <v>165</v>
      </c>
      <c r="C383" s="57" t="s">
        <v>160</v>
      </c>
      <c r="D383" s="57" t="s">
        <v>161</v>
      </c>
      <c r="E383" s="57" t="s">
        <v>162</v>
      </c>
      <c r="F383" s="57">
        <f t="shared" si="13"/>
        <v>0</v>
      </c>
      <c r="G383" s="57">
        <v>68.023200000000003</v>
      </c>
      <c r="H383" s="57">
        <v>77.156800000000004</v>
      </c>
      <c r="I383" s="57">
        <v>69.949600000000004</v>
      </c>
      <c r="J383" s="33">
        <f t="shared" si="9"/>
        <v>9.1336000000000013</v>
      </c>
      <c r="K383" s="33">
        <f t="shared" si="10"/>
        <v>1.926400000000001</v>
      </c>
      <c r="L383" s="57">
        <v>2</v>
      </c>
    </row>
    <row r="384" spans="1:12" x14ac:dyDescent="0.2">
      <c r="A384" s="63">
        <v>44670</v>
      </c>
      <c r="B384" s="57" t="s">
        <v>166</v>
      </c>
      <c r="C384" s="57" t="s">
        <v>160</v>
      </c>
      <c r="D384" s="57" t="s">
        <v>161</v>
      </c>
      <c r="E384" s="57" t="s">
        <v>159</v>
      </c>
      <c r="F384" s="57">
        <f t="shared" si="13"/>
        <v>0</v>
      </c>
      <c r="G384" s="57">
        <v>68.241799999999998</v>
      </c>
      <c r="H384" s="57">
        <v>69.927700000000002</v>
      </c>
      <c r="I384" s="57">
        <v>68.634100000000004</v>
      </c>
      <c r="J384" s="33">
        <f t="shared" si="9"/>
        <v>1.6859000000000037</v>
      </c>
      <c r="K384" s="33">
        <f t="shared" si="10"/>
        <v>0.39230000000000587</v>
      </c>
      <c r="L384" s="57">
        <v>3</v>
      </c>
    </row>
    <row r="385" spans="1:12" x14ac:dyDescent="0.2">
      <c r="A385" s="63">
        <v>44670</v>
      </c>
      <c r="B385" s="57" t="s">
        <v>166</v>
      </c>
      <c r="C385" s="57" t="s">
        <v>160</v>
      </c>
      <c r="D385" s="57" t="s">
        <v>161</v>
      </c>
      <c r="E385" s="57" t="s">
        <v>159</v>
      </c>
      <c r="F385" s="57">
        <f t="shared" si="13"/>
        <v>0</v>
      </c>
      <c r="G385" s="57">
        <v>67.918899999999994</v>
      </c>
      <c r="H385" s="57">
        <v>71.328800000000001</v>
      </c>
      <c r="I385" s="57">
        <v>69.029700000000005</v>
      </c>
      <c r="J385" s="33">
        <f t="shared" si="9"/>
        <v>3.4099000000000075</v>
      </c>
      <c r="K385" s="33">
        <f t="shared" si="10"/>
        <v>1.1108000000000118</v>
      </c>
      <c r="L385" s="57">
        <v>4</v>
      </c>
    </row>
    <row r="386" spans="1:12" x14ac:dyDescent="0.2">
      <c r="A386" s="63">
        <v>44677</v>
      </c>
      <c r="B386" s="57" t="s">
        <v>165</v>
      </c>
      <c r="C386" s="57" t="s">
        <v>160</v>
      </c>
      <c r="D386" s="57" t="s">
        <v>161</v>
      </c>
      <c r="E386" s="57" t="s">
        <v>162</v>
      </c>
      <c r="F386" s="57">
        <f t="shared" si="13"/>
        <v>0</v>
      </c>
      <c r="G386" s="57">
        <v>67.606800000000007</v>
      </c>
      <c r="H386" s="57">
        <v>78.365499999999997</v>
      </c>
      <c r="I386" s="57">
        <v>69.938400000000001</v>
      </c>
      <c r="J386" s="33">
        <f t="shared" si="9"/>
        <v>10.75869999999999</v>
      </c>
      <c r="K386" s="33">
        <f t="shared" si="10"/>
        <v>2.3315999999999946</v>
      </c>
      <c r="L386" s="57">
        <v>2</v>
      </c>
    </row>
    <row r="387" spans="1:12" x14ac:dyDescent="0.2">
      <c r="A387" s="63">
        <v>44677</v>
      </c>
      <c r="B387" s="57" t="s">
        <v>167</v>
      </c>
      <c r="C387" s="57" t="s">
        <v>160</v>
      </c>
      <c r="D387" s="57" t="s">
        <v>161</v>
      </c>
      <c r="E387" s="57" t="s">
        <v>162</v>
      </c>
      <c r="F387" s="57">
        <f t="shared" si="13"/>
        <v>0</v>
      </c>
      <c r="G387" s="57">
        <v>67.127600000000001</v>
      </c>
      <c r="H387" s="57">
        <v>72.800700000000006</v>
      </c>
      <c r="I387" s="57">
        <v>68.979399999999998</v>
      </c>
      <c r="J387" s="33">
        <f t="shared" si="9"/>
        <v>5.6731000000000051</v>
      </c>
      <c r="K387" s="33">
        <f t="shared" si="10"/>
        <v>1.8517999999999972</v>
      </c>
      <c r="L387" s="57">
        <v>4</v>
      </c>
    </row>
    <row r="388" spans="1:12" x14ac:dyDescent="0.2">
      <c r="A388" s="63">
        <v>44677</v>
      </c>
      <c r="B388" s="57" t="s">
        <v>167</v>
      </c>
      <c r="C388" s="57" t="s">
        <v>160</v>
      </c>
      <c r="D388" s="57" t="s">
        <v>161</v>
      </c>
      <c r="E388" s="57" t="s">
        <v>162</v>
      </c>
      <c r="F388" s="57">
        <f t="shared" si="13"/>
        <v>0</v>
      </c>
      <c r="G388" s="57">
        <v>67.433300000000003</v>
      </c>
      <c r="H388" s="57">
        <v>71.228999999999999</v>
      </c>
      <c r="I388" s="57">
        <v>68.814400000000006</v>
      </c>
      <c r="J388" s="33">
        <f t="shared" si="9"/>
        <v>3.7956999999999965</v>
      </c>
      <c r="K388" s="33">
        <f t="shared" si="10"/>
        <v>1.3811000000000035</v>
      </c>
      <c r="L388" s="57">
        <v>3</v>
      </c>
    </row>
    <row r="389" spans="1:12" x14ac:dyDescent="0.2">
      <c r="A389" s="63">
        <v>44670</v>
      </c>
      <c r="B389" s="57" t="s">
        <v>166</v>
      </c>
      <c r="C389" s="57" t="s">
        <v>160</v>
      </c>
      <c r="D389" s="57" t="s">
        <v>161</v>
      </c>
      <c r="E389" s="57" t="s">
        <v>159</v>
      </c>
      <c r="F389" s="57">
        <f t="shared" si="13"/>
        <v>0</v>
      </c>
      <c r="G389" s="57">
        <v>67.415000000000006</v>
      </c>
      <c r="H389" s="57">
        <v>69.258099999999999</v>
      </c>
      <c r="I389" s="57">
        <v>68.046899999999994</v>
      </c>
      <c r="J389" s="33">
        <f t="shared" si="9"/>
        <v>1.8430999999999926</v>
      </c>
      <c r="K389" s="33">
        <f t="shared" si="10"/>
        <v>0.63189999999998747</v>
      </c>
      <c r="L389" s="57">
        <v>1</v>
      </c>
    </row>
    <row r="390" spans="1:12" x14ac:dyDescent="0.2">
      <c r="A390" s="63">
        <v>44670</v>
      </c>
      <c r="B390" s="57" t="s">
        <v>166</v>
      </c>
      <c r="C390" s="57" t="s">
        <v>160</v>
      </c>
      <c r="D390" s="57" t="s">
        <v>161</v>
      </c>
      <c r="E390" s="57" t="s">
        <v>162</v>
      </c>
      <c r="F390" s="57">
        <f t="shared" si="13"/>
        <v>0</v>
      </c>
      <c r="G390" s="57">
        <v>7.3625999999999996</v>
      </c>
      <c r="H390" s="57">
        <v>11.3179</v>
      </c>
      <c r="I390" s="57">
        <v>8.6608000000000001</v>
      </c>
      <c r="J390" s="33">
        <f t="shared" si="9"/>
        <v>3.9553000000000003</v>
      </c>
      <c r="K390" s="33">
        <f t="shared" si="10"/>
        <v>1.2982000000000005</v>
      </c>
      <c r="L390" s="57">
        <v>3</v>
      </c>
    </row>
    <row r="391" spans="1:12" x14ac:dyDescent="0.2">
      <c r="A391" s="63">
        <v>44677</v>
      </c>
      <c r="B391" s="57" t="s">
        <v>166</v>
      </c>
      <c r="C391" s="57" t="s">
        <v>160</v>
      </c>
      <c r="D391" s="57" t="s">
        <v>161</v>
      </c>
      <c r="E391" s="57" t="s">
        <v>162</v>
      </c>
      <c r="F391" s="57">
        <f t="shared" si="13"/>
        <v>0</v>
      </c>
      <c r="G391" s="57">
        <v>7.3578000000000001</v>
      </c>
      <c r="H391" s="57">
        <v>13.9604</v>
      </c>
      <c r="I391" s="57">
        <v>9.3500999999999994</v>
      </c>
      <c r="J391" s="33">
        <f t="shared" si="9"/>
        <v>6.6025999999999998</v>
      </c>
      <c r="K391" s="33">
        <f t="shared" si="10"/>
        <v>1.9922999999999993</v>
      </c>
      <c r="L391" s="57">
        <v>5</v>
      </c>
    </row>
    <row r="392" spans="1:12" x14ac:dyDescent="0.2">
      <c r="A392" s="63">
        <v>44663</v>
      </c>
      <c r="B392" s="57" t="s">
        <v>167</v>
      </c>
      <c r="C392" s="57" t="s">
        <v>160</v>
      </c>
      <c r="D392" s="57" t="s">
        <v>161</v>
      </c>
      <c r="E392" s="57" t="s">
        <v>159</v>
      </c>
      <c r="F392" s="57">
        <f t="shared" si="13"/>
        <v>0</v>
      </c>
      <c r="G392" s="57">
        <v>7.2977999999999996</v>
      </c>
      <c r="H392" s="57">
        <v>8.1610999999999994</v>
      </c>
      <c r="I392" s="57">
        <v>10.181699999999999</v>
      </c>
      <c r="J392" s="33">
        <f t="shared" si="9"/>
        <v>0.86329999999999973</v>
      </c>
      <c r="K392" s="33">
        <f t="shared" si="10"/>
        <v>2.8838999999999997</v>
      </c>
      <c r="L392" s="57">
        <v>4</v>
      </c>
    </row>
    <row r="393" spans="1:12" x14ac:dyDescent="0.2">
      <c r="A393" s="63">
        <v>44655</v>
      </c>
      <c r="B393" s="57">
        <v>2375</v>
      </c>
      <c r="C393" s="57" t="s">
        <v>157</v>
      </c>
      <c r="D393" s="57" t="s">
        <v>161</v>
      </c>
      <c r="E393" s="57" t="s">
        <v>159</v>
      </c>
      <c r="F393" s="57">
        <f t="shared" si="13"/>
        <v>0</v>
      </c>
      <c r="G393" s="57">
        <v>0</v>
      </c>
      <c r="H393" s="57">
        <v>0.82579999999999998</v>
      </c>
      <c r="I393" s="57">
        <v>0.36270000000000002</v>
      </c>
      <c r="J393" s="33">
        <f t="shared" si="9"/>
        <v>0.82579999999999998</v>
      </c>
      <c r="K393" s="33">
        <f t="shared" si="10"/>
        <v>0.36270000000000002</v>
      </c>
    </row>
    <row r="394" spans="1:12" x14ac:dyDescent="0.2">
      <c r="A394" s="63">
        <v>44670</v>
      </c>
      <c r="B394" s="57" t="s">
        <v>166</v>
      </c>
      <c r="C394" s="57" t="s">
        <v>160</v>
      </c>
      <c r="D394" s="57" t="s">
        <v>161</v>
      </c>
      <c r="E394" s="57" t="s">
        <v>162</v>
      </c>
      <c r="F394" s="57">
        <f t="shared" si="13"/>
        <v>0</v>
      </c>
      <c r="G394" s="57">
        <v>7.3451000000000004</v>
      </c>
      <c r="H394" s="57">
        <v>13.1844</v>
      </c>
      <c r="I394" s="57">
        <v>9.5416000000000007</v>
      </c>
      <c r="J394" s="33">
        <f t="shared" si="9"/>
        <v>5.8392999999999997</v>
      </c>
      <c r="K394" s="33">
        <f t="shared" si="10"/>
        <v>2.1965000000000003</v>
      </c>
      <c r="L394" s="57">
        <v>1</v>
      </c>
    </row>
    <row r="395" spans="1:12" x14ac:dyDescent="0.2">
      <c r="A395" s="63">
        <v>44655</v>
      </c>
      <c r="B395" s="57">
        <v>2365</v>
      </c>
      <c r="C395" s="57" t="s">
        <v>157</v>
      </c>
      <c r="D395" s="57" t="s">
        <v>158</v>
      </c>
      <c r="E395" s="57" t="s">
        <v>159</v>
      </c>
      <c r="F395" s="57">
        <f t="shared" si="13"/>
        <v>1</v>
      </c>
      <c r="G395" s="57">
        <v>6.2595000000000001</v>
      </c>
      <c r="H395" s="57">
        <v>6.6277999999999997</v>
      </c>
      <c r="I395" s="57">
        <v>6.4695</v>
      </c>
      <c r="J395" s="33">
        <f t="shared" si="9"/>
        <v>0.36829999999999963</v>
      </c>
      <c r="K395" s="33">
        <f t="shared" si="10"/>
        <v>0.20999999999999996</v>
      </c>
    </row>
    <row r="396" spans="1:12" x14ac:dyDescent="0.2">
      <c r="A396" s="63">
        <v>44655</v>
      </c>
      <c r="B396" s="57">
        <v>2008</v>
      </c>
      <c r="C396" s="57" t="s">
        <v>160</v>
      </c>
      <c r="D396" s="57" t="s">
        <v>161</v>
      </c>
      <c r="E396" s="57" t="s">
        <v>159</v>
      </c>
      <c r="F396" s="57">
        <f t="shared" si="13"/>
        <v>0</v>
      </c>
      <c r="G396" s="57">
        <v>6.3135000000000003</v>
      </c>
      <c r="H396" s="57">
        <v>6.6151999999999997</v>
      </c>
      <c r="I396" s="57">
        <v>6.4550000000000001</v>
      </c>
      <c r="J396" s="33">
        <f t="shared" si="9"/>
        <v>0.30169999999999941</v>
      </c>
      <c r="K396" s="33">
        <f t="shared" si="10"/>
        <v>0.14149999999999974</v>
      </c>
    </row>
    <row r="397" spans="1:12" x14ac:dyDescent="0.2">
      <c r="A397" s="63">
        <v>44670</v>
      </c>
      <c r="B397" s="57" t="s">
        <v>165</v>
      </c>
      <c r="C397" s="57" t="s">
        <v>160</v>
      </c>
      <c r="D397" s="57" t="s">
        <v>161</v>
      </c>
      <c r="E397" s="57" t="s">
        <v>159</v>
      </c>
      <c r="F397" s="57">
        <f t="shared" si="13"/>
        <v>0</v>
      </c>
      <c r="G397" s="57">
        <v>7.3357999999999999</v>
      </c>
      <c r="H397" s="57">
        <v>9.1976999999999993</v>
      </c>
      <c r="I397" s="57">
        <v>7.7832999999999997</v>
      </c>
      <c r="J397" s="33">
        <f t="shared" si="9"/>
        <v>1.8618999999999994</v>
      </c>
      <c r="K397" s="33">
        <f t="shared" si="10"/>
        <v>0.44749999999999979</v>
      </c>
      <c r="L397" s="57">
        <v>1</v>
      </c>
    </row>
    <row r="398" spans="1:12" x14ac:dyDescent="0.2">
      <c r="A398" s="63">
        <v>44655</v>
      </c>
      <c r="B398" s="57">
        <v>2346</v>
      </c>
      <c r="C398" s="57" t="s">
        <v>157</v>
      </c>
      <c r="D398" s="57" t="s">
        <v>158</v>
      </c>
      <c r="E398" s="57" t="s">
        <v>159</v>
      </c>
      <c r="F398" s="57">
        <f t="shared" si="13"/>
        <v>1</v>
      </c>
      <c r="G398" s="57">
        <v>0</v>
      </c>
      <c r="H398" s="57">
        <v>1.9623999999999999</v>
      </c>
      <c r="I398" s="57">
        <v>1.115</v>
      </c>
      <c r="J398" s="33">
        <f t="shared" si="9"/>
        <v>1.9623999999999999</v>
      </c>
      <c r="K398" s="33">
        <f t="shared" si="10"/>
        <v>1.115</v>
      </c>
    </row>
    <row r="399" spans="1:12" x14ac:dyDescent="0.2">
      <c r="A399" s="63">
        <v>44663</v>
      </c>
      <c r="B399" s="57" t="s">
        <v>166</v>
      </c>
      <c r="C399" s="57" t="s">
        <v>160</v>
      </c>
      <c r="D399" s="57" t="s">
        <v>161</v>
      </c>
      <c r="E399" s="57" t="s">
        <v>162</v>
      </c>
      <c r="F399" s="57">
        <f t="shared" si="13"/>
        <v>0</v>
      </c>
      <c r="G399" s="57">
        <v>7.3701999999999996</v>
      </c>
      <c r="H399" s="57">
        <v>14.398999999999999</v>
      </c>
      <c r="I399" s="57">
        <v>9.5875000000000004</v>
      </c>
      <c r="J399" s="33">
        <f t="shared" si="9"/>
        <v>7.0287999999999995</v>
      </c>
      <c r="K399" s="33">
        <f t="shared" si="10"/>
        <v>2.2173000000000007</v>
      </c>
      <c r="L399" s="57">
        <v>3</v>
      </c>
    </row>
    <row r="400" spans="1:12" x14ac:dyDescent="0.2">
      <c r="A400" s="63">
        <v>44655</v>
      </c>
      <c r="B400" s="57">
        <v>2370</v>
      </c>
      <c r="C400" s="57" t="s">
        <v>157</v>
      </c>
      <c r="D400" s="57" t="s">
        <v>158</v>
      </c>
      <c r="E400" s="57" t="s">
        <v>159</v>
      </c>
      <c r="F400" s="57">
        <f t="shared" si="13"/>
        <v>1</v>
      </c>
      <c r="G400" s="57">
        <v>7.2323000000000004</v>
      </c>
      <c r="H400" s="57">
        <v>8.1719000000000008</v>
      </c>
      <c r="I400" s="57">
        <v>7.7907000000000002</v>
      </c>
      <c r="J400" s="33">
        <f t="shared" si="9"/>
        <v>0.93960000000000043</v>
      </c>
      <c r="K400" s="33">
        <f t="shared" si="10"/>
        <v>0.55839999999999979</v>
      </c>
    </row>
    <row r="401" spans="1:12" x14ac:dyDescent="0.2">
      <c r="A401" s="63">
        <v>44670</v>
      </c>
      <c r="B401" s="57" t="s">
        <v>167</v>
      </c>
      <c r="C401" s="57" t="s">
        <v>160</v>
      </c>
      <c r="D401" s="57" t="s">
        <v>161</v>
      </c>
      <c r="E401" s="57" t="s">
        <v>162</v>
      </c>
      <c r="F401" s="57">
        <f t="shared" si="13"/>
        <v>0</v>
      </c>
      <c r="G401" s="57">
        <v>6.3177000000000003</v>
      </c>
      <c r="H401" s="57">
        <v>10.012600000000001</v>
      </c>
      <c r="I401" s="57">
        <v>7.5885999999999996</v>
      </c>
      <c r="J401" s="33">
        <f t="shared" si="9"/>
        <v>3.6949000000000005</v>
      </c>
      <c r="K401" s="33">
        <f t="shared" si="10"/>
        <v>1.2708999999999993</v>
      </c>
      <c r="L401" s="57">
        <v>4</v>
      </c>
    </row>
    <row r="402" spans="1:12" x14ac:dyDescent="0.2">
      <c r="A402" s="63">
        <v>44655</v>
      </c>
      <c r="B402" s="57">
        <v>2367</v>
      </c>
      <c r="C402" s="57" t="s">
        <v>157</v>
      </c>
      <c r="D402" s="57" t="s">
        <v>161</v>
      </c>
      <c r="E402" s="57" t="s">
        <v>159</v>
      </c>
      <c r="F402" s="57">
        <f t="shared" si="13"/>
        <v>0</v>
      </c>
      <c r="G402" s="57">
        <v>7.3320999999999996</v>
      </c>
      <c r="H402" s="57">
        <v>7.5258000000000003</v>
      </c>
      <c r="I402" s="57">
        <v>7.4291</v>
      </c>
      <c r="J402" s="33">
        <f t="shared" si="9"/>
        <v>0.19370000000000065</v>
      </c>
      <c r="K402" s="33">
        <f t="shared" si="10"/>
        <v>9.7000000000000419E-2</v>
      </c>
    </row>
    <row r="403" spans="1:12" x14ac:dyDescent="0.2">
      <c r="A403" s="63">
        <v>44677</v>
      </c>
      <c r="B403" s="57" t="s">
        <v>166</v>
      </c>
      <c r="C403" s="57" t="s">
        <v>160</v>
      </c>
      <c r="D403" s="57" t="s">
        <v>161</v>
      </c>
      <c r="E403" s="57" t="s">
        <v>162</v>
      </c>
      <c r="F403" s="57">
        <f t="shared" si="13"/>
        <v>0</v>
      </c>
      <c r="G403" s="57">
        <v>7.3719000000000001</v>
      </c>
      <c r="H403" s="57">
        <v>11.4053</v>
      </c>
      <c r="I403" s="57">
        <v>8.7579999999999991</v>
      </c>
      <c r="J403" s="33">
        <f t="shared" si="9"/>
        <v>4.0334000000000003</v>
      </c>
      <c r="K403" s="33">
        <f t="shared" si="10"/>
        <v>1.386099999999999</v>
      </c>
      <c r="L403" s="57">
        <v>4</v>
      </c>
    </row>
    <row r="404" spans="1:12" x14ac:dyDescent="0.2">
      <c r="A404" s="63">
        <v>44655</v>
      </c>
      <c r="B404" s="57">
        <v>2378</v>
      </c>
      <c r="C404" s="57" t="s">
        <v>157</v>
      </c>
      <c r="D404" s="57" t="s">
        <v>158</v>
      </c>
      <c r="E404" s="57" t="s">
        <v>159</v>
      </c>
      <c r="F404" s="57">
        <f t="shared" si="13"/>
        <v>1</v>
      </c>
      <c r="G404" s="57">
        <v>6.2530000000000001</v>
      </c>
      <c r="H404" s="57">
        <v>6.7492000000000001</v>
      </c>
      <c r="I404" s="57">
        <v>6.5279999999999996</v>
      </c>
      <c r="J404" s="33">
        <f t="shared" si="9"/>
        <v>0.49619999999999997</v>
      </c>
      <c r="K404" s="33">
        <f t="shared" si="10"/>
        <v>0.27499999999999947</v>
      </c>
    </row>
    <row r="405" spans="1:12" x14ac:dyDescent="0.2">
      <c r="A405" s="63">
        <v>44655</v>
      </c>
      <c r="B405" s="57">
        <v>2347</v>
      </c>
      <c r="C405" s="57" t="s">
        <v>157</v>
      </c>
      <c r="D405" s="57" t="s">
        <v>161</v>
      </c>
      <c r="E405" s="57" t="s">
        <v>159</v>
      </c>
      <c r="F405" s="57">
        <f t="shared" si="13"/>
        <v>0</v>
      </c>
      <c r="G405" s="57">
        <v>0</v>
      </c>
      <c r="H405" s="57">
        <v>0.3039</v>
      </c>
      <c r="I405" s="57">
        <v>0.1391</v>
      </c>
      <c r="J405" s="33">
        <f t="shared" si="9"/>
        <v>0.3039</v>
      </c>
      <c r="K405" s="33">
        <f t="shared" si="10"/>
        <v>0.1391</v>
      </c>
    </row>
    <row r="406" spans="1:12" x14ac:dyDescent="0.2">
      <c r="A406" s="63">
        <v>44655</v>
      </c>
      <c r="B406" s="57">
        <v>2024</v>
      </c>
      <c r="C406" s="57" t="s">
        <v>160</v>
      </c>
      <c r="D406" s="57" t="s">
        <v>158</v>
      </c>
      <c r="E406" s="57" t="s">
        <v>159</v>
      </c>
      <c r="F406" s="57">
        <f t="shared" si="13"/>
        <v>1</v>
      </c>
      <c r="G406" s="57">
        <v>7.3804999999999996</v>
      </c>
      <c r="H406" s="57">
        <v>8.5510000000000002</v>
      </c>
      <c r="I406" s="57">
        <f>7.3805+0.661</f>
        <v>8.0414999999999992</v>
      </c>
      <c r="J406" s="33">
        <f t="shared" si="9"/>
        <v>1.1705000000000005</v>
      </c>
      <c r="K406" s="33">
        <f t="shared" si="10"/>
        <v>0.66099999999999959</v>
      </c>
    </row>
    <row r="407" spans="1:12" x14ac:dyDescent="0.2">
      <c r="A407" s="63">
        <v>44663</v>
      </c>
      <c r="B407" s="57" t="s">
        <v>165</v>
      </c>
      <c r="C407" s="57" t="s">
        <v>160</v>
      </c>
      <c r="D407" s="57" t="s">
        <v>161</v>
      </c>
      <c r="E407" s="57" t="s">
        <v>159</v>
      </c>
      <c r="F407" s="57">
        <f t="shared" si="13"/>
        <v>0</v>
      </c>
      <c r="G407" s="57">
        <v>6.2530999999999999</v>
      </c>
      <c r="H407" s="57">
        <v>10.6295</v>
      </c>
      <c r="I407" s="57">
        <v>7.8487999999999998</v>
      </c>
      <c r="J407" s="33">
        <f t="shared" si="9"/>
        <v>4.3764000000000003</v>
      </c>
      <c r="K407" s="33">
        <f t="shared" si="10"/>
        <v>1.5956999999999999</v>
      </c>
      <c r="L407" s="57">
        <v>2</v>
      </c>
    </row>
    <row r="408" spans="1:12" x14ac:dyDescent="0.2">
      <c r="A408" s="63">
        <v>44663</v>
      </c>
      <c r="B408" s="57" t="s">
        <v>165</v>
      </c>
      <c r="C408" s="57" t="s">
        <v>160</v>
      </c>
      <c r="D408" s="57" t="s">
        <v>161</v>
      </c>
      <c r="E408" s="57" t="s">
        <v>159</v>
      </c>
      <c r="F408" s="57">
        <f t="shared" si="13"/>
        <v>0</v>
      </c>
      <c r="G408" s="57">
        <v>7.3460000000000001</v>
      </c>
      <c r="H408" s="57">
        <v>11.1595</v>
      </c>
      <c r="I408" s="57">
        <v>8.1661000000000001</v>
      </c>
      <c r="J408" s="33">
        <f t="shared" si="9"/>
        <v>3.8134999999999994</v>
      </c>
      <c r="K408" s="33">
        <f t="shared" si="10"/>
        <v>0.82010000000000005</v>
      </c>
      <c r="L408" s="57">
        <v>1</v>
      </c>
    </row>
    <row r="409" spans="1:12" x14ac:dyDescent="0.2">
      <c r="A409" s="63">
        <v>44655</v>
      </c>
      <c r="B409" s="57">
        <v>2007</v>
      </c>
      <c r="C409" s="57" t="s">
        <v>160</v>
      </c>
      <c r="D409" s="57" t="s">
        <v>161</v>
      </c>
      <c r="E409" s="57" t="s">
        <v>159</v>
      </c>
      <c r="F409" s="57">
        <f t="shared" si="13"/>
        <v>0</v>
      </c>
      <c r="G409" s="57">
        <v>7.4519000000000002</v>
      </c>
      <c r="H409" s="57">
        <v>8.0289999999999999</v>
      </c>
      <c r="I409" s="57">
        <v>7.7302999999999997</v>
      </c>
      <c r="J409" s="33">
        <f t="shared" si="9"/>
        <v>0.57709999999999972</v>
      </c>
      <c r="K409" s="33">
        <f t="shared" si="10"/>
        <v>0.27839999999999954</v>
      </c>
    </row>
    <row r="410" spans="1:12" x14ac:dyDescent="0.2">
      <c r="A410" s="63">
        <v>44655</v>
      </c>
      <c r="B410" s="57">
        <v>2009</v>
      </c>
      <c r="C410" s="57" t="s">
        <v>157</v>
      </c>
      <c r="D410" s="57" t="s">
        <v>158</v>
      </c>
      <c r="E410" s="57" t="s">
        <v>159</v>
      </c>
      <c r="F410" s="57">
        <f t="shared" si="13"/>
        <v>1</v>
      </c>
      <c r="G410" s="57">
        <v>7.2321</v>
      </c>
      <c r="H410" s="57">
        <v>8.0002999999999993</v>
      </c>
      <c r="I410" s="57">
        <v>7.6769999999999996</v>
      </c>
      <c r="J410" s="33">
        <f t="shared" si="9"/>
        <v>0.76819999999999933</v>
      </c>
      <c r="K410" s="33">
        <f t="shared" si="10"/>
        <v>0.44489999999999963</v>
      </c>
    </row>
    <row r="411" spans="1:12" x14ac:dyDescent="0.2">
      <c r="A411" s="63">
        <v>44655</v>
      </c>
      <c r="B411" s="57">
        <v>2383</v>
      </c>
      <c r="C411" s="57" t="s">
        <v>157</v>
      </c>
      <c r="D411" s="57" t="s">
        <v>161</v>
      </c>
      <c r="E411" s="57" t="s">
        <v>159</v>
      </c>
      <c r="F411" s="57">
        <f t="shared" si="13"/>
        <v>0</v>
      </c>
      <c r="G411" s="57">
        <v>6.3215000000000003</v>
      </c>
      <c r="H411" s="57">
        <v>6.8467000000000002</v>
      </c>
      <c r="I411" s="57">
        <v>6.5937999999999999</v>
      </c>
      <c r="J411" s="33">
        <f t="shared" si="9"/>
        <v>0.52519999999999989</v>
      </c>
      <c r="K411" s="33">
        <f t="shared" si="10"/>
        <v>0.27229999999999954</v>
      </c>
    </row>
    <row r="412" spans="1:12" x14ac:dyDescent="0.2">
      <c r="A412" s="63">
        <v>44655</v>
      </c>
      <c r="B412" s="57">
        <v>2331</v>
      </c>
      <c r="C412" s="57" t="s">
        <v>157</v>
      </c>
      <c r="D412" s="57" t="s">
        <v>158</v>
      </c>
      <c r="E412" s="57" t="s">
        <v>159</v>
      </c>
      <c r="F412" s="57">
        <f t="shared" si="13"/>
        <v>1</v>
      </c>
      <c r="G412" s="57">
        <v>7.2919999999999998</v>
      </c>
      <c r="H412" s="57">
        <v>8.8125999999999998</v>
      </c>
      <c r="I412" s="33">
        <f>7.292+0.99</f>
        <v>8.282</v>
      </c>
      <c r="J412" s="33">
        <f t="shared" si="9"/>
        <v>1.5206</v>
      </c>
      <c r="K412" s="33">
        <f t="shared" si="10"/>
        <v>0.99000000000000021</v>
      </c>
    </row>
    <row r="413" spans="1:12" x14ac:dyDescent="0.2">
      <c r="A413" s="63">
        <v>44677</v>
      </c>
      <c r="B413" s="57" t="s">
        <v>166</v>
      </c>
      <c r="C413" s="57" t="s">
        <v>160</v>
      </c>
      <c r="D413" s="57" t="s">
        <v>161</v>
      </c>
      <c r="E413" s="57" t="s">
        <v>162</v>
      </c>
      <c r="F413" s="57">
        <f t="shared" si="13"/>
        <v>0</v>
      </c>
      <c r="G413" s="57">
        <v>7.3703000000000003</v>
      </c>
      <c r="H413" s="57">
        <v>12.1358</v>
      </c>
      <c r="I413" s="57">
        <v>8.8133999999999997</v>
      </c>
      <c r="J413" s="33">
        <f t="shared" si="9"/>
        <v>4.7654999999999994</v>
      </c>
      <c r="K413" s="33">
        <f t="shared" si="10"/>
        <v>1.4430999999999994</v>
      </c>
      <c r="L413" s="57">
        <v>3</v>
      </c>
    </row>
    <row r="414" spans="1:12" x14ac:dyDescent="0.2">
      <c r="A414" s="63">
        <v>44655</v>
      </c>
      <c r="B414" s="57">
        <v>2009</v>
      </c>
      <c r="C414" s="57" t="s">
        <v>157</v>
      </c>
      <c r="D414" s="57" t="s">
        <v>161</v>
      </c>
      <c r="E414" s="57" t="s">
        <v>159</v>
      </c>
      <c r="F414" s="57">
        <f t="shared" si="13"/>
        <v>0</v>
      </c>
      <c r="G414" s="57">
        <v>7.2742000000000004</v>
      </c>
      <c r="H414" s="57">
        <v>7.7457000000000003</v>
      </c>
      <c r="I414" s="57">
        <v>7.4950000000000001</v>
      </c>
      <c r="J414" s="33">
        <f t="shared" si="9"/>
        <v>0.47149999999999981</v>
      </c>
      <c r="K414" s="33">
        <f t="shared" si="10"/>
        <v>0.22079999999999966</v>
      </c>
    </row>
    <row r="415" spans="1:12" x14ac:dyDescent="0.2">
      <c r="A415" s="63">
        <v>44655</v>
      </c>
      <c r="B415" s="57">
        <v>2347</v>
      </c>
      <c r="C415" s="57" t="s">
        <v>157</v>
      </c>
      <c r="D415" s="57" t="s">
        <v>161</v>
      </c>
      <c r="E415" s="57" t="s">
        <v>159</v>
      </c>
      <c r="F415" s="57">
        <f t="shared" si="13"/>
        <v>0</v>
      </c>
      <c r="G415" s="57">
        <v>7.3072999999999997</v>
      </c>
      <c r="H415" s="57">
        <v>8.2821999999999996</v>
      </c>
      <c r="I415" s="57">
        <v>7.891</v>
      </c>
      <c r="J415" s="33">
        <f t="shared" si="9"/>
        <v>0.97489999999999988</v>
      </c>
      <c r="K415" s="33">
        <f t="shared" si="10"/>
        <v>0.58370000000000033</v>
      </c>
    </row>
    <row r="416" spans="1:12" x14ac:dyDescent="0.2">
      <c r="A416" s="63">
        <v>44655</v>
      </c>
      <c r="B416" s="57">
        <v>2092</v>
      </c>
      <c r="C416" s="57" t="s">
        <v>160</v>
      </c>
      <c r="D416" s="57" t="s">
        <v>158</v>
      </c>
      <c r="E416" s="57" t="s">
        <v>159</v>
      </c>
      <c r="F416" s="57">
        <f t="shared" si="13"/>
        <v>1</v>
      </c>
      <c r="G416" s="57">
        <v>6.2850000000000001</v>
      </c>
      <c r="H416" s="57">
        <v>7.0054999999999996</v>
      </c>
      <c r="I416" s="57">
        <v>6.6944999999999997</v>
      </c>
      <c r="J416" s="33">
        <f t="shared" si="9"/>
        <v>0.72049999999999947</v>
      </c>
      <c r="K416" s="33">
        <f t="shared" si="10"/>
        <v>0.40949999999999953</v>
      </c>
    </row>
    <row r="417" spans="1:12" x14ac:dyDescent="0.2">
      <c r="A417" s="63">
        <v>44655</v>
      </c>
      <c r="B417" s="57">
        <v>2301</v>
      </c>
      <c r="C417" s="57" t="s">
        <v>157</v>
      </c>
      <c r="D417" s="57" t="s">
        <v>158</v>
      </c>
      <c r="E417" s="57" t="s">
        <v>159</v>
      </c>
      <c r="F417" s="57">
        <f t="shared" si="13"/>
        <v>1</v>
      </c>
      <c r="G417" s="57">
        <v>6.2929000000000004</v>
      </c>
      <c r="H417" s="57">
        <v>7.5622999999999996</v>
      </c>
      <c r="I417" s="57">
        <v>7.0770999999999997</v>
      </c>
      <c r="J417" s="33">
        <f t="shared" si="9"/>
        <v>1.2693999999999992</v>
      </c>
      <c r="K417" s="33">
        <f t="shared" si="10"/>
        <v>0.78419999999999934</v>
      </c>
    </row>
    <row r="418" spans="1:12" x14ac:dyDescent="0.2">
      <c r="A418" s="63">
        <v>44655</v>
      </c>
      <c r="B418" s="57">
        <v>2372</v>
      </c>
      <c r="C418" s="57" t="s">
        <v>157</v>
      </c>
      <c r="D418" s="57" t="s">
        <v>158</v>
      </c>
      <c r="E418" s="57" t="s">
        <v>159</v>
      </c>
      <c r="F418" s="57">
        <f t="shared" si="13"/>
        <v>1</v>
      </c>
      <c r="G418" s="57">
        <v>7.3216000000000001</v>
      </c>
      <c r="H418" s="57">
        <v>7.9797000000000002</v>
      </c>
      <c r="I418" s="57">
        <v>7.7167000000000003</v>
      </c>
      <c r="J418" s="33">
        <f t="shared" si="9"/>
        <v>0.65810000000000013</v>
      </c>
      <c r="K418" s="33">
        <f t="shared" si="10"/>
        <v>0.39510000000000023</v>
      </c>
    </row>
    <row r="419" spans="1:12" x14ac:dyDescent="0.2">
      <c r="A419" s="63">
        <v>44655</v>
      </c>
      <c r="B419" s="57">
        <v>2024</v>
      </c>
      <c r="C419" s="57" t="s">
        <v>160</v>
      </c>
      <c r="D419" s="57" t="s">
        <v>161</v>
      </c>
      <c r="E419" s="57" t="s">
        <v>159</v>
      </c>
      <c r="F419" s="57">
        <f t="shared" si="13"/>
        <v>0</v>
      </c>
      <c r="G419" s="57">
        <v>7.5075000000000003</v>
      </c>
      <c r="H419" s="57">
        <v>8.2266999999999992</v>
      </c>
      <c r="I419" s="33">
        <f>7.5075+0.344</f>
        <v>7.8515000000000006</v>
      </c>
      <c r="J419" s="33">
        <f t="shared" si="9"/>
        <v>0.71919999999999895</v>
      </c>
      <c r="K419" s="33">
        <f t="shared" si="10"/>
        <v>0.34400000000000031</v>
      </c>
    </row>
    <row r="420" spans="1:12" x14ac:dyDescent="0.2">
      <c r="A420" s="63">
        <v>44655</v>
      </c>
      <c r="B420" s="57">
        <v>2005</v>
      </c>
      <c r="C420" s="57" t="s">
        <v>160</v>
      </c>
      <c r="D420" s="57" t="s">
        <v>161</v>
      </c>
      <c r="E420" s="57" t="s">
        <v>159</v>
      </c>
      <c r="F420" s="57">
        <f t="shared" si="13"/>
        <v>0</v>
      </c>
      <c r="G420" s="57">
        <v>7.3650000000000002</v>
      </c>
      <c r="H420" s="57">
        <v>8.3053000000000008</v>
      </c>
      <c r="I420" s="33">
        <f>7.365+0.432</f>
        <v>7.7970000000000006</v>
      </c>
      <c r="J420" s="33">
        <f t="shared" si="9"/>
        <v>0.94030000000000058</v>
      </c>
      <c r="K420" s="33">
        <f t="shared" si="10"/>
        <v>0.43200000000000038</v>
      </c>
    </row>
    <row r="421" spans="1:12" x14ac:dyDescent="0.2">
      <c r="A421" s="63">
        <v>44655</v>
      </c>
      <c r="B421" s="57">
        <v>2377</v>
      </c>
      <c r="C421" s="57" t="s">
        <v>157</v>
      </c>
      <c r="D421" s="57" t="s">
        <v>158</v>
      </c>
      <c r="E421" s="57" t="s">
        <v>159</v>
      </c>
      <c r="F421" s="57">
        <f t="shared" si="13"/>
        <v>1</v>
      </c>
      <c r="G421" s="57">
        <v>6.2891000000000004</v>
      </c>
      <c r="H421" s="57">
        <v>7.7748999999999997</v>
      </c>
      <c r="I421" s="57">
        <v>7.1783000000000001</v>
      </c>
      <c r="J421" s="33">
        <f t="shared" si="9"/>
        <v>1.4857999999999993</v>
      </c>
      <c r="K421" s="33">
        <f t="shared" si="10"/>
        <v>0.88919999999999977</v>
      </c>
    </row>
    <row r="422" spans="1:12" x14ac:dyDescent="0.2">
      <c r="A422" s="63">
        <v>44655</v>
      </c>
      <c r="B422" s="57">
        <v>2092</v>
      </c>
      <c r="C422" s="57" t="s">
        <v>160</v>
      </c>
      <c r="D422" s="57" t="s">
        <v>161</v>
      </c>
      <c r="E422" s="57" t="s">
        <v>162</v>
      </c>
      <c r="F422" s="57">
        <f t="shared" si="13"/>
        <v>0</v>
      </c>
      <c r="G422" s="57">
        <v>7.3491</v>
      </c>
      <c r="H422" s="57">
        <v>8.1659000000000006</v>
      </c>
      <c r="I422" s="57">
        <v>7.8197999999999999</v>
      </c>
      <c r="J422" s="33">
        <f t="shared" si="9"/>
        <v>0.81680000000000064</v>
      </c>
      <c r="K422" s="33">
        <f t="shared" si="10"/>
        <v>0.4706999999999999</v>
      </c>
    </row>
    <row r="423" spans="1:12" x14ac:dyDescent="0.2">
      <c r="A423" s="63">
        <v>44655</v>
      </c>
      <c r="B423" s="57">
        <v>2369</v>
      </c>
      <c r="C423" s="57" t="s">
        <v>157</v>
      </c>
      <c r="D423" s="57" t="s">
        <v>158</v>
      </c>
      <c r="E423" s="57" t="s">
        <v>159</v>
      </c>
      <c r="F423" s="57">
        <f t="shared" si="13"/>
        <v>1</v>
      </c>
      <c r="G423" s="57">
        <v>7.3337000000000003</v>
      </c>
      <c r="H423" s="57">
        <v>7.5829000000000004</v>
      </c>
      <c r="I423" s="57">
        <v>7.4859999999999998</v>
      </c>
      <c r="J423" s="33">
        <f t="shared" si="9"/>
        <v>0.24920000000000009</v>
      </c>
      <c r="K423" s="33">
        <f t="shared" si="10"/>
        <v>0.15229999999999944</v>
      </c>
    </row>
    <row r="424" spans="1:12" x14ac:dyDescent="0.2">
      <c r="A424" s="63">
        <v>44663</v>
      </c>
      <c r="B424" s="57" t="s">
        <v>167</v>
      </c>
      <c r="C424" s="57" t="s">
        <v>160</v>
      </c>
      <c r="D424" s="57" t="s">
        <v>161</v>
      </c>
      <c r="E424" s="57" t="s">
        <v>159</v>
      </c>
      <c r="F424" s="57">
        <f t="shared" si="13"/>
        <v>0</v>
      </c>
      <c r="G424" s="57">
        <v>7.2389000000000001</v>
      </c>
      <c r="H424" s="57">
        <v>10.459199999999999</v>
      </c>
      <c r="I424" s="57">
        <v>8.2622999999999998</v>
      </c>
      <c r="J424" s="33">
        <f t="shared" si="9"/>
        <v>3.2202999999999991</v>
      </c>
      <c r="K424" s="33">
        <f t="shared" si="10"/>
        <v>1.0233999999999996</v>
      </c>
      <c r="L424" s="57">
        <v>3</v>
      </c>
    </row>
    <row r="425" spans="1:12" x14ac:dyDescent="0.2">
      <c r="A425" s="63">
        <v>44655</v>
      </c>
      <c r="B425" s="57">
        <v>2026</v>
      </c>
      <c r="C425" s="57" t="s">
        <v>160</v>
      </c>
      <c r="D425" s="57" t="s">
        <v>161</v>
      </c>
      <c r="E425" s="57" t="s">
        <v>162</v>
      </c>
      <c r="F425" s="57">
        <f t="shared" si="13"/>
        <v>0</v>
      </c>
      <c r="G425" s="57">
        <v>7.2893999999999997</v>
      </c>
      <c r="H425" s="57">
        <v>11.567500000000001</v>
      </c>
      <c r="I425" s="57">
        <v>9.4532000000000007</v>
      </c>
      <c r="J425" s="33">
        <f t="shared" si="9"/>
        <v>4.2781000000000011</v>
      </c>
      <c r="K425" s="33">
        <f t="shared" si="10"/>
        <v>2.1638000000000011</v>
      </c>
    </row>
    <row r="426" spans="1:12" x14ac:dyDescent="0.2">
      <c r="A426" s="63">
        <v>44655</v>
      </c>
      <c r="B426" s="57">
        <v>2385</v>
      </c>
      <c r="C426" s="57" t="s">
        <v>160</v>
      </c>
      <c r="D426" s="57" t="s">
        <v>161</v>
      </c>
      <c r="E426" s="57" t="s">
        <v>162</v>
      </c>
      <c r="F426" s="57">
        <f t="shared" si="13"/>
        <v>0</v>
      </c>
      <c r="G426" s="57">
        <v>7.3442999999999996</v>
      </c>
      <c r="H426" s="57">
        <v>13.213100000000001</v>
      </c>
      <c r="I426" s="57">
        <v>9.7159999999999993</v>
      </c>
      <c r="J426" s="33">
        <f t="shared" si="9"/>
        <v>5.8688000000000011</v>
      </c>
      <c r="K426" s="33">
        <f t="shared" si="10"/>
        <v>2.3716999999999997</v>
      </c>
    </row>
    <row r="427" spans="1:12" x14ac:dyDescent="0.2">
      <c r="A427" s="63">
        <v>44655</v>
      </c>
      <c r="B427" s="57">
        <v>2352</v>
      </c>
      <c r="C427" s="57" t="s">
        <v>157</v>
      </c>
      <c r="D427" s="57" t="s">
        <v>158</v>
      </c>
      <c r="E427" s="57" t="s">
        <v>159</v>
      </c>
      <c r="F427" s="57">
        <f t="shared" si="13"/>
        <v>1</v>
      </c>
      <c r="G427" s="57">
        <v>7.3108000000000004</v>
      </c>
      <c r="H427" s="57">
        <v>8.1445000000000007</v>
      </c>
      <c r="I427" s="57">
        <v>7.8529999999999998</v>
      </c>
      <c r="J427" s="33">
        <f t="shared" si="9"/>
        <v>0.83370000000000033</v>
      </c>
      <c r="K427" s="33">
        <f t="shared" si="10"/>
        <v>0.54219999999999935</v>
      </c>
    </row>
    <row r="428" spans="1:12" x14ac:dyDescent="0.2">
      <c r="A428" s="63">
        <v>44670</v>
      </c>
      <c r="B428" s="57" t="s">
        <v>165</v>
      </c>
      <c r="C428" s="57" t="s">
        <v>160</v>
      </c>
      <c r="D428" s="57" t="s">
        <v>161</v>
      </c>
      <c r="E428" s="57" t="s">
        <v>159</v>
      </c>
      <c r="F428" s="57">
        <f t="shared" si="13"/>
        <v>0</v>
      </c>
      <c r="G428" s="57">
        <v>6.3777999999999997</v>
      </c>
      <c r="H428" s="57">
        <v>9.3231999999999999</v>
      </c>
      <c r="I428" s="57">
        <v>6.9880000000000004</v>
      </c>
      <c r="J428" s="33">
        <f t="shared" si="9"/>
        <v>2.9454000000000002</v>
      </c>
      <c r="K428" s="33">
        <f t="shared" si="10"/>
        <v>0.61020000000000074</v>
      </c>
      <c r="L428" s="57">
        <v>2</v>
      </c>
    </row>
    <row r="429" spans="1:12" x14ac:dyDescent="0.2">
      <c r="A429" s="63">
        <v>44655</v>
      </c>
      <c r="B429" s="57">
        <v>2383</v>
      </c>
      <c r="C429" s="57" t="s">
        <v>157</v>
      </c>
      <c r="D429" s="57" t="s">
        <v>158</v>
      </c>
      <c r="E429" s="57" t="s">
        <v>159</v>
      </c>
      <c r="F429" s="57">
        <f t="shared" si="13"/>
        <v>1</v>
      </c>
      <c r="G429" s="57">
        <v>7.3049999999999997</v>
      </c>
      <c r="H429" s="57">
        <v>8.8834</v>
      </c>
      <c r="I429" s="57">
        <v>8.1942000000000004</v>
      </c>
      <c r="J429" s="33">
        <f t="shared" si="9"/>
        <v>1.5784000000000002</v>
      </c>
      <c r="K429" s="33">
        <f t="shared" si="10"/>
        <v>0.88920000000000066</v>
      </c>
    </row>
    <row r="430" spans="1:12" x14ac:dyDescent="0.2">
      <c r="A430" s="63">
        <v>44655</v>
      </c>
      <c r="B430" s="57">
        <v>2354</v>
      </c>
      <c r="C430" s="57" t="s">
        <v>157</v>
      </c>
      <c r="D430" s="57" t="s">
        <v>158</v>
      </c>
      <c r="E430" s="57" t="s">
        <v>159</v>
      </c>
      <c r="F430" s="57">
        <f t="shared" si="13"/>
        <v>1</v>
      </c>
      <c r="G430" s="57">
        <v>6.2625999999999999</v>
      </c>
      <c r="H430" s="57">
        <v>6.7759999999999998</v>
      </c>
      <c r="I430" s="57">
        <v>6.5776000000000003</v>
      </c>
      <c r="J430" s="33">
        <f t="shared" si="9"/>
        <v>0.51339999999999986</v>
      </c>
      <c r="K430" s="33">
        <f t="shared" si="10"/>
        <v>0.31500000000000039</v>
      </c>
    </row>
    <row r="431" spans="1:12" x14ac:dyDescent="0.2">
      <c r="A431" s="63">
        <v>44655</v>
      </c>
      <c r="B431" s="57">
        <v>2367</v>
      </c>
      <c r="C431" s="57" t="s">
        <v>157</v>
      </c>
      <c r="D431" s="57" t="s">
        <v>158</v>
      </c>
      <c r="E431" s="57" t="s">
        <v>159</v>
      </c>
      <c r="F431" s="57">
        <f t="shared" si="13"/>
        <v>1</v>
      </c>
      <c r="G431" s="57">
        <v>7.2424999999999997</v>
      </c>
      <c r="H431" s="57">
        <v>7.8018999999999998</v>
      </c>
      <c r="I431" s="57">
        <v>7.5949999999999998</v>
      </c>
      <c r="J431" s="33">
        <f t="shared" si="9"/>
        <v>0.55940000000000012</v>
      </c>
      <c r="K431" s="33">
        <f t="shared" si="10"/>
        <v>0.35250000000000004</v>
      </c>
    </row>
    <row r="432" spans="1:12" x14ac:dyDescent="0.2">
      <c r="A432" s="63">
        <v>44655</v>
      </c>
      <c r="B432" s="57">
        <v>2093</v>
      </c>
      <c r="C432" s="57" t="s">
        <v>160</v>
      </c>
      <c r="D432" s="57" t="s">
        <v>161</v>
      </c>
      <c r="E432" s="57" t="s">
        <v>159</v>
      </c>
      <c r="F432" s="57">
        <f t="shared" si="13"/>
        <v>0</v>
      </c>
      <c r="G432" s="57">
        <v>7.2942</v>
      </c>
      <c r="H432" s="57">
        <v>7.3841999999999999</v>
      </c>
      <c r="I432" s="57">
        <v>7.3418999999999999</v>
      </c>
      <c r="J432" s="33">
        <f t="shared" si="9"/>
        <v>8.9999999999999858E-2</v>
      </c>
      <c r="K432" s="33">
        <f t="shared" si="10"/>
        <v>4.7699999999999854E-2</v>
      </c>
    </row>
    <row r="433" spans="1:11" x14ac:dyDescent="0.2">
      <c r="A433" s="63">
        <v>44655</v>
      </c>
      <c r="B433" s="57">
        <v>2352</v>
      </c>
      <c r="C433" s="57" t="s">
        <v>157</v>
      </c>
      <c r="D433" s="57" t="s">
        <v>161</v>
      </c>
      <c r="E433" s="57" t="s">
        <v>159</v>
      </c>
      <c r="F433" s="57">
        <f t="shared" si="13"/>
        <v>0</v>
      </c>
      <c r="G433" s="57">
        <v>6.2655000000000003</v>
      </c>
      <c r="H433" s="57">
        <v>6.351</v>
      </c>
      <c r="I433" s="57">
        <v>6.3131000000000004</v>
      </c>
      <c r="J433" s="33">
        <f t="shared" si="9"/>
        <v>8.5499999999999687E-2</v>
      </c>
      <c r="K433" s="33">
        <f t="shared" si="10"/>
        <v>4.7600000000000087E-2</v>
      </c>
    </row>
    <row r="434" spans="1:11" x14ac:dyDescent="0.2">
      <c r="A434" s="63">
        <v>44655</v>
      </c>
      <c r="B434" s="57">
        <v>2384</v>
      </c>
      <c r="C434" s="57" t="s">
        <v>157</v>
      </c>
      <c r="D434" s="57" t="s">
        <v>161</v>
      </c>
      <c r="E434" s="57" t="s">
        <v>159</v>
      </c>
      <c r="F434" s="57">
        <f t="shared" si="13"/>
        <v>0</v>
      </c>
      <c r="G434" s="57">
        <v>7.3028000000000004</v>
      </c>
      <c r="H434" s="57">
        <v>7.4371999999999998</v>
      </c>
      <c r="I434" s="57">
        <v>7.3840000000000003</v>
      </c>
      <c r="J434" s="33">
        <f t="shared" si="9"/>
        <v>0.13439999999999941</v>
      </c>
      <c r="K434" s="33">
        <f t="shared" si="10"/>
        <v>8.1199999999999939E-2</v>
      </c>
    </row>
    <row r="435" spans="1:11" x14ac:dyDescent="0.2">
      <c r="A435" s="63">
        <v>44655</v>
      </c>
      <c r="B435" s="57">
        <v>2029</v>
      </c>
      <c r="C435" s="57" t="s">
        <v>160</v>
      </c>
      <c r="D435" s="57" t="s">
        <v>161</v>
      </c>
      <c r="E435" s="57" t="s">
        <v>159</v>
      </c>
      <c r="F435" s="57">
        <f t="shared" si="13"/>
        <v>0</v>
      </c>
      <c r="G435" s="57">
        <v>7.3345000000000002</v>
      </c>
      <c r="H435" s="57">
        <v>7.6456</v>
      </c>
      <c r="I435" s="57">
        <v>7.492</v>
      </c>
      <c r="J435" s="33">
        <f t="shared" si="9"/>
        <v>0.31109999999999971</v>
      </c>
      <c r="K435" s="33">
        <f t="shared" si="10"/>
        <v>0.15749999999999975</v>
      </c>
    </row>
    <row r="436" spans="1:11" x14ac:dyDescent="0.2">
      <c r="A436" s="63">
        <v>44655</v>
      </c>
      <c r="B436" s="57">
        <v>2372</v>
      </c>
      <c r="C436" s="57" t="s">
        <v>157</v>
      </c>
      <c r="D436" s="57" t="s">
        <v>161</v>
      </c>
      <c r="E436" s="57" t="s">
        <v>159</v>
      </c>
      <c r="F436" s="57">
        <f t="shared" si="13"/>
        <v>0</v>
      </c>
      <c r="G436" s="57">
        <v>7.2573999999999996</v>
      </c>
      <c r="H436" s="57">
        <v>7.6317000000000004</v>
      </c>
      <c r="I436" s="57">
        <v>7.4184999999999999</v>
      </c>
      <c r="J436" s="33">
        <f t="shared" si="9"/>
        <v>0.37430000000000074</v>
      </c>
      <c r="K436" s="33">
        <f t="shared" si="10"/>
        <v>0.16110000000000024</v>
      </c>
    </row>
    <row r="437" spans="1:11" x14ac:dyDescent="0.2">
      <c r="A437" s="63">
        <v>44655</v>
      </c>
      <c r="B437" s="57">
        <v>2376</v>
      </c>
      <c r="C437" s="57" t="s">
        <v>157</v>
      </c>
      <c r="D437" s="57" t="s">
        <v>158</v>
      </c>
      <c r="E437" s="57" t="s">
        <v>159</v>
      </c>
      <c r="F437" s="57">
        <f t="shared" si="13"/>
        <v>1</v>
      </c>
      <c r="G437" s="57">
        <v>0</v>
      </c>
      <c r="H437" s="57">
        <v>1.0611999999999999</v>
      </c>
      <c r="I437" s="57">
        <v>0.65849999999999997</v>
      </c>
      <c r="J437" s="33">
        <f t="shared" si="9"/>
        <v>1.0611999999999999</v>
      </c>
      <c r="K437" s="33">
        <f t="shared" si="10"/>
        <v>0.65849999999999997</v>
      </c>
    </row>
    <row r="438" spans="1:11" x14ac:dyDescent="0.2">
      <c r="A438" s="63">
        <v>44655</v>
      </c>
      <c r="B438" s="57">
        <v>2360</v>
      </c>
      <c r="C438" s="57" t="s">
        <v>157</v>
      </c>
      <c r="D438" s="57" t="s">
        <v>161</v>
      </c>
      <c r="E438" s="57" t="s">
        <v>159</v>
      </c>
      <c r="F438" s="57">
        <f t="shared" si="13"/>
        <v>0</v>
      </c>
      <c r="G438" s="57">
        <v>6.3098999999999998</v>
      </c>
      <c r="H438" s="57">
        <v>7.0826000000000002</v>
      </c>
      <c r="I438" s="57">
        <v>6.7122000000000002</v>
      </c>
      <c r="J438" s="33">
        <f t="shared" si="9"/>
        <v>0.77270000000000039</v>
      </c>
      <c r="K438" s="33">
        <f t="shared" si="10"/>
        <v>0.40230000000000032</v>
      </c>
    </row>
    <row r="439" spans="1:11" x14ac:dyDescent="0.2">
      <c r="A439" s="63">
        <v>44655</v>
      </c>
      <c r="B439" s="57">
        <v>2011</v>
      </c>
      <c r="C439" s="57" t="s">
        <v>157</v>
      </c>
      <c r="D439" s="57" t="s">
        <v>158</v>
      </c>
      <c r="E439" s="57" t="s">
        <v>159</v>
      </c>
      <c r="F439" s="57">
        <f t="shared" si="13"/>
        <v>1</v>
      </c>
      <c r="G439" s="57">
        <v>0</v>
      </c>
      <c r="H439" s="57">
        <v>2.2545000000000002</v>
      </c>
      <c r="I439" s="57">
        <v>1.2089000000000001</v>
      </c>
      <c r="J439" s="33">
        <f t="shared" si="9"/>
        <v>2.2545000000000002</v>
      </c>
      <c r="K439" s="33">
        <f t="shared" si="10"/>
        <v>1.2089000000000001</v>
      </c>
    </row>
    <row r="440" spans="1:11" x14ac:dyDescent="0.2">
      <c r="A440" s="63">
        <v>44655</v>
      </c>
      <c r="B440" s="57">
        <v>2379</v>
      </c>
      <c r="C440" s="57" t="s">
        <v>157</v>
      </c>
      <c r="D440" s="57" t="s">
        <v>161</v>
      </c>
      <c r="E440" s="57" t="s">
        <v>159</v>
      </c>
      <c r="F440" s="57">
        <f t="shared" si="13"/>
        <v>0</v>
      </c>
      <c r="G440" s="57">
        <v>0</v>
      </c>
      <c r="H440" s="57">
        <v>0.55600000000000005</v>
      </c>
      <c r="I440" s="57">
        <v>0.2666</v>
      </c>
      <c r="J440" s="33">
        <f t="shared" si="9"/>
        <v>0.55600000000000005</v>
      </c>
      <c r="K440" s="33">
        <f t="shared" si="10"/>
        <v>0.2666</v>
      </c>
    </row>
    <row r="441" spans="1:11" x14ac:dyDescent="0.2">
      <c r="A441" s="63">
        <v>44655</v>
      </c>
      <c r="B441" s="57">
        <v>2026</v>
      </c>
      <c r="C441" s="57" t="s">
        <v>160</v>
      </c>
      <c r="D441" s="57" t="s">
        <v>161</v>
      </c>
      <c r="E441" s="57" t="s">
        <v>159</v>
      </c>
      <c r="F441" s="57">
        <f t="shared" si="13"/>
        <v>0</v>
      </c>
      <c r="G441" s="57">
        <v>7.3558000000000003</v>
      </c>
      <c r="H441" s="57">
        <v>7.8461999999999996</v>
      </c>
      <c r="I441" s="57">
        <v>7.6067999999999998</v>
      </c>
      <c r="J441" s="33">
        <f t="shared" si="9"/>
        <v>0.49039999999999928</v>
      </c>
      <c r="K441" s="33">
        <f t="shared" si="10"/>
        <v>0.25099999999999945</v>
      </c>
    </row>
    <row r="442" spans="1:11" x14ac:dyDescent="0.2">
      <c r="A442" s="63">
        <v>44655</v>
      </c>
      <c r="B442" s="57">
        <v>2381</v>
      </c>
      <c r="C442" s="57" t="s">
        <v>157</v>
      </c>
      <c r="D442" s="57" t="s">
        <v>158</v>
      </c>
      <c r="E442" s="57" t="s">
        <v>162</v>
      </c>
      <c r="F442" s="57">
        <f t="shared" si="13"/>
        <v>1</v>
      </c>
      <c r="G442" s="57">
        <v>6.2786</v>
      </c>
      <c r="H442" s="57">
        <v>10.6732</v>
      </c>
      <c r="I442" s="57">
        <v>8.4323999999999995</v>
      </c>
      <c r="J442" s="33">
        <f t="shared" si="9"/>
        <v>4.3945999999999996</v>
      </c>
      <c r="K442" s="33">
        <f t="shared" si="10"/>
        <v>2.1537999999999995</v>
      </c>
    </row>
    <row r="443" spans="1:11" x14ac:dyDescent="0.2">
      <c r="A443" s="63">
        <v>44655</v>
      </c>
      <c r="B443" s="57">
        <v>2346</v>
      </c>
      <c r="C443" s="57" t="s">
        <v>157</v>
      </c>
      <c r="D443" s="57" t="s">
        <v>161</v>
      </c>
      <c r="E443" s="57" t="s">
        <v>159</v>
      </c>
      <c r="F443" s="57">
        <f t="shared" si="13"/>
        <v>0</v>
      </c>
      <c r="G443" s="57">
        <v>0</v>
      </c>
      <c r="H443" s="57">
        <v>0.15129999999999999</v>
      </c>
      <c r="I443" s="57">
        <v>7.6200000000000004E-2</v>
      </c>
      <c r="J443" s="33">
        <f t="shared" si="9"/>
        <v>0.15129999999999999</v>
      </c>
      <c r="K443" s="33">
        <f t="shared" si="10"/>
        <v>7.6200000000000004E-2</v>
      </c>
    </row>
    <row r="444" spans="1:11" x14ac:dyDescent="0.2">
      <c r="A444" s="63">
        <v>44655</v>
      </c>
      <c r="B444" s="57">
        <v>2380</v>
      </c>
      <c r="C444" s="57" t="s">
        <v>160</v>
      </c>
      <c r="D444" s="57" t="s">
        <v>161</v>
      </c>
      <c r="E444" s="57" t="s">
        <v>159</v>
      </c>
      <c r="F444" s="57">
        <f t="shared" si="13"/>
        <v>0</v>
      </c>
      <c r="G444" s="57">
        <v>6.1905000000000001</v>
      </c>
      <c r="H444" s="57">
        <v>6.3429000000000002</v>
      </c>
      <c r="I444" s="57">
        <v>6.2690999999999999</v>
      </c>
      <c r="J444" s="33">
        <f t="shared" si="9"/>
        <v>0.15240000000000009</v>
      </c>
      <c r="K444" s="33">
        <f t="shared" si="10"/>
        <v>7.8599999999999781E-2</v>
      </c>
    </row>
    <row r="445" spans="1:11" x14ac:dyDescent="0.2">
      <c r="A445" s="63">
        <v>44655</v>
      </c>
      <c r="B445" s="57">
        <v>2385</v>
      </c>
      <c r="C445" s="57" t="s">
        <v>160</v>
      </c>
      <c r="D445" s="57" t="s">
        <v>161</v>
      </c>
      <c r="E445" s="57" t="s">
        <v>159</v>
      </c>
      <c r="F445" s="57">
        <f t="shared" si="13"/>
        <v>0</v>
      </c>
      <c r="G445" s="57">
        <v>7.3651999999999997</v>
      </c>
      <c r="H445" s="57">
        <v>8.1231000000000009</v>
      </c>
      <c r="I445" s="57">
        <v>7.6581999999999999</v>
      </c>
      <c r="J445" s="33">
        <f t="shared" si="9"/>
        <v>0.75790000000000113</v>
      </c>
      <c r="K445" s="33">
        <f t="shared" si="10"/>
        <v>0.29300000000000015</v>
      </c>
    </row>
    <row r="446" spans="1:11" x14ac:dyDescent="0.2">
      <c r="A446" s="63">
        <v>44655</v>
      </c>
      <c r="B446" s="57">
        <v>2088</v>
      </c>
      <c r="C446" s="57" t="s">
        <v>157</v>
      </c>
      <c r="D446" s="57" t="s">
        <v>158</v>
      </c>
      <c r="E446" s="57" t="s">
        <v>159</v>
      </c>
      <c r="F446" s="57">
        <f t="shared" si="13"/>
        <v>1</v>
      </c>
      <c r="G446" s="57">
        <v>6.3029999999999999</v>
      </c>
      <c r="H446" s="57">
        <v>6.8733000000000004</v>
      </c>
      <c r="I446" s="57">
        <v>6.5814000000000004</v>
      </c>
      <c r="J446" s="33">
        <f t="shared" si="9"/>
        <v>0.57030000000000047</v>
      </c>
      <c r="K446" s="33">
        <f t="shared" si="10"/>
        <v>0.27840000000000042</v>
      </c>
    </row>
    <row r="447" spans="1:11" x14ac:dyDescent="0.2">
      <c r="A447" s="63">
        <v>44655</v>
      </c>
      <c r="B447" s="57">
        <v>2092</v>
      </c>
      <c r="C447" s="57" t="s">
        <v>160</v>
      </c>
      <c r="D447" s="57" t="s">
        <v>161</v>
      </c>
      <c r="E447" s="57" t="s">
        <v>159</v>
      </c>
      <c r="F447" s="57">
        <f t="shared" si="13"/>
        <v>0</v>
      </c>
      <c r="G447" s="57">
        <v>6.3017000000000003</v>
      </c>
      <c r="H447" s="57">
        <v>6.5297000000000001</v>
      </c>
      <c r="I447" s="57">
        <v>6.4340000000000002</v>
      </c>
      <c r="J447" s="33">
        <f t="shared" si="9"/>
        <v>0.22799999999999976</v>
      </c>
      <c r="K447" s="33">
        <f t="shared" si="10"/>
        <v>0.13229999999999986</v>
      </c>
    </row>
    <row r="448" spans="1:11" x14ac:dyDescent="0.2">
      <c r="A448" s="63">
        <v>44655</v>
      </c>
      <c r="B448" s="57">
        <v>2381</v>
      </c>
      <c r="C448" s="57" t="s">
        <v>157</v>
      </c>
      <c r="D448" s="57" t="s">
        <v>158</v>
      </c>
      <c r="E448" s="57" t="s">
        <v>159</v>
      </c>
      <c r="F448" s="57">
        <f t="shared" si="13"/>
        <v>1</v>
      </c>
      <c r="G448" s="57">
        <v>7.2583000000000002</v>
      </c>
      <c r="H448" s="57">
        <v>8.1949000000000005</v>
      </c>
      <c r="I448" s="57">
        <v>7.7647000000000004</v>
      </c>
      <c r="J448" s="33">
        <f t="shared" si="9"/>
        <v>0.93660000000000032</v>
      </c>
      <c r="K448" s="33">
        <f t="shared" si="10"/>
        <v>0.50640000000000018</v>
      </c>
    </row>
    <row r="449" spans="1:12" x14ac:dyDescent="0.2">
      <c r="A449" s="63">
        <v>44655</v>
      </c>
      <c r="B449" s="57">
        <v>2381</v>
      </c>
      <c r="C449" s="57" t="s">
        <v>157</v>
      </c>
      <c r="D449" s="57" t="s">
        <v>161</v>
      </c>
      <c r="E449" s="57" t="s">
        <v>159</v>
      </c>
      <c r="F449" s="57">
        <f t="shared" si="13"/>
        <v>0</v>
      </c>
      <c r="G449" s="57">
        <v>7.3346</v>
      </c>
      <c r="H449" s="57">
        <v>7.6692</v>
      </c>
      <c r="I449" s="57">
        <v>7.4973000000000001</v>
      </c>
      <c r="J449" s="33">
        <f t="shared" si="9"/>
        <v>0.33460000000000001</v>
      </c>
      <c r="K449" s="33">
        <f t="shared" si="10"/>
        <v>0.16270000000000007</v>
      </c>
    </row>
    <row r="450" spans="1:12" x14ac:dyDescent="0.2">
      <c r="A450" s="63">
        <v>44677</v>
      </c>
      <c r="B450" s="57" t="s">
        <v>166</v>
      </c>
      <c r="C450" s="57" t="s">
        <v>160</v>
      </c>
      <c r="D450" s="57" t="s">
        <v>161</v>
      </c>
      <c r="E450" s="57" t="s">
        <v>162</v>
      </c>
      <c r="F450" s="57">
        <f t="shared" si="13"/>
        <v>0</v>
      </c>
      <c r="G450" s="57">
        <v>7.3238000000000003</v>
      </c>
      <c r="H450" s="57">
        <v>10.715299999999999</v>
      </c>
      <c r="I450" s="57">
        <v>8.6876999999999995</v>
      </c>
      <c r="J450" s="33">
        <f t="shared" si="9"/>
        <v>3.3914999999999988</v>
      </c>
      <c r="K450" s="33">
        <f t="shared" si="10"/>
        <v>1.3638999999999992</v>
      </c>
      <c r="L450" s="57">
        <v>1</v>
      </c>
    </row>
    <row r="451" spans="1:12" x14ac:dyDescent="0.2">
      <c r="A451" s="63">
        <v>44655</v>
      </c>
      <c r="B451" s="57">
        <v>2382</v>
      </c>
      <c r="C451" s="57" t="s">
        <v>157</v>
      </c>
      <c r="D451" s="57" t="s">
        <v>161</v>
      </c>
      <c r="E451" s="57" t="s">
        <v>159</v>
      </c>
      <c r="F451" s="57">
        <f t="shared" si="13"/>
        <v>0</v>
      </c>
      <c r="G451" s="57">
        <v>0</v>
      </c>
      <c r="H451" s="57">
        <v>1.3604000000000001</v>
      </c>
      <c r="I451" s="57">
        <v>0.63870000000000005</v>
      </c>
      <c r="J451" s="33">
        <f t="shared" si="9"/>
        <v>1.3604000000000001</v>
      </c>
      <c r="K451" s="33">
        <f t="shared" si="10"/>
        <v>0.63870000000000005</v>
      </c>
    </row>
    <row r="452" spans="1:12" x14ac:dyDescent="0.2">
      <c r="A452" s="63">
        <v>44655</v>
      </c>
      <c r="B452" s="57">
        <v>2382</v>
      </c>
      <c r="C452" s="57" t="s">
        <v>157</v>
      </c>
      <c r="D452" s="57" t="s">
        <v>158</v>
      </c>
      <c r="E452" s="57" t="s">
        <v>159</v>
      </c>
      <c r="F452" s="57">
        <f t="shared" si="13"/>
        <v>1</v>
      </c>
      <c r="G452" s="57">
        <v>0</v>
      </c>
      <c r="H452" s="57">
        <v>1.0719000000000001</v>
      </c>
      <c r="I452" s="57">
        <v>0.55589999999999995</v>
      </c>
      <c r="J452" s="33">
        <f t="shared" si="9"/>
        <v>1.0719000000000001</v>
      </c>
      <c r="K452" s="33">
        <f t="shared" si="10"/>
        <v>0.55589999999999995</v>
      </c>
    </row>
    <row r="453" spans="1:12" x14ac:dyDescent="0.2">
      <c r="A453" s="63">
        <v>44663</v>
      </c>
      <c r="B453" s="57">
        <v>2006</v>
      </c>
      <c r="C453" s="57" t="s">
        <v>160</v>
      </c>
      <c r="D453" s="57" t="s">
        <v>161</v>
      </c>
      <c r="E453" s="57" t="s">
        <v>162</v>
      </c>
      <c r="F453" s="57">
        <f t="shared" si="13"/>
        <v>0</v>
      </c>
      <c r="G453" s="57">
        <v>7.3939000000000004</v>
      </c>
      <c r="H453" s="57">
        <v>12.282500000000001</v>
      </c>
      <c r="I453" s="57">
        <v>9.8223000000000003</v>
      </c>
      <c r="J453" s="33">
        <f t="shared" si="9"/>
        <v>4.8886000000000003</v>
      </c>
      <c r="K453" s="33">
        <f t="shared" si="10"/>
        <v>2.4283999999999999</v>
      </c>
    </row>
    <row r="454" spans="1:12" x14ac:dyDescent="0.2">
      <c r="A454" s="63">
        <v>44655</v>
      </c>
      <c r="B454" s="57">
        <v>2380</v>
      </c>
      <c r="C454" s="57" t="s">
        <v>160</v>
      </c>
      <c r="D454" s="57" t="s">
        <v>161</v>
      </c>
      <c r="E454" s="57" t="s">
        <v>162</v>
      </c>
      <c r="F454" s="57">
        <f t="shared" si="13"/>
        <v>0</v>
      </c>
      <c r="G454" s="57">
        <v>7.3875999999999999</v>
      </c>
      <c r="H454" s="57">
        <v>8.2423999999999999</v>
      </c>
      <c r="I454" s="57">
        <v>7.7667000000000002</v>
      </c>
      <c r="J454" s="33">
        <f t="shared" si="9"/>
        <v>0.8548</v>
      </c>
      <c r="K454" s="33">
        <f t="shared" si="10"/>
        <v>0.37910000000000021</v>
      </c>
    </row>
    <row r="455" spans="1:12" x14ac:dyDescent="0.2">
      <c r="A455" s="63">
        <v>44663</v>
      </c>
      <c r="B455" s="57">
        <v>2006</v>
      </c>
      <c r="C455" s="57" t="s">
        <v>160</v>
      </c>
      <c r="D455" s="57" t="s">
        <v>161</v>
      </c>
      <c r="E455" s="57" t="s">
        <v>159</v>
      </c>
      <c r="F455" s="57">
        <f t="shared" si="13"/>
        <v>0</v>
      </c>
      <c r="G455" s="57">
        <v>7.3205999999999998</v>
      </c>
      <c r="H455" s="57">
        <v>7.9009</v>
      </c>
      <c r="I455" s="57">
        <v>7.5876000000000001</v>
      </c>
      <c r="J455" s="33">
        <f t="shared" si="9"/>
        <v>0.58030000000000026</v>
      </c>
      <c r="K455" s="33">
        <f t="shared" si="10"/>
        <v>0.26700000000000035</v>
      </c>
    </row>
    <row r="456" spans="1:12" x14ac:dyDescent="0.2">
      <c r="A456" s="63">
        <v>44655</v>
      </c>
      <c r="B456" s="57">
        <v>2093</v>
      </c>
      <c r="C456" s="57" t="s">
        <v>160</v>
      </c>
      <c r="D456" s="57" t="s">
        <v>158</v>
      </c>
      <c r="E456" s="57" t="s">
        <v>162</v>
      </c>
      <c r="F456" s="57">
        <f t="shared" si="13"/>
        <v>1</v>
      </c>
      <c r="G456" s="57">
        <v>7.5221</v>
      </c>
      <c r="H456" s="57">
        <v>9.8958999999999993</v>
      </c>
      <c r="I456" s="57">
        <v>8.9533000000000005</v>
      </c>
      <c r="J456" s="33">
        <f t="shared" si="9"/>
        <v>2.3737999999999992</v>
      </c>
      <c r="K456" s="33">
        <f t="shared" si="10"/>
        <v>1.4312000000000005</v>
      </c>
    </row>
    <row r="457" spans="1:12" x14ac:dyDescent="0.2">
      <c r="A457" s="63">
        <v>44657</v>
      </c>
      <c r="B457" s="57">
        <v>2380</v>
      </c>
      <c r="C457" s="57" t="s">
        <v>160</v>
      </c>
      <c r="D457" s="57" t="s">
        <v>158</v>
      </c>
      <c r="E457" s="57" t="s">
        <v>159</v>
      </c>
      <c r="F457" s="57">
        <f t="shared" si="13"/>
        <v>1</v>
      </c>
      <c r="G457" s="57">
        <v>6.2889999999999997</v>
      </c>
      <c r="H457" s="57">
        <v>7.5313999999999997</v>
      </c>
      <c r="I457" s="57">
        <v>7.0644999999999998</v>
      </c>
      <c r="J457" s="33">
        <f t="shared" si="9"/>
        <v>1.2423999999999999</v>
      </c>
      <c r="K457" s="33">
        <f t="shared" si="10"/>
        <v>0.77550000000000008</v>
      </c>
    </row>
    <row r="458" spans="1:12" x14ac:dyDescent="0.2">
      <c r="A458" s="63">
        <v>44655</v>
      </c>
      <c r="B458" s="57">
        <v>2385</v>
      </c>
      <c r="C458" s="57" t="s">
        <v>160</v>
      </c>
      <c r="D458" s="57" t="s">
        <v>158</v>
      </c>
      <c r="E458" s="57" t="s">
        <v>159</v>
      </c>
      <c r="F458" s="57">
        <f t="shared" si="13"/>
        <v>1</v>
      </c>
      <c r="G458" s="57">
        <v>7.3292000000000002</v>
      </c>
      <c r="H458" s="57">
        <v>8.8549000000000007</v>
      </c>
      <c r="I458" s="57">
        <v>8.0981000000000005</v>
      </c>
      <c r="J458" s="33">
        <f t="shared" si="9"/>
        <v>1.5257000000000005</v>
      </c>
      <c r="K458" s="33">
        <f t="shared" si="10"/>
        <v>0.76890000000000036</v>
      </c>
    </row>
    <row r="459" spans="1:12" x14ac:dyDescent="0.2">
      <c r="A459" s="63">
        <v>44655</v>
      </c>
      <c r="B459" s="57">
        <v>2007</v>
      </c>
      <c r="C459" s="57" t="s">
        <v>160</v>
      </c>
      <c r="D459" s="57" t="s">
        <v>161</v>
      </c>
      <c r="E459" s="57" t="s">
        <v>162</v>
      </c>
      <c r="F459" s="57">
        <f t="shared" si="13"/>
        <v>0</v>
      </c>
      <c r="G459" s="57">
        <v>7.359</v>
      </c>
      <c r="H459" s="57">
        <v>10.000299999999999</v>
      </c>
      <c r="I459" s="57">
        <v>8.7222000000000008</v>
      </c>
      <c r="J459" s="33">
        <f t="shared" si="9"/>
        <v>2.6412999999999993</v>
      </c>
      <c r="K459" s="33">
        <f t="shared" si="10"/>
        <v>1.3632000000000009</v>
      </c>
    </row>
    <row r="460" spans="1:12" x14ac:dyDescent="0.2">
      <c r="A460" s="63">
        <v>44655</v>
      </c>
      <c r="B460" s="57">
        <v>2379</v>
      </c>
      <c r="C460" s="57" t="s">
        <v>157</v>
      </c>
      <c r="D460" s="57" t="s">
        <v>158</v>
      </c>
      <c r="E460" s="57" t="s">
        <v>159</v>
      </c>
      <c r="F460" s="57">
        <f t="shared" si="13"/>
        <v>1</v>
      </c>
      <c r="G460" s="57">
        <v>0</v>
      </c>
      <c r="H460" s="57">
        <v>2.5581</v>
      </c>
      <c r="I460" s="57">
        <v>1.4762999999999999</v>
      </c>
      <c r="J460" s="33">
        <f t="shared" si="9"/>
        <v>2.5581</v>
      </c>
      <c r="K460" s="33">
        <f t="shared" si="10"/>
        <v>1.4762999999999999</v>
      </c>
    </row>
    <row r="461" spans="1:12" x14ac:dyDescent="0.2">
      <c r="A461" s="63">
        <v>44655</v>
      </c>
      <c r="B461" s="57">
        <v>2093</v>
      </c>
      <c r="C461" s="57" t="s">
        <v>160</v>
      </c>
      <c r="D461" s="57" t="s">
        <v>158</v>
      </c>
      <c r="E461" s="57" t="s">
        <v>159</v>
      </c>
      <c r="F461" s="57">
        <f t="shared" si="13"/>
        <v>1</v>
      </c>
      <c r="G461" s="57">
        <v>7.3476999999999997</v>
      </c>
      <c r="H461" s="57">
        <v>8.5176999999999996</v>
      </c>
      <c r="I461" s="57">
        <v>8.0505999999999993</v>
      </c>
      <c r="J461" s="33">
        <f t="shared" si="9"/>
        <v>1.17</v>
      </c>
      <c r="K461" s="33">
        <f t="shared" si="10"/>
        <v>0.70289999999999964</v>
      </c>
    </row>
    <row r="462" spans="1:12" x14ac:dyDescent="0.2">
      <c r="A462" s="63">
        <v>44655</v>
      </c>
      <c r="B462" s="57">
        <v>2371</v>
      </c>
      <c r="C462" s="57" t="s">
        <v>157</v>
      </c>
      <c r="D462" s="57" t="s">
        <v>161</v>
      </c>
      <c r="E462" s="57" t="s">
        <v>159</v>
      </c>
      <c r="F462" s="57">
        <f t="shared" si="13"/>
        <v>0</v>
      </c>
      <c r="G462" s="57">
        <v>6.2572999999999999</v>
      </c>
      <c r="H462" s="57">
        <v>6.6982999999999997</v>
      </c>
      <c r="I462" s="57">
        <v>6.4379999999999997</v>
      </c>
      <c r="J462" s="33">
        <f t="shared" si="9"/>
        <v>0.44099999999999984</v>
      </c>
      <c r="K462" s="33">
        <f t="shared" si="10"/>
        <v>0.18069999999999986</v>
      </c>
    </row>
    <row r="463" spans="1:12" x14ac:dyDescent="0.2">
      <c r="A463" s="63">
        <v>44655</v>
      </c>
      <c r="B463" s="57">
        <v>2005</v>
      </c>
      <c r="C463" s="57" t="s">
        <v>160</v>
      </c>
      <c r="D463" s="57" t="s">
        <v>161</v>
      </c>
      <c r="E463" s="57" t="s">
        <v>162</v>
      </c>
      <c r="F463" s="57">
        <f t="shared" si="13"/>
        <v>0</v>
      </c>
      <c r="G463" s="57">
        <v>7.4989999999999997</v>
      </c>
      <c r="H463" s="57">
        <v>11.054500000000001</v>
      </c>
      <c r="I463" s="57">
        <v>9.2053999999999991</v>
      </c>
      <c r="J463" s="33">
        <f t="shared" si="9"/>
        <v>3.5555000000000012</v>
      </c>
      <c r="K463" s="33">
        <f t="shared" si="10"/>
        <v>1.7063999999999995</v>
      </c>
    </row>
    <row r="464" spans="1:12" x14ac:dyDescent="0.2">
      <c r="A464" s="63">
        <v>44655</v>
      </c>
      <c r="B464" s="57">
        <v>2011</v>
      </c>
      <c r="C464" s="57" t="s">
        <v>157</v>
      </c>
      <c r="D464" s="57" t="s">
        <v>161</v>
      </c>
      <c r="E464" s="57" t="s">
        <v>159</v>
      </c>
      <c r="F464" s="57">
        <f t="shared" si="13"/>
        <v>0</v>
      </c>
      <c r="G464" s="57">
        <v>0</v>
      </c>
      <c r="H464" s="57">
        <v>1.8305</v>
      </c>
      <c r="I464" s="57">
        <v>0.80620000000000003</v>
      </c>
      <c r="J464" s="33">
        <f t="shared" si="9"/>
        <v>1.8305</v>
      </c>
      <c r="K464" s="33">
        <f t="shared" si="10"/>
        <v>0.80620000000000003</v>
      </c>
    </row>
    <row r="465" spans="1:12" x14ac:dyDescent="0.2">
      <c r="A465" s="63">
        <v>44655</v>
      </c>
      <c r="B465" s="57">
        <v>2088</v>
      </c>
      <c r="C465" s="57" t="s">
        <v>157</v>
      </c>
      <c r="D465" s="57" t="s">
        <v>161</v>
      </c>
      <c r="E465" s="57" t="s">
        <v>162</v>
      </c>
      <c r="F465" s="57">
        <f t="shared" si="13"/>
        <v>0</v>
      </c>
      <c r="G465" s="57">
        <v>6.2824999999999998</v>
      </c>
      <c r="H465" s="57">
        <v>9.31</v>
      </c>
      <c r="I465" s="57">
        <v>7.4055</v>
      </c>
      <c r="J465" s="33">
        <f t="shared" si="9"/>
        <v>3.0275000000000007</v>
      </c>
      <c r="K465" s="33">
        <f t="shared" si="10"/>
        <v>1.1230000000000002</v>
      </c>
    </row>
    <row r="466" spans="1:12" x14ac:dyDescent="0.2">
      <c r="A466" s="63">
        <v>44655</v>
      </c>
      <c r="B466" s="57">
        <v>2093</v>
      </c>
      <c r="C466" s="57" t="s">
        <v>160</v>
      </c>
      <c r="D466" s="57" t="s">
        <v>161</v>
      </c>
      <c r="E466" s="57" t="s">
        <v>162</v>
      </c>
      <c r="F466" s="57">
        <f t="shared" si="13"/>
        <v>0</v>
      </c>
      <c r="G466" s="57">
        <v>7.2492000000000001</v>
      </c>
      <c r="H466" s="57">
        <v>7.4734999999999996</v>
      </c>
      <c r="I466" s="57">
        <v>7.3643000000000001</v>
      </c>
      <c r="J466" s="33">
        <f t="shared" si="9"/>
        <v>0.2242999999999995</v>
      </c>
      <c r="K466" s="33">
        <f t="shared" si="10"/>
        <v>0.11509999999999998</v>
      </c>
    </row>
    <row r="467" spans="1:12" x14ac:dyDescent="0.2">
      <c r="A467" s="63">
        <v>44663</v>
      </c>
      <c r="B467" s="57">
        <v>2004</v>
      </c>
      <c r="C467" s="57" t="s">
        <v>160</v>
      </c>
      <c r="D467" s="57" t="s">
        <v>161</v>
      </c>
      <c r="E467" s="57" t="s">
        <v>159</v>
      </c>
      <c r="F467" s="57">
        <f t="shared" si="13"/>
        <v>0</v>
      </c>
      <c r="G467" s="57">
        <v>6.2656000000000001</v>
      </c>
      <c r="H467" s="57">
        <v>7.1291000000000002</v>
      </c>
      <c r="I467" s="57">
        <v>6.6593</v>
      </c>
      <c r="J467" s="33">
        <f t="shared" si="9"/>
        <v>0.86350000000000016</v>
      </c>
      <c r="K467" s="33">
        <f t="shared" si="10"/>
        <v>0.39369999999999994</v>
      </c>
    </row>
    <row r="468" spans="1:12" x14ac:dyDescent="0.2">
      <c r="A468" s="63">
        <v>44655</v>
      </c>
      <c r="B468" s="57">
        <v>2092</v>
      </c>
      <c r="C468" s="57" t="s">
        <v>160</v>
      </c>
      <c r="D468" s="57" t="s">
        <v>158</v>
      </c>
      <c r="E468" s="57" t="s">
        <v>162</v>
      </c>
      <c r="F468" s="57">
        <f t="shared" si="13"/>
        <v>1</v>
      </c>
      <c r="G468" s="57">
        <v>7.3402000000000003</v>
      </c>
      <c r="H468" s="57">
        <v>9.2477999999999998</v>
      </c>
      <c r="I468" s="57">
        <v>8.4404000000000003</v>
      </c>
      <c r="J468" s="33">
        <f t="shared" si="9"/>
        <v>1.9075999999999995</v>
      </c>
      <c r="K468" s="33">
        <f t="shared" si="10"/>
        <v>1.1002000000000001</v>
      </c>
    </row>
    <row r="469" spans="1:12" x14ac:dyDescent="0.2">
      <c r="A469" s="63">
        <v>44670</v>
      </c>
      <c r="B469" s="57" t="s">
        <v>167</v>
      </c>
      <c r="C469" s="57" t="s">
        <v>160</v>
      </c>
      <c r="D469" s="57" t="s">
        <v>161</v>
      </c>
      <c r="E469" s="57" t="s">
        <v>162</v>
      </c>
      <c r="F469" s="57">
        <f t="shared" si="13"/>
        <v>0</v>
      </c>
      <c r="G469" s="57">
        <v>7.3395000000000001</v>
      </c>
      <c r="H469" s="57">
        <v>12.494199999999999</v>
      </c>
      <c r="I469" s="57">
        <v>9.2369000000000003</v>
      </c>
      <c r="J469" s="33">
        <f t="shared" si="9"/>
        <v>5.1546999999999992</v>
      </c>
      <c r="K469" s="33">
        <f t="shared" si="10"/>
        <v>1.8974000000000002</v>
      </c>
      <c r="L469" s="57">
        <v>3</v>
      </c>
    </row>
    <row r="470" spans="1:12" x14ac:dyDescent="0.2">
      <c r="A470" s="63">
        <v>44677</v>
      </c>
      <c r="B470" s="57" t="s">
        <v>167</v>
      </c>
      <c r="C470" s="57" t="s">
        <v>160</v>
      </c>
      <c r="D470" s="57" t="s">
        <v>161</v>
      </c>
      <c r="E470" s="57" t="s">
        <v>159</v>
      </c>
      <c r="F470" s="57">
        <f t="shared" si="13"/>
        <v>0</v>
      </c>
      <c r="G470" s="57">
        <v>6.2842000000000002</v>
      </c>
      <c r="H470" s="57">
        <v>7.9237000000000002</v>
      </c>
      <c r="I470" s="57">
        <v>6.8055000000000003</v>
      </c>
      <c r="J470" s="33">
        <f t="shared" si="9"/>
        <v>1.6395</v>
      </c>
      <c r="K470" s="33">
        <f t="shared" si="10"/>
        <v>0.5213000000000001</v>
      </c>
      <c r="L470" s="57">
        <v>5</v>
      </c>
    </row>
    <row r="471" spans="1:12" x14ac:dyDescent="0.2">
      <c r="A471" s="63">
        <v>44655</v>
      </c>
      <c r="B471" s="57">
        <v>2026</v>
      </c>
      <c r="C471" s="57" t="s">
        <v>160</v>
      </c>
      <c r="D471" s="57" t="s">
        <v>158</v>
      </c>
      <c r="E471" s="57" t="s">
        <v>159</v>
      </c>
      <c r="F471" s="57">
        <f t="shared" si="13"/>
        <v>1</v>
      </c>
      <c r="G471" s="57">
        <v>7.3814000000000002</v>
      </c>
      <c r="H471" s="57">
        <v>7.9775</v>
      </c>
      <c r="I471" s="57">
        <v>7.7191999999999998</v>
      </c>
      <c r="J471" s="33">
        <f t="shared" si="9"/>
        <v>0.59609999999999985</v>
      </c>
      <c r="K471" s="33">
        <f t="shared" si="10"/>
        <v>0.33779999999999966</v>
      </c>
    </row>
    <row r="472" spans="1:12" x14ac:dyDescent="0.2">
      <c r="A472" s="63">
        <v>44677</v>
      </c>
      <c r="B472" s="57" t="s">
        <v>165</v>
      </c>
      <c r="C472" s="57" t="s">
        <v>160</v>
      </c>
      <c r="D472" s="57" t="s">
        <v>161</v>
      </c>
      <c r="E472" s="57" t="s">
        <v>159</v>
      </c>
      <c r="F472" s="57">
        <f t="shared" si="13"/>
        <v>0</v>
      </c>
      <c r="G472" s="57">
        <v>7.3483999999999998</v>
      </c>
      <c r="H472" s="57">
        <v>9.7842000000000002</v>
      </c>
      <c r="I472" s="57">
        <v>7.7976999999999999</v>
      </c>
      <c r="J472" s="33">
        <f t="shared" si="9"/>
        <v>2.4358000000000004</v>
      </c>
      <c r="K472" s="33">
        <f t="shared" si="10"/>
        <v>0.44930000000000003</v>
      </c>
      <c r="L472" s="57">
        <v>2</v>
      </c>
    </row>
    <row r="473" spans="1:12" x14ac:dyDescent="0.2">
      <c r="A473" s="63">
        <v>44663</v>
      </c>
      <c r="B473" s="57" t="s">
        <v>166</v>
      </c>
      <c r="C473" s="57" t="s">
        <v>160</v>
      </c>
      <c r="D473" s="57" t="s">
        <v>161</v>
      </c>
      <c r="E473" s="57" t="s">
        <v>162</v>
      </c>
      <c r="F473" s="57">
        <f t="shared" si="13"/>
        <v>0</v>
      </c>
      <c r="G473" s="57">
        <v>7.2404999999999999</v>
      </c>
      <c r="H473" s="57">
        <v>17.7103</v>
      </c>
      <c r="I473" s="57">
        <v>10.277100000000001</v>
      </c>
      <c r="J473" s="33">
        <f t="shared" si="9"/>
        <v>10.469799999999999</v>
      </c>
      <c r="K473" s="33">
        <f t="shared" si="10"/>
        <v>3.0366000000000009</v>
      </c>
      <c r="L473" s="57">
        <v>4</v>
      </c>
    </row>
    <row r="474" spans="1:12" x14ac:dyDescent="0.2">
      <c r="A474" s="63">
        <v>44670</v>
      </c>
      <c r="B474" s="57" t="s">
        <v>165</v>
      </c>
      <c r="C474" s="57" t="s">
        <v>160</v>
      </c>
      <c r="D474" s="57" t="s">
        <v>161</v>
      </c>
      <c r="E474" s="57" t="s">
        <v>159</v>
      </c>
      <c r="F474" s="57">
        <f t="shared" si="13"/>
        <v>0</v>
      </c>
      <c r="G474" s="57">
        <v>7.2515999999999998</v>
      </c>
      <c r="H474" s="57">
        <v>10.692500000000001</v>
      </c>
      <c r="I474" s="57">
        <v>7.8015999999999996</v>
      </c>
      <c r="J474" s="33">
        <f t="shared" si="9"/>
        <v>3.440900000000001</v>
      </c>
      <c r="K474" s="33">
        <f t="shared" si="10"/>
        <v>0.54999999999999982</v>
      </c>
      <c r="L474" s="57">
        <v>2</v>
      </c>
    </row>
    <row r="475" spans="1:12" x14ac:dyDescent="0.2">
      <c r="A475" s="63">
        <v>44663</v>
      </c>
      <c r="B475" s="57" t="s">
        <v>167</v>
      </c>
      <c r="C475" s="57" t="s">
        <v>160</v>
      </c>
      <c r="D475" s="57" t="s">
        <v>161</v>
      </c>
      <c r="E475" s="57" t="s">
        <v>162</v>
      </c>
      <c r="F475" s="57">
        <f t="shared" si="13"/>
        <v>0</v>
      </c>
      <c r="G475" s="57">
        <v>67.768100000000004</v>
      </c>
      <c r="H475" s="57">
        <v>77.416200000000003</v>
      </c>
      <c r="I475" s="57">
        <v>70.956599999999995</v>
      </c>
      <c r="J475" s="33">
        <f t="shared" si="9"/>
        <v>9.6480999999999995</v>
      </c>
      <c r="K475" s="33">
        <f t="shared" si="10"/>
        <v>3.1884999999999906</v>
      </c>
      <c r="L475" s="57">
        <v>4</v>
      </c>
    </row>
    <row r="476" spans="1:12" x14ac:dyDescent="0.2">
      <c r="A476" s="63">
        <v>44663</v>
      </c>
      <c r="B476" s="57" t="s">
        <v>167</v>
      </c>
      <c r="C476" s="57" t="s">
        <v>160</v>
      </c>
      <c r="D476" s="57" t="s">
        <v>161</v>
      </c>
      <c r="E476" s="57" t="s">
        <v>162</v>
      </c>
      <c r="F476" s="57">
        <f t="shared" si="13"/>
        <v>0</v>
      </c>
      <c r="G476" s="57">
        <v>68.880600000000001</v>
      </c>
      <c r="H476" s="57">
        <v>79.393100000000004</v>
      </c>
      <c r="I476" s="57">
        <v>72.498500000000007</v>
      </c>
      <c r="J476" s="33">
        <f t="shared" si="9"/>
        <v>10.512500000000003</v>
      </c>
      <c r="K476" s="33">
        <f t="shared" si="10"/>
        <v>3.6179000000000059</v>
      </c>
      <c r="L476" s="57">
        <v>3</v>
      </c>
    </row>
    <row r="477" spans="1:12" x14ac:dyDescent="0.2">
      <c r="A477" s="63">
        <v>44663</v>
      </c>
      <c r="B477" s="57" t="s">
        <v>166</v>
      </c>
      <c r="C477" s="57" t="s">
        <v>160</v>
      </c>
      <c r="D477" s="57" t="s">
        <v>161</v>
      </c>
      <c r="E477" s="57" t="s">
        <v>159</v>
      </c>
      <c r="F477" s="57">
        <f t="shared" si="13"/>
        <v>0</v>
      </c>
      <c r="G477" s="57">
        <v>67.361699999999999</v>
      </c>
      <c r="H477" s="57">
        <v>69.982900000000001</v>
      </c>
      <c r="I477" s="57">
        <v>68.191800000000001</v>
      </c>
      <c r="J477" s="33">
        <f t="shared" si="9"/>
        <v>2.6212000000000018</v>
      </c>
      <c r="K477" s="33">
        <f t="shared" si="10"/>
        <v>0.83010000000000161</v>
      </c>
      <c r="L477" s="57">
        <v>4</v>
      </c>
    </row>
    <row r="478" spans="1:12" x14ac:dyDescent="0.2">
      <c r="A478" s="63">
        <v>44663</v>
      </c>
      <c r="B478" s="57" t="s">
        <v>165</v>
      </c>
      <c r="C478" s="57" t="s">
        <v>160</v>
      </c>
      <c r="D478" s="57" t="s">
        <v>161</v>
      </c>
      <c r="E478" s="57" t="s">
        <v>162</v>
      </c>
      <c r="F478" s="57">
        <f t="shared" si="13"/>
        <v>0</v>
      </c>
      <c r="G478" s="57">
        <v>68.259200000000007</v>
      </c>
      <c r="H478" s="57">
        <v>86.042500000000004</v>
      </c>
      <c r="I478" s="57">
        <v>72.48</v>
      </c>
      <c r="J478" s="33">
        <f t="shared" si="9"/>
        <v>17.783299999999997</v>
      </c>
      <c r="K478" s="33">
        <f t="shared" si="10"/>
        <v>4.220799999999997</v>
      </c>
      <c r="L478" s="57">
        <v>2</v>
      </c>
    </row>
    <row r="479" spans="1:12" x14ac:dyDescent="0.2">
      <c r="A479" s="63">
        <v>44663</v>
      </c>
      <c r="B479" s="57" t="s">
        <v>166</v>
      </c>
      <c r="C479" s="57" t="s">
        <v>160</v>
      </c>
      <c r="D479" s="57" t="s">
        <v>161</v>
      </c>
      <c r="E479" s="57" t="s">
        <v>159</v>
      </c>
      <c r="F479" s="57">
        <f t="shared" si="13"/>
        <v>0</v>
      </c>
      <c r="G479" s="57">
        <v>67.781700000000001</v>
      </c>
      <c r="H479" s="57">
        <v>70.415800000000004</v>
      </c>
      <c r="I479" s="57">
        <v>68.469800000000006</v>
      </c>
      <c r="J479" s="33">
        <f t="shared" si="9"/>
        <v>2.6341000000000037</v>
      </c>
      <c r="K479" s="33">
        <f t="shared" si="10"/>
        <v>0.68810000000000571</v>
      </c>
      <c r="L479" s="57">
        <v>3</v>
      </c>
    </row>
    <row r="480" spans="1:12" x14ac:dyDescent="0.2">
      <c r="A480" s="63">
        <v>44663</v>
      </c>
      <c r="B480" s="57" t="s">
        <v>165</v>
      </c>
      <c r="C480" s="57" t="s">
        <v>160</v>
      </c>
      <c r="D480" s="57" t="s">
        <v>161</v>
      </c>
      <c r="E480" s="57" t="s">
        <v>162</v>
      </c>
      <c r="F480" s="57">
        <f t="shared" si="13"/>
        <v>0</v>
      </c>
      <c r="G480" s="57">
        <v>68.546599999999998</v>
      </c>
      <c r="H480" s="57">
        <v>86.967500000000001</v>
      </c>
      <c r="I480" s="57">
        <v>73.268799999999999</v>
      </c>
      <c r="J480" s="33">
        <f t="shared" si="9"/>
        <v>18.420900000000003</v>
      </c>
      <c r="K480" s="33">
        <f t="shared" si="10"/>
        <v>4.7222000000000008</v>
      </c>
      <c r="L480" s="57">
        <v>2</v>
      </c>
    </row>
    <row r="481" spans="1:12" x14ac:dyDescent="0.2">
      <c r="A481" s="63">
        <v>44663</v>
      </c>
      <c r="B481" s="57" t="s">
        <v>165</v>
      </c>
      <c r="C481" s="57" t="s">
        <v>160</v>
      </c>
      <c r="D481" s="57" t="s">
        <v>161</v>
      </c>
      <c r="E481" s="57" t="s">
        <v>162</v>
      </c>
      <c r="F481" s="57">
        <f t="shared" si="13"/>
        <v>0</v>
      </c>
      <c r="G481" s="57">
        <v>67.522499999999994</v>
      </c>
      <c r="H481" s="57">
        <v>76.528199999999998</v>
      </c>
      <c r="I481" s="57">
        <v>69.857500000000002</v>
      </c>
      <c r="J481" s="33">
        <f t="shared" si="9"/>
        <v>9.0057000000000045</v>
      </c>
      <c r="K481" s="33">
        <f t="shared" si="10"/>
        <v>2.335000000000008</v>
      </c>
      <c r="L481" s="57">
        <v>1</v>
      </c>
    </row>
    <row r="482" spans="1:12" x14ac:dyDescent="0.2">
      <c r="A482" s="63">
        <v>44663</v>
      </c>
      <c r="B482" s="57" t="s">
        <v>166</v>
      </c>
      <c r="C482" s="57" t="s">
        <v>160</v>
      </c>
      <c r="D482" s="57" t="s">
        <v>161</v>
      </c>
      <c r="E482" s="57" t="s">
        <v>162</v>
      </c>
      <c r="F482" s="57">
        <f t="shared" si="13"/>
        <v>0</v>
      </c>
      <c r="G482" s="57">
        <v>67.623199999999997</v>
      </c>
      <c r="H482" s="57">
        <v>78.079899999999995</v>
      </c>
      <c r="I482" s="57">
        <v>71.501199999999997</v>
      </c>
      <c r="J482" s="33">
        <f t="shared" si="9"/>
        <v>10.456699999999998</v>
      </c>
      <c r="K482" s="33">
        <f t="shared" si="10"/>
        <v>3.8780000000000001</v>
      </c>
      <c r="L482" s="57">
        <v>1</v>
      </c>
    </row>
    <row r="483" spans="1:12" x14ac:dyDescent="0.2">
      <c r="A483" s="63">
        <v>44663</v>
      </c>
      <c r="B483" s="57" t="s">
        <v>166</v>
      </c>
      <c r="C483" s="57" t="s">
        <v>160</v>
      </c>
      <c r="D483" s="57" t="s">
        <v>161</v>
      </c>
      <c r="E483" s="57" t="s">
        <v>159</v>
      </c>
      <c r="F483" s="57">
        <f t="shared" si="13"/>
        <v>0</v>
      </c>
      <c r="G483" s="57">
        <v>68.058000000000007</v>
      </c>
      <c r="H483" s="57">
        <v>71.710999999999999</v>
      </c>
      <c r="I483" s="57">
        <v>69.260400000000004</v>
      </c>
      <c r="J483" s="33">
        <f t="shared" si="9"/>
        <v>3.6529999999999916</v>
      </c>
      <c r="K483" s="33">
        <f t="shared" si="10"/>
        <v>1.2023999999999972</v>
      </c>
      <c r="L483" s="57">
        <v>1</v>
      </c>
    </row>
    <row r="484" spans="1:12" x14ac:dyDescent="0.2">
      <c r="A484" s="63">
        <v>44670</v>
      </c>
      <c r="B484" s="57" t="s">
        <v>166</v>
      </c>
      <c r="C484" s="57" t="s">
        <v>160</v>
      </c>
      <c r="D484" s="57" t="s">
        <v>161</v>
      </c>
      <c r="E484" s="57" t="s">
        <v>162</v>
      </c>
      <c r="F484" s="57">
        <f t="shared" si="13"/>
        <v>0</v>
      </c>
      <c r="G484" s="57">
        <v>7.3400999999999996</v>
      </c>
      <c r="H484" s="57">
        <v>13.097799999999999</v>
      </c>
      <c r="I484" s="57">
        <v>9.3994999999999997</v>
      </c>
      <c r="J484" s="33">
        <f t="shared" si="9"/>
        <v>5.7576999999999998</v>
      </c>
      <c r="K484" s="33">
        <f t="shared" si="10"/>
        <v>2.0594000000000001</v>
      </c>
      <c r="L484" s="57">
        <v>4</v>
      </c>
    </row>
    <row r="485" spans="1:12" x14ac:dyDescent="0.2">
      <c r="A485" s="63">
        <v>44655</v>
      </c>
      <c r="B485" s="57">
        <v>2367</v>
      </c>
      <c r="C485" s="57" t="s">
        <v>157</v>
      </c>
      <c r="D485" s="57" t="s">
        <v>161</v>
      </c>
      <c r="E485" s="57" t="s">
        <v>159</v>
      </c>
      <c r="F485" s="57">
        <f t="shared" si="13"/>
        <v>0</v>
      </c>
      <c r="G485" s="57">
        <v>0</v>
      </c>
      <c r="H485" s="57">
        <v>0.1968</v>
      </c>
      <c r="I485" s="57">
        <v>9.6199999999999994E-2</v>
      </c>
      <c r="J485" s="33">
        <f t="shared" si="9"/>
        <v>0.1968</v>
      </c>
      <c r="K485" s="33">
        <f t="shared" si="10"/>
        <v>9.6199999999999994E-2</v>
      </c>
    </row>
    <row r="486" spans="1:12" x14ac:dyDescent="0.2">
      <c r="A486" s="63">
        <v>44677</v>
      </c>
      <c r="B486" s="57" t="s">
        <v>165</v>
      </c>
      <c r="C486" s="57" t="s">
        <v>160</v>
      </c>
      <c r="D486" s="57" t="s">
        <v>161</v>
      </c>
      <c r="E486" s="57" t="s">
        <v>159</v>
      </c>
      <c r="F486" s="57">
        <f t="shared" si="13"/>
        <v>0</v>
      </c>
      <c r="G486" s="57">
        <v>7.4031000000000002</v>
      </c>
      <c r="H486" s="57">
        <v>9.8186999999999998</v>
      </c>
      <c r="I486" s="57">
        <v>7.9260999999999999</v>
      </c>
      <c r="J486" s="33">
        <f t="shared" si="9"/>
        <v>2.4155999999999995</v>
      </c>
      <c r="K486" s="33">
        <f t="shared" si="10"/>
        <v>0.52299999999999969</v>
      </c>
      <c r="L486" s="57">
        <v>2</v>
      </c>
    </row>
    <row r="487" spans="1:12" x14ac:dyDescent="0.2">
      <c r="A487" s="63">
        <v>44655</v>
      </c>
      <c r="B487" s="57">
        <v>2345</v>
      </c>
      <c r="C487" s="57" t="s">
        <v>157</v>
      </c>
      <c r="D487" s="57" t="s">
        <v>158</v>
      </c>
      <c r="E487" s="57" t="s">
        <v>159</v>
      </c>
      <c r="F487" s="57">
        <f t="shared" si="13"/>
        <v>1</v>
      </c>
      <c r="G487" s="57">
        <v>0</v>
      </c>
      <c r="H487" s="57">
        <v>0.70569999999999999</v>
      </c>
      <c r="I487" s="57">
        <v>0.41810000000000003</v>
      </c>
      <c r="J487" s="33">
        <f t="shared" si="9"/>
        <v>0.70569999999999999</v>
      </c>
      <c r="K487" s="33">
        <f t="shared" si="10"/>
        <v>0.41810000000000003</v>
      </c>
    </row>
    <row r="488" spans="1:12" x14ac:dyDescent="0.2">
      <c r="A488" s="63">
        <v>44663</v>
      </c>
      <c r="B488" s="57" t="s">
        <v>165</v>
      </c>
      <c r="C488" s="57" t="s">
        <v>160</v>
      </c>
      <c r="D488" s="57" t="s">
        <v>161</v>
      </c>
      <c r="E488" s="57" t="s">
        <v>159</v>
      </c>
      <c r="F488" s="57">
        <f t="shared" si="13"/>
        <v>0</v>
      </c>
      <c r="G488" s="57">
        <v>7.3635999999999999</v>
      </c>
      <c r="H488" s="57">
        <v>13.389099999999999</v>
      </c>
      <c r="I488" s="57">
        <v>8.0433000000000003</v>
      </c>
      <c r="J488" s="33">
        <f t="shared" si="9"/>
        <v>6.0254999999999992</v>
      </c>
      <c r="K488" s="33">
        <f t="shared" si="10"/>
        <v>0.67970000000000041</v>
      </c>
      <c r="L488" s="57">
        <v>2</v>
      </c>
    </row>
    <row r="489" spans="1:12" x14ac:dyDescent="0.2">
      <c r="A489" s="63">
        <v>44663</v>
      </c>
      <c r="B489" s="57">
        <v>2004</v>
      </c>
      <c r="C489" s="57" t="s">
        <v>160</v>
      </c>
      <c r="D489" s="57" t="s">
        <v>161</v>
      </c>
      <c r="E489" s="57" t="s">
        <v>162</v>
      </c>
      <c r="F489" s="57">
        <f t="shared" si="13"/>
        <v>0</v>
      </c>
      <c r="G489" s="57">
        <v>7.3155000000000001</v>
      </c>
      <c r="H489" s="57">
        <v>11.346</v>
      </c>
      <c r="I489" s="57">
        <v>9.3363999999999994</v>
      </c>
      <c r="J489" s="33">
        <f t="shared" si="9"/>
        <v>4.0305</v>
      </c>
      <c r="K489" s="33">
        <f t="shared" si="10"/>
        <v>2.0208999999999993</v>
      </c>
    </row>
    <row r="490" spans="1:12" x14ac:dyDescent="0.2">
      <c r="A490" s="63">
        <v>44677</v>
      </c>
      <c r="B490" s="57" t="s">
        <v>165</v>
      </c>
      <c r="C490" s="57" t="s">
        <v>160</v>
      </c>
      <c r="D490" s="57" t="s">
        <v>161</v>
      </c>
      <c r="E490" s="57" t="s">
        <v>159</v>
      </c>
      <c r="F490" s="57">
        <f t="shared" si="13"/>
        <v>0</v>
      </c>
      <c r="G490" s="57">
        <v>7.3261000000000003</v>
      </c>
      <c r="H490" s="57">
        <v>9.4760000000000009</v>
      </c>
      <c r="I490" s="57">
        <v>7.8324999999999996</v>
      </c>
      <c r="J490" s="33">
        <f t="shared" si="9"/>
        <v>2.1499000000000006</v>
      </c>
      <c r="K490" s="33">
        <f t="shared" si="10"/>
        <v>0.5063999999999993</v>
      </c>
      <c r="L490" s="57">
        <v>1</v>
      </c>
    </row>
    <row r="491" spans="1:12" x14ac:dyDescent="0.2">
      <c r="A491" s="63">
        <v>44655</v>
      </c>
      <c r="B491" s="57">
        <v>2008</v>
      </c>
      <c r="C491" s="57" t="s">
        <v>160</v>
      </c>
      <c r="D491" s="57" t="s">
        <v>161</v>
      </c>
      <c r="E491" s="57" t="s">
        <v>162</v>
      </c>
      <c r="F491" s="57">
        <f t="shared" si="13"/>
        <v>0</v>
      </c>
      <c r="G491" s="57">
        <v>7.3543000000000003</v>
      </c>
      <c r="H491" s="57">
        <v>10.4482</v>
      </c>
      <c r="I491" s="57">
        <v>8.8742999999999999</v>
      </c>
      <c r="J491" s="33">
        <f t="shared" si="9"/>
        <v>3.0938999999999997</v>
      </c>
      <c r="K491" s="33">
        <f t="shared" si="10"/>
        <v>1.5199999999999996</v>
      </c>
    </row>
    <row r="492" spans="1:12" x14ac:dyDescent="0.2">
      <c r="A492" s="63">
        <v>44655</v>
      </c>
      <c r="B492" s="57">
        <v>2365</v>
      </c>
      <c r="C492" s="57" t="s">
        <v>157</v>
      </c>
      <c r="D492" s="57" t="s">
        <v>161</v>
      </c>
      <c r="E492" s="57" t="s">
        <v>159</v>
      </c>
      <c r="F492" s="57">
        <f t="shared" si="13"/>
        <v>0</v>
      </c>
      <c r="G492" s="57">
        <v>6.2362000000000002</v>
      </c>
      <c r="H492" s="57">
        <v>6.6346999999999996</v>
      </c>
      <c r="I492" s="57">
        <v>6.4454000000000002</v>
      </c>
      <c r="J492" s="33">
        <f t="shared" si="9"/>
        <v>0.39849999999999941</v>
      </c>
      <c r="K492" s="33">
        <f t="shared" si="10"/>
        <v>0.20920000000000005</v>
      </c>
    </row>
    <row r="493" spans="1:12" x14ac:dyDescent="0.2">
      <c r="A493" s="63">
        <v>44655</v>
      </c>
      <c r="B493" s="57">
        <v>2378</v>
      </c>
      <c r="C493" s="57" t="s">
        <v>157</v>
      </c>
      <c r="D493" s="57" t="s">
        <v>161</v>
      </c>
      <c r="E493" s="57" t="s">
        <v>159</v>
      </c>
      <c r="F493" s="57">
        <f t="shared" si="13"/>
        <v>0</v>
      </c>
      <c r="G493" s="57">
        <v>6.2723000000000004</v>
      </c>
      <c r="H493" s="57">
        <v>7.1750999999999996</v>
      </c>
      <c r="I493" s="57">
        <v>6.7255000000000003</v>
      </c>
      <c r="J493" s="33">
        <f t="shared" si="9"/>
        <v>0.90279999999999916</v>
      </c>
      <c r="K493" s="33">
        <f t="shared" si="10"/>
        <v>0.45319999999999983</v>
      </c>
    </row>
    <row r="494" spans="1:12" x14ac:dyDescent="0.2">
      <c r="A494" s="63">
        <v>44655</v>
      </c>
      <c r="B494" s="57">
        <v>2375</v>
      </c>
      <c r="C494" s="57" t="s">
        <v>157</v>
      </c>
      <c r="D494" s="57" t="s">
        <v>158</v>
      </c>
      <c r="E494" s="57" t="s">
        <v>159</v>
      </c>
      <c r="F494" s="57">
        <f t="shared" si="13"/>
        <v>1</v>
      </c>
      <c r="G494" s="57">
        <v>0</v>
      </c>
      <c r="H494" s="57">
        <v>1.1976</v>
      </c>
      <c r="I494" s="57">
        <v>0.67220000000000002</v>
      </c>
      <c r="J494" s="33">
        <f t="shared" si="9"/>
        <v>1.1976</v>
      </c>
      <c r="K494" s="33">
        <f t="shared" si="10"/>
        <v>0.67220000000000002</v>
      </c>
    </row>
    <row r="495" spans="1:12" x14ac:dyDescent="0.2">
      <c r="A495" s="63">
        <v>44677</v>
      </c>
      <c r="B495" s="57" t="s">
        <v>167</v>
      </c>
      <c r="C495" s="57" t="s">
        <v>160</v>
      </c>
      <c r="D495" s="57" t="s">
        <v>161</v>
      </c>
      <c r="E495" s="57" t="s">
        <v>159</v>
      </c>
      <c r="F495" s="57">
        <f t="shared" si="13"/>
        <v>0</v>
      </c>
      <c r="G495" s="57">
        <v>7.3518999999999997</v>
      </c>
      <c r="H495" s="57">
        <v>8.5122</v>
      </c>
      <c r="I495" s="57">
        <v>7.7122999999999999</v>
      </c>
      <c r="J495" s="33">
        <f t="shared" si="9"/>
        <v>1.1603000000000003</v>
      </c>
      <c r="K495" s="33">
        <f t="shared" si="10"/>
        <v>0.36040000000000028</v>
      </c>
      <c r="L495" s="57">
        <v>3</v>
      </c>
    </row>
    <row r="496" spans="1:12" x14ac:dyDescent="0.2">
      <c r="A496" s="63">
        <v>44677</v>
      </c>
      <c r="B496" s="57" t="s">
        <v>167</v>
      </c>
      <c r="C496" s="57" t="s">
        <v>160</v>
      </c>
      <c r="D496" s="57" t="s">
        <v>161</v>
      </c>
      <c r="E496" s="57" t="s">
        <v>159</v>
      </c>
      <c r="F496" s="57">
        <f t="shared" si="13"/>
        <v>0</v>
      </c>
      <c r="G496" s="57">
        <v>7.3358999999999996</v>
      </c>
      <c r="H496" s="57">
        <v>8.7713000000000001</v>
      </c>
      <c r="I496" s="57">
        <v>7.7843999999999998</v>
      </c>
      <c r="J496" s="33">
        <f t="shared" si="9"/>
        <v>1.4354000000000005</v>
      </c>
      <c r="K496" s="33">
        <f t="shared" si="10"/>
        <v>0.44850000000000012</v>
      </c>
      <c r="L496" s="57">
        <v>4</v>
      </c>
    </row>
    <row r="497" spans="1:12" x14ac:dyDescent="0.2">
      <c r="A497" s="63">
        <v>44677</v>
      </c>
      <c r="B497" s="57" t="s">
        <v>165</v>
      </c>
      <c r="C497" s="57" t="s">
        <v>160</v>
      </c>
      <c r="D497" s="57" t="s">
        <v>161</v>
      </c>
      <c r="E497" s="57" t="s">
        <v>159</v>
      </c>
      <c r="F497" s="57">
        <f t="shared" si="13"/>
        <v>0</v>
      </c>
      <c r="G497" s="57">
        <v>7.3007999999999997</v>
      </c>
      <c r="H497" s="57">
        <v>10.181699999999999</v>
      </c>
      <c r="I497" s="57">
        <v>7.9480000000000004</v>
      </c>
      <c r="J497" s="33">
        <f t="shared" si="9"/>
        <v>2.8808999999999996</v>
      </c>
      <c r="K497" s="33">
        <f t="shared" si="10"/>
        <v>0.64720000000000066</v>
      </c>
      <c r="L497" s="57">
        <v>5</v>
      </c>
    </row>
    <row r="498" spans="1:12" x14ac:dyDescent="0.2">
      <c r="A498" s="63">
        <v>44655</v>
      </c>
      <c r="B498" s="57">
        <v>2343</v>
      </c>
      <c r="C498" s="57" t="s">
        <v>157</v>
      </c>
      <c r="D498" s="57" t="s">
        <v>158</v>
      </c>
      <c r="E498" s="57" t="s">
        <v>159</v>
      </c>
      <c r="F498" s="57">
        <f t="shared" si="13"/>
        <v>1</v>
      </c>
      <c r="G498" s="57">
        <v>6.2225999999999999</v>
      </c>
      <c r="H498" s="57">
        <v>7.4486999999999997</v>
      </c>
      <c r="I498" s="57">
        <v>6.8827999999999996</v>
      </c>
      <c r="J498" s="33">
        <f t="shared" si="9"/>
        <v>1.2260999999999997</v>
      </c>
      <c r="K498" s="33">
        <f t="shared" si="10"/>
        <v>0.66019999999999968</v>
      </c>
    </row>
    <row r="499" spans="1:12" x14ac:dyDescent="0.2">
      <c r="A499" s="63">
        <v>44655</v>
      </c>
      <c r="B499" s="57">
        <v>2088</v>
      </c>
      <c r="C499" s="57" t="s">
        <v>157</v>
      </c>
      <c r="D499" s="57" t="s">
        <v>161</v>
      </c>
      <c r="E499" s="57" t="s">
        <v>159</v>
      </c>
      <c r="F499" s="57">
        <f t="shared" si="13"/>
        <v>0</v>
      </c>
      <c r="G499" s="57">
        <v>6.2542999999999997</v>
      </c>
      <c r="H499" s="57">
        <v>6.5221999999999998</v>
      </c>
      <c r="I499" s="33">
        <f>6.2343+0.102</f>
        <v>6.3363000000000005</v>
      </c>
      <c r="J499" s="33">
        <f t="shared" si="9"/>
        <v>0.26790000000000003</v>
      </c>
      <c r="K499" s="33">
        <f t="shared" si="10"/>
        <v>8.2000000000000739E-2</v>
      </c>
    </row>
    <row r="500" spans="1:12" x14ac:dyDescent="0.2">
      <c r="A500" s="63">
        <v>44655</v>
      </c>
      <c r="B500" s="57">
        <v>2371</v>
      </c>
      <c r="C500" s="57" t="s">
        <v>157</v>
      </c>
      <c r="D500" s="57" t="s">
        <v>158</v>
      </c>
      <c r="E500" s="57" t="s">
        <v>159</v>
      </c>
      <c r="F500" s="57">
        <f t="shared" si="13"/>
        <v>1</v>
      </c>
      <c r="G500" s="57">
        <v>7.2656999999999998</v>
      </c>
      <c r="H500" s="57">
        <v>7.9885999999999999</v>
      </c>
      <c r="I500" s="33">
        <f>G500+0.398</f>
        <v>7.6636999999999995</v>
      </c>
      <c r="J500" s="33">
        <f t="shared" si="9"/>
        <v>0.7229000000000001</v>
      </c>
      <c r="K500" s="33">
        <f t="shared" si="10"/>
        <v>0.39799999999999969</v>
      </c>
    </row>
    <row r="501" spans="1:12" x14ac:dyDescent="0.2">
      <c r="A501" s="63">
        <v>44655</v>
      </c>
      <c r="B501" s="57">
        <v>2370</v>
      </c>
      <c r="C501" s="57" t="s">
        <v>157</v>
      </c>
      <c r="D501" s="57" t="s">
        <v>161</v>
      </c>
      <c r="E501" s="57" t="s">
        <v>159</v>
      </c>
      <c r="F501" s="57">
        <f t="shared" si="13"/>
        <v>0</v>
      </c>
      <c r="G501" s="57">
        <v>7.3498000000000001</v>
      </c>
      <c r="H501" s="57">
        <v>7.5198999999999998</v>
      </c>
      <c r="I501" s="33">
        <f>G501+0.121</f>
        <v>7.4708000000000006</v>
      </c>
      <c r="J501" s="33">
        <f t="shared" si="9"/>
        <v>0.1700999999999997</v>
      </c>
      <c r="K501" s="33">
        <f t="shared" si="10"/>
        <v>0.12100000000000044</v>
      </c>
    </row>
    <row r="502" spans="1:12" x14ac:dyDescent="0.2">
      <c r="A502" s="63">
        <v>44655</v>
      </c>
      <c r="B502" s="57">
        <v>2354</v>
      </c>
      <c r="C502" s="57" t="s">
        <v>157</v>
      </c>
      <c r="D502" s="57" t="s">
        <v>161</v>
      </c>
      <c r="E502" s="57" t="s">
        <v>159</v>
      </c>
      <c r="F502" s="57">
        <f t="shared" si="13"/>
        <v>0</v>
      </c>
      <c r="G502" s="57">
        <v>6.2523999999999997</v>
      </c>
      <c r="H502" s="57">
        <v>6.5209000000000001</v>
      </c>
      <c r="I502" s="33">
        <f>G502+0.12</f>
        <v>6.3723999999999998</v>
      </c>
      <c r="J502" s="33">
        <f t="shared" si="9"/>
        <v>0.26850000000000041</v>
      </c>
      <c r="K502" s="33">
        <f t="shared" si="10"/>
        <v>0.12000000000000011</v>
      </c>
    </row>
    <row r="503" spans="1:12" x14ac:dyDescent="0.2">
      <c r="A503" s="63">
        <v>44655</v>
      </c>
      <c r="B503" s="57">
        <v>2343</v>
      </c>
      <c r="C503" s="57" t="s">
        <v>157</v>
      </c>
      <c r="D503" s="57" t="s">
        <v>161</v>
      </c>
      <c r="E503" s="57" t="s">
        <v>159</v>
      </c>
      <c r="F503" s="57">
        <f t="shared" si="13"/>
        <v>0</v>
      </c>
      <c r="G503" s="57">
        <v>7.2698</v>
      </c>
      <c r="H503" s="57">
        <v>8.3762000000000008</v>
      </c>
      <c r="I503" s="33">
        <f>G503+0.47</f>
        <v>7.7397999999999998</v>
      </c>
      <c r="J503" s="33">
        <f t="shared" si="9"/>
        <v>1.1064000000000007</v>
      </c>
      <c r="K503" s="33">
        <f t="shared" si="10"/>
        <v>0.46999999999999975</v>
      </c>
    </row>
    <row r="504" spans="1:12" x14ac:dyDescent="0.2">
      <c r="A504" s="63">
        <v>44655</v>
      </c>
      <c r="B504" s="57">
        <v>2377</v>
      </c>
      <c r="C504" s="57" t="s">
        <v>157</v>
      </c>
      <c r="D504" s="57" t="s">
        <v>161</v>
      </c>
      <c r="E504" s="57" t="s">
        <v>159</v>
      </c>
      <c r="F504" s="57">
        <f t="shared" si="13"/>
        <v>0</v>
      </c>
      <c r="G504" s="57">
        <v>7.2812999999999999</v>
      </c>
      <c r="H504" s="57">
        <v>7.4154</v>
      </c>
      <c r="I504" s="33">
        <f>G504+0.063</f>
        <v>7.3442999999999996</v>
      </c>
      <c r="J504" s="33">
        <f t="shared" si="9"/>
        <v>0.13410000000000011</v>
      </c>
      <c r="K504" s="33">
        <f t="shared" si="10"/>
        <v>6.2999999999999723E-2</v>
      </c>
    </row>
    <row r="505" spans="1:12" x14ac:dyDescent="0.2">
      <c r="A505" s="63">
        <v>44655</v>
      </c>
      <c r="B505" s="57">
        <v>2384</v>
      </c>
      <c r="C505" s="57" t="s">
        <v>157</v>
      </c>
      <c r="D505" s="57" t="s">
        <v>158</v>
      </c>
      <c r="E505" s="57" t="s">
        <v>159</v>
      </c>
      <c r="F505" s="57">
        <f t="shared" si="13"/>
        <v>1</v>
      </c>
      <c r="G505" s="57">
        <v>7.2988</v>
      </c>
      <c r="H505" s="57">
        <v>7.8798000000000004</v>
      </c>
      <c r="I505" s="33">
        <f>G505+0.36</f>
        <v>7.6588000000000003</v>
      </c>
      <c r="J505" s="33">
        <f t="shared" si="9"/>
        <v>0.58100000000000041</v>
      </c>
      <c r="K505" s="33">
        <f t="shared" si="10"/>
        <v>0.36000000000000032</v>
      </c>
    </row>
    <row r="506" spans="1:12" x14ac:dyDescent="0.2">
      <c r="A506" s="63">
        <v>44655</v>
      </c>
      <c r="B506" s="57">
        <v>2029</v>
      </c>
      <c r="C506" s="57" t="s">
        <v>160</v>
      </c>
      <c r="D506" s="57" t="s">
        <v>158</v>
      </c>
      <c r="E506" s="57" t="s">
        <v>159</v>
      </c>
      <c r="F506" s="57">
        <f t="shared" si="13"/>
        <v>1</v>
      </c>
      <c r="G506" s="57">
        <v>7.3444000000000003</v>
      </c>
      <c r="H506" s="57">
        <v>8.2719000000000005</v>
      </c>
      <c r="I506" s="33">
        <f>G506+0.542</f>
        <v>7.8864000000000001</v>
      </c>
      <c r="J506" s="33">
        <f t="shared" si="9"/>
        <v>0.92750000000000021</v>
      </c>
      <c r="K506" s="33">
        <f t="shared" si="10"/>
        <v>0.54199999999999982</v>
      </c>
    </row>
    <row r="507" spans="1:12" x14ac:dyDescent="0.2">
      <c r="A507" s="63">
        <v>44655</v>
      </c>
      <c r="B507" s="57">
        <v>2331</v>
      </c>
      <c r="C507" s="57" t="s">
        <v>157</v>
      </c>
      <c r="D507" s="57" t="s">
        <v>161</v>
      </c>
      <c r="E507" s="57" t="s">
        <v>162</v>
      </c>
      <c r="F507" s="57">
        <f t="shared" si="13"/>
        <v>0</v>
      </c>
      <c r="G507" s="57">
        <v>7.2930999999999999</v>
      </c>
      <c r="H507" s="57">
        <v>7.3791000000000002</v>
      </c>
      <c r="I507" s="33">
        <f>G507+0.045</f>
        <v>7.3380999999999998</v>
      </c>
      <c r="J507" s="33">
        <f t="shared" si="9"/>
        <v>8.6000000000000298E-2</v>
      </c>
      <c r="K507" s="33">
        <f t="shared" si="10"/>
        <v>4.4999999999999929E-2</v>
      </c>
    </row>
    <row r="508" spans="1:12" x14ac:dyDescent="0.2">
      <c r="A508" s="63">
        <v>44655</v>
      </c>
      <c r="B508" s="57">
        <v>2022</v>
      </c>
      <c r="C508" s="57" t="s">
        <v>157</v>
      </c>
      <c r="D508" s="57" t="s">
        <v>158</v>
      </c>
      <c r="E508" s="57" t="s">
        <v>162</v>
      </c>
      <c r="F508" s="57">
        <f t="shared" si="13"/>
        <v>1</v>
      </c>
      <c r="G508" s="57">
        <v>26.230599999999999</v>
      </c>
      <c r="H508" s="57">
        <v>32.479999999999997</v>
      </c>
      <c r="I508" s="57">
        <v>29.4711</v>
      </c>
      <c r="J508" s="33">
        <f t="shared" si="9"/>
        <v>6.2493999999999978</v>
      </c>
      <c r="K508" s="33">
        <f t="shared" si="10"/>
        <v>3.2405000000000008</v>
      </c>
    </row>
    <row r="509" spans="1:12" x14ac:dyDescent="0.2">
      <c r="A509" s="63">
        <v>44655</v>
      </c>
      <c r="B509" s="57">
        <v>2091</v>
      </c>
      <c r="C509" s="57" t="s">
        <v>60</v>
      </c>
      <c r="D509" s="57" t="s">
        <v>158</v>
      </c>
      <c r="E509" s="57" t="s">
        <v>162</v>
      </c>
      <c r="F509" s="57">
        <f t="shared" si="13"/>
        <v>1</v>
      </c>
      <c r="G509" s="57">
        <v>26.3202</v>
      </c>
      <c r="H509" s="57">
        <v>30.648599999999998</v>
      </c>
      <c r="I509" s="57">
        <v>28.9847</v>
      </c>
      <c r="J509" s="33">
        <f t="shared" si="9"/>
        <v>4.3283999999999985</v>
      </c>
      <c r="K509" s="33">
        <f t="shared" si="10"/>
        <v>2.6645000000000003</v>
      </c>
    </row>
    <row r="510" spans="1:12" x14ac:dyDescent="0.2">
      <c r="A510" s="63">
        <v>44655</v>
      </c>
      <c r="B510" s="57">
        <v>2029</v>
      </c>
      <c r="C510" s="57" t="s">
        <v>160</v>
      </c>
      <c r="D510" s="57" t="s">
        <v>161</v>
      </c>
      <c r="E510" s="57" t="s">
        <v>162</v>
      </c>
      <c r="F510" s="57">
        <f t="shared" si="13"/>
        <v>0</v>
      </c>
      <c r="G510" s="57">
        <v>26.166499999999999</v>
      </c>
      <c r="H510" s="57">
        <v>30.701899999999998</v>
      </c>
      <c r="I510" s="57">
        <v>28.335799999999999</v>
      </c>
      <c r="J510" s="33">
        <f t="shared" si="9"/>
        <v>4.5353999999999992</v>
      </c>
      <c r="K510" s="33">
        <f t="shared" si="10"/>
        <v>2.1692999999999998</v>
      </c>
    </row>
    <row r="511" spans="1:12" x14ac:dyDescent="0.2">
      <c r="A511" s="63">
        <v>44655</v>
      </c>
      <c r="B511" s="57">
        <v>2087</v>
      </c>
      <c r="C511" s="57" t="s">
        <v>157</v>
      </c>
      <c r="D511" s="57" t="s">
        <v>158</v>
      </c>
      <c r="E511" s="57" t="s">
        <v>159</v>
      </c>
      <c r="F511" s="57">
        <f t="shared" si="13"/>
        <v>1</v>
      </c>
      <c r="G511" s="57">
        <v>26.232600000000001</v>
      </c>
      <c r="H511" s="57">
        <v>27.374099999999999</v>
      </c>
      <c r="I511" s="57">
        <v>26.728300000000001</v>
      </c>
      <c r="J511" s="33">
        <f t="shared" si="9"/>
        <v>1.1414999999999971</v>
      </c>
      <c r="K511" s="33">
        <f t="shared" si="10"/>
        <v>0.49569999999999936</v>
      </c>
    </row>
    <row r="512" spans="1:12" x14ac:dyDescent="0.2">
      <c r="A512" s="63">
        <v>44655</v>
      </c>
      <c r="B512" s="57">
        <v>2028</v>
      </c>
      <c r="C512" s="57" t="s">
        <v>160</v>
      </c>
      <c r="D512" s="57" t="s">
        <v>161</v>
      </c>
      <c r="E512" s="57" t="s">
        <v>162</v>
      </c>
      <c r="F512" s="57">
        <f t="shared" si="13"/>
        <v>0</v>
      </c>
      <c r="G512" s="57">
        <v>26.285499999999999</v>
      </c>
      <c r="H512" s="57">
        <v>31.348400000000002</v>
      </c>
      <c r="I512" s="57">
        <v>29.126200000000001</v>
      </c>
      <c r="J512" s="33">
        <f t="shared" ref="J512:J672" si="14">H512-G512</f>
        <v>5.0629000000000026</v>
      </c>
      <c r="K512" s="33">
        <f t="shared" ref="K512:K695" si="15">I512-G512</f>
        <v>2.8407000000000018</v>
      </c>
    </row>
    <row r="513" spans="1:11" x14ac:dyDescent="0.2">
      <c r="A513" s="63">
        <v>44655</v>
      </c>
      <c r="B513" s="57">
        <v>2011</v>
      </c>
      <c r="C513" s="57" t="s">
        <v>157</v>
      </c>
      <c r="D513" s="57" t="s">
        <v>161</v>
      </c>
      <c r="E513" s="57" t="s">
        <v>159</v>
      </c>
      <c r="F513" s="57">
        <f t="shared" si="13"/>
        <v>0</v>
      </c>
      <c r="G513" s="57">
        <v>26.0519</v>
      </c>
      <c r="H513" s="57">
        <v>26.518000000000001</v>
      </c>
      <c r="I513" s="57">
        <v>26.236799999999999</v>
      </c>
      <c r="J513" s="33">
        <f t="shared" si="14"/>
        <v>0.46610000000000085</v>
      </c>
      <c r="K513" s="33">
        <f t="shared" si="15"/>
        <v>0.18489999999999895</v>
      </c>
    </row>
    <row r="514" spans="1:11" x14ac:dyDescent="0.2">
      <c r="A514" s="63">
        <v>44655</v>
      </c>
      <c r="B514" s="57">
        <v>2028</v>
      </c>
      <c r="C514" s="57" t="s">
        <v>160</v>
      </c>
      <c r="D514" s="57" t="s">
        <v>161</v>
      </c>
      <c r="E514" s="57" t="s">
        <v>159</v>
      </c>
      <c r="F514" s="57">
        <f t="shared" si="13"/>
        <v>0</v>
      </c>
      <c r="G514" s="57">
        <v>15.347099999999999</v>
      </c>
      <c r="H514" s="57">
        <v>15.803699999999999</v>
      </c>
      <c r="I514" s="57">
        <v>15.534700000000001</v>
      </c>
      <c r="J514" s="33">
        <f t="shared" si="14"/>
        <v>0.45659999999999989</v>
      </c>
      <c r="K514" s="33">
        <f t="shared" si="15"/>
        <v>0.18760000000000154</v>
      </c>
    </row>
    <row r="515" spans="1:11" x14ac:dyDescent="0.2">
      <c r="A515" s="63">
        <v>44655</v>
      </c>
      <c r="B515" s="57">
        <v>2093</v>
      </c>
      <c r="C515" s="57" t="s">
        <v>157</v>
      </c>
      <c r="D515" s="57" t="s">
        <v>158</v>
      </c>
      <c r="E515" s="57" t="s">
        <v>159</v>
      </c>
      <c r="F515" s="57">
        <f t="shared" si="13"/>
        <v>1</v>
      </c>
      <c r="G515" s="57">
        <v>26.293500000000002</v>
      </c>
      <c r="H515" s="57">
        <v>27.4909</v>
      </c>
      <c r="I515" s="57">
        <v>26.910799999999998</v>
      </c>
      <c r="J515" s="33">
        <f t="shared" si="14"/>
        <v>1.1973999999999982</v>
      </c>
      <c r="K515" s="33">
        <f t="shared" si="15"/>
        <v>0.61729999999999663</v>
      </c>
    </row>
    <row r="516" spans="1:11" x14ac:dyDescent="0.2">
      <c r="A516" s="63">
        <v>44655</v>
      </c>
      <c r="B516" s="57">
        <v>2021</v>
      </c>
      <c r="C516" s="57" t="s">
        <v>160</v>
      </c>
      <c r="D516" s="57" t="s">
        <v>161</v>
      </c>
      <c r="E516" s="57" t="s">
        <v>162</v>
      </c>
      <c r="F516" s="57">
        <f t="shared" si="13"/>
        <v>0</v>
      </c>
      <c r="G516" s="57">
        <v>25.8127</v>
      </c>
      <c r="H516" s="57">
        <v>30.0684</v>
      </c>
      <c r="I516" s="57">
        <v>27.685700000000001</v>
      </c>
      <c r="J516" s="33">
        <f t="shared" si="14"/>
        <v>4.2557000000000009</v>
      </c>
      <c r="K516" s="33">
        <f t="shared" si="15"/>
        <v>1.8730000000000011</v>
      </c>
    </row>
    <row r="517" spans="1:11" x14ac:dyDescent="0.2">
      <c r="A517" s="63">
        <v>44655</v>
      </c>
      <c r="B517" s="57">
        <v>2020</v>
      </c>
      <c r="C517" s="57" t="s">
        <v>160</v>
      </c>
      <c r="D517" s="57" t="s">
        <v>161</v>
      </c>
      <c r="E517" s="57" t="s">
        <v>162</v>
      </c>
      <c r="F517" s="57">
        <f t="shared" si="13"/>
        <v>0</v>
      </c>
      <c r="G517" s="57">
        <v>26.411899999999999</v>
      </c>
      <c r="H517" s="57">
        <v>30.912400000000002</v>
      </c>
      <c r="I517" s="57">
        <v>28.592600000000001</v>
      </c>
      <c r="J517" s="33">
        <f t="shared" si="14"/>
        <v>4.5005000000000024</v>
      </c>
      <c r="K517" s="33">
        <f t="shared" si="15"/>
        <v>2.1807000000000016</v>
      </c>
    </row>
    <row r="518" spans="1:11" x14ac:dyDescent="0.2">
      <c r="A518" s="63">
        <v>44655</v>
      </c>
      <c r="B518" s="57">
        <v>2013</v>
      </c>
      <c r="C518" s="57" t="s">
        <v>160</v>
      </c>
      <c r="D518" s="57" t="s">
        <v>161</v>
      </c>
      <c r="E518" s="57" t="s">
        <v>162</v>
      </c>
      <c r="F518" s="57">
        <f t="shared" si="13"/>
        <v>0</v>
      </c>
      <c r="G518" s="57">
        <v>26.389299999999999</v>
      </c>
      <c r="H518" s="57">
        <v>30.401700000000002</v>
      </c>
      <c r="I518" s="57">
        <v>27.778400000000001</v>
      </c>
      <c r="J518" s="33">
        <f t="shared" si="14"/>
        <v>4.0124000000000031</v>
      </c>
      <c r="K518" s="33">
        <f t="shared" si="15"/>
        <v>1.3891000000000027</v>
      </c>
    </row>
    <row r="519" spans="1:11" x14ac:dyDescent="0.2">
      <c r="A519" s="63">
        <v>44655</v>
      </c>
      <c r="B519" s="57">
        <v>2025</v>
      </c>
      <c r="C519" s="57" t="s">
        <v>160</v>
      </c>
      <c r="D519" s="57" t="s">
        <v>161</v>
      </c>
      <c r="E519" s="57" t="s">
        <v>159</v>
      </c>
      <c r="F519" s="57">
        <f t="shared" si="13"/>
        <v>0</v>
      </c>
      <c r="G519" s="57">
        <v>26.253599999999999</v>
      </c>
      <c r="H519" s="57">
        <v>26.668600000000001</v>
      </c>
      <c r="I519" s="57">
        <v>26.582000000000001</v>
      </c>
      <c r="J519" s="33">
        <f t="shared" si="14"/>
        <v>0.4150000000000027</v>
      </c>
      <c r="K519" s="33">
        <f t="shared" si="15"/>
        <v>0.32840000000000202</v>
      </c>
    </row>
    <row r="520" spans="1:11" x14ac:dyDescent="0.2">
      <c r="A520" s="63">
        <v>44655</v>
      </c>
      <c r="B520" s="57">
        <v>2020</v>
      </c>
      <c r="C520" s="57" t="s">
        <v>160</v>
      </c>
      <c r="D520" s="57" t="s">
        <v>161</v>
      </c>
      <c r="E520" s="57" t="s">
        <v>159</v>
      </c>
      <c r="F520" s="57">
        <f t="shared" si="13"/>
        <v>0</v>
      </c>
      <c r="G520" s="57">
        <v>26.193200000000001</v>
      </c>
      <c r="H520" s="57">
        <v>26.969200000000001</v>
      </c>
      <c r="I520" s="57">
        <v>26.522500000000001</v>
      </c>
      <c r="J520" s="33">
        <f t="shared" si="14"/>
        <v>0.7759999999999998</v>
      </c>
      <c r="K520" s="33">
        <f t="shared" si="15"/>
        <v>0.32929999999999993</v>
      </c>
    </row>
    <row r="521" spans="1:11" x14ac:dyDescent="0.2">
      <c r="A521" s="63">
        <v>44655</v>
      </c>
      <c r="B521" s="57">
        <v>2089</v>
      </c>
      <c r="C521" s="57" t="s">
        <v>157</v>
      </c>
      <c r="D521" s="57" t="s">
        <v>158</v>
      </c>
      <c r="E521" s="57" t="s">
        <v>162</v>
      </c>
      <c r="F521" s="57">
        <f t="shared" si="13"/>
        <v>1</v>
      </c>
      <c r="G521" s="57">
        <v>25.828900000000001</v>
      </c>
      <c r="H521" s="57">
        <v>30.417100000000001</v>
      </c>
      <c r="I521" s="57">
        <v>28.238</v>
      </c>
      <c r="J521" s="33">
        <f t="shared" si="14"/>
        <v>4.5882000000000005</v>
      </c>
      <c r="K521" s="33">
        <f t="shared" si="15"/>
        <v>2.4090999999999987</v>
      </c>
    </row>
    <row r="522" spans="1:11" x14ac:dyDescent="0.2">
      <c r="A522" s="63">
        <v>44655</v>
      </c>
      <c r="B522" s="57">
        <v>2024</v>
      </c>
      <c r="C522" s="57" t="s">
        <v>157</v>
      </c>
      <c r="D522" s="57" t="s">
        <v>161</v>
      </c>
      <c r="E522" s="57" t="s">
        <v>159</v>
      </c>
      <c r="F522" s="57">
        <f t="shared" si="13"/>
        <v>0</v>
      </c>
      <c r="G522" s="57">
        <v>25.754300000000001</v>
      </c>
      <c r="H522" s="57">
        <v>26.68</v>
      </c>
      <c r="I522" s="57">
        <v>25.950600000000001</v>
      </c>
      <c r="J522" s="33">
        <f t="shared" si="14"/>
        <v>0.92569999999999908</v>
      </c>
      <c r="K522" s="33">
        <f t="shared" si="15"/>
        <v>0.19630000000000081</v>
      </c>
    </row>
    <row r="523" spans="1:11" x14ac:dyDescent="0.2">
      <c r="A523" s="63">
        <v>44655</v>
      </c>
      <c r="B523" s="57">
        <v>2005</v>
      </c>
      <c r="C523" s="57" t="s">
        <v>157</v>
      </c>
      <c r="D523" s="57" t="s">
        <v>161</v>
      </c>
      <c r="E523" s="57" t="s">
        <v>162</v>
      </c>
      <c r="F523" s="57">
        <f t="shared" si="13"/>
        <v>0</v>
      </c>
      <c r="G523" s="57">
        <v>25.7242</v>
      </c>
      <c r="H523" s="57">
        <v>32.889499999999998</v>
      </c>
      <c r="I523" s="57">
        <v>28.815300000000001</v>
      </c>
      <c r="J523" s="33">
        <f t="shared" si="14"/>
        <v>7.1652999999999984</v>
      </c>
      <c r="K523" s="33">
        <f t="shared" si="15"/>
        <v>3.0911000000000008</v>
      </c>
    </row>
    <row r="524" spans="1:11" x14ac:dyDescent="0.2">
      <c r="A524" s="63">
        <v>44655</v>
      </c>
      <c r="B524" s="57">
        <v>2021</v>
      </c>
      <c r="C524" s="57" t="s">
        <v>160</v>
      </c>
      <c r="D524" s="57" t="s">
        <v>161</v>
      </c>
      <c r="E524" s="57" t="s">
        <v>159</v>
      </c>
      <c r="F524" s="57">
        <f t="shared" si="13"/>
        <v>0</v>
      </c>
      <c r="G524" s="57">
        <v>15.343999999999999</v>
      </c>
      <c r="H524" s="57">
        <v>15.7636</v>
      </c>
      <c r="I524" s="57">
        <v>15.5144</v>
      </c>
      <c r="J524" s="33">
        <f t="shared" si="14"/>
        <v>0.41960000000000086</v>
      </c>
      <c r="K524" s="33">
        <f t="shared" si="15"/>
        <v>0.17040000000000077</v>
      </c>
    </row>
    <row r="525" spans="1:11" x14ac:dyDescent="0.2">
      <c r="A525" s="63">
        <v>44655</v>
      </c>
      <c r="B525" s="57">
        <v>2022</v>
      </c>
      <c r="C525" s="57" t="s">
        <v>160</v>
      </c>
      <c r="D525" s="57" t="s">
        <v>158</v>
      </c>
      <c r="E525" s="57" t="s">
        <v>159</v>
      </c>
      <c r="F525" s="57">
        <f t="shared" si="13"/>
        <v>1</v>
      </c>
      <c r="G525" s="57">
        <v>26.583200000000001</v>
      </c>
      <c r="H525" s="57">
        <v>26.75</v>
      </c>
      <c r="I525" s="57">
        <v>26.9055</v>
      </c>
      <c r="J525" s="33">
        <f t="shared" si="14"/>
        <v>0.16679999999999851</v>
      </c>
      <c r="K525" s="33">
        <f t="shared" si="15"/>
        <v>0.32229999999999848</v>
      </c>
    </row>
    <row r="526" spans="1:11" x14ac:dyDescent="0.2">
      <c r="A526" s="63">
        <v>44655</v>
      </c>
      <c r="B526" s="57">
        <v>2027</v>
      </c>
      <c r="C526" s="57" t="s">
        <v>160</v>
      </c>
      <c r="D526" s="57" t="s">
        <v>161</v>
      </c>
      <c r="E526" s="57" t="s">
        <v>159</v>
      </c>
      <c r="F526" s="57">
        <f t="shared" si="13"/>
        <v>0</v>
      </c>
      <c r="G526" s="57">
        <v>26.2668</v>
      </c>
      <c r="H526" s="57">
        <v>26.964200000000002</v>
      </c>
      <c r="I526" s="57">
        <v>26.599399999999999</v>
      </c>
      <c r="J526" s="33">
        <f t="shared" si="14"/>
        <v>0.6974000000000018</v>
      </c>
      <c r="K526" s="33">
        <f t="shared" si="15"/>
        <v>0.33259999999999934</v>
      </c>
    </row>
    <row r="527" spans="1:11" x14ac:dyDescent="0.2">
      <c r="A527" s="63">
        <v>44655</v>
      </c>
      <c r="B527" s="57">
        <v>2087</v>
      </c>
      <c r="C527" s="57" t="s">
        <v>157</v>
      </c>
      <c r="D527" s="57" t="s">
        <v>161</v>
      </c>
      <c r="E527" s="57" t="s">
        <v>159</v>
      </c>
      <c r="F527" s="57">
        <f t="shared" si="13"/>
        <v>0</v>
      </c>
      <c r="G527" s="57">
        <v>26.355</v>
      </c>
      <c r="H527" s="57">
        <v>26.967300000000002</v>
      </c>
      <c r="I527" s="57">
        <v>26.6509</v>
      </c>
      <c r="J527" s="33">
        <f t="shared" si="14"/>
        <v>0.61230000000000118</v>
      </c>
      <c r="K527" s="33">
        <f t="shared" si="15"/>
        <v>0.29589999999999961</v>
      </c>
    </row>
    <row r="528" spans="1:11" x14ac:dyDescent="0.2">
      <c r="A528" s="63">
        <v>44655</v>
      </c>
      <c r="B528" s="57">
        <v>2014</v>
      </c>
      <c r="C528" s="57" t="s">
        <v>160</v>
      </c>
      <c r="D528" s="57" t="s">
        <v>161</v>
      </c>
      <c r="E528" s="57" t="s">
        <v>162</v>
      </c>
      <c r="F528" s="57">
        <f t="shared" si="13"/>
        <v>0</v>
      </c>
      <c r="G528" s="57">
        <v>25.927199999999999</v>
      </c>
      <c r="H528" s="57">
        <v>28.7987</v>
      </c>
      <c r="I528" s="57">
        <v>26.934200000000001</v>
      </c>
      <c r="J528" s="33">
        <f t="shared" si="14"/>
        <v>2.8715000000000011</v>
      </c>
      <c r="K528" s="33">
        <f t="shared" si="15"/>
        <v>1.0070000000000014</v>
      </c>
    </row>
    <row r="529" spans="1:11" x14ac:dyDescent="0.2">
      <c r="A529" s="63">
        <v>44655</v>
      </c>
      <c r="B529" s="57">
        <v>2086</v>
      </c>
      <c r="C529" s="57" t="s">
        <v>157</v>
      </c>
      <c r="D529" s="57" t="s">
        <v>161</v>
      </c>
      <c r="E529" s="57" t="s">
        <v>162</v>
      </c>
      <c r="F529" s="57">
        <f t="shared" si="13"/>
        <v>0</v>
      </c>
      <c r="G529" s="57">
        <v>25.790199999999999</v>
      </c>
      <c r="H529" s="57">
        <v>31.0075</v>
      </c>
      <c r="I529" s="57">
        <v>27.328499999999998</v>
      </c>
      <c r="J529" s="33">
        <f t="shared" si="14"/>
        <v>5.2173000000000016</v>
      </c>
      <c r="K529" s="33">
        <f t="shared" si="15"/>
        <v>1.5382999999999996</v>
      </c>
    </row>
    <row r="530" spans="1:11" x14ac:dyDescent="0.2">
      <c r="A530" s="63">
        <v>44655</v>
      </c>
      <c r="B530" s="57">
        <v>2031</v>
      </c>
      <c r="C530" s="57" t="s">
        <v>157</v>
      </c>
      <c r="D530" s="57" t="s">
        <v>161</v>
      </c>
      <c r="E530" s="57" t="s">
        <v>159</v>
      </c>
      <c r="F530" s="57">
        <f t="shared" si="13"/>
        <v>0</v>
      </c>
      <c r="G530" s="57">
        <v>25.926500000000001</v>
      </c>
      <c r="H530" s="57">
        <v>26.647400000000001</v>
      </c>
      <c r="I530" s="57">
        <v>26.056100000000001</v>
      </c>
      <c r="J530" s="33">
        <f t="shared" si="14"/>
        <v>0.72090000000000032</v>
      </c>
      <c r="K530" s="33">
        <f t="shared" si="15"/>
        <v>0.12959999999999994</v>
      </c>
    </row>
    <row r="531" spans="1:11" x14ac:dyDescent="0.2">
      <c r="A531" s="63">
        <v>44655</v>
      </c>
      <c r="B531" s="57">
        <v>2086</v>
      </c>
      <c r="C531" s="57" t="s">
        <v>157</v>
      </c>
      <c r="D531" s="57" t="s">
        <v>161</v>
      </c>
      <c r="E531" s="57" t="s">
        <v>159</v>
      </c>
      <c r="F531" s="57">
        <f t="shared" si="13"/>
        <v>0</v>
      </c>
      <c r="G531" s="57">
        <v>26.529900000000001</v>
      </c>
      <c r="H531" s="57">
        <v>27.6661</v>
      </c>
      <c r="I531" s="57">
        <v>26.864999999999998</v>
      </c>
      <c r="J531" s="33">
        <f t="shared" si="14"/>
        <v>1.1361999999999988</v>
      </c>
      <c r="K531" s="33">
        <f t="shared" si="15"/>
        <v>0.33509999999999707</v>
      </c>
    </row>
    <row r="532" spans="1:11" x14ac:dyDescent="0.2">
      <c r="A532" s="63">
        <v>44655</v>
      </c>
      <c r="B532" s="57">
        <v>2091</v>
      </c>
      <c r="C532" s="57" t="s">
        <v>60</v>
      </c>
      <c r="D532" s="57" t="s">
        <v>158</v>
      </c>
      <c r="E532" s="57" t="s">
        <v>159</v>
      </c>
      <c r="F532" s="57">
        <f t="shared" si="13"/>
        <v>1</v>
      </c>
      <c r="G532" s="57">
        <v>26.166399999999999</v>
      </c>
      <c r="H532" s="57">
        <v>27.2728</v>
      </c>
      <c r="I532" s="57">
        <v>26.900099999999998</v>
      </c>
      <c r="J532" s="33">
        <f t="shared" si="14"/>
        <v>1.1064000000000007</v>
      </c>
      <c r="K532" s="33">
        <f t="shared" si="15"/>
        <v>0.73369999999999891</v>
      </c>
    </row>
    <row r="533" spans="1:11" x14ac:dyDescent="0.2">
      <c r="A533" s="63">
        <v>44655</v>
      </c>
      <c r="B533" s="57">
        <v>2028</v>
      </c>
      <c r="C533" s="57" t="s">
        <v>157</v>
      </c>
      <c r="D533" s="57" t="s">
        <v>161</v>
      </c>
      <c r="E533" s="57" t="s">
        <v>159</v>
      </c>
      <c r="F533" s="57">
        <f t="shared" si="13"/>
        <v>0</v>
      </c>
      <c r="G533" s="57">
        <v>26.055900000000001</v>
      </c>
      <c r="H533" s="57">
        <v>26.5931</v>
      </c>
      <c r="I533" s="57">
        <v>26.232600000000001</v>
      </c>
      <c r="J533" s="33">
        <f t="shared" si="14"/>
        <v>0.53719999999999857</v>
      </c>
      <c r="K533" s="33">
        <f t="shared" si="15"/>
        <v>0.1767000000000003</v>
      </c>
    </row>
    <row r="534" spans="1:11" x14ac:dyDescent="0.2">
      <c r="A534" s="63">
        <v>44655</v>
      </c>
      <c r="B534" s="57">
        <v>2015</v>
      </c>
      <c r="C534" s="57" t="s">
        <v>157</v>
      </c>
      <c r="D534" s="57" t="s">
        <v>158</v>
      </c>
      <c r="E534" s="57" t="s">
        <v>159</v>
      </c>
      <c r="F534" s="57">
        <f t="shared" si="13"/>
        <v>1</v>
      </c>
      <c r="G534" s="57">
        <v>25.817699999999999</v>
      </c>
      <c r="H534" s="57">
        <v>27.286300000000001</v>
      </c>
      <c r="I534" s="57">
        <v>26.522600000000001</v>
      </c>
      <c r="J534" s="33">
        <f t="shared" si="14"/>
        <v>1.4686000000000021</v>
      </c>
      <c r="K534" s="33">
        <f t="shared" si="15"/>
        <v>0.70490000000000208</v>
      </c>
    </row>
    <row r="535" spans="1:11" x14ac:dyDescent="0.2">
      <c r="A535" s="63">
        <v>44655</v>
      </c>
      <c r="B535" s="57">
        <v>2030</v>
      </c>
      <c r="C535" s="57" t="s">
        <v>160</v>
      </c>
      <c r="D535" s="57" t="s">
        <v>161</v>
      </c>
      <c r="E535" s="57" t="s">
        <v>162</v>
      </c>
      <c r="F535" s="57">
        <f t="shared" si="13"/>
        <v>0</v>
      </c>
      <c r="G535" s="57">
        <v>25.751000000000001</v>
      </c>
      <c r="H535" s="57">
        <v>29.573599999999999</v>
      </c>
      <c r="I535" s="57">
        <v>27.7392</v>
      </c>
      <c r="J535" s="33">
        <f t="shared" si="14"/>
        <v>3.8225999999999978</v>
      </c>
      <c r="K535" s="33">
        <f t="shared" si="15"/>
        <v>1.9881999999999991</v>
      </c>
    </row>
    <row r="536" spans="1:11" x14ac:dyDescent="0.2">
      <c r="A536" s="63">
        <v>44655</v>
      </c>
      <c r="B536" s="57">
        <v>2025</v>
      </c>
      <c r="C536" s="57" t="s">
        <v>160</v>
      </c>
      <c r="D536" s="57" t="s">
        <v>161</v>
      </c>
      <c r="E536" s="57" t="s">
        <v>162</v>
      </c>
      <c r="F536" s="57">
        <f t="shared" si="13"/>
        <v>0</v>
      </c>
      <c r="G536" s="57">
        <v>25.834099999999999</v>
      </c>
      <c r="H536" s="57">
        <v>30.6206</v>
      </c>
      <c r="I536" s="57">
        <v>28.162700000000001</v>
      </c>
      <c r="J536" s="33">
        <f t="shared" si="14"/>
        <v>4.7865000000000002</v>
      </c>
      <c r="K536" s="33">
        <f t="shared" si="15"/>
        <v>2.3286000000000016</v>
      </c>
    </row>
    <row r="537" spans="1:11" x14ac:dyDescent="0.2">
      <c r="A537" s="63">
        <v>44655</v>
      </c>
      <c r="B537" s="57">
        <v>2005</v>
      </c>
      <c r="C537" s="57" t="s">
        <v>157</v>
      </c>
      <c r="D537" s="57" t="s">
        <v>158</v>
      </c>
      <c r="E537" s="57" t="s">
        <v>159</v>
      </c>
      <c r="F537" s="57">
        <f t="shared" si="13"/>
        <v>1</v>
      </c>
      <c r="G537" s="57">
        <v>26.084900000000001</v>
      </c>
      <c r="H537" s="57">
        <v>26.551100000000002</v>
      </c>
      <c r="I537" s="57">
        <v>26.480499999999999</v>
      </c>
      <c r="J537" s="33">
        <f t="shared" si="14"/>
        <v>0.46620000000000061</v>
      </c>
      <c r="K537" s="33">
        <f t="shared" si="15"/>
        <v>0.39559999999999818</v>
      </c>
    </row>
    <row r="538" spans="1:11" x14ac:dyDescent="0.2">
      <c r="A538" s="63">
        <v>44655</v>
      </c>
      <c r="B538" s="57">
        <v>2027</v>
      </c>
      <c r="C538" s="57" t="s">
        <v>160</v>
      </c>
      <c r="D538" s="57" t="s">
        <v>161</v>
      </c>
      <c r="E538" s="57" t="s">
        <v>162</v>
      </c>
      <c r="F538" s="57">
        <f t="shared" si="13"/>
        <v>0</v>
      </c>
      <c r="G538" s="57">
        <v>25.743400000000001</v>
      </c>
      <c r="H538" s="57">
        <v>31.5626</v>
      </c>
      <c r="I538" s="57">
        <v>28.454000000000001</v>
      </c>
      <c r="J538" s="33">
        <f t="shared" si="14"/>
        <v>5.8191999999999986</v>
      </c>
      <c r="K538" s="33">
        <f t="shared" si="15"/>
        <v>2.7105999999999995</v>
      </c>
    </row>
    <row r="539" spans="1:11" x14ac:dyDescent="0.2">
      <c r="A539" s="63">
        <v>44655</v>
      </c>
      <c r="B539" s="57">
        <v>2028</v>
      </c>
      <c r="C539" s="57" t="s">
        <v>157</v>
      </c>
      <c r="D539" s="57" t="s">
        <v>158</v>
      </c>
      <c r="E539" s="57" t="s">
        <v>159</v>
      </c>
      <c r="F539" s="57">
        <f t="shared" si="13"/>
        <v>1</v>
      </c>
      <c r="G539" s="57">
        <v>25.296700000000001</v>
      </c>
      <c r="H539" s="57">
        <v>26.648099999999999</v>
      </c>
      <c r="I539" s="57">
        <v>25.796199999999999</v>
      </c>
      <c r="J539" s="33">
        <f t="shared" si="14"/>
        <v>1.3513999999999982</v>
      </c>
      <c r="K539" s="33">
        <f t="shared" si="15"/>
        <v>0.49949999999999761</v>
      </c>
    </row>
    <row r="540" spans="1:11" x14ac:dyDescent="0.2">
      <c r="A540" s="63">
        <v>44655</v>
      </c>
      <c r="B540" s="57">
        <v>2022</v>
      </c>
      <c r="C540" s="57" t="s">
        <v>160</v>
      </c>
      <c r="D540" s="57" t="s">
        <v>161</v>
      </c>
      <c r="E540" s="57" t="s">
        <v>162</v>
      </c>
      <c r="F540" s="57">
        <f t="shared" si="13"/>
        <v>0</v>
      </c>
      <c r="G540" s="57">
        <v>26.186299999999999</v>
      </c>
      <c r="H540" s="57">
        <v>29.874300000000002</v>
      </c>
      <c r="I540" s="57">
        <v>28.0259</v>
      </c>
      <c r="J540" s="33">
        <f t="shared" si="14"/>
        <v>3.6880000000000024</v>
      </c>
      <c r="K540" s="33">
        <f t="shared" si="15"/>
        <v>1.8396000000000008</v>
      </c>
    </row>
    <row r="541" spans="1:11" x14ac:dyDescent="0.2">
      <c r="A541" s="63">
        <v>44655</v>
      </c>
      <c r="B541" s="57">
        <v>2093</v>
      </c>
      <c r="C541" s="57" t="s">
        <v>157</v>
      </c>
      <c r="D541" s="57" t="s">
        <v>161</v>
      </c>
      <c r="E541" s="57" t="s">
        <v>159</v>
      </c>
      <c r="F541" s="57">
        <f t="shared" si="13"/>
        <v>0</v>
      </c>
      <c r="G541" s="57">
        <v>14.813800000000001</v>
      </c>
      <c r="H541" s="57">
        <v>15.399699999999999</v>
      </c>
      <c r="I541" s="57">
        <v>14.8704</v>
      </c>
      <c r="J541" s="33">
        <f t="shared" si="14"/>
        <v>0.58589999999999876</v>
      </c>
      <c r="K541" s="33">
        <f t="shared" si="15"/>
        <v>5.659999999999954E-2</v>
      </c>
    </row>
    <row r="542" spans="1:11" x14ac:dyDescent="0.2">
      <c r="A542" s="63">
        <v>44655</v>
      </c>
      <c r="B542" s="57">
        <v>2025</v>
      </c>
      <c r="C542" s="57" t="s">
        <v>157</v>
      </c>
      <c r="D542" s="57" t="s">
        <v>161</v>
      </c>
      <c r="E542" s="57" t="s">
        <v>162</v>
      </c>
      <c r="F542" s="57">
        <f t="shared" si="13"/>
        <v>0</v>
      </c>
      <c r="G542" s="57">
        <v>26.259</v>
      </c>
      <c r="H542" s="57">
        <v>32.723999999999997</v>
      </c>
      <c r="I542" s="57">
        <v>29.1754</v>
      </c>
      <c r="J542" s="33">
        <f t="shared" si="14"/>
        <v>6.4649999999999963</v>
      </c>
      <c r="K542" s="33">
        <f t="shared" si="15"/>
        <v>2.9163999999999994</v>
      </c>
    </row>
    <row r="543" spans="1:11" x14ac:dyDescent="0.2">
      <c r="A543" s="63">
        <v>44655</v>
      </c>
      <c r="B543" s="57">
        <v>2031</v>
      </c>
      <c r="C543" s="57" t="s">
        <v>157</v>
      </c>
      <c r="D543" s="57" t="s">
        <v>158</v>
      </c>
      <c r="E543" s="57" t="s">
        <v>162</v>
      </c>
      <c r="F543" s="57">
        <f t="shared" si="13"/>
        <v>1</v>
      </c>
      <c r="G543" s="57">
        <v>26.0808</v>
      </c>
      <c r="H543" s="57">
        <v>27.132000000000001</v>
      </c>
      <c r="I543" s="57">
        <v>26.608899999999998</v>
      </c>
      <c r="J543" s="33">
        <f t="shared" si="14"/>
        <v>1.0512000000000015</v>
      </c>
      <c r="K543" s="33">
        <f t="shared" si="15"/>
        <v>0.52809999999999846</v>
      </c>
    </row>
    <row r="544" spans="1:11" x14ac:dyDescent="0.2">
      <c r="A544" s="63">
        <v>44655</v>
      </c>
      <c r="B544" s="57">
        <v>2011</v>
      </c>
      <c r="C544" s="57" t="s">
        <v>157</v>
      </c>
      <c r="D544" s="57" t="s">
        <v>158</v>
      </c>
      <c r="E544" s="57" t="s">
        <v>159</v>
      </c>
      <c r="F544" s="57">
        <f t="shared" si="13"/>
        <v>1</v>
      </c>
      <c r="G544" s="57">
        <v>26.308900000000001</v>
      </c>
      <c r="H544" s="57">
        <v>27.6462</v>
      </c>
      <c r="I544" s="57">
        <v>27.018799999999999</v>
      </c>
      <c r="J544" s="33">
        <f t="shared" si="14"/>
        <v>1.337299999999999</v>
      </c>
      <c r="K544" s="33">
        <f t="shared" si="15"/>
        <v>0.70989999999999753</v>
      </c>
    </row>
    <row r="545" spans="1:11" x14ac:dyDescent="0.2">
      <c r="A545" s="63">
        <v>44655</v>
      </c>
      <c r="B545" s="57">
        <v>2020</v>
      </c>
      <c r="C545" s="57" t="s">
        <v>157</v>
      </c>
      <c r="D545" s="57" t="s">
        <v>161</v>
      </c>
      <c r="E545" s="57" t="s">
        <v>162</v>
      </c>
      <c r="F545" s="57">
        <f t="shared" si="13"/>
        <v>0</v>
      </c>
      <c r="G545" s="57">
        <v>15.4223</v>
      </c>
      <c r="H545" s="57">
        <v>22.166599999999999</v>
      </c>
      <c r="I545" s="57">
        <v>18.333400000000001</v>
      </c>
      <c r="J545" s="33">
        <f t="shared" si="14"/>
        <v>6.7442999999999991</v>
      </c>
      <c r="K545" s="33">
        <f t="shared" si="15"/>
        <v>2.9111000000000011</v>
      </c>
    </row>
    <row r="546" spans="1:11" x14ac:dyDescent="0.2">
      <c r="A546" s="63">
        <v>44655</v>
      </c>
      <c r="B546" s="57">
        <v>2015</v>
      </c>
      <c r="C546" s="57" t="s">
        <v>157</v>
      </c>
      <c r="D546" s="57" t="s">
        <v>161</v>
      </c>
      <c r="E546" s="57" t="s">
        <v>162</v>
      </c>
      <c r="F546" s="57">
        <f t="shared" si="13"/>
        <v>0</v>
      </c>
      <c r="G546" s="57">
        <v>26.250900000000001</v>
      </c>
      <c r="H546" s="57">
        <v>34.186599999999999</v>
      </c>
      <c r="I546" s="57">
        <v>29.791499999999999</v>
      </c>
      <c r="J546" s="33">
        <f t="shared" si="14"/>
        <v>7.9356999999999971</v>
      </c>
      <c r="K546" s="33">
        <f t="shared" si="15"/>
        <v>3.5405999999999977</v>
      </c>
    </row>
    <row r="547" spans="1:11" x14ac:dyDescent="0.2">
      <c r="A547" s="63">
        <v>44655</v>
      </c>
      <c r="B547" s="57">
        <v>1478</v>
      </c>
      <c r="C547" s="57" t="s">
        <v>157</v>
      </c>
      <c r="D547" s="57" t="s">
        <v>161</v>
      </c>
      <c r="E547" s="57" t="s">
        <v>159</v>
      </c>
      <c r="F547" s="57">
        <f t="shared" si="13"/>
        <v>0</v>
      </c>
      <c r="G547" s="57">
        <v>26.157</v>
      </c>
      <c r="H547" s="57">
        <v>26.9587</v>
      </c>
      <c r="I547" s="57">
        <v>26.486599999999999</v>
      </c>
      <c r="J547" s="33">
        <f t="shared" si="14"/>
        <v>0.8017000000000003</v>
      </c>
      <c r="K547" s="33">
        <f t="shared" si="15"/>
        <v>0.32959999999999923</v>
      </c>
    </row>
    <row r="548" spans="1:11" x14ac:dyDescent="0.2">
      <c r="A548" s="63">
        <v>44655</v>
      </c>
      <c r="B548" s="57">
        <v>2029</v>
      </c>
      <c r="C548" s="57" t="s">
        <v>160</v>
      </c>
      <c r="D548" s="57" t="s">
        <v>158</v>
      </c>
      <c r="E548" s="57" t="s">
        <v>162</v>
      </c>
      <c r="F548" s="57">
        <f t="shared" si="13"/>
        <v>1</v>
      </c>
      <c r="G548" s="57">
        <v>26.308299999999999</v>
      </c>
      <c r="H548" s="57">
        <v>28.934000000000001</v>
      </c>
      <c r="I548" s="57">
        <v>27.8872</v>
      </c>
      <c r="J548" s="33">
        <f t="shared" si="14"/>
        <v>2.6257000000000019</v>
      </c>
      <c r="K548" s="33">
        <f t="shared" si="15"/>
        <v>1.5789000000000009</v>
      </c>
    </row>
    <row r="549" spans="1:11" x14ac:dyDescent="0.2">
      <c r="A549" s="63">
        <v>44655</v>
      </c>
      <c r="B549" s="57" t="s">
        <v>166</v>
      </c>
      <c r="C549" s="57" t="s">
        <v>157</v>
      </c>
      <c r="D549" s="57" t="s">
        <v>161</v>
      </c>
      <c r="E549" s="57" t="s">
        <v>163</v>
      </c>
      <c r="F549" s="57">
        <f t="shared" si="13"/>
        <v>0</v>
      </c>
      <c r="G549" s="57">
        <v>26.2971</v>
      </c>
      <c r="H549" s="57">
        <v>30.6492</v>
      </c>
      <c r="I549" s="57">
        <v>27.762799999999999</v>
      </c>
      <c r="J549" s="33">
        <f t="shared" si="14"/>
        <v>4.3521000000000001</v>
      </c>
      <c r="K549" s="33">
        <f t="shared" si="15"/>
        <v>1.4656999999999982</v>
      </c>
    </row>
    <row r="550" spans="1:11" x14ac:dyDescent="0.2">
      <c r="A550" s="63">
        <v>44655</v>
      </c>
      <c r="B550" s="57">
        <v>2030</v>
      </c>
      <c r="C550" s="57" t="s">
        <v>160</v>
      </c>
      <c r="D550" s="57" t="s">
        <v>158</v>
      </c>
      <c r="E550" s="57" t="s">
        <v>162</v>
      </c>
      <c r="F550" s="57">
        <f t="shared" si="13"/>
        <v>1</v>
      </c>
      <c r="G550" s="57">
        <v>25.910499999999999</v>
      </c>
      <c r="H550" s="57">
        <v>26.3294</v>
      </c>
      <c r="I550" s="57">
        <v>26.2056</v>
      </c>
      <c r="J550" s="33">
        <f t="shared" si="14"/>
        <v>0.41890000000000072</v>
      </c>
      <c r="K550" s="33">
        <f t="shared" si="15"/>
        <v>0.29510000000000147</v>
      </c>
    </row>
    <row r="551" spans="1:11" x14ac:dyDescent="0.2">
      <c r="A551" s="63">
        <v>44655</v>
      </c>
      <c r="B551" s="57">
        <v>2090</v>
      </c>
      <c r="C551" s="57" t="s">
        <v>157</v>
      </c>
      <c r="D551" s="57" t="s">
        <v>161</v>
      </c>
      <c r="E551" s="57" t="s">
        <v>159</v>
      </c>
      <c r="F551" s="57">
        <f t="shared" si="13"/>
        <v>0</v>
      </c>
      <c r="G551" s="57">
        <v>25.6921</v>
      </c>
      <c r="H551" s="57">
        <v>26.422000000000001</v>
      </c>
      <c r="I551" s="57">
        <v>25.7958</v>
      </c>
      <c r="J551" s="33">
        <f t="shared" si="14"/>
        <v>0.72990000000000066</v>
      </c>
      <c r="K551" s="33">
        <f t="shared" si="15"/>
        <v>0.1036999999999999</v>
      </c>
    </row>
    <row r="552" spans="1:11" x14ac:dyDescent="0.2">
      <c r="A552" s="63">
        <v>44655</v>
      </c>
      <c r="B552" s="57">
        <v>2090</v>
      </c>
      <c r="C552" s="57" t="s">
        <v>157</v>
      </c>
      <c r="D552" s="57" t="s">
        <v>161</v>
      </c>
      <c r="E552" s="57" t="s">
        <v>162</v>
      </c>
      <c r="F552" s="57">
        <f t="shared" si="13"/>
        <v>0</v>
      </c>
      <c r="G552" s="57">
        <v>25.864999999999998</v>
      </c>
      <c r="H552" s="57">
        <v>29.9086</v>
      </c>
      <c r="I552" s="57">
        <v>27.283899999999999</v>
      </c>
      <c r="J552" s="33">
        <f t="shared" si="14"/>
        <v>4.0436000000000014</v>
      </c>
      <c r="K552" s="33">
        <f t="shared" si="15"/>
        <v>1.4189000000000007</v>
      </c>
    </row>
    <row r="553" spans="1:11" x14ac:dyDescent="0.2">
      <c r="A553" s="63">
        <v>44655</v>
      </c>
      <c r="B553" s="57">
        <v>2022</v>
      </c>
      <c r="C553" s="57" t="s">
        <v>160</v>
      </c>
      <c r="D553" s="57" t="s">
        <v>161</v>
      </c>
      <c r="E553" s="57" t="s">
        <v>159</v>
      </c>
      <c r="F553" s="57">
        <f t="shared" si="13"/>
        <v>0</v>
      </c>
      <c r="G553" s="57">
        <v>26.581299999999999</v>
      </c>
      <c r="H553" s="57">
        <v>26.861000000000001</v>
      </c>
      <c r="I553" s="57">
        <v>26.7102</v>
      </c>
      <c r="J553" s="33">
        <f t="shared" si="14"/>
        <v>0.27970000000000184</v>
      </c>
      <c r="K553" s="33">
        <f t="shared" si="15"/>
        <v>0.12890000000000157</v>
      </c>
    </row>
    <row r="554" spans="1:11" x14ac:dyDescent="0.2">
      <c r="A554" s="63">
        <v>44655</v>
      </c>
      <c r="B554" s="57">
        <v>2008</v>
      </c>
      <c r="C554" s="57" t="s">
        <v>157</v>
      </c>
      <c r="D554" s="57" t="s">
        <v>158</v>
      </c>
      <c r="E554" s="57" t="s">
        <v>159</v>
      </c>
      <c r="F554" s="57">
        <f t="shared" si="13"/>
        <v>1</v>
      </c>
      <c r="G554" s="57">
        <v>26.5093</v>
      </c>
      <c r="H554" s="57">
        <v>27.594799999999999</v>
      </c>
      <c r="I554" s="57">
        <v>27.255500000000001</v>
      </c>
      <c r="J554" s="33">
        <f t="shared" si="14"/>
        <v>1.0854999999999997</v>
      </c>
      <c r="K554" s="33">
        <f t="shared" si="15"/>
        <v>0.74620000000000175</v>
      </c>
    </row>
    <row r="555" spans="1:11" x14ac:dyDescent="0.2">
      <c r="A555" s="63">
        <v>44655</v>
      </c>
      <c r="B555" s="57">
        <v>2089</v>
      </c>
      <c r="C555" s="57" t="s">
        <v>157</v>
      </c>
      <c r="D555" s="57" t="s">
        <v>158</v>
      </c>
      <c r="E555" s="57" t="s">
        <v>159</v>
      </c>
      <c r="F555" s="57">
        <f t="shared" si="13"/>
        <v>1</v>
      </c>
      <c r="G555" s="57">
        <v>26.101099999999999</v>
      </c>
      <c r="H555" s="57">
        <v>26.179500000000001</v>
      </c>
      <c r="I555" s="57">
        <v>26.38</v>
      </c>
      <c r="J555" s="33">
        <f t="shared" si="14"/>
        <v>7.8400000000002024E-2</v>
      </c>
      <c r="K555" s="33">
        <f t="shared" si="15"/>
        <v>0.27890000000000015</v>
      </c>
    </row>
    <row r="556" spans="1:11" x14ac:dyDescent="0.2">
      <c r="A556" s="63">
        <v>44655</v>
      </c>
      <c r="B556" s="57">
        <v>2026</v>
      </c>
      <c r="C556" s="57" t="s">
        <v>157</v>
      </c>
      <c r="D556" s="57" t="s">
        <v>161</v>
      </c>
      <c r="E556" s="57" t="s">
        <v>159</v>
      </c>
      <c r="F556" s="57">
        <f t="shared" si="13"/>
        <v>0</v>
      </c>
      <c r="G556" s="57">
        <v>26.4466</v>
      </c>
      <c r="H556" s="57">
        <v>26.774999999999999</v>
      </c>
      <c r="I556" s="57">
        <v>26.605799999999999</v>
      </c>
      <c r="J556" s="33">
        <f t="shared" si="14"/>
        <v>0.32839999999999847</v>
      </c>
      <c r="K556" s="33">
        <f t="shared" si="15"/>
        <v>0.15919999999999845</v>
      </c>
    </row>
    <row r="557" spans="1:11" x14ac:dyDescent="0.2">
      <c r="A557" s="63">
        <v>44655</v>
      </c>
      <c r="B557" s="57">
        <v>2013</v>
      </c>
      <c r="C557" s="57" t="s">
        <v>160</v>
      </c>
      <c r="D557" s="57" t="s">
        <v>158</v>
      </c>
      <c r="E557" s="57" t="s">
        <v>159</v>
      </c>
      <c r="F557" s="57">
        <f t="shared" si="13"/>
        <v>1</v>
      </c>
      <c r="G557" s="57">
        <v>25.883500000000002</v>
      </c>
      <c r="H557" s="57">
        <v>26.752199999999998</v>
      </c>
      <c r="I557" s="57">
        <v>26.2867</v>
      </c>
      <c r="J557" s="33">
        <f t="shared" si="14"/>
        <v>0.86869999999999692</v>
      </c>
      <c r="K557" s="33">
        <f t="shared" si="15"/>
        <v>0.40319999999999823</v>
      </c>
    </row>
    <row r="558" spans="1:11" x14ac:dyDescent="0.2">
      <c r="A558" s="63">
        <v>44655</v>
      </c>
      <c r="B558" s="57">
        <v>2007</v>
      </c>
      <c r="C558" s="57" t="s">
        <v>157</v>
      </c>
      <c r="D558" s="57" t="s">
        <v>158</v>
      </c>
      <c r="E558" s="57" t="s">
        <v>159</v>
      </c>
      <c r="F558" s="57">
        <f t="shared" si="13"/>
        <v>1</v>
      </c>
      <c r="G558" s="57">
        <v>25.779299999999999</v>
      </c>
      <c r="H558" s="57">
        <v>26.3918</v>
      </c>
      <c r="I558" s="57">
        <v>26.062000000000001</v>
      </c>
      <c r="J558" s="33">
        <f t="shared" si="14"/>
        <v>0.61250000000000071</v>
      </c>
      <c r="K558" s="33">
        <f t="shared" si="15"/>
        <v>0.28270000000000195</v>
      </c>
    </row>
    <row r="559" spans="1:11" x14ac:dyDescent="0.2">
      <c r="A559" s="63">
        <v>44655</v>
      </c>
      <c r="B559" s="57">
        <v>2030</v>
      </c>
      <c r="C559" s="57" t="s">
        <v>160</v>
      </c>
      <c r="D559" s="57" t="s">
        <v>158</v>
      </c>
      <c r="E559" s="57" t="s">
        <v>159</v>
      </c>
      <c r="F559" s="57">
        <f t="shared" si="13"/>
        <v>1</v>
      </c>
      <c r="G559" s="57">
        <v>15.5665</v>
      </c>
      <c r="H559" s="57">
        <v>15.7277</v>
      </c>
      <c r="I559" s="57">
        <v>15.882999999999999</v>
      </c>
      <c r="J559" s="33">
        <f t="shared" si="14"/>
        <v>0.1612000000000009</v>
      </c>
      <c r="K559" s="33">
        <f t="shared" si="15"/>
        <v>0.31649999999999956</v>
      </c>
    </row>
    <row r="560" spans="1:11" x14ac:dyDescent="0.2">
      <c r="A560" s="63">
        <v>44655</v>
      </c>
      <c r="B560" s="57" t="s">
        <v>166</v>
      </c>
      <c r="C560" s="57" t="s">
        <v>157</v>
      </c>
      <c r="D560" s="57" t="s">
        <v>161</v>
      </c>
      <c r="E560" s="57" t="s">
        <v>163</v>
      </c>
      <c r="F560" s="57">
        <f t="shared" si="13"/>
        <v>0</v>
      </c>
      <c r="G560" s="57">
        <v>25.820699999999999</v>
      </c>
      <c r="H560" s="57">
        <v>31.4223</v>
      </c>
      <c r="I560" s="57">
        <v>27.5656</v>
      </c>
      <c r="J560" s="33">
        <f t="shared" si="14"/>
        <v>5.6016000000000012</v>
      </c>
      <c r="K560" s="33">
        <f t="shared" si="15"/>
        <v>1.7449000000000012</v>
      </c>
    </row>
    <row r="561" spans="1:11" x14ac:dyDescent="0.2">
      <c r="A561" s="63">
        <v>44655</v>
      </c>
      <c r="B561" s="57">
        <v>2030</v>
      </c>
      <c r="C561" s="57" t="s">
        <v>160</v>
      </c>
      <c r="D561" s="57" t="s">
        <v>161</v>
      </c>
      <c r="E561" s="57" t="s">
        <v>159</v>
      </c>
      <c r="F561" s="57">
        <f t="shared" si="13"/>
        <v>0</v>
      </c>
      <c r="G561" s="57">
        <v>15.6556</v>
      </c>
      <c r="H561" s="57">
        <v>15.6256</v>
      </c>
      <c r="I561" s="57">
        <v>15.830299999999999</v>
      </c>
      <c r="J561" s="33">
        <f t="shared" si="14"/>
        <v>-2.9999999999999361E-2</v>
      </c>
      <c r="K561" s="33">
        <f t="shared" si="15"/>
        <v>0.17469999999999963</v>
      </c>
    </row>
    <row r="562" spans="1:11" x14ac:dyDescent="0.2">
      <c r="A562" s="63">
        <v>44655</v>
      </c>
      <c r="B562" s="57">
        <v>2022</v>
      </c>
      <c r="C562" s="57" t="s">
        <v>160</v>
      </c>
      <c r="D562" s="57" t="s">
        <v>158</v>
      </c>
      <c r="E562" s="57" t="s">
        <v>162</v>
      </c>
      <c r="F562" s="57">
        <f t="shared" si="13"/>
        <v>1</v>
      </c>
      <c r="G562" s="57">
        <v>26.296900000000001</v>
      </c>
      <c r="H562" s="57">
        <v>29.596800000000002</v>
      </c>
      <c r="I562" s="57">
        <v>28.214400000000001</v>
      </c>
      <c r="J562" s="33">
        <f t="shared" si="14"/>
        <v>3.2999000000000009</v>
      </c>
      <c r="K562" s="33">
        <f t="shared" si="15"/>
        <v>1.9175000000000004</v>
      </c>
    </row>
    <row r="563" spans="1:11" x14ac:dyDescent="0.2">
      <c r="A563" s="63">
        <v>44655</v>
      </c>
      <c r="B563" s="57">
        <v>2014</v>
      </c>
      <c r="C563" s="57" t="s">
        <v>157</v>
      </c>
      <c r="D563" s="57" t="s">
        <v>158</v>
      </c>
      <c r="E563" s="57" t="s">
        <v>159</v>
      </c>
      <c r="F563" s="57">
        <f t="shared" si="13"/>
        <v>1</v>
      </c>
      <c r="G563" s="57">
        <v>25.484400000000001</v>
      </c>
      <c r="H563" s="57">
        <v>26.799499999999998</v>
      </c>
      <c r="I563" s="57">
        <v>25.883299999999998</v>
      </c>
      <c r="J563" s="33">
        <f t="shared" si="14"/>
        <v>1.3150999999999975</v>
      </c>
      <c r="K563" s="33">
        <f t="shared" si="15"/>
        <v>0.39889999999999759</v>
      </c>
    </row>
    <row r="564" spans="1:11" x14ac:dyDescent="0.2">
      <c r="A564" s="63">
        <v>44655</v>
      </c>
      <c r="B564" s="57">
        <v>2301</v>
      </c>
      <c r="C564" s="57" t="s">
        <v>157</v>
      </c>
      <c r="D564" s="57" t="s">
        <v>158</v>
      </c>
      <c r="E564" s="57" t="s">
        <v>162</v>
      </c>
      <c r="F564" s="57">
        <f t="shared" si="13"/>
        <v>1</v>
      </c>
      <c r="G564" s="57">
        <v>0</v>
      </c>
      <c r="H564" s="57">
        <v>6.8129</v>
      </c>
      <c r="I564" s="57">
        <v>4.2309999999999999</v>
      </c>
      <c r="J564" s="33">
        <f t="shared" si="14"/>
        <v>6.8129</v>
      </c>
      <c r="K564" s="33">
        <f t="shared" si="15"/>
        <v>4.2309999999999999</v>
      </c>
    </row>
    <row r="565" spans="1:11" x14ac:dyDescent="0.2">
      <c r="A565" s="63">
        <v>44655</v>
      </c>
      <c r="B565" s="57">
        <v>2377</v>
      </c>
      <c r="C565" s="57" t="s">
        <v>157</v>
      </c>
      <c r="D565" s="57" t="s">
        <v>161</v>
      </c>
      <c r="E565" s="57" t="s">
        <v>162</v>
      </c>
      <c r="F565" s="57">
        <f t="shared" si="13"/>
        <v>0</v>
      </c>
      <c r="G565" s="57">
        <v>0</v>
      </c>
      <c r="H565" s="57">
        <v>0.9708</v>
      </c>
      <c r="I565" s="57">
        <v>0.50800000000000001</v>
      </c>
      <c r="J565" s="33">
        <f t="shared" si="14"/>
        <v>0.9708</v>
      </c>
      <c r="K565" s="33">
        <f t="shared" si="15"/>
        <v>0.50800000000000001</v>
      </c>
    </row>
    <row r="566" spans="1:11" x14ac:dyDescent="0.2">
      <c r="A566" s="63">
        <v>44655</v>
      </c>
      <c r="B566" s="57">
        <v>2343</v>
      </c>
      <c r="C566" s="57" t="s">
        <v>157</v>
      </c>
      <c r="D566" s="57" t="s">
        <v>161</v>
      </c>
      <c r="E566" s="57" t="s">
        <v>162</v>
      </c>
      <c r="F566" s="57">
        <f t="shared" si="13"/>
        <v>0</v>
      </c>
      <c r="G566" s="57">
        <v>0</v>
      </c>
      <c r="H566" s="57">
        <v>7.8771000000000004</v>
      </c>
      <c r="I566" s="57">
        <v>3.7330000000000001</v>
      </c>
      <c r="J566" s="33">
        <f t="shared" si="14"/>
        <v>7.8771000000000004</v>
      </c>
      <c r="K566" s="33">
        <f t="shared" si="15"/>
        <v>3.7330000000000001</v>
      </c>
    </row>
    <row r="567" spans="1:11" x14ac:dyDescent="0.2">
      <c r="A567" s="63">
        <v>44655</v>
      </c>
      <c r="B567" s="57">
        <v>2384</v>
      </c>
      <c r="C567" s="57" t="s">
        <v>157</v>
      </c>
      <c r="D567" s="57" t="s">
        <v>161</v>
      </c>
      <c r="E567" s="57" t="s">
        <v>162</v>
      </c>
      <c r="F567" s="57">
        <f t="shared" si="13"/>
        <v>0</v>
      </c>
      <c r="G567" s="57">
        <v>0</v>
      </c>
      <c r="H567" s="57">
        <v>2.3248000000000002</v>
      </c>
      <c r="I567" s="57">
        <v>1.252</v>
      </c>
      <c r="J567" s="33">
        <f t="shared" si="14"/>
        <v>2.3248000000000002</v>
      </c>
      <c r="K567" s="33">
        <f t="shared" si="15"/>
        <v>1.252</v>
      </c>
    </row>
    <row r="568" spans="1:11" x14ac:dyDescent="0.2">
      <c r="A568" s="63">
        <v>44655</v>
      </c>
      <c r="B568" s="57">
        <v>2009</v>
      </c>
      <c r="C568" s="57" t="s">
        <v>157</v>
      </c>
      <c r="D568" s="57" t="s">
        <v>161</v>
      </c>
      <c r="E568" s="57" t="s">
        <v>162</v>
      </c>
      <c r="F568" s="57">
        <f t="shared" si="13"/>
        <v>0</v>
      </c>
      <c r="G568" s="57">
        <v>0</v>
      </c>
      <c r="H568" s="57">
        <v>5.8315000000000001</v>
      </c>
      <c r="I568" s="57">
        <v>2.8460000000000001</v>
      </c>
      <c r="J568" s="33">
        <f t="shared" si="14"/>
        <v>5.8315000000000001</v>
      </c>
      <c r="K568" s="33">
        <f t="shared" si="15"/>
        <v>2.8460000000000001</v>
      </c>
    </row>
    <row r="569" spans="1:11" x14ac:dyDescent="0.2">
      <c r="A569" s="63">
        <v>44655</v>
      </c>
      <c r="B569" s="57">
        <v>2331</v>
      </c>
      <c r="C569" s="57" t="s">
        <v>157</v>
      </c>
      <c r="D569" s="57" t="s">
        <v>158</v>
      </c>
      <c r="E569" s="57" t="s">
        <v>162</v>
      </c>
      <c r="F569" s="57">
        <f t="shared" si="13"/>
        <v>1</v>
      </c>
      <c r="G569" s="57">
        <v>0</v>
      </c>
      <c r="H569" s="57">
        <v>5.9126000000000003</v>
      </c>
      <c r="I569" s="57">
        <v>3.726</v>
      </c>
      <c r="J569" s="33">
        <f t="shared" si="14"/>
        <v>5.9126000000000003</v>
      </c>
      <c r="K569" s="33">
        <f t="shared" si="15"/>
        <v>3.726</v>
      </c>
    </row>
    <row r="570" spans="1:11" x14ac:dyDescent="0.2">
      <c r="A570" s="63">
        <v>44655</v>
      </c>
      <c r="B570" s="57">
        <v>2354</v>
      </c>
      <c r="C570" s="57" t="s">
        <v>157</v>
      </c>
      <c r="D570" s="57" t="s">
        <v>161</v>
      </c>
      <c r="E570" s="57" t="s">
        <v>162</v>
      </c>
      <c r="F570" s="57">
        <f t="shared" si="13"/>
        <v>0</v>
      </c>
      <c r="G570" s="57">
        <v>0</v>
      </c>
      <c r="H570" s="57">
        <v>3.4094000000000002</v>
      </c>
      <c r="I570" s="57">
        <v>1.696</v>
      </c>
      <c r="J570" s="33">
        <f t="shared" si="14"/>
        <v>3.4094000000000002</v>
      </c>
      <c r="K570" s="33">
        <f t="shared" si="15"/>
        <v>1.696</v>
      </c>
    </row>
    <row r="571" spans="1:11" x14ac:dyDescent="0.2">
      <c r="A571" s="63">
        <v>44655</v>
      </c>
      <c r="B571" s="57">
        <v>2354</v>
      </c>
      <c r="C571" s="57" t="s">
        <v>157</v>
      </c>
      <c r="D571" s="57" t="s">
        <v>158</v>
      </c>
      <c r="E571" s="57" t="s">
        <v>162</v>
      </c>
      <c r="F571" s="57">
        <f t="shared" si="13"/>
        <v>1</v>
      </c>
      <c r="G571" s="57">
        <v>0</v>
      </c>
      <c r="H571" s="57">
        <v>3.8778999999999999</v>
      </c>
      <c r="I571" s="57">
        <v>2.3460000000000001</v>
      </c>
      <c r="J571" s="33">
        <f t="shared" si="14"/>
        <v>3.8778999999999999</v>
      </c>
      <c r="K571" s="33">
        <f t="shared" si="15"/>
        <v>2.3460000000000001</v>
      </c>
    </row>
    <row r="572" spans="1:11" x14ac:dyDescent="0.2">
      <c r="A572" s="63">
        <v>44655</v>
      </c>
      <c r="B572" s="57">
        <v>2372</v>
      </c>
      <c r="C572" s="57" t="s">
        <v>157</v>
      </c>
      <c r="D572" s="57" t="s">
        <v>161</v>
      </c>
      <c r="E572" s="57" t="s">
        <v>162</v>
      </c>
      <c r="F572" s="57">
        <f t="shared" si="13"/>
        <v>0</v>
      </c>
      <c r="G572" s="57">
        <v>0</v>
      </c>
      <c r="H572" s="57">
        <v>3.5644999999999998</v>
      </c>
      <c r="I572" s="57">
        <v>1.649</v>
      </c>
      <c r="J572" s="33">
        <f t="shared" si="14"/>
        <v>3.5644999999999998</v>
      </c>
      <c r="K572" s="33">
        <f t="shared" si="15"/>
        <v>1.649</v>
      </c>
    </row>
    <row r="573" spans="1:11" x14ac:dyDescent="0.2">
      <c r="A573" s="63">
        <v>44655</v>
      </c>
      <c r="B573" s="57">
        <v>2369</v>
      </c>
      <c r="C573" s="57" t="s">
        <v>157</v>
      </c>
      <c r="D573" s="57" t="s">
        <v>161</v>
      </c>
      <c r="E573" s="57" t="s">
        <v>162</v>
      </c>
      <c r="F573" s="57">
        <f t="shared" si="13"/>
        <v>0</v>
      </c>
      <c r="G573" s="57">
        <v>0</v>
      </c>
      <c r="H573" s="57">
        <v>2.7164000000000001</v>
      </c>
      <c r="I573" s="57">
        <v>1.375</v>
      </c>
      <c r="J573" s="33">
        <f t="shared" si="14"/>
        <v>2.7164000000000001</v>
      </c>
      <c r="K573" s="33">
        <f t="shared" si="15"/>
        <v>1.375</v>
      </c>
    </row>
    <row r="574" spans="1:11" x14ac:dyDescent="0.2">
      <c r="A574" s="63">
        <v>44655</v>
      </c>
      <c r="B574" s="57">
        <v>2367</v>
      </c>
      <c r="C574" s="57" t="s">
        <v>157</v>
      </c>
      <c r="D574" s="57" t="s">
        <v>161</v>
      </c>
      <c r="E574" s="57" t="s">
        <v>162</v>
      </c>
      <c r="F574" s="57">
        <f t="shared" si="13"/>
        <v>0</v>
      </c>
      <c r="G574" s="57">
        <v>0</v>
      </c>
      <c r="H574" s="57">
        <v>2.7037</v>
      </c>
      <c r="I574" s="57">
        <v>1.385</v>
      </c>
      <c r="J574" s="33">
        <f t="shared" si="14"/>
        <v>2.7037</v>
      </c>
      <c r="K574" s="33">
        <f t="shared" si="15"/>
        <v>1.385</v>
      </c>
    </row>
    <row r="575" spans="1:11" x14ac:dyDescent="0.2">
      <c r="A575" s="63">
        <v>44655</v>
      </c>
      <c r="B575" s="57">
        <v>2378</v>
      </c>
      <c r="C575" s="57" t="s">
        <v>157</v>
      </c>
      <c r="D575" s="57" t="s">
        <v>161</v>
      </c>
      <c r="E575" s="57" t="s">
        <v>162</v>
      </c>
      <c r="F575" s="57">
        <f t="shared" si="13"/>
        <v>0</v>
      </c>
      <c r="G575" s="57">
        <v>0</v>
      </c>
      <c r="H575" s="57">
        <v>4.9917999999999996</v>
      </c>
      <c r="I575" s="57">
        <v>2.6</v>
      </c>
      <c r="J575" s="33">
        <f t="shared" si="14"/>
        <v>4.9917999999999996</v>
      </c>
      <c r="K575" s="33">
        <f t="shared" si="15"/>
        <v>2.6</v>
      </c>
    </row>
    <row r="576" spans="1:11" x14ac:dyDescent="0.2">
      <c r="A576" s="63">
        <v>44655</v>
      </c>
      <c r="B576" s="57">
        <v>2383</v>
      </c>
      <c r="C576" s="57" t="s">
        <v>157</v>
      </c>
      <c r="D576" s="57" t="s">
        <v>161</v>
      </c>
      <c r="E576" s="57" t="s">
        <v>162</v>
      </c>
      <c r="F576" s="57">
        <f t="shared" si="13"/>
        <v>0</v>
      </c>
      <c r="G576" s="57">
        <v>0</v>
      </c>
      <c r="H576" s="57">
        <v>5.9706999999999999</v>
      </c>
      <c r="I576" s="57">
        <v>3.2080000000000002</v>
      </c>
      <c r="J576" s="33">
        <f t="shared" si="14"/>
        <v>5.9706999999999999</v>
      </c>
      <c r="K576" s="33">
        <f t="shared" si="15"/>
        <v>3.2080000000000002</v>
      </c>
    </row>
    <row r="577" spans="1:11" x14ac:dyDescent="0.2">
      <c r="A577" s="63">
        <v>44655</v>
      </c>
      <c r="B577" s="57">
        <v>2370</v>
      </c>
      <c r="C577" s="57" t="s">
        <v>157</v>
      </c>
      <c r="D577" s="57" t="s">
        <v>161</v>
      </c>
      <c r="E577" s="57" t="s">
        <v>162</v>
      </c>
      <c r="F577" s="57">
        <f t="shared" si="13"/>
        <v>0</v>
      </c>
      <c r="G577" s="57">
        <v>0</v>
      </c>
      <c r="H577" s="57">
        <v>3.2042999999999999</v>
      </c>
      <c r="I577" s="57">
        <v>1.4379999999999999</v>
      </c>
      <c r="J577" s="33">
        <f t="shared" si="14"/>
        <v>3.2042999999999999</v>
      </c>
      <c r="K577" s="33">
        <f t="shared" si="15"/>
        <v>1.4379999999999999</v>
      </c>
    </row>
    <row r="578" spans="1:11" x14ac:dyDescent="0.2">
      <c r="A578" s="63">
        <v>44655</v>
      </c>
      <c r="B578" s="57">
        <v>2347</v>
      </c>
      <c r="C578" s="57" t="s">
        <v>157</v>
      </c>
      <c r="D578" s="57" t="s">
        <v>161</v>
      </c>
      <c r="E578" s="57" t="s">
        <v>162</v>
      </c>
      <c r="F578" s="57">
        <f t="shared" si="13"/>
        <v>0</v>
      </c>
      <c r="G578" s="57">
        <v>0</v>
      </c>
      <c r="H578" s="57">
        <v>5.2774999999999999</v>
      </c>
      <c r="I578" s="57">
        <v>2.4689999999999999</v>
      </c>
      <c r="J578" s="33">
        <f t="shared" si="14"/>
        <v>5.2774999999999999</v>
      </c>
      <c r="K578" s="33">
        <f t="shared" si="15"/>
        <v>2.4689999999999999</v>
      </c>
    </row>
    <row r="579" spans="1:11" x14ac:dyDescent="0.2">
      <c r="A579" s="63">
        <v>44655</v>
      </c>
      <c r="B579" s="57">
        <v>2352</v>
      </c>
      <c r="C579" s="57" t="s">
        <v>157</v>
      </c>
      <c r="D579" s="57" t="s">
        <v>161</v>
      </c>
      <c r="E579" s="57" t="s">
        <v>162</v>
      </c>
      <c r="F579" s="57">
        <f t="shared" si="13"/>
        <v>0</v>
      </c>
      <c r="G579" s="57">
        <v>0</v>
      </c>
      <c r="H579" s="57">
        <v>0.76790000000000003</v>
      </c>
      <c r="I579" s="57">
        <v>0.42799999999999999</v>
      </c>
      <c r="J579" s="33">
        <f t="shared" si="14"/>
        <v>0.76790000000000003</v>
      </c>
      <c r="K579" s="33">
        <f t="shared" si="15"/>
        <v>0.42799999999999999</v>
      </c>
    </row>
    <row r="580" spans="1:11" x14ac:dyDescent="0.2">
      <c r="A580" s="63">
        <v>44655</v>
      </c>
      <c r="B580" s="57">
        <v>2360</v>
      </c>
      <c r="C580" s="57" t="s">
        <v>157</v>
      </c>
      <c r="D580" s="57" t="s">
        <v>161</v>
      </c>
      <c r="E580" s="57" t="s">
        <v>162</v>
      </c>
      <c r="F580" s="57">
        <f t="shared" si="13"/>
        <v>0</v>
      </c>
      <c r="G580" s="57">
        <v>0</v>
      </c>
      <c r="H580" s="57">
        <v>6.6460999999999997</v>
      </c>
      <c r="I580" s="57">
        <v>3.5739999999999998</v>
      </c>
      <c r="J580" s="33">
        <f t="shared" si="14"/>
        <v>6.6460999999999997</v>
      </c>
      <c r="K580" s="33">
        <f t="shared" si="15"/>
        <v>3.5739999999999998</v>
      </c>
    </row>
    <row r="581" spans="1:11" x14ac:dyDescent="0.2">
      <c r="A581" s="63">
        <v>44655</v>
      </c>
      <c r="B581" s="57">
        <v>2371</v>
      </c>
      <c r="C581" s="57" t="s">
        <v>157</v>
      </c>
      <c r="D581" s="57" t="s">
        <v>161</v>
      </c>
      <c r="E581" s="57" t="s">
        <v>162</v>
      </c>
      <c r="F581" s="57">
        <f t="shared" si="13"/>
        <v>0</v>
      </c>
      <c r="G581" s="57">
        <v>0</v>
      </c>
      <c r="H581" s="57">
        <v>5.3933999999999997</v>
      </c>
      <c r="I581" s="57">
        <v>2.1179999999999999</v>
      </c>
      <c r="J581" s="33">
        <f t="shared" si="14"/>
        <v>5.3933999999999997</v>
      </c>
      <c r="K581" s="33">
        <f t="shared" si="15"/>
        <v>2.1179999999999999</v>
      </c>
    </row>
    <row r="582" spans="1:11" x14ac:dyDescent="0.2">
      <c r="A582" s="63">
        <v>44655</v>
      </c>
      <c r="B582" s="57">
        <v>2352</v>
      </c>
      <c r="C582" s="57" t="s">
        <v>157</v>
      </c>
      <c r="D582" s="57" t="s">
        <v>158</v>
      </c>
      <c r="E582" s="57" t="s">
        <v>162</v>
      </c>
      <c r="F582" s="57">
        <f t="shared" si="13"/>
        <v>1</v>
      </c>
      <c r="G582" s="57">
        <v>0</v>
      </c>
      <c r="H582" s="57">
        <v>3.1857000000000002</v>
      </c>
      <c r="I582" s="57">
        <v>2.137</v>
      </c>
      <c r="J582" s="33">
        <f t="shared" si="14"/>
        <v>3.1857000000000002</v>
      </c>
      <c r="K582" s="33">
        <f t="shared" si="15"/>
        <v>2.137</v>
      </c>
    </row>
    <row r="583" spans="1:11" x14ac:dyDescent="0.2">
      <c r="A583" s="63">
        <v>44655</v>
      </c>
      <c r="B583" s="57">
        <v>2377</v>
      </c>
      <c r="C583" s="57" t="s">
        <v>157</v>
      </c>
      <c r="D583" s="57" t="s">
        <v>158</v>
      </c>
      <c r="E583" s="57" t="s">
        <v>162</v>
      </c>
      <c r="F583" s="57">
        <f t="shared" si="13"/>
        <v>1</v>
      </c>
      <c r="G583" s="57">
        <v>0</v>
      </c>
      <c r="H583" s="57">
        <v>5.6534000000000004</v>
      </c>
      <c r="I583" s="57">
        <v>3.4780000000000002</v>
      </c>
      <c r="J583" s="33">
        <f t="shared" si="14"/>
        <v>5.6534000000000004</v>
      </c>
      <c r="K583" s="33">
        <f t="shared" si="15"/>
        <v>3.4780000000000002</v>
      </c>
    </row>
    <row r="584" spans="1:11" x14ac:dyDescent="0.2">
      <c r="A584" s="63">
        <v>44655</v>
      </c>
      <c r="B584" s="57">
        <v>2365</v>
      </c>
      <c r="C584" s="57" t="s">
        <v>157</v>
      </c>
      <c r="D584" s="57" t="s">
        <v>161</v>
      </c>
      <c r="E584" s="57" t="s">
        <v>162</v>
      </c>
      <c r="F584" s="57">
        <f t="shared" si="13"/>
        <v>0</v>
      </c>
      <c r="G584" s="57">
        <v>0</v>
      </c>
      <c r="H584" s="57">
        <v>3.4956999999999998</v>
      </c>
      <c r="I584" s="57">
        <v>1.7549999999999999</v>
      </c>
      <c r="J584" s="33">
        <f t="shared" si="14"/>
        <v>3.4956999999999998</v>
      </c>
      <c r="K584" s="33">
        <f t="shared" si="15"/>
        <v>1.7549999999999999</v>
      </c>
    </row>
    <row r="585" spans="1:11" x14ac:dyDescent="0.2">
      <c r="F585" s="57">
        <f t="shared" si="13"/>
        <v>0</v>
      </c>
      <c r="J585" s="33">
        <f t="shared" si="14"/>
        <v>0</v>
      </c>
      <c r="K585" s="33">
        <f t="shared" si="15"/>
        <v>0</v>
      </c>
    </row>
    <row r="586" spans="1:11" x14ac:dyDescent="0.2">
      <c r="F586" s="57">
        <f t="shared" si="13"/>
        <v>0</v>
      </c>
      <c r="J586" s="33">
        <f t="shared" si="14"/>
        <v>0</v>
      </c>
      <c r="K586" s="33">
        <f t="shared" si="15"/>
        <v>0</v>
      </c>
    </row>
    <row r="587" spans="1:11" x14ac:dyDescent="0.2">
      <c r="F587" s="57">
        <f t="shared" si="13"/>
        <v>0</v>
      </c>
      <c r="J587" s="33">
        <f t="shared" si="14"/>
        <v>0</v>
      </c>
      <c r="K587" s="33">
        <f t="shared" si="15"/>
        <v>0</v>
      </c>
    </row>
    <row r="588" spans="1:11" x14ac:dyDescent="0.2">
      <c r="F588" s="57">
        <f t="shared" si="13"/>
        <v>0</v>
      </c>
      <c r="J588" s="33">
        <f t="shared" si="14"/>
        <v>0</v>
      </c>
      <c r="K588" s="33">
        <f t="shared" si="15"/>
        <v>0</v>
      </c>
    </row>
    <row r="589" spans="1:11" x14ac:dyDescent="0.2">
      <c r="F589" s="57">
        <f t="shared" si="13"/>
        <v>0</v>
      </c>
      <c r="J589" s="33">
        <f t="shared" si="14"/>
        <v>0</v>
      </c>
      <c r="K589" s="33">
        <f t="shared" si="15"/>
        <v>0</v>
      </c>
    </row>
    <row r="590" spans="1:11" x14ac:dyDescent="0.2">
      <c r="F590" s="57">
        <f t="shared" si="13"/>
        <v>0</v>
      </c>
      <c r="J590" s="33">
        <f t="shared" si="14"/>
        <v>0</v>
      </c>
      <c r="K590" s="33">
        <f t="shared" si="15"/>
        <v>0</v>
      </c>
    </row>
    <row r="591" spans="1:11" x14ac:dyDescent="0.2">
      <c r="F591" s="57">
        <f t="shared" si="13"/>
        <v>0</v>
      </c>
      <c r="J591" s="33">
        <f t="shared" si="14"/>
        <v>0</v>
      </c>
      <c r="K591" s="33">
        <f t="shared" si="15"/>
        <v>0</v>
      </c>
    </row>
    <row r="592" spans="1:11" x14ac:dyDescent="0.2">
      <c r="F592" s="57">
        <f t="shared" si="13"/>
        <v>0</v>
      </c>
      <c r="J592" s="33">
        <f t="shared" si="14"/>
        <v>0</v>
      </c>
      <c r="K592" s="33">
        <f t="shared" si="15"/>
        <v>0</v>
      </c>
    </row>
    <row r="593" spans="6:11" x14ac:dyDescent="0.2">
      <c r="F593" s="57">
        <f t="shared" si="13"/>
        <v>0</v>
      </c>
      <c r="J593" s="33">
        <f t="shared" si="14"/>
        <v>0</v>
      </c>
      <c r="K593" s="33">
        <f t="shared" si="15"/>
        <v>0</v>
      </c>
    </row>
    <row r="594" spans="6:11" x14ac:dyDescent="0.2">
      <c r="F594" s="57">
        <f t="shared" si="13"/>
        <v>0</v>
      </c>
      <c r="J594" s="33">
        <f t="shared" si="14"/>
        <v>0</v>
      </c>
      <c r="K594" s="33">
        <f t="shared" si="15"/>
        <v>0</v>
      </c>
    </row>
    <row r="595" spans="6:11" x14ac:dyDescent="0.2">
      <c r="F595" s="57">
        <f t="shared" si="13"/>
        <v>0</v>
      </c>
      <c r="J595" s="33">
        <f t="shared" si="14"/>
        <v>0</v>
      </c>
      <c r="K595" s="33">
        <f t="shared" si="15"/>
        <v>0</v>
      </c>
    </row>
    <row r="596" spans="6:11" x14ac:dyDescent="0.2">
      <c r="F596" s="57">
        <f t="shared" si="13"/>
        <v>0</v>
      </c>
      <c r="J596" s="33">
        <f t="shared" si="14"/>
        <v>0</v>
      </c>
      <c r="K596" s="33">
        <f t="shared" si="15"/>
        <v>0</v>
      </c>
    </row>
    <row r="597" spans="6:11" x14ac:dyDescent="0.2">
      <c r="F597" s="57">
        <f t="shared" si="13"/>
        <v>0</v>
      </c>
      <c r="J597" s="33">
        <f t="shared" si="14"/>
        <v>0</v>
      </c>
      <c r="K597" s="33">
        <f t="shared" si="15"/>
        <v>0</v>
      </c>
    </row>
    <row r="598" spans="6:11" x14ac:dyDescent="0.2">
      <c r="F598" s="57">
        <f t="shared" si="13"/>
        <v>0</v>
      </c>
      <c r="J598" s="33">
        <f t="shared" si="14"/>
        <v>0</v>
      </c>
      <c r="K598" s="33">
        <f t="shared" si="15"/>
        <v>0</v>
      </c>
    </row>
    <row r="599" spans="6:11" x14ac:dyDescent="0.2">
      <c r="F599" s="57">
        <f t="shared" si="13"/>
        <v>0</v>
      </c>
      <c r="J599" s="33">
        <f t="shared" si="14"/>
        <v>0</v>
      </c>
      <c r="K599" s="33">
        <f t="shared" si="15"/>
        <v>0</v>
      </c>
    </row>
    <row r="600" spans="6:11" x14ac:dyDescent="0.2">
      <c r="F600" s="57">
        <f t="shared" si="13"/>
        <v>0</v>
      </c>
      <c r="J600" s="33">
        <f t="shared" si="14"/>
        <v>0</v>
      </c>
      <c r="K600" s="33">
        <f t="shared" si="15"/>
        <v>0</v>
      </c>
    </row>
    <row r="601" spans="6:11" x14ac:dyDescent="0.2">
      <c r="F601" s="57">
        <f t="shared" si="13"/>
        <v>0</v>
      </c>
      <c r="J601" s="33">
        <f t="shared" si="14"/>
        <v>0</v>
      </c>
      <c r="K601" s="33">
        <f t="shared" si="15"/>
        <v>0</v>
      </c>
    </row>
    <row r="602" spans="6:11" x14ac:dyDescent="0.2">
      <c r="F602" s="57">
        <f t="shared" si="13"/>
        <v>0</v>
      </c>
      <c r="J602" s="33">
        <f t="shared" si="14"/>
        <v>0</v>
      </c>
      <c r="K602" s="33">
        <f t="shared" si="15"/>
        <v>0</v>
      </c>
    </row>
    <row r="603" spans="6:11" x14ac:dyDescent="0.2">
      <c r="F603" s="57">
        <f t="shared" si="13"/>
        <v>0</v>
      </c>
      <c r="J603" s="33">
        <f t="shared" si="14"/>
        <v>0</v>
      </c>
      <c r="K603" s="33">
        <f t="shared" si="15"/>
        <v>0</v>
      </c>
    </row>
    <row r="604" spans="6:11" x14ac:dyDescent="0.2">
      <c r="F604" s="57">
        <f t="shared" si="13"/>
        <v>0</v>
      </c>
      <c r="J604" s="33">
        <f t="shared" si="14"/>
        <v>0</v>
      </c>
      <c r="K604" s="33">
        <f t="shared" si="15"/>
        <v>0</v>
      </c>
    </row>
    <row r="605" spans="6:11" x14ac:dyDescent="0.2">
      <c r="F605" s="57">
        <f t="shared" si="13"/>
        <v>0</v>
      </c>
      <c r="J605" s="33">
        <f t="shared" si="14"/>
        <v>0</v>
      </c>
      <c r="K605" s="33">
        <f t="shared" si="15"/>
        <v>0</v>
      </c>
    </row>
    <row r="606" spans="6:11" x14ac:dyDescent="0.2">
      <c r="F606" s="57">
        <f t="shared" si="13"/>
        <v>0</v>
      </c>
      <c r="J606" s="33">
        <f t="shared" si="14"/>
        <v>0</v>
      </c>
      <c r="K606" s="33">
        <f t="shared" si="15"/>
        <v>0</v>
      </c>
    </row>
    <row r="607" spans="6:11" x14ac:dyDescent="0.2">
      <c r="F607" s="57">
        <f t="shared" si="13"/>
        <v>0</v>
      </c>
      <c r="J607" s="33">
        <f t="shared" si="14"/>
        <v>0</v>
      </c>
      <c r="K607" s="33">
        <f t="shared" si="15"/>
        <v>0</v>
      </c>
    </row>
    <row r="608" spans="6:11" x14ac:dyDescent="0.2">
      <c r="F608" s="57">
        <f t="shared" si="13"/>
        <v>0</v>
      </c>
      <c r="J608" s="33">
        <f t="shared" si="14"/>
        <v>0</v>
      </c>
      <c r="K608" s="33">
        <f t="shared" si="15"/>
        <v>0</v>
      </c>
    </row>
    <row r="609" spans="6:11" x14ac:dyDescent="0.2">
      <c r="F609" s="57">
        <f t="shared" si="13"/>
        <v>0</v>
      </c>
      <c r="J609" s="33">
        <f t="shared" si="14"/>
        <v>0</v>
      </c>
      <c r="K609" s="33">
        <f t="shared" si="15"/>
        <v>0</v>
      </c>
    </row>
    <row r="610" spans="6:11" x14ac:dyDescent="0.2">
      <c r="F610" s="57">
        <f t="shared" si="13"/>
        <v>0</v>
      </c>
      <c r="J610" s="33">
        <f t="shared" si="14"/>
        <v>0</v>
      </c>
      <c r="K610" s="33">
        <f t="shared" si="15"/>
        <v>0</v>
      </c>
    </row>
    <row r="611" spans="6:11" x14ac:dyDescent="0.2">
      <c r="F611" s="57">
        <f t="shared" si="13"/>
        <v>0</v>
      </c>
      <c r="J611" s="33">
        <f t="shared" si="14"/>
        <v>0</v>
      </c>
      <c r="K611" s="33">
        <f t="shared" si="15"/>
        <v>0</v>
      </c>
    </row>
    <row r="612" spans="6:11" x14ac:dyDescent="0.2">
      <c r="F612" s="57">
        <f t="shared" si="13"/>
        <v>0</v>
      </c>
      <c r="J612" s="33">
        <f t="shared" si="14"/>
        <v>0</v>
      </c>
      <c r="K612" s="33">
        <f t="shared" si="15"/>
        <v>0</v>
      </c>
    </row>
    <row r="613" spans="6:11" x14ac:dyDescent="0.2">
      <c r="F613" s="57">
        <f t="shared" si="13"/>
        <v>0</v>
      </c>
      <c r="J613" s="33">
        <f t="shared" si="14"/>
        <v>0</v>
      </c>
      <c r="K613" s="33">
        <f t="shared" si="15"/>
        <v>0</v>
      </c>
    </row>
    <row r="614" spans="6:11" x14ac:dyDescent="0.2">
      <c r="F614" s="57">
        <f t="shared" si="13"/>
        <v>0</v>
      </c>
      <c r="J614" s="33">
        <f t="shared" si="14"/>
        <v>0</v>
      </c>
      <c r="K614" s="33">
        <f t="shared" si="15"/>
        <v>0</v>
      </c>
    </row>
    <row r="615" spans="6:11" x14ac:dyDescent="0.2">
      <c r="F615" s="57">
        <f t="shared" si="13"/>
        <v>0</v>
      </c>
      <c r="J615" s="33">
        <f t="shared" si="14"/>
        <v>0</v>
      </c>
      <c r="K615" s="33">
        <f t="shared" si="15"/>
        <v>0</v>
      </c>
    </row>
    <row r="616" spans="6:11" x14ac:dyDescent="0.2">
      <c r="F616" s="57">
        <f t="shared" si="13"/>
        <v>0</v>
      </c>
      <c r="J616" s="33">
        <f t="shared" si="14"/>
        <v>0</v>
      </c>
      <c r="K616" s="33">
        <f t="shared" si="15"/>
        <v>0</v>
      </c>
    </row>
    <row r="617" spans="6:11" x14ac:dyDescent="0.2">
      <c r="F617" s="57">
        <f t="shared" si="13"/>
        <v>0</v>
      </c>
      <c r="J617" s="33">
        <f t="shared" si="14"/>
        <v>0</v>
      </c>
      <c r="K617" s="33">
        <f t="shared" si="15"/>
        <v>0</v>
      </c>
    </row>
    <row r="618" spans="6:11" x14ac:dyDescent="0.2">
      <c r="F618" s="57">
        <f t="shared" si="13"/>
        <v>0</v>
      </c>
      <c r="J618" s="33">
        <f t="shared" si="14"/>
        <v>0</v>
      </c>
      <c r="K618" s="33">
        <f t="shared" si="15"/>
        <v>0</v>
      </c>
    </row>
    <row r="619" spans="6:11" x14ac:dyDescent="0.2">
      <c r="F619" s="57">
        <f t="shared" si="13"/>
        <v>0</v>
      </c>
      <c r="J619" s="33">
        <f t="shared" si="14"/>
        <v>0</v>
      </c>
      <c r="K619" s="33">
        <f t="shared" si="15"/>
        <v>0</v>
      </c>
    </row>
    <row r="620" spans="6:11" x14ac:dyDescent="0.2">
      <c r="F620" s="57">
        <f t="shared" si="13"/>
        <v>0</v>
      </c>
      <c r="J620" s="33">
        <f t="shared" si="14"/>
        <v>0</v>
      </c>
      <c r="K620" s="33">
        <f t="shared" si="15"/>
        <v>0</v>
      </c>
    </row>
    <row r="621" spans="6:11" x14ac:dyDescent="0.2">
      <c r="F621" s="57">
        <f t="shared" si="13"/>
        <v>0</v>
      </c>
      <c r="J621" s="33">
        <f t="shared" si="14"/>
        <v>0</v>
      </c>
      <c r="K621" s="33">
        <f t="shared" si="15"/>
        <v>0</v>
      </c>
    </row>
    <row r="622" spans="6:11" x14ac:dyDescent="0.2">
      <c r="F622" s="57">
        <f t="shared" si="13"/>
        <v>0</v>
      </c>
      <c r="J622" s="33">
        <f t="shared" si="14"/>
        <v>0</v>
      </c>
      <c r="K622" s="33">
        <f t="shared" si="15"/>
        <v>0</v>
      </c>
    </row>
    <row r="623" spans="6:11" x14ac:dyDescent="0.2">
      <c r="F623" s="57">
        <f t="shared" si="13"/>
        <v>0</v>
      </c>
      <c r="J623" s="33">
        <f t="shared" si="14"/>
        <v>0</v>
      </c>
      <c r="K623" s="33">
        <f t="shared" si="15"/>
        <v>0</v>
      </c>
    </row>
    <row r="624" spans="6:11" x14ac:dyDescent="0.2">
      <c r="F624" s="57">
        <f t="shared" si="13"/>
        <v>0</v>
      </c>
      <c r="J624" s="33">
        <f t="shared" si="14"/>
        <v>0</v>
      </c>
      <c r="K624" s="33">
        <f t="shared" si="15"/>
        <v>0</v>
      </c>
    </row>
    <row r="625" spans="6:11" x14ac:dyDescent="0.2">
      <c r="F625" s="57">
        <f t="shared" si="13"/>
        <v>0</v>
      </c>
      <c r="J625" s="33">
        <f t="shared" si="14"/>
        <v>0</v>
      </c>
      <c r="K625" s="33">
        <f t="shared" si="15"/>
        <v>0</v>
      </c>
    </row>
    <row r="626" spans="6:11" x14ac:dyDescent="0.2">
      <c r="F626" s="57">
        <f t="shared" si="13"/>
        <v>0</v>
      </c>
      <c r="J626" s="33">
        <f t="shared" si="14"/>
        <v>0</v>
      </c>
      <c r="K626" s="33">
        <f t="shared" si="15"/>
        <v>0</v>
      </c>
    </row>
    <row r="627" spans="6:11" x14ac:dyDescent="0.2">
      <c r="F627" s="57">
        <f t="shared" si="13"/>
        <v>0</v>
      </c>
      <c r="J627" s="33">
        <f t="shared" si="14"/>
        <v>0</v>
      </c>
      <c r="K627" s="33">
        <f t="shared" si="15"/>
        <v>0</v>
      </c>
    </row>
    <row r="628" spans="6:11" x14ac:dyDescent="0.2">
      <c r="F628" s="57">
        <f t="shared" si="13"/>
        <v>0</v>
      </c>
      <c r="J628" s="33">
        <f t="shared" si="14"/>
        <v>0</v>
      </c>
      <c r="K628" s="33">
        <f t="shared" si="15"/>
        <v>0</v>
      </c>
    </row>
    <row r="629" spans="6:11" x14ac:dyDescent="0.2">
      <c r="F629" s="57">
        <f t="shared" si="13"/>
        <v>0</v>
      </c>
      <c r="J629" s="33">
        <f t="shared" si="14"/>
        <v>0</v>
      </c>
      <c r="K629" s="33">
        <f t="shared" si="15"/>
        <v>0</v>
      </c>
    </row>
    <row r="630" spans="6:11" x14ac:dyDescent="0.2">
      <c r="F630" s="57">
        <f t="shared" si="13"/>
        <v>0</v>
      </c>
      <c r="J630" s="33">
        <f t="shared" si="14"/>
        <v>0</v>
      </c>
      <c r="K630" s="33">
        <f t="shared" si="15"/>
        <v>0</v>
      </c>
    </row>
    <row r="631" spans="6:11" x14ac:dyDescent="0.2">
      <c r="F631" s="57">
        <f t="shared" ref="F631:F700" si="16">IF(D631="old",1,0)</f>
        <v>0</v>
      </c>
      <c r="J631" s="33">
        <f t="shared" si="14"/>
        <v>0</v>
      </c>
      <c r="K631" s="33">
        <f t="shared" si="15"/>
        <v>0</v>
      </c>
    </row>
    <row r="632" spans="6:11" x14ac:dyDescent="0.2">
      <c r="F632" s="57">
        <f t="shared" si="16"/>
        <v>0</v>
      </c>
      <c r="J632" s="33">
        <f t="shared" si="14"/>
        <v>0</v>
      </c>
      <c r="K632" s="33">
        <f t="shared" si="15"/>
        <v>0</v>
      </c>
    </row>
    <row r="633" spans="6:11" x14ac:dyDescent="0.2">
      <c r="F633" s="57">
        <f t="shared" si="16"/>
        <v>0</v>
      </c>
      <c r="J633" s="33">
        <f t="shared" si="14"/>
        <v>0</v>
      </c>
      <c r="K633" s="33">
        <f t="shared" si="15"/>
        <v>0</v>
      </c>
    </row>
    <row r="634" spans="6:11" x14ac:dyDescent="0.2">
      <c r="F634" s="57">
        <f t="shared" si="16"/>
        <v>0</v>
      </c>
      <c r="J634" s="33">
        <f t="shared" si="14"/>
        <v>0</v>
      </c>
      <c r="K634" s="33">
        <f t="shared" si="15"/>
        <v>0</v>
      </c>
    </row>
    <row r="635" spans="6:11" x14ac:dyDescent="0.2">
      <c r="F635" s="57">
        <f t="shared" si="16"/>
        <v>0</v>
      </c>
      <c r="J635" s="33">
        <f t="shared" si="14"/>
        <v>0</v>
      </c>
      <c r="K635" s="33">
        <f t="shared" si="15"/>
        <v>0</v>
      </c>
    </row>
    <row r="636" spans="6:11" x14ac:dyDescent="0.2">
      <c r="F636" s="57">
        <f t="shared" si="16"/>
        <v>0</v>
      </c>
      <c r="J636" s="33">
        <f t="shared" si="14"/>
        <v>0</v>
      </c>
      <c r="K636" s="33">
        <f t="shared" si="15"/>
        <v>0</v>
      </c>
    </row>
    <row r="637" spans="6:11" x14ac:dyDescent="0.2">
      <c r="F637" s="57">
        <f t="shared" si="16"/>
        <v>0</v>
      </c>
      <c r="J637" s="33">
        <f t="shared" si="14"/>
        <v>0</v>
      </c>
      <c r="K637" s="33">
        <f t="shared" si="15"/>
        <v>0</v>
      </c>
    </row>
    <row r="638" spans="6:11" x14ac:dyDescent="0.2">
      <c r="F638" s="57">
        <f t="shared" si="16"/>
        <v>0</v>
      </c>
      <c r="J638" s="33">
        <f t="shared" si="14"/>
        <v>0</v>
      </c>
      <c r="K638" s="33">
        <f t="shared" si="15"/>
        <v>0</v>
      </c>
    </row>
    <row r="639" spans="6:11" x14ac:dyDescent="0.2">
      <c r="F639" s="57">
        <f t="shared" si="16"/>
        <v>0</v>
      </c>
      <c r="J639" s="33">
        <f t="shared" si="14"/>
        <v>0</v>
      </c>
      <c r="K639" s="33">
        <f t="shared" si="15"/>
        <v>0</v>
      </c>
    </row>
    <row r="640" spans="6:11" x14ac:dyDescent="0.2">
      <c r="F640" s="57">
        <f t="shared" si="16"/>
        <v>0</v>
      </c>
      <c r="J640" s="33">
        <f t="shared" si="14"/>
        <v>0</v>
      </c>
      <c r="K640" s="33">
        <f t="shared" si="15"/>
        <v>0</v>
      </c>
    </row>
    <row r="641" spans="6:11" x14ac:dyDescent="0.2">
      <c r="F641" s="57">
        <f t="shared" si="16"/>
        <v>0</v>
      </c>
      <c r="J641" s="33">
        <f t="shared" si="14"/>
        <v>0</v>
      </c>
      <c r="K641" s="33">
        <f t="shared" si="15"/>
        <v>0</v>
      </c>
    </row>
    <row r="642" spans="6:11" x14ac:dyDescent="0.2">
      <c r="F642" s="57">
        <f t="shared" si="16"/>
        <v>0</v>
      </c>
      <c r="J642" s="33">
        <f t="shared" si="14"/>
        <v>0</v>
      </c>
      <c r="K642" s="33">
        <f t="shared" si="15"/>
        <v>0</v>
      </c>
    </row>
    <row r="643" spans="6:11" x14ac:dyDescent="0.2">
      <c r="F643" s="57">
        <f t="shared" si="16"/>
        <v>0</v>
      </c>
      <c r="J643" s="33">
        <f t="shared" si="14"/>
        <v>0</v>
      </c>
      <c r="K643" s="33">
        <f t="shared" si="15"/>
        <v>0</v>
      </c>
    </row>
    <row r="644" spans="6:11" x14ac:dyDescent="0.2">
      <c r="F644" s="57">
        <f t="shared" si="16"/>
        <v>0</v>
      </c>
      <c r="J644" s="33">
        <f t="shared" si="14"/>
        <v>0</v>
      </c>
      <c r="K644" s="33">
        <f t="shared" si="15"/>
        <v>0</v>
      </c>
    </row>
    <row r="645" spans="6:11" x14ac:dyDescent="0.2">
      <c r="F645" s="57">
        <f t="shared" si="16"/>
        <v>0</v>
      </c>
      <c r="J645" s="33">
        <f t="shared" si="14"/>
        <v>0</v>
      </c>
      <c r="K645" s="33">
        <f t="shared" si="15"/>
        <v>0</v>
      </c>
    </row>
    <row r="646" spans="6:11" x14ac:dyDescent="0.2">
      <c r="F646" s="57">
        <f t="shared" si="16"/>
        <v>0</v>
      </c>
      <c r="J646" s="33">
        <f t="shared" si="14"/>
        <v>0</v>
      </c>
      <c r="K646" s="33">
        <f t="shared" si="15"/>
        <v>0</v>
      </c>
    </row>
    <row r="647" spans="6:11" x14ac:dyDescent="0.2">
      <c r="F647" s="57">
        <f t="shared" si="16"/>
        <v>0</v>
      </c>
      <c r="J647" s="33">
        <f t="shared" si="14"/>
        <v>0</v>
      </c>
      <c r="K647" s="33">
        <f t="shared" si="15"/>
        <v>0</v>
      </c>
    </row>
    <row r="648" spans="6:11" x14ac:dyDescent="0.2">
      <c r="F648" s="57">
        <f t="shared" si="16"/>
        <v>0</v>
      </c>
      <c r="J648" s="33">
        <f t="shared" si="14"/>
        <v>0</v>
      </c>
      <c r="K648" s="33">
        <f t="shared" si="15"/>
        <v>0</v>
      </c>
    </row>
    <row r="649" spans="6:11" x14ac:dyDescent="0.2">
      <c r="F649" s="57">
        <f t="shared" si="16"/>
        <v>0</v>
      </c>
      <c r="J649" s="33">
        <f t="shared" si="14"/>
        <v>0</v>
      </c>
      <c r="K649" s="33">
        <f t="shared" si="15"/>
        <v>0</v>
      </c>
    </row>
    <row r="650" spans="6:11" x14ac:dyDescent="0.2">
      <c r="F650" s="57">
        <f t="shared" si="16"/>
        <v>0</v>
      </c>
      <c r="J650" s="33">
        <f t="shared" si="14"/>
        <v>0</v>
      </c>
      <c r="K650" s="33">
        <f t="shared" si="15"/>
        <v>0</v>
      </c>
    </row>
    <row r="651" spans="6:11" x14ac:dyDescent="0.2">
      <c r="F651" s="57">
        <f t="shared" si="16"/>
        <v>0</v>
      </c>
      <c r="J651" s="33">
        <f t="shared" si="14"/>
        <v>0</v>
      </c>
      <c r="K651" s="33">
        <f t="shared" si="15"/>
        <v>0</v>
      </c>
    </row>
    <row r="652" spans="6:11" x14ac:dyDescent="0.2">
      <c r="F652" s="57">
        <f t="shared" si="16"/>
        <v>0</v>
      </c>
      <c r="J652" s="33">
        <f t="shared" si="14"/>
        <v>0</v>
      </c>
      <c r="K652" s="33">
        <f t="shared" si="15"/>
        <v>0</v>
      </c>
    </row>
    <row r="653" spans="6:11" x14ac:dyDescent="0.2">
      <c r="F653" s="57">
        <f t="shared" si="16"/>
        <v>0</v>
      </c>
      <c r="J653" s="33">
        <f t="shared" si="14"/>
        <v>0</v>
      </c>
      <c r="K653" s="33">
        <f t="shared" si="15"/>
        <v>0</v>
      </c>
    </row>
    <row r="654" spans="6:11" x14ac:dyDescent="0.2">
      <c r="F654" s="57">
        <f t="shared" si="16"/>
        <v>0</v>
      </c>
      <c r="J654" s="33">
        <f t="shared" si="14"/>
        <v>0</v>
      </c>
      <c r="K654" s="33">
        <f t="shared" si="15"/>
        <v>0</v>
      </c>
    </row>
    <row r="655" spans="6:11" x14ac:dyDescent="0.2">
      <c r="F655" s="57">
        <f t="shared" si="16"/>
        <v>0</v>
      </c>
      <c r="J655" s="33">
        <f t="shared" si="14"/>
        <v>0</v>
      </c>
      <c r="K655" s="33">
        <f t="shared" si="15"/>
        <v>0</v>
      </c>
    </row>
    <row r="656" spans="6:11" x14ac:dyDescent="0.2">
      <c r="F656" s="57">
        <f t="shared" si="16"/>
        <v>0</v>
      </c>
      <c r="J656" s="33">
        <f t="shared" si="14"/>
        <v>0</v>
      </c>
      <c r="K656" s="33">
        <f t="shared" si="15"/>
        <v>0</v>
      </c>
    </row>
    <row r="657" spans="6:11" x14ac:dyDescent="0.2">
      <c r="F657" s="57">
        <f t="shared" si="16"/>
        <v>0</v>
      </c>
      <c r="J657" s="33">
        <f t="shared" si="14"/>
        <v>0</v>
      </c>
      <c r="K657" s="33">
        <f t="shared" si="15"/>
        <v>0</v>
      </c>
    </row>
    <row r="658" spans="6:11" x14ac:dyDescent="0.2">
      <c r="F658" s="57">
        <f t="shared" si="16"/>
        <v>0</v>
      </c>
      <c r="J658" s="33">
        <f t="shared" si="14"/>
        <v>0</v>
      </c>
      <c r="K658" s="33">
        <f t="shared" si="15"/>
        <v>0</v>
      </c>
    </row>
    <row r="659" spans="6:11" x14ac:dyDescent="0.2">
      <c r="F659" s="57">
        <f t="shared" si="16"/>
        <v>0</v>
      </c>
      <c r="J659" s="33">
        <f t="shared" si="14"/>
        <v>0</v>
      </c>
      <c r="K659" s="33">
        <f t="shared" si="15"/>
        <v>0</v>
      </c>
    </row>
    <row r="660" spans="6:11" x14ac:dyDescent="0.2">
      <c r="F660" s="57">
        <f t="shared" si="16"/>
        <v>0</v>
      </c>
      <c r="J660" s="33">
        <f t="shared" si="14"/>
        <v>0</v>
      </c>
      <c r="K660" s="33">
        <f t="shared" si="15"/>
        <v>0</v>
      </c>
    </row>
    <row r="661" spans="6:11" x14ac:dyDescent="0.2">
      <c r="F661" s="57">
        <f t="shared" si="16"/>
        <v>0</v>
      </c>
      <c r="J661" s="33">
        <f t="shared" si="14"/>
        <v>0</v>
      </c>
      <c r="K661" s="33">
        <f t="shared" si="15"/>
        <v>0</v>
      </c>
    </row>
    <row r="662" spans="6:11" x14ac:dyDescent="0.2">
      <c r="F662" s="57">
        <f t="shared" si="16"/>
        <v>0</v>
      </c>
      <c r="J662" s="33">
        <f t="shared" si="14"/>
        <v>0</v>
      </c>
      <c r="K662" s="33">
        <f t="shared" si="15"/>
        <v>0</v>
      </c>
    </row>
    <row r="663" spans="6:11" x14ac:dyDescent="0.2">
      <c r="F663" s="57">
        <f t="shared" si="16"/>
        <v>0</v>
      </c>
      <c r="J663" s="33">
        <f t="shared" si="14"/>
        <v>0</v>
      </c>
      <c r="K663" s="33">
        <f t="shared" si="15"/>
        <v>0</v>
      </c>
    </row>
    <row r="664" spans="6:11" x14ac:dyDescent="0.2">
      <c r="F664" s="57">
        <f t="shared" si="16"/>
        <v>0</v>
      </c>
      <c r="J664" s="33">
        <f t="shared" si="14"/>
        <v>0</v>
      </c>
      <c r="K664" s="33">
        <f t="shared" si="15"/>
        <v>0</v>
      </c>
    </row>
    <row r="665" spans="6:11" x14ac:dyDescent="0.2">
      <c r="F665" s="57">
        <f t="shared" si="16"/>
        <v>0</v>
      </c>
      <c r="J665" s="33">
        <f t="shared" si="14"/>
        <v>0</v>
      </c>
      <c r="K665" s="33">
        <f t="shared" si="15"/>
        <v>0</v>
      </c>
    </row>
    <row r="666" spans="6:11" x14ac:dyDescent="0.2">
      <c r="F666" s="57">
        <f t="shared" si="16"/>
        <v>0</v>
      </c>
      <c r="J666" s="33">
        <f t="shared" si="14"/>
        <v>0</v>
      </c>
      <c r="K666" s="33">
        <f t="shared" si="15"/>
        <v>0</v>
      </c>
    </row>
    <row r="667" spans="6:11" x14ac:dyDescent="0.2">
      <c r="F667" s="57">
        <f t="shared" si="16"/>
        <v>0</v>
      </c>
      <c r="J667" s="33">
        <f t="shared" si="14"/>
        <v>0</v>
      </c>
      <c r="K667" s="33">
        <f t="shared" si="15"/>
        <v>0</v>
      </c>
    </row>
    <row r="668" spans="6:11" x14ac:dyDescent="0.2">
      <c r="F668" s="57">
        <f t="shared" si="16"/>
        <v>0</v>
      </c>
      <c r="J668" s="33">
        <f t="shared" si="14"/>
        <v>0</v>
      </c>
      <c r="K668" s="33">
        <f t="shared" si="15"/>
        <v>0</v>
      </c>
    </row>
    <row r="669" spans="6:11" x14ac:dyDescent="0.2">
      <c r="F669" s="57">
        <f t="shared" si="16"/>
        <v>0</v>
      </c>
      <c r="J669" s="33">
        <f t="shared" si="14"/>
        <v>0</v>
      </c>
      <c r="K669" s="33">
        <f t="shared" si="15"/>
        <v>0</v>
      </c>
    </row>
    <row r="670" spans="6:11" x14ac:dyDescent="0.2">
      <c r="F670" s="57">
        <f t="shared" si="16"/>
        <v>0</v>
      </c>
      <c r="J670" s="33">
        <f t="shared" si="14"/>
        <v>0</v>
      </c>
      <c r="K670" s="33">
        <f t="shared" si="15"/>
        <v>0</v>
      </c>
    </row>
    <row r="671" spans="6:11" x14ac:dyDescent="0.2">
      <c r="F671" s="57">
        <f t="shared" si="16"/>
        <v>0</v>
      </c>
      <c r="J671" s="33">
        <f t="shared" si="14"/>
        <v>0</v>
      </c>
      <c r="K671" s="33">
        <f t="shared" si="15"/>
        <v>0</v>
      </c>
    </row>
    <row r="672" spans="6:11" x14ac:dyDescent="0.2">
      <c r="F672" s="57">
        <f t="shared" si="16"/>
        <v>0</v>
      </c>
      <c r="J672" s="33">
        <f t="shared" si="14"/>
        <v>0</v>
      </c>
      <c r="K672" s="33">
        <f t="shared" si="15"/>
        <v>0</v>
      </c>
    </row>
    <row r="673" spans="6:11" x14ac:dyDescent="0.2">
      <c r="F673" s="57">
        <f t="shared" si="16"/>
        <v>0</v>
      </c>
      <c r="K673" s="33">
        <f t="shared" si="15"/>
        <v>0</v>
      </c>
    </row>
    <row r="674" spans="6:11" x14ac:dyDescent="0.2">
      <c r="F674" s="57">
        <f t="shared" si="16"/>
        <v>0</v>
      </c>
      <c r="K674" s="33">
        <f t="shared" si="15"/>
        <v>0</v>
      </c>
    </row>
    <row r="675" spans="6:11" x14ac:dyDescent="0.2">
      <c r="F675" s="57">
        <f t="shared" si="16"/>
        <v>0</v>
      </c>
      <c r="K675" s="33">
        <f t="shared" si="15"/>
        <v>0</v>
      </c>
    </row>
    <row r="676" spans="6:11" x14ac:dyDescent="0.2">
      <c r="F676" s="57">
        <f t="shared" si="16"/>
        <v>0</v>
      </c>
      <c r="K676" s="33">
        <f t="shared" si="15"/>
        <v>0</v>
      </c>
    </row>
    <row r="677" spans="6:11" x14ac:dyDescent="0.2">
      <c r="F677" s="57">
        <f t="shared" si="16"/>
        <v>0</v>
      </c>
      <c r="K677" s="33">
        <f t="shared" si="15"/>
        <v>0</v>
      </c>
    </row>
    <row r="678" spans="6:11" x14ac:dyDescent="0.2">
      <c r="F678" s="57">
        <f t="shared" si="16"/>
        <v>0</v>
      </c>
      <c r="K678" s="33">
        <f t="shared" si="15"/>
        <v>0</v>
      </c>
    </row>
    <row r="679" spans="6:11" x14ac:dyDescent="0.2">
      <c r="F679" s="57">
        <f t="shared" si="16"/>
        <v>0</v>
      </c>
      <c r="K679" s="33">
        <f t="shared" si="15"/>
        <v>0</v>
      </c>
    </row>
    <row r="680" spans="6:11" x14ac:dyDescent="0.2">
      <c r="F680" s="57">
        <f t="shared" si="16"/>
        <v>0</v>
      </c>
      <c r="K680" s="33">
        <f t="shared" si="15"/>
        <v>0</v>
      </c>
    </row>
    <row r="681" spans="6:11" x14ac:dyDescent="0.2">
      <c r="F681" s="57">
        <f t="shared" si="16"/>
        <v>0</v>
      </c>
      <c r="K681" s="33">
        <f t="shared" si="15"/>
        <v>0</v>
      </c>
    </row>
    <row r="682" spans="6:11" x14ac:dyDescent="0.2">
      <c r="F682" s="57">
        <f t="shared" si="16"/>
        <v>0</v>
      </c>
      <c r="K682" s="33">
        <f t="shared" si="15"/>
        <v>0</v>
      </c>
    </row>
    <row r="683" spans="6:11" x14ac:dyDescent="0.2">
      <c r="F683" s="57">
        <f t="shared" si="16"/>
        <v>0</v>
      </c>
      <c r="K683" s="33">
        <f t="shared" si="15"/>
        <v>0</v>
      </c>
    </row>
    <row r="684" spans="6:11" x14ac:dyDescent="0.2">
      <c r="F684" s="57">
        <f t="shared" si="16"/>
        <v>0</v>
      </c>
      <c r="K684" s="33">
        <f t="shared" si="15"/>
        <v>0</v>
      </c>
    </row>
    <row r="685" spans="6:11" x14ac:dyDescent="0.2">
      <c r="F685" s="57">
        <f t="shared" si="16"/>
        <v>0</v>
      </c>
      <c r="K685" s="33">
        <f t="shared" si="15"/>
        <v>0</v>
      </c>
    </row>
    <row r="686" spans="6:11" x14ac:dyDescent="0.2">
      <c r="F686" s="57">
        <f t="shared" si="16"/>
        <v>0</v>
      </c>
      <c r="K686" s="33">
        <f t="shared" si="15"/>
        <v>0</v>
      </c>
    </row>
    <row r="687" spans="6:11" x14ac:dyDescent="0.2">
      <c r="F687" s="57">
        <f t="shared" si="16"/>
        <v>0</v>
      </c>
      <c r="K687" s="33">
        <f t="shared" si="15"/>
        <v>0</v>
      </c>
    </row>
    <row r="688" spans="6:11" x14ac:dyDescent="0.2">
      <c r="F688" s="57">
        <f t="shared" si="16"/>
        <v>0</v>
      </c>
      <c r="K688" s="33">
        <f t="shared" si="15"/>
        <v>0</v>
      </c>
    </row>
    <row r="689" spans="6:11" x14ac:dyDescent="0.2">
      <c r="F689" s="57">
        <f t="shared" si="16"/>
        <v>0</v>
      </c>
      <c r="K689" s="33">
        <f t="shared" si="15"/>
        <v>0</v>
      </c>
    </row>
    <row r="690" spans="6:11" x14ac:dyDescent="0.2">
      <c r="F690" s="57">
        <f t="shared" si="16"/>
        <v>0</v>
      </c>
      <c r="K690" s="33">
        <f t="shared" si="15"/>
        <v>0</v>
      </c>
    </row>
    <row r="691" spans="6:11" x14ac:dyDescent="0.2">
      <c r="F691" s="57">
        <f t="shared" si="16"/>
        <v>0</v>
      </c>
      <c r="K691" s="33">
        <f t="shared" si="15"/>
        <v>0</v>
      </c>
    </row>
    <row r="692" spans="6:11" x14ac:dyDescent="0.2">
      <c r="F692" s="57">
        <f t="shared" si="16"/>
        <v>0</v>
      </c>
      <c r="K692" s="33">
        <f t="shared" si="15"/>
        <v>0</v>
      </c>
    </row>
    <row r="693" spans="6:11" x14ac:dyDescent="0.2">
      <c r="F693" s="57">
        <f t="shared" si="16"/>
        <v>0</v>
      </c>
      <c r="K693" s="33">
        <f t="shared" si="15"/>
        <v>0</v>
      </c>
    </row>
    <row r="694" spans="6:11" x14ac:dyDescent="0.2">
      <c r="F694" s="57">
        <f t="shared" si="16"/>
        <v>0</v>
      </c>
      <c r="K694" s="33">
        <f t="shared" si="15"/>
        <v>0</v>
      </c>
    </row>
    <row r="695" spans="6:11" x14ac:dyDescent="0.2">
      <c r="F695" s="57">
        <f t="shared" si="16"/>
        <v>0</v>
      </c>
      <c r="K695" s="33">
        <f t="shared" si="15"/>
        <v>0</v>
      </c>
    </row>
    <row r="696" spans="6:11" x14ac:dyDescent="0.2">
      <c r="F696" s="57">
        <f t="shared" si="16"/>
        <v>0</v>
      </c>
    </row>
    <row r="697" spans="6:11" x14ac:dyDescent="0.2">
      <c r="F697" s="57">
        <f t="shared" si="16"/>
        <v>0</v>
      </c>
    </row>
    <row r="698" spans="6:11" x14ac:dyDescent="0.2">
      <c r="F698" s="57">
        <f t="shared" si="16"/>
        <v>0</v>
      </c>
    </row>
    <row r="699" spans="6:11" x14ac:dyDescent="0.2">
      <c r="F699" s="57">
        <f t="shared" si="16"/>
        <v>0</v>
      </c>
    </row>
    <row r="700" spans="6:11" x14ac:dyDescent="0.2">
      <c r="F700" s="57">
        <f t="shared" si="1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59765625" customWidth="1"/>
    <col min="2" max="2" width="8" customWidth="1"/>
    <col min="3" max="4" width="6.19921875" customWidth="1"/>
    <col min="5" max="5" width="6.796875" customWidth="1"/>
    <col min="6" max="6" width="10" customWidth="1"/>
    <col min="7" max="7" width="9.796875" customWidth="1"/>
  </cols>
  <sheetData>
    <row r="1" spans="1:26" x14ac:dyDescent="0.2">
      <c r="A1" s="61" t="s">
        <v>140</v>
      </c>
      <c r="B1" s="61" t="s">
        <v>130</v>
      </c>
      <c r="C1" s="61" t="s">
        <v>168</v>
      </c>
      <c r="D1" s="61" t="s">
        <v>150</v>
      </c>
      <c r="E1" s="61" t="s">
        <v>132</v>
      </c>
      <c r="F1" s="61" t="s">
        <v>154</v>
      </c>
      <c r="G1" s="61" t="s">
        <v>155</v>
      </c>
      <c r="H1" s="61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">
      <c r="A2" s="63">
        <v>44635</v>
      </c>
      <c r="B2" s="57">
        <v>2380</v>
      </c>
      <c r="C2" s="57">
        <v>1</v>
      </c>
      <c r="D2" s="57" t="s">
        <v>169</v>
      </c>
      <c r="E2" s="57" t="s">
        <v>60</v>
      </c>
      <c r="F2" s="57">
        <v>3.0710000000000002</v>
      </c>
      <c r="G2" s="57">
        <v>1.91</v>
      </c>
    </row>
    <row r="3" spans="1:26" x14ac:dyDescent="0.2">
      <c r="A3" s="63">
        <v>44635</v>
      </c>
      <c r="B3" s="57">
        <v>2378</v>
      </c>
      <c r="C3" s="57">
        <v>1</v>
      </c>
      <c r="D3" s="57" t="s">
        <v>169</v>
      </c>
      <c r="E3" s="57">
        <v>0</v>
      </c>
      <c r="F3" s="57">
        <v>2.6560000000000001</v>
      </c>
      <c r="G3" s="57">
        <v>1.1639999999999999</v>
      </c>
    </row>
    <row r="4" spans="1:26" x14ac:dyDescent="0.2">
      <c r="A4" s="63">
        <v>44635</v>
      </c>
      <c r="B4" s="57">
        <v>2093</v>
      </c>
      <c r="C4" s="57">
        <v>1</v>
      </c>
      <c r="D4" s="57" t="s">
        <v>169</v>
      </c>
      <c r="E4" s="57" t="s">
        <v>60</v>
      </c>
      <c r="F4" s="57">
        <v>2.8340000000000001</v>
      </c>
      <c r="G4" s="57">
        <v>1.748</v>
      </c>
    </row>
    <row r="5" spans="1:26" x14ac:dyDescent="0.2">
      <c r="A5" s="63">
        <v>44635</v>
      </c>
      <c r="B5" s="57">
        <v>2345</v>
      </c>
      <c r="C5" s="57">
        <v>1</v>
      </c>
      <c r="D5" s="57" t="s">
        <v>169</v>
      </c>
      <c r="E5" s="57" t="s">
        <v>60</v>
      </c>
      <c r="F5" s="57">
        <v>2.032</v>
      </c>
      <c r="G5" s="57">
        <v>1.173</v>
      </c>
    </row>
    <row r="6" spans="1:26" x14ac:dyDescent="0.2">
      <c r="A6" s="63">
        <v>44635</v>
      </c>
      <c r="B6" s="57">
        <v>2024</v>
      </c>
      <c r="C6" s="57">
        <v>1</v>
      </c>
      <c r="D6" s="57" t="s">
        <v>169</v>
      </c>
      <c r="E6" s="57">
        <v>0</v>
      </c>
      <c r="F6" s="57">
        <v>1.6259999999999999</v>
      </c>
      <c r="G6" s="57">
        <v>0.64100000000000001</v>
      </c>
    </row>
    <row r="7" spans="1:26" x14ac:dyDescent="0.2">
      <c r="A7" s="63">
        <v>44635</v>
      </c>
      <c r="B7" s="57">
        <v>2004</v>
      </c>
      <c r="C7" s="57">
        <v>1</v>
      </c>
      <c r="D7" s="57" t="s">
        <v>169</v>
      </c>
      <c r="E7" s="57">
        <v>0</v>
      </c>
      <c r="F7" s="57">
        <v>2.0209999999999999</v>
      </c>
      <c r="G7" s="57">
        <v>0.70699999999999996</v>
      </c>
    </row>
    <row r="8" spans="1:26" x14ac:dyDescent="0.2">
      <c r="A8" s="63">
        <v>44635</v>
      </c>
      <c r="B8" s="57">
        <v>2382</v>
      </c>
      <c r="C8" s="57">
        <v>1</v>
      </c>
      <c r="D8" s="57" t="s">
        <v>169</v>
      </c>
      <c r="E8" s="57">
        <v>0</v>
      </c>
      <c r="F8" s="57">
        <v>2.629</v>
      </c>
      <c r="G8" s="57">
        <v>1.1200000000000001</v>
      </c>
    </row>
    <row r="9" spans="1:26" x14ac:dyDescent="0.2">
      <c r="A9" s="63">
        <v>44635</v>
      </c>
      <c r="B9" s="57">
        <v>2026</v>
      </c>
      <c r="C9" s="57">
        <v>1</v>
      </c>
      <c r="D9" s="57" t="s">
        <v>169</v>
      </c>
      <c r="E9" s="57" t="s">
        <v>60</v>
      </c>
      <c r="F9" s="57">
        <v>2.3109999999999999</v>
      </c>
      <c r="G9" s="57">
        <v>1.0389999999999999</v>
      </c>
    </row>
    <row r="10" spans="1:26" x14ac:dyDescent="0.2">
      <c r="A10" s="63">
        <v>44635</v>
      </c>
      <c r="B10" s="57">
        <v>2331</v>
      </c>
      <c r="C10" s="57">
        <v>1</v>
      </c>
      <c r="D10" s="57" t="s">
        <v>169</v>
      </c>
      <c r="E10" s="57" t="s">
        <v>60</v>
      </c>
      <c r="F10" s="57">
        <v>2.0699999999999998</v>
      </c>
      <c r="G10" s="57">
        <v>1.224</v>
      </c>
    </row>
    <row r="11" spans="1:26" x14ac:dyDescent="0.2">
      <c r="A11" s="63">
        <v>44635</v>
      </c>
      <c r="B11" s="57">
        <v>2022</v>
      </c>
      <c r="C11" s="57">
        <v>1</v>
      </c>
      <c r="D11" s="57" t="s">
        <v>169</v>
      </c>
      <c r="E11" s="57" t="s">
        <v>60</v>
      </c>
      <c r="F11" s="57">
        <v>6.1909999999999998</v>
      </c>
      <c r="G11" s="57">
        <v>3.347</v>
      </c>
    </row>
    <row r="12" spans="1:26" x14ac:dyDescent="0.2">
      <c r="A12" s="63">
        <v>44635</v>
      </c>
      <c r="B12" s="57">
        <v>2023</v>
      </c>
      <c r="C12" s="57">
        <v>1</v>
      </c>
      <c r="D12" s="57" t="s">
        <v>169</v>
      </c>
      <c r="E12" s="57" t="s">
        <v>60</v>
      </c>
      <c r="F12" s="57">
        <v>4.0629999999999997</v>
      </c>
      <c r="G12" s="57">
        <v>2.052</v>
      </c>
    </row>
    <row r="13" spans="1:26" x14ac:dyDescent="0.2">
      <c r="A13" s="63">
        <v>44635</v>
      </c>
      <c r="B13" s="57">
        <v>2025</v>
      </c>
      <c r="C13" s="57">
        <v>1</v>
      </c>
      <c r="D13" s="57" t="s">
        <v>169</v>
      </c>
      <c r="E13" s="57">
        <v>0</v>
      </c>
      <c r="F13" s="57">
        <v>2.1819999999999999</v>
      </c>
      <c r="G13" s="57">
        <v>0.996</v>
      </c>
    </row>
    <row r="14" spans="1:26" x14ac:dyDescent="0.2">
      <c r="A14" s="63">
        <v>44635</v>
      </c>
      <c r="B14" s="57">
        <v>2379</v>
      </c>
      <c r="C14" s="57">
        <v>1</v>
      </c>
      <c r="D14" s="57" t="s">
        <v>169</v>
      </c>
      <c r="E14" s="57">
        <v>0</v>
      </c>
      <c r="F14" s="57">
        <v>1.831</v>
      </c>
      <c r="G14" s="57">
        <v>0.79600000000000004</v>
      </c>
    </row>
    <row r="15" spans="1:26" x14ac:dyDescent="0.2">
      <c r="A15" s="63">
        <v>44635</v>
      </c>
      <c r="B15" s="57">
        <v>2381</v>
      </c>
      <c r="C15" s="57">
        <v>1</v>
      </c>
      <c r="D15" s="57" t="s">
        <v>169</v>
      </c>
      <c r="E15" s="57">
        <v>0</v>
      </c>
      <c r="F15" s="57">
        <v>3.8370000000000002</v>
      </c>
      <c r="G15" s="57">
        <v>1.3939999999999999</v>
      </c>
    </row>
    <row r="16" spans="1:26" x14ac:dyDescent="0.2">
      <c r="A16" s="63">
        <v>44635</v>
      </c>
      <c r="B16" s="57">
        <v>2008</v>
      </c>
      <c r="C16" s="57">
        <v>1</v>
      </c>
      <c r="D16" s="57" t="s">
        <v>169</v>
      </c>
      <c r="E16" s="57">
        <v>0</v>
      </c>
      <c r="F16" s="57">
        <v>1.7230000000000001</v>
      </c>
      <c r="G16" s="57">
        <v>0.61399999999999999</v>
      </c>
    </row>
    <row r="17" spans="1:7" x14ac:dyDescent="0.2">
      <c r="A17" s="63">
        <v>44635</v>
      </c>
      <c r="B17" s="57">
        <v>2020</v>
      </c>
      <c r="C17" s="57">
        <v>1</v>
      </c>
      <c r="D17" s="57" t="s">
        <v>169</v>
      </c>
      <c r="E17" s="57">
        <v>0</v>
      </c>
      <c r="F17" s="57">
        <v>1.35</v>
      </c>
      <c r="G17" s="57">
        <v>0.56299999999999994</v>
      </c>
    </row>
    <row r="18" spans="1:7" x14ac:dyDescent="0.2">
      <c r="A18" s="63">
        <v>44635</v>
      </c>
      <c r="B18" s="57">
        <v>2021</v>
      </c>
      <c r="C18" s="57">
        <v>1</v>
      </c>
      <c r="D18" s="57" t="s">
        <v>169</v>
      </c>
      <c r="E18" s="57">
        <v>0</v>
      </c>
      <c r="F18" s="57">
        <v>2.96</v>
      </c>
      <c r="G18" s="57">
        <v>1.3180000000000001</v>
      </c>
    </row>
    <row r="19" spans="1:7" x14ac:dyDescent="0.2">
      <c r="A19" s="63">
        <v>44635</v>
      </c>
      <c r="B19" s="57">
        <v>2301</v>
      </c>
      <c r="C19" s="57">
        <v>1</v>
      </c>
      <c r="D19" s="57" t="s">
        <v>169</v>
      </c>
      <c r="E19" s="57" t="s">
        <v>60</v>
      </c>
      <c r="F19" s="57">
        <v>3.3359999999999999</v>
      </c>
      <c r="G19" s="57">
        <v>2.012</v>
      </c>
    </row>
    <row r="20" spans="1:7" x14ac:dyDescent="0.2">
      <c r="A20" s="63">
        <v>44635</v>
      </c>
      <c r="B20" s="57">
        <v>2005</v>
      </c>
      <c r="C20" s="57">
        <v>1</v>
      </c>
      <c r="D20" s="57" t="s">
        <v>169</v>
      </c>
      <c r="E20" s="57">
        <v>0</v>
      </c>
      <c r="F20" s="57">
        <v>2.6840000000000002</v>
      </c>
      <c r="G20" s="57">
        <v>0.99</v>
      </c>
    </row>
    <row r="21" spans="1:7" x14ac:dyDescent="0.2">
      <c r="A21" s="63">
        <v>44635</v>
      </c>
      <c r="B21" s="57">
        <v>2092</v>
      </c>
      <c r="C21" s="57">
        <v>1</v>
      </c>
      <c r="D21" s="57" t="s">
        <v>169</v>
      </c>
      <c r="E21" s="57" t="s">
        <v>60</v>
      </c>
      <c r="F21" s="57">
        <v>3.4079999999999999</v>
      </c>
      <c r="G21" s="57">
        <v>2.008</v>
      </c>
    </row>
    <row r="22" spans="1:7" x14ac:dyDescent="0.2">
      <c r="A22" s="63">
        <v>44635</v>
      </c>
      <c r="B22" s="57">
        <v>2007</v>
      </c>
      <c r="C22" s="57">
        <v>1</v>
      </c>
      <c r="D22" s="57" t="s">
        <v>169</v>
      </c>
      <c r="E22" s="57">
        <v>0</v>
      </c>
      <c r="F22" s="57">
        <v>1.867</v>
      </c>
      <c r="G22" s="57">
        <v>0.81499999999999995</v>
      </c>
    </row>
    <row r="23" spans="1:7" x14ac:dyDescent="0.2">
      <c r="A23" s="63">
        <v>44635</v>
      </c>
      <c r="B23" s="57">
        <v>2377</v>
      </c>
      <c r="C23" s="57">
        <v>1</v>
      </c>
      <c r="D23" s="57" t="s">
        <v>169</v>
      </c>
      <c r="E23" s="57" t="s">
        <v>60</v>
      </c>
      <c r="F23" s="57">
        <v>2.3180000000000001</v>
      </c>
      <c r="G23" s="57">
        <v>1.4379999999999999</v>
      </c>
    </row>
    <row r="24" spans="1:7" x14ac:dyDescent="0.2">
      <c r="A24" s="63">
        <v>44635</v>
      </c>
      <c r="B24" s="57">
        <v>2091</v>
      </c>
      <c r="C24" s="57">
        <v>1</v>
      </c>
      <c r="D24" s="57" t="s">
        <v>169</v>
      </c>
      <c r="E24" s="57" t="s">
        <v>60</v>
      </c>
      <c r="F24" s="57" t="s">
        <v>60</v>
      </c>
      <c r="G24" s="57">
        <v>1.94</v>
      </c>
    </row>
    <row r="25" spans="1:7" x14ac:dyDescent="0.2">
      <c r="A25" s="63">
        <v>44635</v>
      </c>
      <c r="B25" s="57">
        <v>2027</v>
      </c>
      <c r="C25" s="57">
        <v>1</v>
      </c>
      <c r="D25" s="57" t="s">
        <v>169</v>
      </c>
      <c r="E25" s="57">
        <v>0</v>
      </c>
      <c r="F25" s="57">
        <v>1.6479999999999999</v>
      </c>
      <c r="G25" s="57">
        <v>0.68500000000000005</v>
      </c>
    </row>
    <row r="26" spans="1:7" x14ac:dyDescent="0.2">
      <c r="A26" s="63">
        <v>44635</v>
      </c>
      <c r="B26" s="57">
        <v>2089</v>
      </c>
      <c r="C26" s="57">
        <v>1</v>
      </c>
      <c r="D26" s="57" t="s">
        <v>169</v>
      </c>
      <c r="E26" s="57" t="s">
        <v>60</v>
      </c>
      <c r="F26" s="57">
        <v>5.4370000000000003</v>
      </c>
      <c r="G26" s="57">
        <v>3.206</v>
      </c>
    </row>
    <row r="27" spans="1:7" x14ac:dyDescent="0.2">
      <c r="A27" s="63">
        <v>44635</v>
      </c>
      <c r="B27" s="57">
        <v>2384</v>
      </c>
      <c r="C27" s="57">
        <v>1</v>
      </c>
      <c r="D27" s="57" t="s">
        <v>169</v>
      </c>
      <c r="E27" s="57">
        <v>0</v>
      </c>
      <c r="F27" s="57">
        <v>1.55</v>
      </c>
      <c r="G27" s="57">
        <v>0.54900000000000004</v>
      </c>
    </row>
    <row r="28" spans="1:7" x14ac:dyDescent="0.2">
      <c r="A28" s="63">
        <v>44635</v>
      </c>
      <c r="B28" s="57">
        <v>2352</v>
      </c>
      <c r="C28" s="57">
        <v>1</v>
      </c>
      <c r="D28" s="57" t="s">
        <v>169</v>
      </c>
      <c r="E28" s="57" t="s">
        <v>60</v>
      </c>
      <c r="F28" s="57">
        <v>1.456</v>
      </c>
      <c r="G28" s="57">
        <v>0.69599999999999995</v>
      </c>
    </row>
    <row r="29" spans="1:7" x14ac:dyDescent="0.2">
      <c r="A29" s="63">
        <v>44650</v>
      </c>
      <c r="B29" s="57">
        <v>2009</v>
      </c>
      <c r="C29" s="57">
        <v>1</v>
      </c>
      <c r="D29" s="57" t="s">
        <v>169</v>
      </c>
      <c r="E29" s="57" t="s">
        <v>60</v>
      </c>
      <c r="F29" s="57">
        <v>0.71870000000000001</v>
      </c>
      <c r="G29" s="57">
        <v>0.26400000000000001</v>
      </c>
    </row>
    <row r="30" spans="1:7" x14ac:dyDescent="0.2">
      <c r="A30" s="63">
        <v>44650</v>
      </c>
      <c r="B30" s="57">
        <v>2009</v>
      </c>
      <c r="C30" s="57">
        <v>1</v>
      </c>
      <c r="D30" s="57" t="s">
        <v>159</v>
      </c>
      <c r="E30" s="57">
        <v>0</v>
      </c>
      <c r="F30" s="57">
        <v>4.5999999999999999E-2</v>
      </c>
      <c r="G30" s="57">
        <v>1.4999999999999999E-2</v>
      </c>
    </row>
    <row r="31" spans="1:7" x14ac:dyDescent="0.2">
      <c r="A31" s="63">
        <v>44650</v>
      </c>
      <c r="B31" s="57">
        <v>2009</v>
      </c>
      <c r="C31" s="57">
        <v>1</v>
      </c>
      <c r="D31" s="57" t="s">
        <v>159</v>
      </c>
      <c r="E31" s="57">
        <v>1</v>
      </c>
      <c r="F31" s="57">
        <v>0.47920000000000001</v>
      </c>
      <c r="G31" s="57">
        <v>0.23200000000000001</v>
      </c>
    </row>
    <row r="32" spans="1:7" x14ac:dyDescent="0.2">
      <c r="A32" s="63">
        <v>44650</v>
      </c>
      <c r="B32" s="57">
        <v>2009</v>
      </c>
      <c r="C32" s="57">
        <v>2</v>
      </c>
      <c r="D32" s="57" t="s">
        <v>169</v>
      </c>
      <c r="E32" s="57" t="s">
        <v>60</v>
      </c>
      <c r="F32" s="57">
        <v>0.90849999999999997</v>
      </c>
      <c r="G32" s="57">
        <v>0.32600000000000001</v>
      </c>
    </row>
    <row r="33" spans="1:7" x14ac:dyDescent="0.2">
      <c r="A33" s="63">
        <v>44650</v>
      </c>
      <c r="B33" s="57">
        <v>2009</v>
      </c>
      <c r="C33" s="57">
        <v>2</v>
      </c>
      <c r="D33" s="57" t="s">
        <v>159</v>
      </c>
      <c r="E33" s="57">
        <v>0</v>
      </c>
      <c r="F33" s="57">
        <v>6.4899999999999999E-2</v>
      </c>
      <c r="G33" s="57">
        <v>2.1999999999999999E-2</v>
      </c>
    </row>
    <row r="34" spans="1:7" x14ac:dyDescent="0.2">
      <c r="A34" s="63">
        <v>44650</v>
      </c>
      <c r="B34" s="57">
        <v>2009</v>
      </c>
      <c r="C34" s="57">
        <v>2</v>
      </c>
      <c r="D34" s="57" t="s">
        <v>159</v>
      </c>
      <c r="E34" s="57">
        <v>1</v>
      </c>
      <c r="F34" s="57">
        <v>0.5181</v>
      </c>
      <c r="G34" s="57">
        <v>0.247</v>
      </c>
    </row>
    <row r="35" spans="1:7" x14ac:dyDescent="0.2">
      <c r="A35" s="63">
        <v>44650</v>
      </c>
      <c r="B35" s="57">
        <v>2009</v>
      </c>
      <c r="C35" s="57">
        <v>3</v>
      </c>
      <c r="D35" s="57" t="s">
        <v>169</v>
      </c>
      <c r="E35" s="57" t="s">
        <v>60</v>
      </c>
      <c r="F35" s="57">
        <v>1.2544</v>
      </c>
      <c r="G35" s="57">
        <v>0.46100000000000002</v>
      </c>
    </row>
    <row r="36" spans="1:7" x14ac:dyDescent="0.2">
      <c r="A36" s="63">
        <v>44650</v>
      </c>
      <c r="B36" s="57">
        <v>2009</v>
      </c>
      <c r="C36" s="57">
        <v>3</v>
      </c>
      <c r="D36" s="57" t="s">
        <v>159</v>
      </c>
      <c r="E36" s="57">
        <v>0</v>
      </c>
      <c r="F36" s="57">
        <v>7.8399999999999997E-2</v>
      </c>
      <c r="G36" s="57">
        <v>2.5999999999999999E-2</v>
      </c>
    </row>
    <row r="37" spans="1:7" x14ac:dyDescent="0.2">
      <c r="A37" s="63">
        <v>44650</v>
      </c>
      <c r="B37" s="57">
        <v>2009</v>
      </c>
      <c r="C37" s="57">
        <v>3</v>
      </c>
      <c r="D37" s="57" t="s">
        <v>159</v>
      </c>
      <c r="E37" s="57">
        <v>1</v>
      </c>
      <c r="F37" s="57">
        <v>0.67800000000000005</v>
      </c>
      <c r="G37" s="57">
        <v>0.317</v>
      </c>
    </row>
    <row r="38" spans="1:7" x14ac:dyDescent="0.2">
      <c r="A38" s="63">
        <v>44650</v>
      </c>
      <c r="B38" s="57">
        <v>2301</v>
      </c>
      <c r="C38" s="57">
        <v>1</v>
      </c>
      <c r="D38" s="57" t="s">
        <v>169</v>
      </c>
      <c r="E38" s="57" t="s">
        <v>60</v>
      </c>
      <c r="F38" s="57">
        <v>1.6583000000000001</v>
      </c>
      <c r="G38" s="57">
        <v>0.94099999999999995</v>
      </c>
    </row>
    <row r="39" spans="1:7" x14ac:dyDescent="0.2">
      <c r="A39" s="63">
        <v>44650</v>
      </c>
      <c r="B39" s="57">
        <v>2301</v>
      </c>
      <c r="C39" s="57">
        <v>1</v>
      </c>
      <c r="D39" s="57" t="s">
        <v>159</v>
      </c>
      <c r="E39" s="57" t="s">
        <v>60</v>
      </c>
      <c r="F39" s="57">
        <v>9.8500000000000004E-2</v>
      </c>
      <c r="G39" s="57">
        <v>0.05</v>
      </c>
    </row>
    <row r="40" spans="1:7" x14ac:dyDescent="0.2">
      <c r="A40" s="63">
        <v>44650</v>
      </c>
      <c r="B40" s="57">
        <v>2301</v>
      </c>
      <c r="C40" s="57">
        <v>2</v>
      </c>
      <c r="D40" s="57" t="s">
        <v>169</v>
      </c>
      <c r="E40" s="57" t="s">
        <v>60</v>
      </c>
      <c r="F40" s="57">
        <v>1.2179</v>
      </c>
      <c r="G40" s="57">
        <v>0.67800000000000005</v>
      </c>
    </row>
    <row r="41" spans="1:7" x14ac:dyDescent="0.2">
      <c r="A41" s="63">
        <v>44650</v>
      </c>
      <c r="B41" s="57">
        <v>2301</v>
      </c>
      <c r="C41" s="57">
        <v>2</v>
      </c>
      <c r="D41" s="57" t="s">
        <v>159</v>
      </c>
      <c r="E41" s="57" t="s">
        <v>60</v>
      </c>
      <c r="F41" s="57">
        <v>0.1217</v>
      </c>
      <c r="G41" s="57">
        <v>0.06</v>
      </c>
    </row>
    <row r="42" spans="1:7" x14ac:dyDescent="0.2">
      <c r="A42" s="63">
        <v>44650</v>
      </c>
      <c r="B42" s="57">
        <v>2301</v>
      </c>
      <c r="C42" s="57">
        <v>3</v>
      </c>
      <c r="D42" s="57" t="s">
        <v>169</v>
      </c>
      <c r="E42" s="57" t="s">
        <v>60</v>
      </c>
      <c r="F42" s="57">
        <v>1.4681</v>
      </c>
      <c r="G42" s="57">
        <v>0.82399999999999995</v>
      </c>
    </row>
    <row r="43" spans="1:7" x14ac:dyDescent="0.2">
      <c r="A43" s="63">
        <v>44650</v>
      </c>
      <c r="B43" s="57">
        <v>2301</v>
      </c>
      <c r="C43" s="57">
        <v>3</v>
      </c>
      <c r="D43" s="57" t="s">
        <v>159</v>
      </c>
      <c r="E43" s="57" t="s">
        <v>60</v>
      </c>
      <c r="F43" s="57">
        <v>0.1074</v>
      </c>
      <c r="G43" s="57">
        <v>5.5E-2</v>
      </c>
    </row>
    <row r="44" spans="1:7" x14ac:dyDescent="0.2">
      <c r="A44" s="63">
        <v>44650</v>
      </c>
      <c r="B44" s="57">
        <v>2331</v>
      </c>
      <c r="C44" s="57">
        <v>1</v>
      </c>
      <c r="D44" s="57" t="s">
        <v>159</v>
      </c>
      <c r="E44" s="57">
        <v>1</v>
      </c>
      <c r="F44" s="57">
        <v>0.2848</v>
      </c>
      <c r="G44" s="57">
        <v>0.157</v>
      </c>
    </row>
    <row r="45" spans="1:7" x14ac:dyDescent="0.2">
      <c r="A45" s="63">
        <v>44650</v>
      </c>
      <c r="B45" s="57">
        <v>2331</v>
      </c>
      <c r="C45" s="57">
        <v>2</v>
      </c>
      <c r="D45" s="57" t="s">
        <v>169</v>
      </c>
      <c r="E45" s="57" t="s">
        <v>60</v>
      </c>
      <c r="F45" s="57">
        <v>2.9236</v>
      </c>
      <c r="G45" s="57">
        <v>1.712</v>
      </c>
    </row>
    <row r="46" spans="1:7" x14ac:dyDescent="0.2">
      <c r="A46" s="63">
        <v>44650</v>
      </c>
      <c r="B46" s="57">
        <v>2331</v>
      </c>
      <c r="C46" s="57">
        <v>2</v>
      </c>
      <c r="D46" s="57" t="s">
        <v>159</v>
      </c>
      <c r="E46" s="57" t="s">
        <v>60</v>
      </c>
      <c r="F46" s="57">
        <v>0.37169999999999997</v>
      </c>
      <c r="G46" s="57">
        <v>0.20300000000000001</v>
      </c>
    </row>
    <row r="47" spans="1:7" x14ac:dyDescent="0.2">
      <c r="A47" s="63">
        <v>44650</v>
      </c>
      <c r="B47" s="57">
        <v>2331</v>
      </c>
      <c r="C47" s="57">
        <v>3</v>
      </c>
      <c r="D47" s="57" t="s">
        <v>169</v>
      </c>
      <c r="E47" s="57" t="s">
        <v>60</v>
      </c>
      <c r="F47" s="57">
        <v>0.99209999999999998</v>
      </c>
      <c r="G47" s="57">
        <v>0.55400000000000005</v>
      </c>
    </row>
    <row r="48" spans="1:7" x14ac:dyDescent="0.2">
      <c r="A48" s="63">
        <v>44650</v>
      </c>
      <c r="B48" s="57">
        <v>2331</v>
      </c>
      <c r="C48" s="57">
        <v>3</v>
      </c>
      <c r="D48" s="57" t="s">
        <v>159</v>
      </c>
      <c r="E48" s="57" t="s">
        <v>60</v>
      </c>
      <c r="F48" s="57">
        <v>0.16900000000000001</v>
      </c>
      <c r="G48" s="57">
        <v>8.8999999999999996E-2</v>
      </c>
    </row>
    <row r="49" spans="1:7" x14ac:dyDescent="0.2">
      <c r="A49" s="63">
        <v>44650</v>
      </c>
      <c r="B49" s="57">
        <v>2331</v>
      </c>
      <c r="C49" s="57">
        <v>1</v>
      </c>
      <c r="D49" s="57" t="s">
        <v>169</v>
      </c>
      <c r="E49" s="57" t="s">
        <v>60</v>
      </c>
      <c r="F49" s="57">
        <v>1.5339</v>
      </c>
      <c r="G49" s="57">
        <v>0.90200000000000002</v>
      </c>
    </row>
    <row r="50" spans="1:7" x14ac:dyDescent="0.2">
      <c r="A50" s="63">
        <v>44650</v>
      </c>
      <c r="B50" s="57">
        <v>2343</v>
      </c>
      <c r="C50" s="57">
        <v>1</v>
      </c>
      <c r="D50" s="57" t="s">
        <v>169</v>
      </c>
      <c r="E50" s="57" t="s">
        <v>60</v>
      </c>
      <c r="F50" s="57">
        <v>0.7177</v>
      </c>
      <c r="G50" s="57">
        <v>0.28699999999999998</v>
      </c>
    </row>
    <row r="51" spans="1:7" x14ac:dyDescent="0.2">
      <c r="A51" s="63">
        <v>44650</v>
      </c>
      <c r="B51" s="57">
        <v>2343</v>
      </c>
      <c r="C51" s="57">
        <v>1</v>
      </c>
      <c r="D51" s="57" t="s">
        <v>159</v>
      </c>
      <c r="E51" s="57">
        <v>0</v>
      </c>
      <c r="F51" s="57">
        <v>5.6500000000000002E-2</v>
      </c>
      <c r="G51" s="57">
        <v>2.1000000000000001E-2</v>
      </c>
    </row>
    <row r="52" spans="1:7" x14ac:dyDescent="0.2">
      <c r="A52" s="63">
        <v>44650</v>
      </c>
      <c r="B52" s="57">
        <v>2343</v>
      </c>
      <c r="C52" s="57">
        <v>1</v>
      </c>
      <c r="D52" s="57" t="s">
        <v>159</v>
      </c>
      <c r="E52" s="57">
        <v>1</v>
      </c>
      <c r="F52" s="57">
        <v>8.3400000000000002E-2</v>
      </c>
      <c r="G52" s="57">
        <v>3.7999999999999999E-2</v>
      </c>
    </row>
    <row r="53" spans="1:7" x14ac:dyDescent="0.2">
      <c r="A53" s="63">
        <v>44650</v>
      </c>
      <c r="B53" s="57">
        <v>2343</v>
      </c>
      <c r="C53" s="57">
        <v>2</v>
      </c>
      <c r="D53" s="57" t="s">
        <v>169</v>
      </c>
      <c r="E53" s="57" t="s">
        <v>60</v>
      </c>
      <c r="F53" s="57">
        <v>1.4125000000000001</v>
      </c>
      <c r="G53" s="57">
        <v>0.52900000000000003</v>
      </c>
    </row>
    <row r="54" spans="1:7" x14ac:dyDescent="0.2">
      <c r="A54" s="63">
        <v>44650</v>
      </c>
      <c r="B54" s="57">
        <v>2343</v>
      </c>
      <c r="C54" s="57">
        <v>2</v>
      </c>
      <c r="D54" s="57" t="s">
        <v>159</v>
      </c>
      <c r="E54" s="57">
        <v>0</v>
      </c>
      <c r="F54" s="57">
        <v>0.1298</v>
      </c>
      <c r="G54" s="57">
        <v>4.3999999999999997E-2</v>
      </c>
    </row>
    <row r="55" spans="1:7" x14ac:dyDescent="0.2">
      <c r="A55" s="63">
        <v>44650</v>
      </c>
      <c r="B55" s="57">
        <v>2343</v>
      </c>
      <c r="C55" s="57">
        <v>2</v>
      </c>
      <c r="D55" s="57" t="s">
        <v>159</v>
      </c>
      <c r="E55" s="57">
        <v>1</v>
      </c>
      <c r="F55" s="57">
        <v>0.20280000000000001</v>
      </c>
      <c r="G55" s="57">
        <v>8.8999999999999996E-2</v>
      </c>
    </row>
    <row r="56" spans="1:7" x14ac:dyDescent="0.2">
      <c r="A56" s="63">
        <v>44650</v>
      </c>
      <c r="B56" s="57">
        <v>2343</v>
      </c>
      <c r="C56" s="57">
        <v>3</v>
      </c>
      <c r="D56" s="57" t="s">
        <v>169</v>
      </c>
      <c r="E56" s="57" t="s">
        <v>60</v>
      </c>
      <c r="F56" s="57">
        <v>0.3604</v>
      </c>
      <c r="G56" s="57">
        <v>0.126</v>
      </c>
    </row>
    <row r="57" spans="1:7" x14ac:dyDescent="0.2">
      <c r="A57" s="63">
        <v>44650</v>
      </c>
      <c r="B57" s="57">
        <v>2343</v>
      </c>
      <c r="C57" s="57">
        <v>3</v>
      </c>
      <c r="D57" s="57" t="s">
        <v>159</v>
      </c>
      <c r="E57" s="57">
        <v>0</v>
      </c>
      <c r="F57" s="57">
        <v>3.8199999999999998E-2</v>
      </c>
      <c r="G57" s="57">
        <v>1.2999999999999999E-2</v>
      </c>
    </row>
    <row r="58" spans="1:7" x14ac:dyDescent="0.2">
      <c r="A58" s="63">
        <v>44650</v>
      </c>
      <c r="B58" s="57">
        <v>2343</v>
      </c>
      <c r="C58" s="57">
        <v>3</v>
      </c>
      <c r="D58" s="57" t="s">
        <v>159</v>
      </c>
      <c r="E58" s="57">
        <v>1</v>
      </c>
      <c r="F58" s="57">
        <v>0.1293</v>
      </c>
      <c r="G58" s="57">
        <v>5.8000000000000003E-2</v>
      </c>
    </row>
    <row r="59" spans="1:7" x14ac:dyDescent="0.2">
      <c r="A59" s="63">
        <v>44650</v>
      </c>
      <c r="B59" s="57">
        <v>2345</v>
      </c>
      <c r="C59" s="57">
        <v>1</v>
      </c>
      <c r="D59" s="57" t="s">
        <v>169</v>
      </c>
      <c r="E59" s="57" t="s">
        <v>60</v>
      </c>
      <c r="F59" s="57">
        <v>2.1682999999999999</v>
      </c>
      <c r="G59" s="57">
        <v>1.2050000000000001</v>
      </c>
    </row>
    <row r="60" spans="1:7" x14ac:dyDescent="0.2">
      <c r="A60" s="63">
        <v>44650</v>
      </c>
      <c r="B60" s="57">
        <v>2345</v>
      </c>
      <c r="C60" s="57">
        <v>1</v>
      </c>
      <c r="D60" s="57" t="s">
        <v>159</v>
      </c>
      <c r="E60" s="57" t="s">
        <v>60</v>
      </c>
      <c r="F60" s="57">
        <v>0.34079999999999999</v>
      </c>
      <c r="G60" s="57">
        <v>0.182</v>
      </c>
    </row>
    <row r="61" spans="1:7" x14ac:dyDescent="0.2">
      <c r="A61" s="63">
        <v>44650</v>
      </c>
      <c r="B61" s="57">
        <v>2345</v>
      </c>
      <c r="C61" s="57">
        <v>2</v>
      </c>
      <c r="D61" s="57" t="s">
        <v>159</v>
      </c>
      <c r="E61" s="57" t="s">
        <v>60</v>
      </c>
      <c r="F61" s="57">
        <v>0.51539999999999997</v>
      </c>
      <c r="G61" s="57">
        <v>0.26900000000000002</v>
      </c>
    </row>
    <row r="62" spans="1:7" x14ac:dyDescent="0.2">
      <c r="A62" s="63">
        <v>44650</v>
      </c>
      <c r="B62" s="57">
        <v>2345</v>
      </c>
      <c r="C62" s="57">
        <v>3</v>
      </c>
      <c r="D62" s="57" t="s">
        <v>169</v>
      </c>
      <c r="E62" s="57" t="s">
        <v>60</v>
      </c>
      <c r="F62" s="57">
        <v>1.72</v>
      </c>
      <c r="G62" s="57">
        <v>0.95499999999999996</v>
      </c>
    </row>
    <row r="63" spans="1:7" x14ac:dyDescent="0.2">
      <c r="A63" s="63">
        <v>44650</v>
      </c>
      <c r="B63" s="57">
        <v>2345</v>
      </c>
      <c r="C63" s="57">
        <v>3</v>
      </c>
      <c r="D63" s="57" t="s">
        <v>159</v>
      </c>
      <c r="E63" s="57" t="s">
        <v>60</v>
      </c>
      <c r="F63" s="57">
        <v>0.28549999999999998</v>
      </c>
      <c r="G63" s="57">
        <v>0.152</v>
      </c>
    </row>
    <row r="64" spans="1:7" x14ac:dyDescent="0.2">
      <c r="A64" s="63">
        <v>44650</v>
      </c>
      <c r="B64" s="57">
        <v>2346</v>
      </c>
      <c r="C64" s="57">
        <v>1</v>
      </c>
      <c r="D64" s="57" t="s">
        <v>169</v>
      </c>
      <c r="E64" s="57" t="s">
        <v>60</v>
      </c>
      <c r="F64" s="57">
        <v>0.59319999999999995</v>
      </c>
      <c r="G64" s="57">
        <v>0.20499999999999999</v>
      </c>
    </row>
    <row r="65" spans="1:7" x14ac:dyDescent="0.2">
      <c r="A65" s="63">
        <v>44650</v>
      </c>
      <c r="B65" s="57">
        <v>2346</v>
      </c>
      <c r="C65" s="57">
        <v>1</v>
      </c>
      <c r="D65" s="57" t="s">
        <v>159</v>
      </c>
      <c r="E65" s="57">
        <v>0</v>
      </c>
      <c r="F65" s="57">
        <v>3.3300000000000003E-2</v>
      </c>
      <c r="G65" s="57">
        <v>1.2E-2</v>
      </c>
    </row>
    <row r="66" spans="1:7" x14ac:dyDescent="0.2">
      <c r="A66" s="63">
        <v>44650</v>
      </c>
      <c r="B66" s="57">
        <v>2346</v>
      </c>
      <c r="C66" s="57">
        <v>1</v>
      </c>
      <c r="D66" s="57" t="s">
        <v>159</v>
      </c>
      <c r="E66" s="57">
        <v>1</v>
      </c>
      <c r="F66" s="57">
        <v>0.54210000000000003</v>
      </c>
      <c r="G66" s="57">
        <v>0.25600000000000001</v>
      </c>
    </row>
    <row r="67" spans="1:7" x14ac:dyDescent="0.2">
      <c r="A67" s="63">
        <v>44650</v>
      </c>
      <c r="B67" s="57">
        <v>2346</v>
      </c>
      <c r="C67" s="57">
        <v>2</v>
      </c>
      <c r="D67" s="57" t="s">
        <v>169</v>
      </c>
      <c r="E67" s="57" t="s">
        <v>60</v>
      </c>
      <c r="F67" s="57">
        <v>0.25590000000000002</v>
      </c>
      <c r="G67" s="57">
        <v>9.1999999999999998E-2</v>
      </c>
    </row>
    <row r="68" spans="1:7" x14ac:dyDescent="0.2">
      <c r="A68" s="63">
        <v>44650</v>
      </c>
      <c r="B68" s="57">
        <v>2346</v>
      </c>
      <c r="C68" s="57">
        <v>2</v>
      </c>
      <c r="D68" s="57" t="s">
        <v>159</v>
      </c>
      <c r="E68" s="57">
        <v>0</v>
      </c>
      <c r="F68" s="57">
        <v>2.5999999999999999E-2</v>
      </c>
      <c r="G68" s="57">
        <v>0.01</v>
      </c>
    </row>
    <row r="69" spans="1:7" x14ac:dyDescent="0.2">
      <c r="A69" s="63">
        <v>44650</v>
      </c>
      <c r="B69" s="57">
        <v>2346</v>
      </c>
      <c r="C69" s="57">
        <v>2</v>
      </c>
      <c r="D69" s="57" t="s">
        <v>159</v>
      </c>
      <c r="E69" s="57">
        <v>1</v>
      </c>
      <c r="F69" s="57">
        <v>0.33739999999999998</v>
      </c>
      <c r="G69" s="57">
        <v>0.159</v>
      </c>
    </row>
    <row r="70" spans="1:7" x14ac:dyDescent="0.2">
      <c r="A70" s="63">
        <v>44650</v>
      </c>
      <c r="B70" s="57">
        <v>2346</v>
      </c>
      <c r="C70" s="57">
        <v>3</v>
      </c>
      <c r="D70" s="57" t="s">
        <v>169</v>
      </c>
      <c r="E70" s="57" t="s">
        <v>60</v>
      </c>
      <c r="F70" s="57">
        <v>0.18279999999999999</v>
      </c>
      <c r="G70" s="57">
        <v>6.0999999999999999E-2</v>
      </c>
    </row>
    <row r="71" spans="1:7" x14ac:dyDescent="0.2">
      <c r="A71" s="63">
        <v>44650</v>
      </c>
      <c r="B71" s="57">
        <v>2346</v>
      </c>
      <c r="C71" s="57">
        <v>3</v>
      </c>
      <c r="D71" s="57" t="s">
        <v>159</v>
      </c>
      <c r="E71" s="57">
        <v>0</v>
      </c>
      <c r="F71" s="57">
        <v>5.8999999999999999E-3</v>
      </c>
      <c r="G71" s="57">
        <v>2E-3</v>
      </c>
    </row>
    <row r="72" spans="1:7" x14ac:dyDescent="0.2">
      <c r="A72" s="63">
        <v>44650</v>
      </c>
      <c r="B72" s="57">
        <v>2346</v>
      </c>
      <c r="C72" s="57">
        <v>3</v>
      </c>
      <c r="D72" s="57" t="s">
        <v>159</v>
      </c>
      <c r="E72" s="57">
        <v>1</v>
      </c>
      <c r="F72" s="57">
        <v>0.11990000000000001</v>
      </c>
      <c r="G72" s="57">
        <v>5.7000000000000002E-2</v>
      </c>
    </row>
    <row r="73" spans="1:7" x14ac:dyDescent="0.2">
      <c r="A73" s="63">
        <v>44650</v>
      </c>
      <c r="B73" s="57">
        <v>2347</v>
      </c>
      <c r="C73" s="57">
        <v>1</v>
      </c>
      <c r="D73" s="57" t="s">
        <v>169</v>
      </c>
      <c r="E73" s="57" t="s">
        <v>60</v>
      </c>
      <c r="F73" s="57">
        <v>1.6727000000000001</v>
      </c>
      <c r="G73" s="57">
        <v>0.57199999999999995</v>
      </c>
    </row>
    <row r="74" spans="1:7" x14ac:dyDescent="0.2">
      <c r="A74" s="63">
        <v>44650</v>
      </c>
      <c r="B74" s="57">
        <v>2347</v>
      </c>
      <c r="C74" s="57">
        <v>1</v>
      </c>
      <c r="D74" s="57" t="s">
        <v>159</v>
      </c>
      <c r="E74" s="57">
        <v>0</v>
      </c>
      <c r="F74" s="57">
        <v>0.16250000000000001</v>
      </c>
      <c r="G74" s="57">
        <v>5.0999999999999997E-2</v>
      </c>
    </row>
    <row r="75" spans="1:7" x14ac:dyDescent="0.2">
      <c r="A75" s="63">
        <v>44650</v>
      </c>
      <c r="B75" s="57">
        <v>2347</v>
      </c>
      <c r="C75" s="57">
        <v>1</v>
      </c>
      <c r="D75" s="57" t="s">
        <v>159</v>
      </c>
      <c r="E75" s="57">
        <v>1</v>
      </c>
      <c r="F75" s="57">
        <v>0.1628</v>
      </c>
      <c r="G75" s="57">
        <v>6.7000000000000004E-2</v>
      </c>
    </row>
    <row r="76" spans="1:7" x14ac:dyDescent="0.2">
      <c r="A76" s="63">
        <v>44650</v>
      </c>
      <c r="B76" s="57">
        <v>2347</v>
      </c>
      <c r="C76" s="57">
        <v>2</v>
      </c>
      <c r="D76" s="57" t="s">
        <v>169</v>
      </c>
      <c r="E76" s="57" t="s">
        <v>60</v>
      </c>
      <c r="F76" s="57">
        <v>0.4425</v>
      </c>
      <c r="G76" s="57">
        <v>0.13300000000000001</v>
      </c>
    </row>
    <row r="77" spans="1:7" x14ac:dyDescent="0.2">
      <c r="A77" s="63">
        <v>44650</v>
      </c>
      <c r="B77" s="57">
        <v>2347</v>
      </c>
      <c r="C77" s="57">
        <v>2</v>
      </c>
      <c r="D77" s="57" t="s">
        <v>159</v>
      </c>
      <c r="E77" s="57">
        <v>0</v>
      </c>
      <c r="F77" s="57">
        <v>2.9100000000000001E-2</v>
      </c>
      <c r="G77" s="57">
        <v>8.9999999999999993E-3</v>
      </c>
    </row>
    <row r="78" spans="1:7" x14ac:dyDescent="0.2">
      <c r="A78" s="63">
        <v>44650</v>
      </c>
      <c r="B78" s="57">
        <v>2347</v>
      </c>
      <c r="C78" s="57">
        <v>2</v>
      </c>
      <c r="D78" s="57" t="s">
        <v>159</v>
      </c>
      <c r="E78" s="57">
        <v>1</v>
      </c>
      <c r="F78" s="57">
        <v>6.6299999999999998E-2</v>
      </c>
      <c r="G78" s="57">
        <v>2.8000000000000001E-2</v>
      </c>
    </row>
    <row r="79" spans="1:7" x14ac:dyDescent="0.2">
      <c r="A79" s="63">
        <v>44650</v>
      </c>
      <c r="B79" s="57">
        <v>2347</v>
      </c>
      <c r="C79" s="57">
        <v>3</v>
      </c>
      <c r="D79" s="57" t="s">
        <v>169</v>
      </c>
      <c r="E79" s="57" t="s">
        <v>60</v>
      </c>
      <c r="F79" s="57">
        <v>1.1916</v>
      </c>
      <c r="G79" s="57">
        <v>0.39700000000000002</v>
      </c>
    </row>
    <row r="80" spans="1:7" x14ac:dyDescent="0.2">
      <c r="A80" s="63">
        <v>44650</v>
      </c>
      <c r="B80" s="57">
        <v>2347</v>
      </c>
      <c r="C80" s="57">
        <v>3</v>
      </c>
      <c r="D80" s="57" t="s">
        <v>159</v>
      </c>
      <c r="E80" s="57">
        <v>0</v>
      </c>
      <c r="F80" s="57">
        <v>0.16589999999999999</v>
      </c>
      <c r="G80" s="57">
        <v>5.0999999999999997E-2</v>
      </c>
    </row>
    <row r="81" spans="1:7" x14ac:dyDescent="0.2">
      <c r="A81" s="63">
        <v>44650</v>
      </c>
      <c r="B81" s="57">
        <v>2347</v>
      </c>
      <c r="C81" s="57">
        <v>3</v>
      </c>
      <c r="D81" s="57" t="s">
        <v>159</v>
      </c>
      <c r="E81" s="57">
        <v>1</v>
      </c>
      <c r="F81" s="57">
        <v>0.23200000000000001</v>
      </c>
      <c r="G81" s="57">
        <v>9.5000000000000001E-2</v>
      </c>
    </row>
    <row r="82" spans="1:7" x14ac:dyDescent="0.2">
      <c r="A82" s="63">
        <v>44650</v>
      </c>
      <c r="B82" s="57">
        <v>2352</v>
      </c>
      <c r="C82" s="57">
        <v>1</v>
      </c>
      <c r="D82" s="57" t="s">
        <v>169</v>
      </c>
      <c r="E82" s="57" t="s">
        <v>60</v>
      </c>
      <c r="F82" s="57">
        <v>0.52580000000000005</v>
      </c>
      <c r="G82" s="57">
        <v>0.32300000000000001</v>
      </c>
    </row>
    <row r="83" spans="1:7" x14ac:dyDescent="0.2">
      <c r="A83" s="63">
        <v>44650</v>
      </c>
      <c r="B83" s="57">
        <v>2352</v>
      </c>
      <c r="C83" s="57">
        <v>1</v>
      </c>
      <c r="D83" s="57" t="s">
        <v>159</v>
      </c>
      <c r="E83" s="57" t="s">
        <v>60</v>
      </c>
      <c r="F83" s="57">
        <v>0.31230000000000002</v>
      </c>
      <c r="G83" s="57">
        <v>0.17399999999999999</v>
      </c>
    </row>
    <row r="84" spans="1:7" x14ac:dyDescent="0.2">
      <c r="A84" s="63">
        <v>44650</v>
      </c>
      <c r="B84" s="57">
        <v>2352</v>
      </c>
      <c r="C84" s="57">
        <v>2</v>
      </c>
      <c r="D84" s="57" t="s">
        <v>169</v>
      </c>
      <c r="E84" s="57" t="s">
        <v>60</v>
      </c>
      <c r="F84" s="57">
        <v>0.88770000000000004</v>
      </c>
      <c r="G84" s="57">
        <v>0.56200000000000006</v>
      </c>
    </row>
    <row r="85" spans="1:7" x14ac:dyDescent="0.2">
      <c r="A85" s="63">
        <v>44650</v>
      </c>
      <c r="B85" s="57">
        <v>2352</v>
      </c>
      <c r="C85" s="57">
        <v>2</v>
      </c>
      <c r="D85" s="57" t="s">
        <v>159</v>
      </c>
      <c r="E85" s="57" t="s">
        <v>60</v>
      </c>
      <c r="F85" s="57">
        <v>0.46189999999999998</v>
      </c>
      <c r="G85" s="57">
        <v>0.27</v>
      </c>
    </row>
    <row r="86" spans="1:7" x14ac:dyDescent="0.2">
      <c r="A86" s="63">
        <v>44650</v>
      </c>
      <c r="B86" s="57">
        <v>2352</v>
      </c>
      <c r="C86" s="57">
        <v>3</v>
      </c>
      <c r="D86" s="57" t="s">
        <v>169</v>
      </c>
      <c r="E86" s="57" t="s">
        <v>60</v>
      </c>
      <c r="F86" s="57">
        <v>0.67820000000000003</v>
      </c>
      <c r="G86" s="57">
        <v>0.437</v>
      </c>
    </row>
    <row r="87" spans="1:7" x14ac:dyDescent="0.2">
      <c r="A87" s="63">
        <v>44650</v>
      </c>
      <c r="B87" s="57">
        <v>2352</v>
      </c>
      <c r="C87" s="57">
        <v>3</v>
      </c>
      <c r="D87" s="57" t="s">
        <v>159</v>
      </c>
      <c r="E87" s="57" t="s">
        <v>60</v>
      </c>
      <c r="F87" s="57">
        <v>0.20419999999999999</v>
      </c>
      <c r="G87" s="57">
        <v>0.113</v>
      </c>
    </row>
    <row r="88" spans="1:7" x14ac:dyDescent="0.2">
      <c r="A88" s="63">
        <v>44650</v>
      </c>
      <c r="B88" s="57">
        <v>2354</v>
      </c>
      <c r="C88" s="57">
        <v>1</v>
      </c>
      <c r="D88" s="57" t="s">
        <v>169</v>
      </c>
      <c r="E88" s="57" t="s">
        <v>60</v>
      </c>
      <c r="F88" s="57">
        <v>2.6446000000000001</v>
      </c>
      <c r="G88" s="57">
        <v>1.5449999999999999</v>
      </c>
    </row>
    <row r="89" spans="1:7" x14ac:dyDescent="0.2">
      <c r="A89" s="63">
        <v>44650</v>
      </c>
      <c r="B89" s="57">
        <v>2354</v>
      </c>
      <c r="C89" s="57">
        <v>1</v>
      </c>
      <c r="D89" s="57" t="s">
        <v>159</v>
      </c>
      <c r="E89" s="57" t="s">
        <v>60</v>
      </c>
      <c r="F89" s="57">
        <v>0.34649999999999997</v>
      </c>
      <c r="G89" s="57">
        <v>0.18099999999999999</v>
      </c>
    </row>
    <row r="90" spans="1:7" x14ac:dyDescent="0.2">
      <c r="A90" s="63">
        <v>44650</v>
      </c>
      <c r="B90" s="57">
        <v>2354</v>
      </c>
      <c r="C90" s="57">
        <v>2</v>
      </c>
      <c r="D90" s="57" t="s">
        <v>169</v>
      </c>
      <c r="E90" s="57" t="s">
        <v>60</v>
      </c>
      <c r="F90" s="57">
        <v>3.0135000000000001</v>
      </c>
      <c r="G90" s="57">
        <v>1.7350000000000001</v>
      </c>
    </row>
    <row r="91" spans="1:7" x14ac:dyDescent="0.2">
      <c r="A91" s="63">
        <v>44650</v>
      </c>
      <c r="B91" s="57">
        <v>2354</v>
      </c>
      <c r="C91" s="57">
        <v>2</v>
      </c>
      <c r="D91" s="57" t="s">
        <v>159</v>
      </c>
      <c r="E91" s="57">
        <v>0</v>
      </c>
      <c r="F91" s="57">
        <v>2.6800000000000001E-2</v>
      </c>
      <c r="G91" s="57">
        <v>7.0000000000000001E-3</v>
      </c>
    </row>
    <row r="92" spans="1:7" x14ac:dyDescent="0.2">
      <c r="A92" s="63">
        <v>44650</v>
      </c>
      <c r="B92" s="57">
        <v>2354</v>
      </c>
      <c r="C92" s="57">
        <v>2</v>
      </c>
      <c r="D92" s="57" t="s">
        <v>159</v>
      </c>
      <c r="E92" s="57">
        <v>1</v>
      </c>
      <c r="F92" s="57">
        <v>0.42709999999999998</v>
      </c>
      <c r="G92" s="57">
        <v>0.21299999999999999</v>
      </c>
    </row>
    <row r="93" spans="1:7" x14ac:dyDescent="0.2">
      <c r="A93" s="63">
        <v>44650</v>
      </c>
      <c r="B93" s="57">
        <v>2354</v>
      </c>
      <c r="C93" s="57">
        <v>3</v>
      </c>
      <c r="D93" s="57" t="s">
        <v>169</v>
      </c>
      <c r="E93" s="57" t="s">
        <v>60</v>
      </c>
      <c r="F93" s="57">
        <v>1.3947000000000001</v>
      </c>
      <c r="G93" s="57">
        <v>0.83099999999999996</v>
      </c>
    </row>
    <row r="94" spans="1:7" x14ac:dyDescent="0.2">
      <c r="A94" s="63">
        <v>44650</v>
      </c>
      <c r="B94" s="57">
        <v>2354</v>
      </c>
      <c r="C94" s="57">
        <v>3</v>
      </c>
      <c r="D94" s="57" t="s">
        <v>159</v>
      </c>
      <c r="E94" s="57" t="s">
        <v>60</v>
      </c>
      <c r="F94" s="57">
        <v>0.17829999999999999</v>
      </c>
      <c r="G94" s="57">
        <v>0.09</v>
      </c>
    </row>
    <row r="95" spans="1:7" x14ac:dyDescent="0.2">
      <c r="A95" s="63">
        <v>44650</v>
      </c>
      <c r="B95" s="57">
        <v>2360</v>
      </c>
      <c r="C95" s="57">
        <v>1</v>
      </c>
      <c r="D95" s="57" t="s">
        <v>169</v>
      </c>
      <c r="E95" s="57" t="s">
        <v>60</v>
      </c>
      <c r="F95" s="57">
        <v>1.0327999999999999</v>
      </c>
      <c r="G95" s="57">
        <v>0.437</v>
      </c>
    </row>
    <row r="96" spans="1:7" x14ac:dyDescent="0.2">
      <c r="A96" s="63">
        <v>44650</v>
      </c>
      <c r="B96" s="57">
        <v>2360</v>
      </c>
      <c r="C96" s="57">
        <v>1</v>
      </c>
      <c r="D96" s="57" t="s">
        <v>159</v>
      </c>
      <c r="E96" s="57">
        <v>1</v>
      </c>
      <c r="F96" s="57">
        <v>0.23760000000000001</v>
      </c>
      <c r="G96" s="57">
        <v>0.108</v>
      </c>
    </row>
    <row r="97" spans="1:7" x14ac:dyDescent="0.2">
      <c r="A97" s="63">
        <v>44650</v>
      </c>
      <c r="B97" s="57">
        <v>2360</v>
      </c>
      <c r="C97" s="57">
        <v>2</v>
      </c>
      <c r="D97" s="57" t="s">
        <v>169</v>
      </c>
      <c r="E97" s="57" t="s">
        <v>60</v>
      </c>
      <c r="F97" s="57">
        <v>0.92879999999999996</v>
      </c>
      <c r="G97" s="57">
        <v>0.39300000000000002</v>
      </c>
    </row>
    <row r="98" spans="1:7" x14ac:dyDescent="0.2">
      <c r="A98" s="63">
        <v>44650</v>
      </c>
      <c r="B98" s="57">
        <v>2360</v>
      </c>
      <c r="C98" s="57">
        <v>2</v>
      </c>
      <c r="D98" s="57" t="s">
        <v>159</v>
      </c>
      <c r="E98" s="57">
        <v>0</v>
      </c>
      <c r="F98" s="57">
        <v>9.7000000000000003E-2</v>
      </c>
      <c r="G98" s="57">
        <v>3.1E-2</v>
      </c>
    </row>
    <row r="99" spans="1:7" x14ac:dyDescent="0.2">
      <c r="A99" s="63">
        <v>44650</v>
      </c>
      <c r="B99" s="57">
        <v>2360</v>
      </c>
      <c r="C99" s="57">
        <v>2</v>
      </c>
      <c r="D99" s="57" t="s">
        <v>159</v>
      </c>
      <c r="E99" s="57">
        <v>1</v>
      </c>
      <c r="F99" s="57">
        <v>0.32790000000000002</v>
      </c>
      <c r="G99" s="57">
        <v>0.14099999999999999</v>
      </c>
    </row>
    <row r="100" spans="1:7" x14ac:dyDescent="0.2">
      <c r="A100" s="63">
        <v>44650</v>
      </c>
      <c r="B100" s="57">
        <v>2360</v>
      </c>
      <c r="C100" s="57">
        <v>3</v>
      </c>
      <c r="D100" s="57" t="s">
        <v>169</v>
      </c>
      <c r="E100" s="57" t="s">
        <v>60</v>
      </c>
      <c r="F100" s="57">
        <v>1.2667999999999999</v>
      </c>
      <c r="G100" s="57">
        <v>0.55700000000000005</v>
      </c>
    </row>
    <row r="101" spans="1:7" x14ac:dyDescent="0.2">
      <c r="A101" s="63">
        <v>44650</v>
      </c>
      <c r="B101" s="57">
        <v>2360</v>
      </c>
      <c r="C101" s="57">
        <v>3</v>
      </c>
      <c r="D101" s="57" t="s">
        <v>159</v>
      </c>
      <c r="E101" s="57">
        <v>0</v>
      </c>
      <c r="F101" s="57">
        <v>0.18540000000000001</v>
      </c>
      <c r="G101" s="57">
        <v>7.4999999999999997E-2</v>
      </c>
    </row>
    <row r="102" spans="1:7" x14ac:dyDescent="0.2">
      <c r="A102" s="63">
        <v>44650</v>
      </c>
      <c r="B102" s="57">
        <v>2360</v>
      </c>
      <c r="C102" s="57">
        <v>3</v>
      </c>
      <c r="D102" s="57" t="s">
        <v>159</v>
      </c>
      <c r="E102" s="57">
        <v>1</v>
      </c>
      <c r="F102" s="57">
        <v>0.217</v>
      </c>
      <c r="G102" s="57">
        <v>9.2999999999999999E-2</v>
      </c>
    </row>
    <row r="103" spans="1:7" x14ac:dyDescent="0.2">
      <c r="A103" s="63">
        <v>44650</v>
      </c>
      <c r="B103" s="57">
        <v>2361</v>
      </c>
      <c r="C103" s="57">
        <v>1</v>
      </c>
      <c r="D103" s="57" t="s">
        <v>159</v>
      </c>
      <c r="E103" s="57">
        <v>0</v>
      </c>
      <c r="F103" s="57" t="s">
        <v>60</v>
      </c>
      <c r="G103" s="57">
        <v>2.8000000000000001E-2</v>
      </c>
    </row>
    <row r="104" spans="1:7" x14ac:dyDescent="0.2">
      <c r="A104" s="63">
        <v>44650</v>
      </c>
      <c r="B104" s="57">
        <v>2364</v>
      </c>
      <c r="C104" s="57">
        <v>1</v>
      </c>
      <c r="D104" s="57" t="s">
        <v>169</v>
      </c>
      <c r="E104" s="57" t="s">
        <v>60</v>
      </c>
      <c r="F104" s="57">
        <v>0.42309999999999998</v>
      </c>
      <c r="G104" s="57">
        <v>0.18099999999999999</v>
      </c>
    </row>
    <row r="105" spans="1:7" x14ac:dyDescent="0.2">
      <c r="A105" s="63">
        <v>44650</v>
      </c>
      <c r="B105" s="57">
        <v>2364</v>
      </c>
      <c r="C105" s="57">
        <v>1</v>
      </c>
      <c r="D105" s="57" t="s">
        <v>159</v>
      </c>
      <c r="E105" s="57">
        <v>0</v>
      </c>
      <c r="F105" s="57">
        <v>3.1099999999999999E-2</v>
      </c>
      <c r="G105" s="57">
        <v>1.2999999999999999E-2</v>
      </c>
    </row>
    <row r="106" spans="1:7" x14ac:dyDescent="0.2">
      <c r="A106" s="63">
        <v>44650</v>
      </c>
      <c r="B106" s="57">
        <v>2364</v>
      </c>
      <c r="C106" s="57">
        <v>1</v>
      </c>
      <c r="D106" s="57" t="s">
        <v>159</v>
      </c>
      <c r="E106" s="57">
        <v>1</v>
      </c>
      <c r="F106" s="57">
        <v>4.8399999999999999E-2</v>
      </c>
      <c r="G106" s="57">
        <v>2.3E-2</v>
      </c>
    </row>
    <row r="107" spans="1:7" x14ac:dyDescent="0.2">
      <c r="A107" s="63">
        <v>44650</v>
      </c>
      <c r="B107" s="57">
        <v>2364</v>
      </c>
      <c r="C107" s="57">
        <v>2</v>
      </c>
      <c r="D107" s="57" t="s">
        <v>169</v>
      </c>
      <c r="E107" s="57" t="s">
        <v>60</v>
      </c>
      <c r="F107" s="57">
        <v>1.1874</v>
      </c>
      <c r="G107" s="57">
        <v>0.52200000000000002</v>
      </c>
    </row>
    <row r="108" spans="1:7" x14ac:dyDescent="0.2">
      <c r="A108" s="63">
        <v>44650</v>
      </c>
      <c r="B108" s="57">
        <v>2364</v>
      </c>
      <c r="C108" s="57">
        <v>2</v>
      </c>
      <c r="D108" s="57" t="s">
        <v>159</v>
      </c>
      <c r="E108" s="57">
        <v>0</v>
      </c>
      <c r="F108" s="57">
        <v>5.9200000000000003E-2</v>
      </c>
      <c r="G108" s="57">
        <v>2.3E-2</v>
      </c>
    </row>
    <row r="109" spans="1:7" x14ac:dyDescent="0.2">
      <c r="A109" s="63">
        <v>44650</v>
      </c>
      <c r="B109" s="57">
        <v>2364</v>
      </c>
      <c r="C109" s="57">
        <v>2</v>
      </c>
      <c r="D109" s="57" t="s">
        <v>159</v>
      </c>
      <c r="E109" s="57">
        <v>1</v>
      </c>
      <c r="F109" s="57">
        <v>0.29239999999999999</v>
      </c>
      <c r="G109" s="57">
        <v>0.128</v>
      </c>
    </row>
    <row r="110" spans="1:7" x14ac:dyDescent="0.2">
      <c r="A110" s="63">
        <v>44650</v>
      </c>
      <c r="B110" s="57">
        <v>2364</v>
      </c>
      <c r="C110" s="57">
        <v>3</v>
      </c>
      <c r="D110" s="57" t="s">
        <v>169</v>
      </c>
      <c r="E110" s="57" t="s">
        <v>60</v>
      </c>
      <c r="F110" s="57">
        <v>0.99580000000000002</v>
      </c>
      <c r="G110" s="57">
        <v>0.35899999999999999</v>
      </c>
    </row>
    <row r="111" spans="1:7" x14ac:dyDescent="0.2">
      <c r="A111" s="63">
        <v>44650</v>
      </c>
      <c r="B111" s="57">
        <v>2364</v>
      </c>
      <c r="C111" s="57">
        <v>3</v>
      </c>
      <c r="D111" s="57" t="s">
        <v>159</v>
      </c>
      <c r="E111" s="57">
        <v>0</v>
      </c>
      <c r="F111" s="57">
        <v>7.6999999999999999E-2</v>
      </c>
      <c r="G111" s="57">
        <v>2.5000000000000001E-2</v>
      </c>
    </row>
    <row r="112" spans="1:7" x14ac:dyDescent="0.2">
      <c r="A112" s="63">
        <v>44650</v>
      </c>
      <c r="B112" s="57">
        <v>2364</v>
      </c>
      <c r="C112" s="57">
        <v>3</v>
      </c>
      <c r="D112" s="57" t="s">
        <v>159</v>
      </c>
      <c r="E112" s="57">
        <v>1</v>
      </c>
      <c r="F112" s="57">
        <v>0.1532</v>
      </c>
      <c r="G112" s="57">
        <v>6.4000000000000001E-2</v>
      </c>
    </row>
    <row r="113" spans="1:7" x14ac:dyDescent="0.2">
      <c r="A113" s="63">
        <v>44650</v>
      </c>
      <c r="B113" s="57">
        <v>2367</v>
      </c>
      <c r="C113" s="57">
        <v>1</v>
      </c>
      <c r="D113" s="57" t="s">
        <v>169</v>
      </c>
      <c r="E113" s="57" t="s">
        <v>60</v>
      </c>
      <c r="F113" s="57">
        <v>0.94520000000000004</v>
      </c>
      <c r="G113" s="57">
        <v>0.33500000000000002</v>
      </c>
    </row>
    <row r="114" spans="1:7" x14ac:dyDescent="0.2">
      <c r="A114" s="63">
        <v>44650</v>
      </c>
      <c r="B114" s="57">
        <v>2367</v>
      </c>
      <c r="C114" s="57">
        <v>1</v>
      </c>
      <c r="D114" s="57" t="s">
        <v>169</v>
      </c>
      <c r="E114" s="57" t="s">
        <v>60</v>
      </c>
      <c r="F114" s="33">
        <f>0.161+1.5393</f>
        <v>1.7002999999999999</v>
      </c>
      <c r="G114" s="57">
        <v>0.66600000000000004</v>
      </c>
    </row>
    <row r="115" spans="1:7" x14ac:dyDescent="0.2">
      <c r="A115" s="63">
        <v>44650</v>
      </c>
      <c r="B115" s="57">
        <v>2367</v>
      </c>
      <c r="C115" s="57">
        <v>1</v>
      </c>
      <c r="D115" s="57" t="s">
        <v>159</v>
      </c>
      <c r="E115" s="57">
        <v>0</v>
      </c>
      <c r="F115" s="57">
        <v>0.12280000000000001</v>
      </c>
      <c r="G115" s="57">
        <v>3.7999999999999999E-2</v>
      </c>
    </row>
    <row r="116" spans="1:7" x14ac:dyDescent="0.2">
      <c r="A116" s="63">
        <v>44650</v>
      </c>
      <c r="B116" s="57">
        <v>2367</v>
      </c>
      <c r="C116" s="57">
        <v>1</v>
      </c>
      <c r="D116" s="57" t="s">
        <v>159</v>
      </c>
      <c r="E116" s="57">
        <v>0</v>
      </c>
      <c r="F116" s="57">
        <v>0.10009999999999999</v>
      </c>
      <c r="G116" s="57">
        <v>3.2000000000000001E-2</v>
      </c>
    </row>
    <row r="117" spans="1:7" x14ac:dyDescent="0.2">
      <c r="A117" s="63">
        <v>44650</v>
      </c>
      <c r="B117" s="57">
        <v>2367</v>
      </c>
      <c r="C117" s="57">
        <v>1</v>
      </c>
      <c r="D117" s="57" t="s">
        <v>159</v>
      </c>
      <c r="E117" s="57">
        <v>1</v>
      </c>
      <c r="F117" s="57">
        <v>9.0300000000000005E-2</v>
      </c>
      <c r="G117" s="57">
        <v>0.04</v>
      </c>
    </row>
    <row r="118" spans="1:7" x14ac:dyDescent="0.2">
      <c r="A118" s="63">
        <v>44650</v>
      </c>
      <c r="B118" s="57">
        <v>2367</v>
      </c>
      <c r="C118" s="57">
        <v>1</v>
      </c>
      <c r="D118" s="57" t="s">
        <v>159</v>
      </c>
      <c r="E118" s="57">
        <v>1</v>
      </c>
      <c r="F118" s="57">
        <v>0.21679999999999999</v>
      </c>
      <c r="G118" s="57">
        <v>9.5000000000000001E-2</v>
      </c>
    </row>
    <row r="119" spans="1:7" x14ac:dyDescent="0.2">
      <c r="A119" s="63">
        <v>44650</v>
      </c>
      <c r="B119" s="57">
        <v>2367</v>
      </c>
      <c r="C119" s="57">
        <v>3</v>
      </c>
      <c r="D119" s="57" t="s">
        <v>169</v>
      </c>
      <c r="E119" s="57" t="s">
        <v>60</v>
      </c>
      <c r="F119" s="57">
        <v>0.74709999999999999</v>
      </c>
      <c r="G119" s="57">
        <v>0.28100000000000003</v>
      </c>
    </row>
    <row r="120" spans="1:7" x14ac:dyDescent="0.2">
      <c r="A120" s="63">
        <v>44650</v>
      </c>
      <c r="B120" s="57">
        <v>2367</v>
      </c>
      <c r="C120" s="57">
        <v>3</v>
      </c>
      <c r="D120" s="57" t="s">
        <v>159</v>
      </c>
      <c r="E120" s="57">
        <v>0</v>
      </c>
      <c r="F120" s="57">
        <v>5.0299999999999997E-2</v>
      </c>
      <c r="G120" s="57">
        <v>1.4E-2</v>
      </c>
    </row>
    <row r="121" spans="1:7" x14ac:dyDescent="0.2">
      <c r="A121" s="63">
        <v>44650</v>
      </c>
      <c r="B121" s="57">
        <v>2367</v>
      </c>
      <c r="C121" s="57">
        <v>3</v>
      </c>
      <c r="D121" s="57" t="s">
        <v>159</v>
      </c>
      <c r="E121" s="57">
        <v>1</v>
      </c>
      <c r="F121" s="57">
        <v>0.38329999999999997</v>
      </c>
      <c r="G121" s="57">
        <v>0.19500000000000001</v>
      </c>
    </row>
    <row r="122" spans="1:7" x14ac:dyDescent="0.2">
      <c r="A122" s="63">
        <v>44650</v>
      </c>
      <c r="B122" s="57">
        <v>2369</v>
      </c>
      <c r="C122" s="57">
        <v>1</v>
      </c>
      <c r="D122" s="57" t="s">
        <v>169</v>
      </c>
      <c r="E122" s="57" t="s">
        <v>60</v>
      </c>
      <c r="F122" s="57">
        <v>0.97</v>
      </c>
      <c r="G122" s="57">
        <v>0.38600000000000001</v>
      </c>
    </row>
    <row r="123" spans="1:7" x14ac:dyDescent="0.2">
      <c r="A123" s="63">
        <v>44650</v>
      </c>
      <c r="B123" s="57">
        <v>2369</v>
      </c>
      <c r="C123" s="57">
        <v>1</v>
      </c>
      <c r="D123" s="57" t="s">
        <v>159</v>
      </c>
      <c r="E123" s="57">
        <v>0</v>
      </c>
      <c r="F123" s="57">
        <v>5.4100000000000002E-2</v>
      </c>
      <c r="G123" s="57">
        <v>2.1000000000000001E-2</v>
      </c>
    </row>
    <row r="124" spans="1:7" x14ac:dyDescent="0.2">
      <c r="A124" s="63">
        <v>44650</v>
      </c>
      <c r="B124" s="57">
        <v>2369</v>
      </c>
      <c r="C124" s="57">
        <v>1</v>
      </c>
      <c r="D124" s="57" t="s">
        <v>159</v>
      </c>
      <c r="E124" s="57">
        <v>1</v>
      </c>
      <c r="F124" s="57">
        <v>0.16450000000000001</v>
      </c>
      <c r="G124" s="57">
        <v>7.4999999999999997E-2</v>
      </c>
    </row>
    <row r="125" spans="1:7" x14ac:dyDescent="0.2">
      <c r="A125" s="63">
        <v>44650</v>
      </c>
      <c r="B125" s="57">
        <v>2369</v>
      </c>
      <c r="C125" s="57">
        <v>2</v>
      </c>
      <c r="D125" s="57" t="s">
        <v>169</v>
      </c>
      <c r="E125" s="57" t="s">
        <v>60</v>
      </c>
      <c r="F125" s="57">
        <v>0.48199999999999998</v>
      </c>
      <c r="G125" s="57">
        <v>0.20200000000000001</v>
      </c>
    </row>
    <row r="126" spans="1:7" x14ac:dyDescent="0.2">
      <c r="A126" s="63">
        <v>44650</v>
      </c>
      <c r="B126" s="57">
        <v>2369</v>
      </c>
      <c r="C126" s="57">
        <v>2</v>
      </c>
      <c r="D126" s="57" t="s">
        <v>159</v>
      </c>
      <c r="E126" s="57">
        <v>0</v>
      </c>
      <c r="F126" s="57">
        <v>1.84E-2</v>
      </c>
      <c r="G126" s="57">
        <v>7.0000000000000001E-3</v>
      </c>
    </row>
    <row r="127" spans="1:7" x14ac:dyDescent="0.2">
      <c r="A127" s="63">
        <v>44650</v>
      </c>
      <c r="B127" s="57">
        <v>2369</v>
      </c>
      <c r="C127" s="57">
        <v>2</v>
      </c>
      <c r="D127" s="57" t="s">
        <v>159</v>
      </c>
      <c r="E127" s="57">
        <v>1</v>
      </c>
      <c r="F127" s="57">
        <v>6.1600000000000002E-2</v>
      </c>
      <c r="G127" s="57">
        <v>0.03</v>
      </c>
    </row>
    <row r="128" spans="1:7" x14ac:dyDescent="0.2">
      <c r="A128" s="63">
        <v>44650</v>
      </c>
      <c r="B128" s="57">
        <v>2369</v>
      </c>
      <c r="C128" s="57">
        <v>3</v>
      </c>
      <c r="D128" s="57" t="s">
        <v>169</v>
      </c>
      <c r="E128" s="57" t="s">
        <v>60</v>
      </c>
      <c r="F128" s="57">
        <v>0.44990000000000002</v>
      </c>
      <c r="G128" s="57">
        <v>0.17199999999999999</v>
      </c>
    </row>
    <row r="129" spans="1:7" x14ac:dyDescent="0.2">
      <c r="A129" s="63">
        <v>44650</v>
      </c>
      <c r="B129" s="57">
        <v>2369</v>
      </c>
      <c r="C129" s="57">
        <v>3</v>
      </c>
      <c r="D129" s="57" t="s">
        <v>159</v>
      </c>
      <c r="E129" s="57">
        <v>0</v>
      </c>
      <c r="F129" s="57">
        <v>1.77E-2</v>
      </c>
      <c r="G129" s="57">
        <v>6.0000000000000001E-3</v>
      </c>
    </row>
    <row r="130" spans="1:7" x14ac:dyDescent="0.2">
      <c r="A130" s="63">
        <v>44650</v>
      </c>
      <c r="B130" s="57">
        <v>2369</v>
      </c>
      <c r="C130" s="57">
        <v>3</v>
      </c>
      <c r="D130" s="57" t="s">
        <v>159</v>
      </c>
      <c r="E130" s="57">
        <v>1</v>
      </c>
      <c r="F130" s="57">
        <v>0.15509999999999999</v>
      </c>
      <c r="G130" s="57">
        <v>6.8000000000000005E-2</v>
      </c>
    </row>
    <row r="131" spans="1:7" x14ac:dyDescent="0.2">
      <c r="A131" s="63">
        <v>44650</v>
      </c>
      <c r="B131" s="57">
        <v>2370</v>
      </c>
      <c r="C131" s="57">
        <v>1</v>
      </c>
      <c r="D131" s="57" t="s">
        <v>169</v>
      </c>
      <c r="E131" s="57" t="s">
        <v>60</v>
      </c>
      <c r="F131" s="57">
        <v>0.31830000000000003</v>
      </c>
      <c r="G131" s="57">
        <v>8.7999999999999995E-2</v>
      </c>
    </row>
    <row r="132" spans="1:7" x14ac:dyDescent="0.2">
      <c r="A132" s="63">
        <v>44650</v>
      </c>
      <c r="B132" s="57">
        <v>2370</v>
      </c>
      <c r="C132" s="57">
        <v>1</v>
      </c>
      <c r="D132" s="57" t="s">
        <v>159</v>
      </c>
      <c r="E132" s="57">
        <v>0</v>
      </c>
      <c r="F132" s="57">
        <v>2.3400000000000001E-2</v>
      </c>
      <c r="G132" s="57">
        <v>6.0000000000000001E-3</v>
      </c>
    </row>
    <row r="133" spans="1:7" x14ac:dyDescent="0.2">
      <c r="A133" s="63">
        <v>44650</v>
      </c>
      <c r="B133" s="57">
        <v>2370</v>
      </c>
      <c r="C133" s="57">
        <v>1</v>
      </c>
      <c r="D133" s="57" t="s">
        <v>159</v>
      </c>
      <c r="E133" s="57">
        <v>1</v>
      </c>
      <c r="F133" s="57">
        <v>0.1045</v>
      </c>
      <c r="G133" s="57">
        <v>4.2000000000000003E-2</v>
      </c>
    </row>
    <row r="134" spans="1:7" x14ac:dyDescent="0.2">
      <c r="A134" s="63">
        <v>44650</v>
      </c>
      <c r="B134" s="57">
        <v>2370</v>
      </c>
      <c r="C134" s="57">
        <v>2</v>
      </c>
      <c r="D134" s="57" t="s">
        <v>169</v>
      </c>
      <c r="E134" s="57" t="s">
        <v>60</v>
      </c>
      <c r="F134" s="57">
        <v>0.20219999999999999</v>
      </c>
      <c r="G134" s="57">
        <v>5.7000000000000002E-2</v>
      </c>
    </row>
    <row r="135" spans="1:7" x14ac:dyDescent="0.2">
      <c r="A135" s="63">
        <v>44650</v>
      </c>
      <c r="B135" s="57">
        <v>2370</v>
      </c>
      <c r="C135" s="57">
        <v>2</v>
      </c>
      <c r="D135" s="57" t="s">
        <v>159</v>
      </c>
      <c r="E135" s="57">
        <v>0</v>
      </c>
      <c r="F135" s="57">
        <v>5.8799999999999998E-2</v>
      </c>
      <c r="G135" s="57">
        <v>1.4E-2</v>
      </c>
    </row>
    <row r="136" spans="1:7" x14ac:dyDescent="0.2">
      <c r="A136" s="63">
        <v>44650</v>
      </c>
      <c r="B136" s="57">
        <v>2370</v>
      </c>
      <c r="C136" s="57">
        <v>2</v>
      </c>
      <c r="D136" s="57" t="s">
        <v>159</v>
      </c>
      <c r="E136" s="57">
        <v>1</v>
      </c>
      <c r="F136" s="57">
        <v>7.6600000000000001E-2</v>
      </c>
      <c r="G136" s="57">
        <v>3.2000000000000001E-2</v>
      </c>
    </row>
    <row r="137" spans="1:7" x14ac:dyDescent="0.2">
      <c r="A137" s="63">
        <v>44650</v>
      </c>
      <c r="B137" s="57">
        <v>2370</v>
      </c>
      <c r="C137" s="57">
        <v>3</v>
      </c>
      <c r="D137" s="57" t="s">
        <v>169</v>
      </c>
      <c r="E137" s="57" t="s">
        <v>60</v>
      </c>
      <c r="F137" s="57">
        <v>0.5121</v>
      </c>
      <c r="G137" s="57">
        <v>0.15</v>
      </c>
    </row>
    <row r="138" spans="1:7" x14ac:dyDescent="0.2">
      <c r="A138" s="63">
        <v>44650</v>
      </c>
      <c r="B138" s="57">
        <v>2370</v>
      </c>
      <c r="C138" s="57">
        <v>3</v>
      </c>
      <c r="D138" s="57" t="s">
        <v>159</v>
      </c>
      <c r="E138" s="57">
        <v>0</v>
      </c>
      <c r="F138" s="57">
        <v>3.0599999999999999E-2</v>
      </c>
      <c r="G138" s="57">
        <v>8.9999999999999993E-3</v>
      </c>
    </row>
    <row r="139" spans="1:7" x14ac:dyDescent="0.2">
      <c r="A139" s="63">
        <v>44650</v>
      </c>
      <c r="B139" s="57">
        <v>2370</v>
      </c>
      <c r="C139" s="57">
        <v>3</v>
      </c>
      <c r="D139" s="57" t="s">
        <v>159</v>
      </c>
      <c r="E139" s="57">
        <v>1</v>
      </c>
      <c r="F139" s="57">
        <v>0.1739</v>
      </c>
      <c r="G139" s="57">
        <v>7.1999999999999995E-2</v>
      </c>
    </row>
    <row r="140" spans="1:7" x14ac:dyDescent="0.2">
      <c r="A140" s="63">
        <v>44650</v>
      </c>
      <c r="B140" s="57">
        <v>2371</v>
      </c>
      <c r="C140" s="57">
        <v>1</v>
      </c>
      <c r="D140" s="57" t="s">
        <v>169</v>
      </c>
      <c r="E140" s="57" t="s">
        <v>60</v>
      </c>
      <c r="F140" s="57">
        <v>0.82679999999999998</v>
      </c>
      <c r="G140" s="57">
        <v>0.23599999999999999</v>
      </c>
    </row>
    <row r="141" spans="1:7" x14ac:dyDescent="0.2">
      <c r="A141" s="63">
        <v>44650</v>
      </c>
      <c r="B141" s="57">
        <v>2371</v>
      </c>
      <c r="C141" s="57">
        <v>1</v>
      </c>
      <c r="D141" s="57" t="s">
        <v>159</v>
      </c>
      <c r="E141" s="57">
        <v>0</v>
      </c>
      <c r="F141" s="57">
        <v>6.8099999999999994E-2</v>
      </c>
      <c r="G141" s="57">
        <v>1.9E-2</v>
      </c>
    </row>
    <row r="142" spans="1:7" x14ac:dyDescent="0.2">
      <c r="A142" s="63">
        <v>44650</v>
      </c>
      <c r="B142" s="57">
        <v>2371</v>
      </c>
      <c r="C142" s="57">
        <v>1</v>
      </c>
      <c r="D142" s="57" t="s">
        <v>159</v>
      </c>
      <c r="E142" s="57">
        <v>1</v>
      </c>
      <c r="F142" s="57">
        <v>0.19120000000000001</v>
      </c>
      <c r="G142" s="57">
        <v>8.3000000000000004E-2</v>
      </c>
    </row>
    <row r="143" spans="1:7" x14ac:dyDescent="0.2">
      <c r="A143" s="63">
        <v>44650</v>
      </c>
      <c r="B143" s="57">
        <v>2371</v>
      </c>
      <c r="C143" s="57">
        <v>2</v>
      </c>
      <c r="D143" s="57" t="s">
        <v>169</v>
      </c>
      <c r="E143" s="57" t="s">
        <v>60</v>
      </c>
      <c r="F143" s="57">
        <v>0.75360000000000005</v>
      </c>
      <c r="G143" s="57">
        <v>0.20300000000000001</v>
      </c>
    </row>
    <row r="144" spans="1:7" x14ac:dyDescent="0.2">
      <c r="A144" s="63">
        <v>44650</v>
      </c>
      <c r="B144" s="57">
        <v>2371</v>
      </c>
      <c r="C144" s="57">
        <v>2</v>
      </c>
      <c r="D144" s="57" t="s">
        <v>159</v>
      </c>
      <c r="E144" s="57" t="s">
        <v>60</v>
      </c>
      <c r="F144" s="57">
        <v>0.19120000000000001</v>
      </c>
      <c r="G144" s="57">
        <v>0.09</v>
      </c>
    </row>
    <row r="145" spans="1:7" x14ac:dyDescent="0.2">
      <c r="A145" s="63">
        <v>44650</v>
      </c>
      <c r="B145" s="57">
        <v>2371</v>
      </c>
      <c r="C145" s="57">
        <v>3</v>
      </c>
      <c r="D145" s="57" t="s">
        <v>169</v>
      </c>
      <c r="E145" s="57" t="s">
        <v>60</v>
      </c>
      <c r="F145" s="57">
        <v>1.3643000000000001</v>
      </c>
      <c r="G145" s="57">
        <v>0.38100000000000001</v>
      </c>
    </row>
    <row r="146" spans="1:7" x14ac:dyDescent="0.2">
      <c r="A146" s="63">
        <v>44650</v>
      </c>
      <c r="B146" s="57">
        <v>2371</v>
      </c>
      <c r="C146" s="57">
        <v>3</v>
      </c>
      <c r="D146" s="57" t="s">
        <v>159</v>
      </c>
      <c r="E146" s="57">
        <v>0</v>
      </c>
      <c r="F146" s="57">
        <v>9.6799999999999997E-2</v>
      </c>
      <c r="G146" s="57">
        <v>2.8000000000000001E-2</v>
      </c>
    </row>
    <row r="147" spans="1:7" x14ac:dyDescent="0.2">
      <c r="A147" s="63">
        <v>44650</v>
      </c>
      <c r="B147" s="57">
        <v>2371</v>
      </c>
      <c r="C147" s="57">
        <v>3</v>
      </c>
      <c r="D147" s="57" t="s">
        <v>159</v>
      </c>
      <c r="E147" s="57">
        <v>1</v>
      </c>
      <c r="F147" s="57">
        <v>0.60850000000000004</v>
      </c>
      <c r="G147" s="57">
        <v>0.28000000000000003</v>
      </c>
    </row>
    <row r="148" spans="1:7" x14ac:dyDescent="0.2">
      <c r="A148" s="63">
        <v>44650</v>
      </c>
      <c r="B148" s="57">
        <v>2372</v>
      </c>
      <c r="C148" s="57">
        <v>1</v>
      </c>
      <c r="D148" s="57" t="s">
        <v>169</v>
      </c>
      <c r="E148" s="57" t="s">
        <v>60</v>
      </c>
      <c r="F148" s="57">
        <v>0.76380000000000003</v>
      </c>
      <c r="G148" s="57">
        <v>0.25700000000000001</v>
      </c>
    </row>
    <row r="149" spans="1:7" x14ac:dyDescent="0.2">
      <c r="A149" s="63">
        <v>44650</v>
      </c>
      <c r="B149" s="57">
        <v>2372</v>
      </c>
      <c r="C149" s="57">
        <v>1</v>
      </c>
      <c r="D149" s="57" t="s">
        <v>159</v>
      </c>
      <c r="E149" s="57">
        <v>0</v>
      </c>
      <c r="F149" s="57">
        <v>6.2199999999999998E-2</v>
      </c>
      <c r="G149" s="57">
        <v>1.9E-2</v>
      </c>
    </row>
    <row r="150" spans="1:7" x14ac:dyDescent="0.2">
      <c r="A150" s="63">
        <v>44650</v>
      </c>
      <c r="B150" s="57">
        <v>2372</v>
      </c>
      <c r="C150" s="57">
        <v>1</v>
      </c>
      <c r="D150" s="57" t="s">
        <v>159</v>
      </c>
      <c r="E150" s="57">
        <v>1</v>
      </c>
      <c r="F150" s="57">
        <v>0.1216</v>
      </c>
      <c r="G150" s="57">
        <v>5.5E-2</v>
      </c>
    </row>
    <row r="151" spans="1:7" x14ac:dyDescent="0.2">
      <c r="A151" s="63">
        <v>44650</v>
      </c>
      <c r="B151" s="57">
        <v>2372</v>
      </c>
      <c r="C151" s="57">
        <v>2</v>
      </c>
      <c r="D151" s="57" t="s">
        <v>169</v>
      </c>
      <c r="E151" s="57" t="s">
        <v>60</v>
      </c>
      <c r="F151" s="57">
        <v>0.88849999999999996</v>
      </c>
      <c r="G151" s="57">
        <v>0.29199999999999998</v>
      </c>
    </row>
    <row r="152" spans="1:7" x14ac:dyDescent="0.2">
      <c r="A152" s="63">
        <v>44650</v>
      </c>
      <c r="B152" s="57">
        <v>2372</v>
      </c>
      <c r="C152" s="57">
        <v>2</v>
      </c>
      <c r="D152" s="57" t="s">
        <v>159</v>
      </c>
      <c r="E152" s="57">
        <v>0</v>
      </c>
      <c r="F152" s="57">
        <v>7.17E-2</v>
      </c>
      <c r="G152" s="57">
        <v>2.1000000000000001E-2</v>
      </c>
    </row>
    <row r="153" spans="1:7" x14ac:dyDescent="0.2">
      <c r="A153" s="63">
        <v>44650</v>
      </c>
      <c r="B153" s="57">
        <v>2372</v>
      </c>
      <c r="C153" s="57">
        <v>2</v>
      </c>
      <c r="D153" s="57" t="s">
        <v>159</v>
      </c>
      <c r="E153" s="57">
        <v>1</v>
      </c>
      <c r="F153" s="57">
        <v>0.1145</v>
      </c>
      <c r="G153" s="57">
        <v>0.05</v>
      </c>
    </row>
    <row r="154" spans="1:7" x14ac:dyDescent="0.2">
      <c r="A154" s="63">
        <v>44650</v>
      </c>
      <c r="B154" s="57">
        <v>2372</v>
      </c>
      <c r="C154" s="57">
        <v>3</v>
      </c>
      <c r="D154" s="57" t="s">
        <v>169</v>
      </c>
      <c r="E154" s="57" t="s">
        <v>60</v>
      </c>
      <c r="F154" s="57">
        <v>1.5595000000000001</v>
      </c>
      <c r="G154" s="57">
        <v>0.42399999999999999</v>
      </c>
    </row>
    <row r="155" spans="1:7" x14ac:dyDescent="0.2">
      <c r="A155" s="63">
        <v>44650</v>
      </c>
      <c r="B155" s="57">
        <v>2372</v>
      </c>
      <c r="C155" s="57">
        <v>3</v>
      </c>
      <c r="D155" s="57" t="s">
        <v>159</v>
      </c>
      <c r="E155" s="57">
        <v>0</v>
      </c>
      <c r="F155" s="57">
        <v>0.192</v>
      </c>
      <c r="G155" s="57">
        <v>5.1999999999999998E-2</v>
      </c>
    </row>
    <row r="156" spans="1:7" x14ac:dyDescent="0.2">
      <c r="A156" s="63">
        <v>44650</v>
      </c>
      <c r="B156" s="57">
        <v>2372</v>
      </c>
      <c r="C156" s="57">
        <v>3</v>
      </c>
      <c r="D156" s="57" t="s">
        <v>159</v>
      </c>
      <c r="E156" s="57">
        <v>1</v>
      </c>
      <c r="F156" s="57">
        <v>0.23860000000000001</v>
      </c>
      <c r="G156" s="57">
        <v>0.1</v>
      </c>
    </row>
    <row r="157" spans="1:7" x14ac:dyDescent="0.2">
      <c r="A157" s="63">
        <v>44650</v>
      </c>
      <c r="B157" s="57">
        <v>2375</v>
      </c>
      <c r="C157" s="57">
        <v>1</v>
      </c>
      <c r="D157" s="57" t="s">
        <v>169</v>
      </c>
      <c r="E157" s="57" t="s">
        <v>60</v>
      </c>
      <c r="F157" s="57">
        <v>0.48709999999999998</v>
      </c>
      <c r="G157" s="57">
        <v>0.14499999999999999</v>
      </c>
    </row>
    <row r="158" spans="1:7" x14ac:dyDescent="0.2">
      <c r="A158" s="63">
        <v>44650</v>
      </c>
      <c r="B158" s="57">
        <v>2375</v>
      </c>
      <c r="C158" s="57">
        <v>1</v>
      </c>
      <c r="D158" s="57" t="s">
        <v>159</v>
      </c>
      <c r="E158" s="57">
        <v>0</v>
      </c>
      <c r="F158" s="57">
        <v>4.5699999999999998E-2</v>
      </c>
      <c r="G158" s="57">
        <v>1.4E-2</v>
      </c>
    </row>
    <row r="159" spans="1:7" x14ac:dyDescent="0.2">
      <c r="A159" s="63">
        <v>44650</v>
      </c>
      <c r="B159" s="57">
        <v>2375</v>
      </c>
      <c r="C159" s="57">
        <v>1</v>
      </c>
      <c r="D159" s="57" t="s">
        <v>159</v>
      </c>
      <c r="E159" s="57">
        <v>1</v>
      </c>
      <c r="F159" s="57">
        <v>6.6199999999999995E-2</v>
      </c>
      <c r="G159" s="57">
        <v>2.9000000000000001E-2</v>
      </c>
    </row>
    <row r="160" spans="1:7" x14ac:dyDescent="0.2">
      <c r="A160" s="63">
        <v>44650</v>
      </c>
      <c r="B160" s="57">
        <v>2375</v>
      </c>
      <c r="C160" s="57">
        <v>2</v>
      </c>
      <c r="D160" s="57" t="s">
        <v>169</v>
      </c>
      <c r="E160" s="57" t="s">
        <v>60</v>
      </c>
      <c r="F160" s="57">
        <v>0.4551</v>
      </c>
      <c r="G160" s="57">
        <v>0.13200000000000001</v>
      </c>
    </row>
    <row r="161" spans="1:7" x14ac:dyDescent="0.2">
      <c r="A161" s="63">
        <v>44650</v>
      </c>
      <c r="B161" s="57">
        <v>2375</v>
      </c>
      <c r="C161" s="57">
        <v>2</v>
      </c>
      <c r="D161" s="57" t="s">
        <v>159</v>
      </c>
      <c r="E161" s="57">
        <v>0</v>
      </c>
      <c r="F161" s="57">
        <v>4.5100000000000001E-2</v>
      </c>
      <c r="G161" s="57">
        <v>1.4E-2</v>
      </c>
    </row>
    <row r="162" spans="1:7" x14ac:dyDescent="0.2">
      <c r="A162" s="63">
        <v>44650</v>
      </c>
      <c r="B162" s="57">
        <v>2375</v>
      </c>
      <c r="C162" s="57">
        <v>2</v>
      </c>
      <c r="D162" s="57" t="s">
        <v>159</v>
      </c>
      <c r="E162" s="57">
        <v>1</v>
      </c>
      <c r="F162" s="57">
        <v>0.1027</v>
      </c>
      <c r="G162" s="57">
        <v>4.4999999999999998E-2</v>
      </c>
    </row>
    <row r="163" spans="1:7" x14ac:dyDescent="0.2">
      <c r="A163" s="63">
        <v>44650</v>
      </c>
      <c r="B163" s="57">
        <v>2375</v>
      </c>
      <c r="C163" s="57">
        <v>3</v>
      </c>
      <c r="D163" s="57" t="s">
        <v>169</v>
      </c>
      <c r="E163" s="57" t="s">
        <v>60</v>
      </c>
      <c r="F163" s="57">
        <v>0.79330000000000001</v>
      </c>
      <c r="G163" s="57">
        <v>0.23499999999999999</v>
      </c>
    </row>
    <row r="164" spans="1:7" x14ac:dyDescent="0.2">
      <c r="A164" s="63">
        <v>44650</v>
      </c>
      <c r="B164" s="57">
        <v>2375</v>
      </c>
      <c r="C164" s="57">
        <v>3</v>
      </c>
      <c r="D164" s="57" t="s">
        <v>159</v>
      </c>
      <c r="E164" s="57" t="s">
        <v>60</v>
      </c>
      <c r="F164" s="57">
        <v>7.4800000000000005E-2</v>
      </c>
      <c r="G164" s="57">
        <v>2.5000000000000001E-2</v>
      </c>
    </row>
    <row r="165" spans="1:7" x14ac:dyDescent="0.2">
      <c r="A165" s="63">
        <v>44650</v>
      </c>
      <c r="B165" s="57">
        <v>2376</v>
      </c>
      <c r="C165" s="57">
        <v>1</v>
      </c>
      <c r="D165" s="57" t="s">
        <v>169</v>
      </c>
      <c r="E165" s="57" t="s">
        <v>60</v>
      </c>
      <c r="F165" s="57">
        <v>3.3447</v>
      </c>
      <c r="G165" s="57">
        <v>1.9330000000000001</v>
      </c>
    </row>
    <row r="166" spans="1:7" x14ac:dyDescent="0.2">
      <c r="A166" s="63">
        <v>44650</v>
      </c>
      <c r="B166" s="57">
        <v>2376</v>
      </c>
      <c r="C166" s="57">
        <v>1</v>
      </c>
      <c r="D166" s="57" t="s">
        <v>159</v>
      </c>
      <c r="E166" s="57" t="s">
        <v>60</v>
      </c>
      <c r="F166" s="57">
        <v>0.34539999999999998</v>
      </c>
      <c r="G166" s="57">
        <v>0.183</v>
      </c>
    </row>
    <row r="167" spans="1:7" x14ac:dyDescent="0.2">
      <c r="A167" s="63">
        <v>44650</v>
      </c>
      <c r="B167" s="57">
        <v>2376</v>
      </c>
      <c r="C167" s="57">
        <v>2</v>
      </c>
      <c r="D167" s="57" t="s">
        <v>169</v>
      </c>
      <c r="E167" s="57" t="s">
        <v>60</v>
      </c>
      <c r="F167" s="57">
        <v>0.61539999999999995</v>
      </c>
      <c r="G167" s="57">
        <v>0.35899999999999999</v>
      </c>
    </row>
    <row r="168" spans="1:7" x14ac:dyDescent="0.2">
      <c r="A168" s="63">
        <v>44650</v>
      </c>
      <c r="B168" s="57">
        <v>2376</v>
      </c>
      <c r="C168" s="57">
        <v>2</v>
      </c>
      <c r="D168" s="57" t="s">
        <v>159</v>
      </c>
      <c r="E168" s="57" t="s">
        <v>60</v>
      </c>
      <c r="F168" s="57">
        <v>0.13220000000000001</v>
      </c>
      <c r="G168" s="57">
        <v>7.0000000000000007E-2</v>
      </c>
    </row>
    <row r="169" spans="1:7" x14ac:dyDescent="0.2">
      <c r="A169" s="63">
        <v>44650</v>
      </c>
      <c r="B169" s="57">
        <v>2376</v>
      </c>
      <c r="C169" s="57">
        <v>3</v>
      </c>
      <c r="D169" s="57" t="s">
        <v>169</v>
      </c>
      <c r="E169" s="57" t="s">
        <v>60</v>
      </c>
      <c r="F169" s="57">
        <v>1.4186000000000001</v>
      </c>
      <c r="G169" s="57">
        <v>0.80700000000000005</v>
      </c>
    </row>
    <row r="170" spans="1:7" x14ac:dyDescent="0.2">
      <c r="A170" s="63">
        <v>44650</v>
      </c>
      <c r="B170" s="57">
        <v>2376</v>
      </c>
      <c r="C170" s="57">
        <v>3</v>
      </c>
      <c r="D170" s="57" t="s">
        <v>159</v>
      </c>
      <c r="E170" s="57" t="s">
        <v>60</v>
      </c>
      <c r="F170" s="57">
        <v>0.23430000000000001</v>
      </c>
      <c r="G170" s="57">
        <v>0.121</v>
      </c>
    </row>
    <row r="171" spans="1:7" x14ac:dyDescent="0.2">
      <c r="A171" s="63">
        <v>44650</v>
      </c>
      <c r="B171" s="57">
        <v>2377</v>
      </c>
      <c r="C171" s="57">
        <v>1</v>
      </c>
      <c r="D171" s="57" t="s">
        <v>169</v>
      </c>
      <c r="E171" s="57" t="s">
        <v>60</v>
      </c>
      <c r="F171" s="57">
        <v>0.92630000000000001</v>
      </c>
      <c r="G171" s="57">
        <v>0.52300000000000002</v>
      </c>
    </row>
    <row r="172" spans="1:7" x14ac:dyDescent="0.2">
      <c r="A172" s="63">
        <v>44650</v>
      </c>
      <c r="B172" s="57">
        <v>2377</v>
      </c>
      <c r="C172" s="57">
        <v>1</v>
      </c>
      <c r="D172" s="57" t="s">
        <v>159</v>
      </c>
      <c r="E172" s="57" t="s">
        <v>60</v>
      </c>
      <c r="F172" s="57">
        <v>0.43390000000000001</v>
      </c>
      <c r="G172" s="57">
        <v>0.193</v>
      </c>
    </row>
    <row r="173" spans="1:7" x14ac:dyDescent="0.2">
      <c r="A173" s="63">
        <v>44650</v>
      </c>
      <c r="B173" s="57">
        <v>2377</v>
      </c>
      <c r="C173" s="57">
        <v>2</v>
      </c>
      <c r="D173" s="57" t="s">
        <v>169</v>
      </c>
      <c r="E173" s="57" t="s">
        <v>60</v>
      </c>
      <c r="F173" s="57">
        <v>0.67559999999999998</v>
      </c>
      <c r="G173" s="57">
        <v>0.39200000000000002</v>
      </c>
    </row>
    <row r="174" spans="1:7" x14ac:dyDescent="0.2">
      <c r="A174" s="63">
        <v>44650</v>
      </c>
      <c r="B174" s="57">
        <v>2377</v>
      </c>
      <c r="C174" s="57">
        <v>2</v>
      </c>
      <c r="D174" s="57" t="s">
        <v>159</v>
      </c>
      <c r="E174" s="57" t="s">
        <v>60</v>
      </c>
      <c r="F174" s="57">
        <v>0.20499999999999999</v>
      </c>
      <c r="G174" s="57">
        <v>0.10199999999999999</v>
      </c>
    </row>
    <row r="175" spans="1:7" x14ac:dyDescent="0.2">
      <c r="A175" s="63">
        <v>44650</v>
      </c>
      <c r="B175" s="57">
        <v>2377</v>
      </c>
      <c r="C175" s="57">
        <v>3</v>
      </c>
      <c r="D175" s="57" t="s">
        <v>169</v>
      </c>
      <c r="E175" s="57" t="s">
        <v>60</v>
      </c>
      <c r="F175" s="57">
        <v>1.7253000000000001</v>
      </c>
      <c r="G175" s="57">
        <v>0.99099999999999999</v>
      </c>
    </row>
    <row r="176" spans="1:7" x14ac:dyDescent="0.2">
      <c r="A176" s="63">
        <v>44650</v>
      </c>
      <c r="B176" s="57">
        <v>2377</v>
      </c>
      <c r="C176" s="57">
        <v>3</v>
      </c>
      <c r="D176" s="57" t="s">
        <v>159</v>
      </c>
      <c r="E176" s="57" t="s">
        <v>60</v>
      </c>
      <c r="F176" s="57">
        <v>0.439</v>
      </c>
      <c r="G176" s="57">
        <v>0.22600000000000001</v>
      </c>
    </row>
    <row r="177" spans="1:7" x14ac:dyDescent="0.2">
      <c r="A177" s="63">
        <v>44650</v>
      </c>
      <c r="B177" s="57">
        <v>2378</v>
      </c>
      <c r="C177" s="57">
        <v>1</v>
      </c>
      <c r="D177" s="57" t="s">
        <v>169</v>
      </c>
      <c r="E177" s="57" t="s">
        <v>60</v>
      </c>
      <c r="F177" s="57">
        <v>0.91520000000000001</v>
      </c>
      <c r="G177" s="57">
        <v>0.41699999999999998</v>
      </c>
    </row>
    <row r="178" spans="1:7" x14ac:dyDescent="0.2">
      <c r="A178" s="63">
        <v>44650</v>
      </c>
      <c r="B178" s="57">
        <v>2378</v>
      </c>
      <c r="C178" s="57">
        <v>1</v>
      </c>
      <c r="D178" s="57" t="s">
        <v>159</v>
      </c>
      <c r="E178" s="57">
        <v>0</v>
      </c>
      <c r="F178" s="57">
        <v>0.157</v>
      </c>
      <c r="G178" s="57">
        <v>6.3E-2</v>
      </c>
    </row>
    <row r="179" spans="1:7" x14ac:dyDescent="0.2">
      <c r="A179" s="63">
        <v>44650</v>
      </c>
      <c r="B179" s="57">
        <v>2378</v>
      </c>
      <c r="C179" s="57">
        <v>1</v>
      </c>
      <c r="D179" s="57" t="s">
        <v>159</v>
      </c>
      <c r="E179" s="57">
        <v>1</v>
      </c>
      <c r="F179" s="57">
        <v>0.36430000000000001</v>
      </c>
      <c r="G179" s="57">
        <v>0.17299999999999999</v>
      </c>
    </row>
    <row r="180" spans="1:7" x14ac:dyDescent="0.2">
      <c r="A180" s="63">
        <v>44650</v>
      </c>
      <c r="B180" s="57">
        <v>2378</v>
      </c>
      <c r="C180" s="57">
        <v>2</v>
      </c>
      <c r="D180" s="57" t="s">
        <v>169</v>
      </c>
      <c r="E180" s="57" t="s">
        <v>60</v>
      </c>
      <c r="F180" s="57">
        <v>1.1207</v>
      </c>
      <c r="G180" s="57">
        <v>0.52500000000000002</v>
      </c>
    </row>
    <row r="181" spans="1:7" x14ac:dyDescent="0.2">
      <c r="A181" s="63">
        <v>44650</v>
      </c>
      <c r="B181" s="57">
        <v>2378</v>
      </c>
      <c r="C181" s="57">
        <v>2</v>
      </c>
      <c r="D181" s="57" t="s">
        <v>159</v>
      </c>
      <c r="E181" s="57">
        <v>0</v>
      </c>
      <c r="F181" s="57">
        <v>0.32450000000000001</v>
      </c>
      <c r="G181" s="57">
        <v>0.127</v>
      </c>
    </row>
    <row r="182" spans="1:7" x14ac:dyDescent="0.2">
      <c r="A182" s="63">
        <v>44650</v>
      </c>
      <c r="B182" s="57">
        <v>2378</v>
      </c>
      <c r="C182" s="57">
        <v>2</v>
      </c>
      <c r="D182" s="57" t="s">
        <v>159</v>
      </c>
      <c r="E182" s="57">
        <v>1</v>
      </c>
      <c r="F182" s="57">
        <v>0.14510000000000001</v>
      </c>
      <c r="G182" s="57">
        <v>6.3E-2</v>
      </c>
    </row>
    <row r="183" spans="1:7" x14ac:dyDescent="0.2">
      <c r="A183" s="63">
        <v>44650</v>
      </c>
      <c r="B183" s="57">
        <v>2378</v>
      </c>
      <c r="C183" s="57">
        <v>3</v>
      </c>
      <c r="D183" s="57" t="s">
        <v>169</v>
      </c>
      <c r="E183" s="57" t="s">
        <v>60</v>
      </c>
      <c r="F183" s="57">
        <v>0.27300000000000002</v>
      </c>
      <c r="G183" s="57">
        <v>0.126</v>
      </c>
    </row>
    <row r="184" spans="1:7" x14ac:dyDescent="0.2">
      <c r="A184" s="63">
        <v>44650</v>
      </c>
      <c r="B184" s="57">
        <v>2378</v>
      </c>
      <c r="C184" s="57">
        <v>3</v>
      </c>
      <c r="D184" s="57" t="s">
        <v>159</v>
      </c>
      <c r="E184" s="57">
        <v>0</v>
      </c>
      <c r="F184" s="57">
        <v>4.2999999999999997E-2</v>
      </c>
      <c r="G184" s="57">
        <v>1.4999999999999999E-2</v>
      </c>
    </row>
    <row r="185" spans="1:7" x14ac:dyDescent="0.2">
      <c r="A185" s="63">
        <v>44650</v>
      </c>
      <c r="B185" s="57">
        <v>2378</v>
      </c>
      <c r="C185" s="57">
        <v>3</v>
      </c>
      <c r="D185" s="57" t="s">
        <v>159</v>
      </c>
      <c r="E185" s="57">
        <v>1</v>
      </c>
      <c r="F185" s="57">
        <v>0.3135</v>
      </c>
      <c r="G185" s="57">
        <v>0.14099999999999999</v>
      </c>
    </row>
    <row r="186" spans="1:7" x14ac:dyDescent="0.2">
      <c r="A186" s="63">
        <v>44650</v>
      </c>
      <c r="B186" s="57">
        <v>2379</v>
      </c>
      <c r="C186" s="57">
        <v>1</v>
      </c>
      <c r="D186" s="57" t="s">
        <v>169</v>
      </c>
      <c r="E186" s="57" t="s">
        <v>60</v>
      </c>
      <c r="F186" s="57">
        <v>0.2175</v>
      </c>
      <c r="G186" s="57">
        <v>0.10100000000000001</v>
      </c>
    </row>
    <row r="187" spans="1:7" x14ac:dyDescent="0.2">
      <c r="A187" s="63">
        <v>44650</v>
      </c>
      <c r="B187" s="57">
        <v>2379</v>
      </c>
      <c r="C187" s="57">
        <v>1</v>
      </c>
      <c r="D187" s="57" t="s">
        <v>159</v>
      </c>
      <c r="E187" s="57">
        <v>0</v>
      </c>
      <c r="F187" s="57">
        <v>1.8100000000000002E-2</v>
      </c>
      <c r="G187" s="57">
        <v>7.0000000000000001E-3</v>
      </c>
    </row>
    <row r="188" spans="1:7" x14ac:dyDescent="0.2">
      <c r="A188" s="63">
        <v>44650</v>
      </c>
      <c r="B188" s="57">
        <v>2379</v>
      </c>
      <c r="C188" s="57">
        <v>1</v>
      </c>
      <c r="D188" s="57" t="s">
        <v>159</v>
      </c>
      <c r="E188" s="57">
        <v>1</v>
      </c>
      <c r="F188" s="57">
        <v>0.13850000000000001</v>
      </c>
      <c r="G188" s="57">
        <v>6.9000000000000006E-2</v>
      </c>
    </row>
    <row r="189" spans="1:7" x14ac:dyDescent="0.2">
      <c r="A189" s="63">
        <v>44650</v>
      </c>
      <c r="B189" s="57">
        <v>2379</v>
      </c>
      <c r="C189" s="57">
        <v>2</v>
      </c>
      <c r="D189" s="57" t="s">
        <v>169</v>
      </c>
      <c r="E189" s="57" t="s">
        <v>60</v>
      </c>
      <c r="F189" s="57">
        <v>0.46870000000000001</v>
      </c>
      <c r="G189" s="57">
        <v>0.21199999999999999</v>
      </c>
    </row>
    <row r="190" spans="1:7" x14ac:dyDescent="0.2">
      <c r="A190" s="63">
        <v>44650</v>
      </c>
      <c r="B190" s="57">
        <v>2379</v>
      </c>
      <c r="C190" s="57">
        <v>2</v>
      </c>
      <c r="D190" s="57" t="s">
        <v>159</v>
      </c>
      <c r="E190" s="57">
        <v>0</v>
      </c>
      <c r="F190" s="57">
        <v>2.5700000000000001E-2</v>
      </c>
      <c r="G190" s="57">
        <v>0.01</v>
      </c>
    </row>
    <row r="191" spans="1:7" x14ac:dyDescent="0.2">
      <c r="A191" s="63">
        <v>44650</v>
      </c>
      <c r="B191" s="57">
        <v>2379</v>
      </c>
      <c r="C191" s="57">
        <v>2</v>
      </c>
      <c r="D191" s="57" t="s">
        <v>159</v>
      </c>
      <c r="E191" s="57">
        <v>1</v>
      </c>
      <c r="F191" s="57">
        <v>0.29880000000000001</v>
      </c>
      <c r="G191" s="57">
        <v>0.14599999999999999</v>
      </c>
    </row>
    <row r="192" spans="1:7" x14ac:dyDescent="0.2">
      <c r="A192" s="63">
        <v>44650</v>
      </c>
      <c r="B192" s="57">
        <v>2379</v>
      </c>
      <c r="C192" s="57">
        <v>3</v>
      </c>
      <c r="D192" s="57" t="s">
        <v>169</v>
      </c>
      <c r="E192" s="57" t="s">
        <v>60</v>
      </c>
      <c r="F192" s="57">
        <v>0.50760000000000005</v>
      </c>
      <c r="G192" s="57">
        <v>0.23</v>
      </c>
    </row>
    <row r="193" spans="1:7" x14ac:dyDescent="0.2">
      <c r="A193" s="63">
        <v>44650</v>
      </c>
      <c r="B193" s="57">
        <v>2379</v>
      </c>
      <c r="C193" s="57">
        <v>3</v>
      </c>
      <c r="D193" s="57" t="s">
        <v>159</v>
      </c>
      <c r="E193" s="57">
        <v>0</v>
      </c>
      <c r="F193" s="57">
        <v>2.7900000000000001E-2</v>
      </c>
      <c r="G193" s="57">
        <v>1.0999999999999999E-2</v>
      </c>
    </row>
    <row r="194" spans="1:7" x14ac:dyDescent="0.2">
      <c r="A194" s="63">
        <v>44650</v>
      </c>
      <c r="B194" s="57">
        <v>2379</v>
      </c>
      <c r="C194" s="57">
        <v>3</v>
      </c>
      <c r="D194" s="57" t="s">
        <v>159</v>
      </c>
      <c r="E194" s="57">
        <v>1</v>
      </c>
      <c r="F194" s="57">
        <v>0.26679999999999998</v>
      </c>
      <c r="G194" s="57">
        <v>0.126</v>
      </c>
    </row>
    <row r="195" spans="1:7" x14ac:dyDescent="0.2">
      <c r="A195" s="63">
        <v>44650</v>
      </c>
      <c r="B195" s="57">
        <v>2380</v>
      </c>
      <c r="C195" s="57">
        <v>1</v>
      </c>
      <c r="D195" s="57" t="s">
        <v>169</v>
      </c>
      <c r="E195" s="57" t="s">
        <v>60</v>
      </c>
      <c r="F195" s="57">
        <v>0.74209999999999998</v>
      </c>
      <c r="G195" s="57">
        <v>0.43</v>
      </c>
    </row>
    <row r="196" spans="1:7" x14ac:dyDescent="0.2">
      <c r="A196" s="63">
        <v>44650</v>
      </c>
      <c r="B196" s="57">
        <v>2380</v>
      </c>
      <c r="C196" s="57">
        <v>2</v>
      </c>
      <c r="D196" s="57" t="s">
        <v>169</v>
      </c>
      <c r="E196" s="57" t="s">
        <v>60</v>
      </c>
      <c r="F196" s="57">
        <v>2.6938</v>
      </c>
      <c r="G196" s="57">
        <v>1.56</v>
      </c>
    </row>
    <row r="197" spans="1:7" x14ac:dyDescent="0.2">
      <c r="A197" s="63">
        <v>44650</v>
      </c>
      <c r="B197" s="57">
        <v>2380</v>
      </c>
      <c r="C197" s="57">
        <v>2</v>
      </c>
      <c r="D197" s="57" t="s">
        <v>159</v>
      </c>
      <c r="E197" s="57" t="s">
        <v>60</v>
      </c>
      <c r="F197" s="57">
        <v>0.74609999999999999</v>
      </c>
      <c r="G197" s="57">
        <v>0.39200000000000002</v>
      </c>
    </row>
    <row r="198" spans="1:7" x14ac:dyDescent="0.2">
      <c r="A198" s="63">
        <v>44650</v>
      </c>
      <c r="B198" s="57">
        <v>2380</v>
      </c>
      <c r="C198" s="57">
        <v>3</v>
      </c>
      <c r="D198" s="57" t="s">
        <v>169</v>
      </c>
      <c r="E198" s="57" t="s">
        <v>60</v>
      </c>
      <c r="F198" s="57">
        <v>2.1783000000000001</v>
      </c>
      <c r="G198" s="57">
        <v>1.252</v>
      </c>
    </row>
    <row r="199" spans="1:7" x14ac:dyDescent="0.2">
      <c r="A199" s="63">
        <v>44650</v>
      </c>
      <c r="B199" s="57">
        <v>2380</v>
      </c>
      <c r="C199" s="57">
        <v>3</v>
      </c>
      <c r="D199" s="57" t="s">
        <v>159</v>
      </c>
      <c r="E199" s="57">
        <v>1</v>
      </c>
      <c r="F199" s="57">
        <v>0.51439999999999997</v>
      </c>
      <c r="G199" s="57">
        <v>0.26500000000000001</v>
      </c>
    </row>
    <row r="200" spans="1:7" x14ac:dyDescent="0.2">
      <c r="A200" s="63">
        <v>44650</v>
      </c>
      <c r="B200" s="57">
        <v>2380</v>
      </c>
      <c r="C200" s="57">
        <v>1</v>
      </c>
      <c r="D200" s="57" t="s">
        <v>159</v>
      </c>
      <c r="E200" s="57" t="s">
        <v>60</v>
      </c>
      <c r="F200" s="57">
        <v>0.20380000000000001</v>
      </c>
      <c r="G200" s="57">
        <v>0.109</v>
      </c>
    </row>
    <row r="201" spans="1:7" x14ac:dyDescent="0.2">
      <c r="A201" s="63">
        <v>44665</v>
      </c>
      <c r="B201" s="57">
        <v>2379</v>
      </c>
      <c r="C201" s="57">
        <v>1</v>
      </c>
      <c r="D201" s="57" t="s">
        <v>159</v>
      </c>
      <c r="E201" s="57">
        <v>1</v>
      </c>
      <c r="F201" s="57">
        <v>0.50380000000000003</v>
      </c>
      <c r="G201" s="57">
        <v>0.25659999999999999</v>
      </c>
    </row>
    <row r="202" spans="1:7" x14ac:dyDescent="0.2">
      <c r="A202" s="63">
        <v>44665</v>
      </c>
      <c r="B202" s="57">
        <v>2382</v>
      </c>
      <c r="C202" s="57">
        <v>1</v>
      </c>
      <c r="D202" s="57" t="s">
        <v>159</v>
      </c>
      <c r="E202" s="57">
        <v>0</v>
      </c>
      <c r="F202" s="57">
        <v>4.4200000000000003E-2</v>
      </c>
      <c r="G202" s="57">
        <v>1.8200000000000001E-2</v>
      </c>
    </row>
    <row r="203" spans="1:7" x14ac:dyDescent="0.2">
      <c r="A203" s="63">
        <v>44665</v>
      </c>
      <c r="B203" s="57">
        <v>2367</v>
      </c>
      <c r="C203" s="57">
        <v>1</v>
      </c>
      <c r="D203" s="57" t="s">
        <v>159</v>
      </c>
      <c r="E203" s="57">
        <v>1</v>
      </c>
      <c r="F203" s="57">
        <v>3.2899999999999999E-2</v>
      </c>
      <c r="G203" s="57">
        <v>1.4800000000000001E-2</v>
      </c>
    </row>
    <row r="204" spans="1:7" x14ac:dyDescent="0.2">
      <c r="A204" s="63">
        <v>44665</v>
      </c>
      <c r="B204" s="57">
        <v>2383</v>
      </c>
      <c r="C204" s="57">
        <v>2</v>
      </c>
      <c r="D204" s="57" t="s">
        <v>159</v>
      </c>
      <c r="E204" s="57">
        <v>0</v>
      </c>
      <c r="F204" s="57">
        <v>0.16520000000000001</v>
      </c>
      <c r="G204" s="57">
        <v>8.5099999999999995E-2</v>
      </c>
    </row>
    <row r="205" spans="1:7" x14ac:dyDescent="0.2">
      <c r="A205" s="63">
        <v>44665</v>
      </c>
      <c r="B205" s="57">
        <v>2351</v>
      </c>
      <c r="C205" s="57">
        <v>1</v>
      </c>
      <c r="D205" s="57" t="s">
        <v>159</v>
      </c>
      <c r="E205" s="57">
        <v>0</v>
      </c>
      <c r="F205" s="57">
        <v>9.3799999999999994E-2</v>
      </c>
      <c r="G205" s="57">
        <v>3.2300000000000002E-2</v>
      </c>
    </row>
    <row r="206" spans="1:7" x14ac:dyDescent="0.2">
      <c r="A206" s="63">
        <v>44665</v>
      </c>
      <c r="B206" s="57">
        <v>2383</v>
      </c>
      <c r="C206" s="57">
        <v>3</v>
      </c>
      <c r="D206" s="57" t="s">
        <v>169</v>
      </c>
      <c r="E206" s="57" t="s">
        <v>60</v>
      </c>
      <c r="F206" s="57">
        <v>1.6240000000000001</v>
      </c>
      <c r="G206" s="57">
        <v>0.79830000000000001</v>
      </c>
    </row>
    <row r="207" spans="1:7" x14ac:dyDescent="0.2">
      <c r="A207" s="63">
        <v>44665</v>
      </c>
      <c r="B207" s="57">
        <v>2021</v>
      </c>
      <c r="C207" s="57">
        <v>1</v>
      </c>
      <c r="D207" s="57" t="s">
        <v>169</v>
      </c>
      <c r="E207" s="57">
        <v>0</v>
      </c>
      <c r="F207" s="57">
        <v>0.97989999999999999</v>
      </c>
      <c r="G207" s="57">
        <v>0.47949999999999998</v>
      </c>
    </row>
    <row r="208" spans="1:7" x14ac:dyDescent="0.2">
      <c r="A208" s="63">
        <v>44665</v>
      </c>
      <c r="B208" s="57">
        <v>2026</v>
      </c>
      <c r="C208" s="57">
        <v>2</v>
      </c>
      <c r="D208" s="57" t="s">
        <v>159</v>
      </c>
      <c r="E208" s="57">
        <v>0</v>
      </c>
      <c r="F208" s="57">
        <v>0.13919999999999999</v>
      </c>
      <c r="G208" s="57">
        <v>6.0199999999999997E-2</v>
      </c>
    </row>
    <row r="209" spans="1:7" x14ac:dyDescent="0.2">
      <c r="A209" s="63">
        <v>44665</v>
      </c>
      <c r="B209" s="57">
        <v>2005</v>
      </c>
      <c r="C209" s="57">
        <v>1</v>
      </c>
      <c r="D209" s="57" t="s">
        <v>159</v>
      </c>
      <c r="E209" s="57">
        <v>1</v>
      </c>
      <c r="F209" s="57">
        <v>0.26800000000000002</v>
      </c>
      <c r="G209" s="57">
        <v>0.12470000000000001</v>
      </c>
    </row>
    <row r="210" spans="1:7" x14ac:dyDescent="0.2">
      <c r="A210" s="63">
        <v>44665</v>
      </c>
      <c r="B210" s="57">
        <v>2004</v>
      </c>
      <c r="C210" s="57">
        <v>2</v>
      </c>
      <c r="D210" s="57" t="s">
        <v>159</v>
      </c>
      <c r="E210" s="57">
        <v>0</v>
      </c>
      <c r="F210" s="57">
        <v>0.23860000000000001</v>
      </c>
      <c r="G210" s="57">
        <v>0.1002</v>
      </c>
    </row>
    <row r="211" spans="1:7" x14ac:dyDescent="0.2">
      <c r="A211" s="63">
        <v>44665</v>
      </c>
      <c r="B211" s="57">
        <v>2007</v>
      </c>
      <c r="C211" s="57">
        <v>2</v>
      </c>
      <c r="D211" s="57" t="s">
        <v>169</v>
      </c>
      <c r="E211" s="57">
        <v>0</v>
      </c>
      <c r="F211" s="57">
        <v>1.9764999999999999</v>
      </c>
      <c r="G211" s="57">
        <v>1.0035000000000001</v>
      </c>
    </row>
    <row r="212" spans="1:7" x14ac:dyDescent="0.2">
      <c r="A212" s="63">
        <v>44665</v>
      </c>
      <c r="B212" s="57">
        <v>2345</v>
      </c>
      <c r="C212" s="57">
        <v>2</v>
      </c>
      <c r="D212" s="57" t="s">
        <v>159</v>
      </c>
      <c r="E212" s="57">
        <v>1</v>
      </c>
      <c r="F212" s="57">
        <v>0.13100000000000001</v>
      </c>
      <c r="G212" s="57">
        <v>7.3899999999999993E-2</v>
      </c>
    </row>
    <row r="213" spans="1:7" x14ac:dyDescent="0.2">
      <c r="A213" s="63">
        <v>44665</v>
      </c>
      <c r="B213" s="57">
        <v>2384</v>
      </c>
      <c r="C213" s="57">
        <v>3</v>
      </c>
      <c r="D213" s="57" t="s">
        <v>169</v>
      </c>
      <c r="E213" s="57">
        <v>0</v>
      </c>
      <c r="F213" s="57">
        <v>1.651</v>
      </c>
      <c r="G213" s="57">
        <v>0.8004</v>
      </c>
    </row>
    <row r="214" spans="1:7" x14ac:dyDescent="0.2">
      <c r="A214" s="63">
        <v>44665</v>
      </c>
      <c r="B214" s="57">
        <v>2013</v>
      </c>
      <c r="C214" s="57">
        <v>1</v>
      </c>
      <c r="D214" s="57" t="s">
        <v>159</v>
      </c>
      <c r="E214" s="57">
        <v>0</v>
      </c>
      <c r="F214" s="57">
        <v>0.10730000000000001</v>
      </c>
      <c r="G214" s="57">
        <v>3.6999999999999998E-2</v>
      </c>
    </row>
    <row r="215" spans="1:7" x14ac:dyDescent="0.2">
      <c r="A215" s="63">
        <v>44665</v>
      </c>
      <c r="B215" s="57">
        <v>2078</v>
      </c>
      <c r="C215" s="57">
        <v>1</v>
      </c>
      <c r="D215" s="57" t="s">
        <v>169</v>
      </c>
      <c r="E215" s="57">
        <v>0</v>
      </c>
      <c r="F215" s="57">
        <v>0.64810000000000001</v>
      </c>
      <c r="G215" s="57">
        <v>0.29659999999999997</v>
      </c>
    </row>
    <row r="216" spans="1:7" x14ac:dyDescent="0.2">
      <c r="A216" s="63">
        <v>44665</v>
      </c>
      <c r="B216" s="57">
        <v>2012</v>
      </c>
      <c r="C216" s="57">
        <v>1</v>
      </c>
      <c r="D216" s="57" t="s">
        <v>159</v>
      </c>
      <c r="E216" s="57">
        <v>0</v>
      </c>
      <c r="F216" s="57">
        <v>8.4900000000000003E-2</v>
      </c>
      <c r="G216" s="57">
        <v>3.2899999999999999E-2</v>
      </c>
    </row>
    <row r="217" spans="1:7" x14ac:dyDescent="0.2">
      <c r="A217" s="63">
        <v>44665</v>
      </c>
      <c r="B217" s="57">
        <v>2384</v>
      </c>
      <c r="C217" s="57">
        <v>2</v>
      </c>
      <c r="D217" s="57" t="s">
        <v>169</v>
      </c>
      <c r="E217" s="57">
        <v>0</v>
      </c>
      <c r="F217" s="57">
        <v>1.3069</v>
      </c>
      <c r="G217" s="57">
        <v>0.62549999999999994</v>
      </c>
    </row>
    <row r="218" spans="1:7" x14ac:dyDescent="0.2">
      <c r="A218" s="63">
        <v>44665</v>
      </c>
      <c r="B218" s="57">
        <v>2004</v>
      </c>
      <c r="C218" s="57">
        <v>1</v>
      </c>
      <c r="D218" s="57" t="s">
        <v>159</v>
      </c>
      <c r="E218" s="57">
        <v>1</v>
      </c>
      <c r="F218" s="57">
        <v>0.26090000000000002</v>
      </c>
      <c r="G218" s="57">
        <v>0.12379999999999999</v>
      </c>
    </row>
    <row r="219" spans="1:7" x14ac:dyDescent="0.2">
      <c r="A219" s="63">
        <v>44665</v>
      </c>
      <c r="B219" s="57">
        <v>2378</v>
      </c>
      <c r="C219" s="57">
        <v>2</v>
      </c>
      <c r="D219" s="57" t="s">
        <v>169</v>
      </c>
      <c r="E219" s="57">
        <v>0</v>
      </c>
      <c r="F219" s="57">
        <v>0.62050000000000005</v>
      </c>
      <c r="G219" s="57">
        <v>0.28299999999999997</v>
      </c>
    </row>
    <row r="220" spans="1:7" x14ac:dyDescent="0.2">
      <c r="A220" s="63">
        <v>44665</v>
      </c>
      <c r="B220" s="57">
        <v>2384</v>
      </c>
      <c r="C220" s="57">
        <v>2</v>
      </c>
      <c r="D220" s="57" t="s">
        <v>159</v>
      </c>
      <c r="E220" s="57">
        <v>0</v>
      </c>
      <c r="F220" s="57">
        <v>0.13339999999999999</v>
      </c>
      <c r="G220" s="57">
        <v>5.3600000000000002E-2</v>
      </c>
    </row>
    <row r="221" spans="1:7" x14ac:dyDescent="0.2">
      <c r="A221" s="63">
        <v>44665</v>
      </c>
      <c r="B221" s="57">
        <v>2381</v>
      </c>
      <c r="C221" s="57">
        <v>1</v>
      </c>
      <c r="D221" s="57" t="s">
        <v>169</v>
      </c>
      <c r="E221" s="57">
        <v>0</v>
      </c>
      <c r="F221" s="57">
        <v>2.0931000000000002</v>
      </c>
      <c r="G221" s="57">
        <v>0.9718</v>
      </c>
    </row>
    <row r="222" spans="1:7" x14ac:dyDescent="0.2">
      <c r="A222" s="63">
        <v>44665</v>
      </c>
      <c r="B222" s="57">
        <v>2020</v>
      </c>
      <c r="C222" s="57">
        <v>1</v>
      </c>
      <c r="D222" s="57" t="s">
        <v>159</v>
      </c>
      <c r="E222" s="57">
        <v>1</v>
      </c>
      <c r="F222" s="57">
        <v>0.3115</v>
      </c>
      <c r="G222" s="57">
        <v>0.14949999999999999</v>
      </c>
    </row>
    <row r="223" spans="1:7" x14ac:dyDescent="0.2">
      <c r="A223" s="63">
        <v>44665</v>
      </c>
      <c r="B223" s="57">
        <v>2020</v>
      </c>
      <c r="C223" s="57">
        <v>2</v>
      </c>
      <c r="D223" s="57" t="s">
        <v>159</v>
      </c>
      <c r="E223" s="57">
        <v>1</v>
      </c>
      <c r="F223" s="57">
        <v>7.8100000000000003E-2</v>
      </c>
      <c r="G223" s="57">
        <v>3.7199999999999997E-2</v>
      </c>
    </row>
    <row r="224" spans="1:7" x14ac:dyDescent="0.2">
      <c r="A224" s="63">
        <v>44665</v>
      </c>
      <c r="B224" s="57">
        <v>2010</v>
      </c>
      <c r="C224" s="57">
        <v>1</v>
      </c>
      <c r="D224" s="57" t="s">
        <v>169</v>
      </c>
      <c r="E224" s="57">
        <v>0</v>
      </c>
      <c r="F224" s="57">
        <v>1.4058999999999999</v>
      </c>
      <c r="G224" s="57">
        <v>0.78</v>
      </c>
    </row>
    <row r="225" spans="1:7" x14ac:dyDescent="0.2">
      <c r="A225" s="63">
        <v>44665</v>
      </c>
      <c r="B225" s="57">
        <v>2026</v>
      </c>
      <c r="C225" s="57">
        <v>1</v>
      </c>
      <c r="D225" s="57" t="s">
        <v>159</v>
      </c>
      <c r="E225" s="57">
        <v>1</v>
      </c>
      <c r="F225" s="57">
        <v>0.26629999999999998</v>
      </c>
      <c r="G225" s="57">
        <v>0.129</v>
      </c>
    </row>
    <row r="226" spans="1:7" x14ac:dyDescent="0.2">
      <c r="A226" s="63">
        <v>44665</v>
      </c>
      <c r="B226" s="57">
        <v>2384</v>
      </c>
      <c r="C226" s="57">
        <v>1</v>
      </c>
      <c r="D226" s="57" t="s">
        <v>169</v>
      </c>
      <c r="E226" s="57">
        <v>0</v>
      </c>
      <c r="F226" s="57">
        <v>1.9089</v>
      </c>
      <c r="G226" s="57">
        <v>0.93730000000000002</v>
      </c>
    </row>
    <row r="227" spans="1:7" x14ac:dyDescent="0.2">
      <c r="A227" s="63">
        <v>44665</v>
      </c>
      <c r="B227" s="57">
        <v>2377</v>
      </c>
      <c r="C227" s="57">
        <v>2</v>
      </c>
      <c r="D227" s="57" t="s">
        <v>169</v>
      </c>
      <c r="E227" s="57">
        <v>1</v>
      </c>
      <c r="F227" s="57">
        <v>1.2629999999999999</v>
      </c>
      <c r="G227" s="57">
        <v>0.74560000000000004</v>
      </c>
    </row>
    <row r="228" spans="1:7" x14ac:dyDescent="0.2">
      <c r="A228" s="63">
        <v>44665</v>
      </c>
      <c r="B228" s="57">
        <v>2005</v>
      </c>
      <c r="C228" s="57">
        <v>1</v>
      </c>
      <c r="D228" s="57" t="s">
        <v>169</v>
      </c>
      <c r="E228" s="57">
        <v>0</v>
      </c>
      <c r="F228" s="57">
        <v>2.5310999999999999</v>
      </c>
      <c r="G228" s="57">
        <v>1.2043999999999999</v>
      </c>
    </row>
    <row r="229" spans="1:7" x14ac:dyDescent="0.2">
      <c r="A229" s="63">
        <v>44665</v>
      </c>
      <c r="B229" s="57">
        <v>2025</v>
      </c>
      <c r="C229" s="57">
        <v>2</v>
      </c>
      <c r="D229" s="57" t="s">
        <v>159</v>
      </c>
      <c r="E229" s="57">
        <v>1</v>
      </c>
      <c r="F229" s="57">
        <v>7.2800000000000004E-2</v>
      </c>
      <c r="G229" s="57">
        <v>3.44E-2</v>
      </c>
    </row>
    <row r="230" spans="1:7" x14ac:dyDescent="0.2">
      <c r="A230" s="63">
        <v>44665</v>
      </c>
      <c r="B230" s="57">
        <v>2381</v>
      </c>
      <c r="C230" s="57">
        <v>1</v>
      </c>
      <c r="D230" s="57" t="s">
        <v>159</v>
      </c>
      <c r="E230" s="57">
        <v>0</v>
      </c>
      <c r="F230" s="57">
        <v>0.12520000000000001</v>
      </c>
      <c r="G230" s="57">
        <v>5.0799999999999998E-2</v>
      </c>
    </row>
    <row r="231" spans="1:7" x14ac:dyDescent="0.2">
      <c r="A231" s="63">
        <v>44665</v>
      </c>
      <c r="B231" s="57">
        <v>2377</v>
      </c>
      <c r="C231" s="57">
        <v>1</v>
      </c>
      <c r="D231" s="57" t="s">
        <v>159</v>
      </c>
      <c r="E231" s="57">
        <v>0</v>
      </c>
      <c r="F231" s="57">
        <v>0.1186</v>
      </c>
      <c r="G231" s="57">
        <v>4.58E-2</v>
      </c>
    </row>
    <row r="232" spans="1:7" x14ac:dyDescent="0.2">
      <c r="A232" s="63">
        <v>44665</v>
      </c>
      <c r="B232" s="57">
        <v>1478</v>
      </c>
      <c r="C232" s="57">
        <v>1</v>
      </c>
      <c r="D232" s="57" t="s">
        <v>169</v>
      </c>
      <c r="E232" s="57">
        <v>0</v>
      </c>
      <c r="F232" s="57">
        <v>1.2112000000000001</v>
      </c>
      <c r="G232" s="57">
        <v>0.52490000000000003</v>
      </c>
    </row>
    <row r="233" spans="1:7" x14ac:dyDescent="0.2">
      <c r="A233" s="63">
        <v>44665</v>
      </c>
      <c r="B233" s="57">
        <v>2031</v>
      </c>
      <c r="C233" s="57">
        <v>1</v>
      </c>
      <c r="D233" s="57" t="s">
        <v>169</v>
      </c>
      <c r="E233" s="57">
        <v>0</v>
      </c>
      <c r="F233" s="57">
        <v>2.6183999999999998</v>
      </c>
      <c r="G233" s="57">
        <v>1.3187</v>
      </c>
    </row>
    <row r="234" spans="1:7" x14ac:dyDescent="0.2">
      <c r="A234" s="63">
        <v>44665</v>
      </c>
      <c r="B234" s="57">
        <v>2027</v>
      </c>
      <c r="C234" s="57">
        <v>1</v>
      </c>
      <c r="D234" s="57" t="s">
        <v>169</v>
      </c>
      <c r="E234" s="57">
        <v>0</v>
      </c>
      <c r="F234" s="57">
        <v>2.8075999999999999</v>
      </c>
      <c r="G234" s="57">
        <v>1.3515999999999999</v>
      </c>
    </row>
    <row r="235" spans="1:7" x14ac:dyDescent="0.2">
      <c r="A235" s="63">
        <v>44665</v>
      </c>
      <c r="B235" s="57">
        <v>2020</v>
      </c>
      <c r="C235" s="57">
        <v>2</v>
      </c>
      <c r="D235" s="57" t="s">
        <v>159</v>
      </c>
      <c r="E235" s="57">
        <v>0</v>
      </c>
      <c r="F235" s="57">
        <v>7.5200000000000003E-2</v>
      </c>
      <c r="G235" s="57">
        <v>3.0300000000000001E-2</v>
      </c>
    </row>
    <row r="236" spans="1:7" x14ac:dyDescent="0.2">
      <c r="A236" s="63">
        <v>44665</v>
      </c>
      <c r="B236" s="57">
        <v>2379</v>
      </c>
      <c r="C236" s="57">
        <v>3</v>
      </c>
      <c r="D236" s="57" t="s">
        <v>169</v>
      </c>
      <c r="E236" s="57">
        <v>0</v>
      </c>
      <c r="F236" s="57">
        <v>1.1223000000000001</v>
      </c>
      <c r="G236" s="57">
        <v>0.53620000000000001</v>
      </c>
    </row>
    <row r="237" spans="1:7" x14ac:dyDescent="0.2">
      <c r="A237" s="63">
        <v>44665</v>
      </c>
      <c r="B237" s="57">
        <v>2381</v>
      </c>
      <c r="C237" s="57">
        <v>1</v>
      </c>
      <c r="D237" s="57" t="s">
        <v>159</v>
      </c>
      <c r="E237" s="57">
        <v>1</v>
      </c>
      <c r="F237" s="57">
        <v>0.64390000000000003</v>
      </c>
      <c r="G237" s="57">
        <v>0.30459999999999998</v>
      </c>
    </row>
    <row r="238" spans="1:7" x14ac:dyDescent="0.2">
      <c r="A238" s="63">
        <v>44665</v>
      </c>
      <c r="B238" s="57">
        <v>2026</v>
      </c>
      <c r="C238" s="57">
        <v>2</v>
      </c>
      <c r="D238" s="57" t="s">
        <v>169</v>
      </c>
      <c r="E238" s="57">
        <v>0</v>
      </c>
      <c r="F238" s="57">
        <v>0.81879999999999997</v>
      </c>
      <c r="G238" s="57">
        <v>0.40060000000000001</v>
      </c>
    </row>
    <row r="239" spans="1:7" x14ac:dyDescent="0.2">
      <c r="A239" s="63">
        <v>44665</v>
      </c>
      <c r="B239" s="57">
        <v>2382</v>
      </c>
      <c r="C239" s="57">
        <v>2</v>
      </c>
      <c r="D239" s="57" t="s">
        <v>159</v>
      </c>
      <c r="E239" s="57">
        <v>1</v>
      </c>
      <c r="F239" s="57">
        <v>0.1527</v>
      </c>
      <c r="G239" s="57">
        <v>6.9699999999999998E-2</v>
      </c>
    </row>
    <row r="240" spans="1:7" x14ac:dyDescent="0.2">
      <c r="A240" s="63">
        <v>44665</v>
      </c>
      <c r="B240" s="57">
        <v>2375</v>
      </c>
      <c r="C240" s="57">
        <v>1</v>
      </c>
      <c r="D240" s="57" t="s">
        <v>169</v>
      </c>
      <c r="E240" s="57">
        <v>0</v>
      </c>
      <c r="F240" s="57">
        <v>1.2726999999999999</v>
      </c>
      <c r="G240" s="57">
        <v>0.66339999999999999</v>
      </c>
    </row>
    <row r="241" spans="1:7" x14ac:dyDescent="0.2">
      <c r="A241" s="63">
        <v>44665</v>
      </c>
      <c r="B241" s="57">
        <v>2380</v>
      </c>
      <c r="C241" s="57">
        <v>1</v>
      </c>
      <c r="D241" s="57" t="s">
        <v>159</v>
      </c>
      <c r="E241" s="57">
        <v>1</v>
      </c>
      <c r="F241" s="57">
        <v>0.18990000000000001</v>
      </c>
      <c r="G241" s="57">
        <v>0.99199999999999999</v>
      </c>
    </row>
    <row r="242" spans="1:7" x14ac:dyDescent="0.2">
      <c r="A242" s="63">
        <v>44665</v>
      </c>
      <c r="B242" s="57">
        <v>2381</v>
      </c>
      <c r="C242" s="57">
        <v>2</v>
      </c>
      <c r="D242" s="57" t="s">
        <v>159</v>
      </c>
      <c r="E242" s="57">
        <v>0</v>
      </c>
      <c r="F242" s="57">
        <v>0.11219999999999999</v>
      </c>
      <c r="G242" s="57">
        <v>4.4299999999999999E-2</v>
      </c>
    </row>
    <row r="243" spans="1:7" x14ac:dyDescent="0.2">
      <c r="A243" s="63">
        <v>44665</v>
      </c>
      <c r="B243" s="57">
        <v>2026</v>
      </c>
      <c r="C243" s="57">
        <v>1</v>
      </c>
      <c r="D243" s="57" t="s">
        <v>169</v>
      </c>
      <c r="E243" s="57">
        <v>1</v>
      </c>
      <c r="F243" s="57">
        <v>1.4449000000000001</v>
      </c>
      <c r="G243" s="57">
        <v>0.70889999999999997</v>
      </c>
    </row>
    <row r="244" spans="1:7" x14ac:dyDescent="0.2">
      <c r="A244" s="63">
        <v>44665</v>
      </c>
      <c r="B244" s="57">
        <v>2026</v>
      </c>
      <c r="C244" s="57">
        <v>2</v>
      </c>
      <c r="D244" s="57" t="s">
        <v>159</v>
      </c>
      <c r="E244" s="57">
        <v>1</v>
      </c>
      <c r="F244" s="57">
        <v>0.12690000000000001</v>
      </c>
      <c r="G244" s="57">
        <v>6.2E-2</v>
      </c>
    </row>
    <row r="245" spans="1:7" x14ac:dyDescent="0.2">
      <c r="A245" s="63">
        <v>44665</v>
      </c>
      <c r="B245" s="57">
        <v>2004</v>
      </c>
      <c r="C245" s="57">
        <v>2</v>
      </c>
      <c r="D245" s="57" t="s">
        <v>159</v>
      </c>
      <c r="E245" s="57">
        <v>1</v>
      </c>
      <c r="F245" s="57">
        <v>0.20319999999999999</v>
      </c>
      <c r="G245" s="57">
        <v>9.3700000000000006E-2</v>
      </c>
    </row>
    <row r="246" spans="1:7" x14ac:dyDescent="0.2">
      <c r="A246" s="63">
        <v>44665</v>
      </c>
      <c r="B246" s="57">
        <v>2012</v>
      </c>
      <c r="C246" s="57">
        <v>3</v>
      </c>
      <c r="D246" s="57" t="s">
        <v>159</v>
      </c>
      <c r="E246" s="57">
        <v>0</v>
      </c>
      <c r="F246" s="57">
        <v>0.2079</v>
      </c>
      <c r="G246" s="57">
        <v>0.1024</v>
      </c>
    </row>
    <row r="247" spans="1:7" x14ac:dyDescent="0.2">
      <c r="A247" s="63">
        <v>44665</v>
      </c>
      <c r="B247" s="57">
        <v>2301</v>
      </c>
      <c r="C247" s="57">
        <v>1</v>
      </c>
      <c r="D247" s="57" t="s">
        <v>169</v>
      </c>
      <c r="E247" s="57">
        <v>0</v>
      </c>
      <c r="F247" s="57">
        <v>0.20660000000000001</v>
      </c>
      <c r="G247" s="57">
        <v>0.10539999999999999</v>
      </c>
    </row>
    <row r="248" spans="1:7" x14ac:dyDescent="0.2">
      <c r="A248" s="63">
        <v>44665</v>
      </c>
      <c r="B248" s="57">
        <v>2384</v>
      </c>
      <c r="C248" s="57">
        <v>3</v>
      </c>
      <c r="D248" s="57" t="s">
        <v>159</v>
      </c>
      <c r="E248" s="57">
        <v>0</v>
      </c>
      <c r="F248" s="57">
        <v>0.1618</v>
      </c>
      <c r="G248" s="57">
        <v>7.0599999999999996E-2</v>
      </c>
    </row>
    <row r="249" spans="1:7" x14ac:dyDescent="0.2">
      <c r="A249" s="63">
        <v>44665</v>
      </c>
      <c r="B249" s="57">
        <v>2027</v>
      </c>
      <c r="C249" s="57">
        <v>1</v>
      </c>
      <c r="D249" s="57" t="s">
        <v>159</v>
      </c>
      <c r="E249" s="57">
        <v>1</v>
      </c>
      <c r="F249" s="57">
        <v>0.63190000000000002</v>
      </c>
      <c r="G249" s="57">
        <v>0.31040000000000001</v>
      </c>
    </row>
    <row r="250" spans="1:7" x14ac:dyDescent="0.2">
      <c r="A250" s="63">
        <v>44665</v>
      </c>
      <c r="B250" s="57">
        <v>2379</v>
      </c>
      <c r="C250" s="57">
        <v>3</v>
      </c>
      <c r="D250" s="57" t="s">
        <v>159</v>
      </c>
      <c r="E250" s="57">
        <v>1</v>
      </c>
      <c r="F250" s="57">
        <v>0.21560000000000001</v>
      </c>
      <c r="G250" s="57">
        <v>0.1123</v>
      </c>
    </row>
    <row r="251" spans="1:7" x14ac:dyDescent="0.2">
      <c r="A251" s="63">
        <v>44665</v>
      </c>
      <c r="B251" s="57">
        <v>2025</v>
      </c>
      <c r="C251" s="57">
        <v>2</v>
      </c>
      <c r="D251" s="57" t="s">
        <v>169</v>
      </c>
      <c r="E251" s="57">
        <v>0</v>
      </c>
      <c r="F251" s="57">
        <v>0.63129999999999997</v>
      </c>
      <c r="G251" s="57">
        <v>0.31009999999999999</v>
      </c>
    </row>
    <row r="252" spans="1:7" x14ac:dyDescent="0.2">
      <c r="A252" s="63">
        <v>44665</v>
      </c>
      <c r="B252" s="57">
        <v>2026</v>
      </c>
      <c r="C252" s="57">
        <v>1</v>
      </c>
      <c r="D252" s="57" t="s">
        <v>159</v>
      </c>
      <c r="E252" s="57">
        <v>0</v>
      </c>
      <c r="F252" s="57">
        <v>0.20499999999999999</v>
      </c>
      <c r="G252" s="57">
        <v>8.8499999999999995E-2</v>
      </c>
    </row>
    <row r="253" spans="1:7" x14ac:dyDescent="0.2">
      <c r="A253" s="63">
        <v>44665</v>
      </c>
      <c r="B253" s="57">
        <v>1478</v>
      </c>
      <c r="C253" s="57">
        <v>1</v>
      </c>
      <c r="D253" s="57" t="s">
        <v>159</v>
      </c>
      <c r="E253" s="57">
        <v>1</v>
      </c>
      <c r="F253" s="57">
        <v>0.20880000000000001</v>
      </c>
      <c r="G253" s="57">
        <v>8.9300000000000004E-2</v>
      </c>
    </row>
    <row r="254" spans="1:7" x14ac:dyDescent="0.2">
      <c r="A254" s="63">
        <v>44665</v>
      </c>
      <c r="B254" s="57">
        <v>2383</v>
      </c>
      <c r="C254" s="57">
        <v>3</v>
      </c>
      <c r="D254" s="57" t="s">
        <v>159</v>
      </c>
      <c r="E254" s="57">
        <v>0</v>
      </c>
      <c r="F254" s="57">
        <v>0.21940000000000001</v>
      </c>
      <c r="G254" s="57">
        <v>5.3499999999999999E-2</v>
      </c>
    </row>
    <row r="255" spans="1:7" x14ac:dyDescent="0.2">
      <c r="A255" s="63">
        <v>44665</v>
      </c>
      <c r="B255" s="57">
        <v>2350</v>
      </c>
      <c r="C255" s="57">
        <v>1</v>
      </c>
      <c r="D255" s="57" t="s">
        <v>169</v>
      </c>
      <c r="E255" s="57">
        <v>0</v>
      </c>
      <c r="F255" s="57">
        <v>4.7E-2</v>
      </c>
      <c r="G255" s="57">
        <v>1.55E-2</v>
      </c>
    </row>
    <row r="256" spans="1:7" x14ac:dyDescent="0.2">
      <c r="A256" s="63">
        <v>44665</v>
      </c>
      <c r="B256" s="57">
        <v>2009</v>
      </c>
      <c r="C256" s="57">
        <v>1</v>
      </c>
      <c r="D256" s="57" t="s">
        <v>169</v>
      </c>
      <c r="E256" s="57">
        <v>0</v>
      </c>
      <c r="F256" s="57">
        <v>1.6727000000000001</v>
      </c>
      <c r="G256" s="57">
        <v>0.82630000000000003</v>
      </c>
    </row>
    <row r="257" spans="1:7" x14ac:dyDescent="0.2">
      <c r="A257" s="63">
        <v>44665</v>
      </c>
      <c r="B257" s="57">
        <v>2028</v>
      </c>
      <c r="C257" s="57">
        <v>1</v>
      </c>
      <c r="D257" s="57" t="s">
        <v>159</v>
      </c>
      <c r="E257" s="57">
        <v>1</v>
      </c>
      <c r="F257" s="57">
        <v>0.1298</v>
      </c>
      <c r="G257" s="57">
        <v>5.6599999999999998E-2</v>
      </c>
    </row>
    <row r="258" spans="1:7" x14ac:dyDescent="0.2">
      <c r="A258" s="63">
        <v>44665</v>
      </c>
      <c r="B258" s="57">
        <v>2360</v>
      </c>
      <c r="C258" s="57">
        <v>1</v>
      </c>
      <c r="D258" s="57" t="s">
        <v>169</v>
      </c>
      <c r="E258" s="57">
        <v>0</v>
      </c>
      <c r="F258" s="57">
        <v>1.4564999999999999</v>
      </c>
      <c r="G258" s="57">
        <v>0.68</v>
      </c>
    </row>
    <row r="259" spans="1:7" x14ac:dyDescent="0.2">
      <c r="A259" s="63">
        <v>44665</v>
      </c>
      <c r="B259" s="57">
        <v>2381</v>
      </c>
      <c r="C259" s="57">
        <v>3</v>
      </c>
      <c r="D259" s="57" t="s">
        <v>159</v>
      </c>
      <c r="E259" s="57">
        <v>0</v>
      </c>
      <c r="F259" s="57">
        <v>0.35799999999999998</v>
      </c>
      <c r="G259" s="57">
        <v>0.16489999999999999</v>
      </c>
    </row>
    <row r="260" spans="1:7" x14ac:dyDescent="0.2">
      <c r="A260" s="63">
        <v>44665</v>
      </c>
      <c r="B260" s="57">
        <v>2025</v>
      </c>
      <c r="C260" s="57">
        <v>1</v>
      </c>
      <c r="D260" s="57" t="s">
        <v>159</v>
      </c>
      <c r="E260" s="57">
        <v>0</v>
      </c>
      <c r="F260" s="57">
        <v>7.0099999999999996E-2</v>
      </c>
      <c r="G260" s="57">
        <v>2.7199999999999998E-2</v>
      </c>
    </row>
    <row r="261" spans="1:7" x14ac:dyDescent="0.2">
      <c r="A261" s="63">
        <v>44665</v>
      </c>
      <c r="B261" s="57">
        <v>2013</v>
      </c>
      <c r="C261" s="57">
        <v>1</v>
      </c>
      <c r="D261" s="57" t="s">
        <v>159</v>
      </c>
      <c r="E261" s="57">
        <v>1</v>
      </c>
      <c r="F261" s="57">
        <v>0.1424</v>
      </c>
      <c r="G261" s="57">
        <v>6.3100000000000003E-2</v>
      </c>
    </row>
    <row r="262" spans="1:7" x14ac:dyDescent="0.2">
      <c r="A262" s="63">
        <v>44665</v>
      </c>
      <c r="B262" s="57">
        <v>2351</v>
      </c>
      <c r="C262" s="57">
        <v>3</v>
      </c>
      <c r="D262" s="57" t="s">
        <v>159</v>
      </c>
      <c r="E262" s="57">
        <v>0</v>
      </c>
      <c r="F262" s="57">
        <v>2.4500000000000001E-2</v>
      </c>
      <c r="G262" s="57">
        <v>9.1000000000000004E-3</v>
      </c>
    </row>
    <row r="263" spans="1:7" x14ac:dyDescent="0.2">
      <c r="A263" s="63">
        <v>44665</v>
      </c>
      <c r="B263" s="57">
        <v>2383</v>
      </c>
      <c r="C263" s="57">
        <v>1</v>
      </c>
      <c r="D263" s="57" t="s">
        <v>159</v>
      </c>
      <c r="E263" s="57">
        <v>0</v>
      </c>
      <c r="F263" s="57">
        <v>9.2999999999999999E-2</v>
      </c>
      <c r="G263" s="57">
        <v>4.0800000000000003E-2</v>
      </c>
    </row>
    <row r="264" spans="1:7" x14ac:dyDescent="0.2">
      <c r="A264" s="63">
        <v>44665</v>
      </c>
      <c r="B264" s="57">
        <v>2028</v>
      </c>
      <c r="C264" s="57">
        <v>1</v>
      </c>
      <c r="D264" s="57" t="s">
        <v>169</v>
      </c>
      <c r="E264" s="57">
        <v>0</v>
      </c>
      <c r="F264" s="57">
        <v>0.61029999999999995</v>
      </c>
      <c r="G264" s="57">
        <v>0.29859999999999998</v>
      </c>
    </row>
    <row r="265" spans="1:7" x14ac:dyDescent="0.2">
      <c r="A265" s="63">
        <v>44665</v>
      </c>
      <c r="B265" s="57">
        <v>2379</v>
      </c>
      <c r="C265" s="57">
        <v>2</v>
      </c>
      <c r="D265" s="57" t="s">
        <v>159</v>
      </c>
      <c r="E265" s="57">
        <v>0</v>
      </c>
      <c r="F265" s="57">
        <v>7.7600000000000002E-2</v>
      </c>
      <c r="G265" s="57">
        <v>3.09E-2</v>
      </c>
    </row>
    <row r="266" spans="1:7" x14ac:dyDescent="0.2">
      <c r="A266" s="63">
        <v>44665</v>
      </c>
      <c r="B266" s="57">
        <v>2380</v>
      </c>
      <c r="C266" s="57">
        <v>1</v>
      </c>
      <c r="D266" s="57" t="s">
        <v>169</v>
      </c>
      <c r="E266" s="57">
        <v>0</v>
      </c>
      <c r="F266" s="57">
        <v>0.307</v>
      </c>
      <c r="G266" s="57">
        <v>0.1532</v>
      </c>
    </row>
    <row r="267" spans="1:7" x14ac:dyDescent="0.2">
      <c r="A267" s="63">
        <v>44665</v>
      </c>
      <c r="B267" s="57">
        <v>2369</v>
      </c>
      <c r="C267" s="57">
        <v>1</v>
      </c>
      <c r="D267" s="57" t="s">
        <v>169</v>
      </c>
      <c r="E267" s="57">
        <v>0</v>
      </c>
      <c r="F267" s="57">
        <v>0.53820000000000001</v>
      </c>
      <c r="G267" s="57">
        <v>0.25040000000000001</v>
      </c>
    </row>
    <row r="268" spans="1:7" x14ac:dyDescent="0.2">
      <c r="A268" s="63">
        <v>44665</v>
      </c>
      <c r="B268" s="57">
        <v>2004</v>
      </c>
      <c r="C268" s="57">
        <v>1</v>
      </c>
      <c r="D268" s="57" t="s">
        <v>169</v>
      </c>
      <c r="E268" s="57">
        <v>0</v>
      </c>
      <c r="F268" s="57">
        <v>1.1884999999999999</v>
      </c>
      <c r="G268" s="57">
        <v>0.60499999999999998</v>
      </c>
    </row>
    <row r="269" spans="1:7" x14ac:dyDescent="0.2">
      <c r="A269" s="63">
        <v>44665</v>
      </c>
      <c r="B269" s="57">
        <v>2379</v>
      </c>
      <c r="C269" s="57">
        <v>3</v>
      </c>
      <c r="D269" s="57" t="s">
        <v>159</v>
      </c>
      <c r="E269" s="57">
        <v>0</v>
      </c>
      <c r="F269" s="57">
        <v>0.1633</v>
      </c>
      <c r="G269" s="57">
        <v>7.2099999999999997E-2</v>
      </c>
    </row>
    <row r="270" spans="1:7" x14ac:dyDescent="0.2">
      <c r="A270" s="63">
        <v>44665</v>
      </c>
      <c r="B270" s="57">
        <v>2004</v>
      </c>
      <c r="C270" s="57">
        <v>1</v>
      </c>
      <c r="D270" s="57" t="s">
        <v>169</v>
      </c>
      <c r="E270" s="57">
        <v>0</v>
      </c>
      <c r="F270" s="57">
        <v>0.67500000000000004</v>
      </c>
      <c r="G270" s="57">
        <v>0.33689999999999998</v>
      </c>
    </row>
    <row r="271" spans="1:7" x14ac:dyDescent="0.2">
      <c r="A271" s="63">
        <v>44665</v>
      </c>
      <c r="B271" s="57">
        <v>2301</v>
      </c>
      <c r="C271" s="57">
        <v>1</v>
      </c>
      <c r="D271" s="57" t="s">
        <v>159</v>
      </c>
      <c r="E271" s="57">
        <v>1</v>
      </c>
      <c r="F271" s="57">
        <v>1.6850000000000001</v>
      </c>
      <c r="G271" s="57">
        <v>1.0218</v>
      </c>
    </row>
    <row r="272" spans="1:7" x14ac:dyDescent="0.2">
      <c r="A272" s="63">
        <v>44665</v>
      </c>
      <c r="B272" s="57">
        <v>2351</v>
      </c>
      <c r="C272" s="57">
        <v>1</v>
      </c>
      <c r="D272" s="57" t="s">
        <v>169</v>
      </c>
      <c r="E272" s="57">
        <v>0</v>
      </c>
      <c r="F272" s="57">
        <v>0.45610000000000001</v>
      </c>
      <c r="G272" s="57">
        <v>0.20080000000000001</v>
      </c>
    </row>
    <row r="273" spans="1:7" x14ac:dyDescent="0.2">
      <c r="A273" s="63">
        <v>44665</v>
      </c>
      <c r="B273" s="57">
        <v>2007</v>
      </c>
      <c r="C273" s="57">
        <v>1</v>
      </c>
      <c r="D273" s="57" t="s">
        <v>159</v>
      </c>
      <c r="E273" s="57">
        <v>0</v>
      </c>
      <c r="F273" s="57">
        <v>0.1605</v>
      </c>
      <c r="G273" s="57">
        <v>6.9099999999999995E-2</v>
      </c>
    </row>
    <row r="274" spans="1:7" x14ac:dyDescent="0.2">
      <c r="A274" s="63">
        <v>44665</v>
      </c>
      <c r="B274" s="57">
        <v>2020</v>
      </c>
      <c r="C274" s="57">
        <v>1</v>
      </c>
      <c r="D274" s="57" t="s">
        <v>169</v>
      </c>
      <c r="E274" s="57">
        <v>1</v>
      </c>
      <c r="F274" s="57">
        <v>0.78359999999999996</v>
      </c>
      <c r="G274" s="57">
        <v>0.36959999999999998</v>
      </c>
    </row>
    <row r="275" spans="1:7" x14ac:dyDescent="0.2">
      <c r="A275" s="63">
        <v>44665</v>
      </c>
      <c r="B275" s="57">
        <v>2021</v>
      </c>
      <c r="C275" s="57">
        <v>1</v>
      </c>
      <c r="D275" s="57" t="s">
        <v>159</v>
      </c>
      <c r="E275" s="57">
        <v>0</v>
      </c>
      <c r="F275" s="57">
        <v>0.1095</v>
      </c>
      <c r="G275" s="57">
        <v>4.4999999999999998E-2</v>
      </c>
    </row>
    <row r="276" spans="1:7" x14ac:dyDescent="0.2">
      <c r="A276" s="63">
        <v>44665</v>
      </c>
      <c r="B276" s="57">
        <v>2020</v>
      </c>
      <c r="C276" s="57">
        <v>1</v>
      </c>
      <c r="D276" s="57" t="s">
        <v>159</v>
      </c>
      <c r="E276" s="57">
        <v>0</v>
      </c>
      <c r="F276" s="57">
        <v>4.99E-2</v>
      </c>
      <c r="G276" s="57">
        <v>2.06E-2</v>
      </c>
    </row>
    <row r="277" spans="1:7" x14ac:dyDescent="0.2">
      <c r="A277" s="63">
        <v>44665</v>
      </c>
      <c r="B277" s="57">
        <v>2010</v>
      </c>
      <c r="C277" s="57">
        <v>2</v>
      </c>
      <c r="D277" s="57" t="s">
        <v>169</v>
      </c>
      <c r="E277" s="57">
        <v>0</v>
      </c>
      <c r="F277" s="57">
        <v>1.6937</v>
      </c>
      <c r="G277" s="57">
        <v>0.78800000000000003</v>
      </c>
    </row>
    <row r="278" spans="1:7" x14ac:dyDescent="0.2">
      <c r="A278" s="63">
        <v>44665</v>
      </c>
      <c r="B278" s="57">
        <v>2377</v>
      </c>
      <c r="C278" s="57">
        <v>1</v>
      </c>
      <c r="D278" s="57" t="s">
        <v>169</v>
      </c>
      <c r="E278" s="57">
        <v>0</v>
      </c>
      <c r="F278" s="57">
        <v>0.90229999999999999</v>
      </c>
      <c r="G278" s="57">
        <v>0.44990000000000002</v>
      </c>
    </row>
    <row r="279" spans="1:7" x14ac:dyDescent="0.2">
      <c r="A279" s="63">
        <v>44665</v>
      </c>
      <c r="B279" s="57">
        <v>2379</v>
      </c>
      <c r="C279" s="57">
        <v>1</v>
      </c>
      <c r="D279" s="57" t="s">
        <v>169</v>
      </c>
      <c r="E279" s="57">
        <v>0</v>
      </c>
      <c r="F279" s="57">
        <v>0.66720000000000002</v>
      </c>
      <c r="G279" s="57">
        <v>0.3196</v>
      </c>
    </row>
    <row r="280" spans="1:7" x14ac:dyDescent="0.2">
      <c r="A280" s="63">
        <v>44665</v>
      </c>
      <c r="B280" s="57">
        <v>2367</v>
      </c>
      <c r="C280" s="57">
        <v>1</v>
      </c>
      <c r="D280" s="57" t="s">
        <v>169</v>
      </c>
      <c r="E280" s="57">
        <v>0</v>
      </c>
      <c r="F280" s="57">
        <v>0.48670000000000002</v>
      </c>
      <c r="G280" s="57">
        <v>0.22120000000000001</v>
      </c>
    </row>
    <row r="281" spans="1:7" x14ac:dyDescent="0.2">
      <c r="A281" s="63">
        <v>44665</v>
      </c>
      <c r="B281" s="57">
        <v>2377</v>
      </c>
      <c r="C281" s="57">
        <v>3</v>
      </c>
      <c r="D281" s="57" t="s">
        <v>159</v>
      </c>
      <c r="E281" s="57">
        <v>1</v>
      </c>
      <c r="F281" s="57">
        <v>0.41170000000000001</v>
      </c>
      <c r="G281" s="57">
        <v>0.216</v>
      </c>
    </row>
    <row r="282" spans="1:7" x14ac:dyDescent="0.2">
      <c r="A282" s="63">
        <v>44665</v>
      </c>
      <c r="B282" s="57">
        <v>2384</v>
      </c>
      <c r="C282" s="57">
        <v>1</v>
      </c>
      <c r="D282" s="57" t="s">
        <v>159</v>
      </c>
      <c r="E282" s="57">
        <v>0</v>
      </c>
      <c r="F282" s="57">
        <v>0.15770000000000001</v>
      </c>
      <c r="G282" s="57">
        <v>6.88E-2</v>
      </c>
    </row>
    <row r="283" spans="1:7" x14ac:dyDescent="0.2">
      <c r="A283" s="63">
        <v>44665</v>
      </c>
      <c r="B283" s="57">
        <v>2378</v>
      </c>
      <c r="C283" s="57">
        <v>2</v>
      </c>
      <c r="D283" s="57" t="s">
        <v>159</v>
      </c>
      <c r="E283" s="57">
        <v>1</v>
      </c>
      <c r="F283" s="57">
        <v>0.22370000000000001</v>
      </c>
      <c r="G283" s="57">
        <v>9.5899999999999999E-2</v>
      </c>
    </row>
    <row r="284" spans="1:7" x14ac:dyDescent="0.2">
      <c r="A284" s="63">
        <v>44665</v>
      </c>
      <c r="B284" s="57">
        <v>2351</v>
      </c>
      <c r="C284" s="57">
        <v>1</v>
      </c>
      <c r="D284" s="57" t="s">
        <v>169</v>
      </c>
      <c r="E284" s="57">
        <v>0</v>
      </c>
      <c r="F284" s="57">
        <v>0.98380000000000001</v>
      </c>
      <c r="G284" s="57">
        <v>0.38179999999999997</v>
      </c>
    </row>
    <row r="285" spans="1:7" x14ac:dyDescent="0.2">
      <c r="A285" s="63">
        <v>44665</v>
      </c>
      <c r="B285" s="57">
        <v>2350</v>
      </c>
      <c r="C285" s="57">
        <v>1</v>
      </c>
      <c r="D285" s="57" t="s">
        <v>159</v>
      </c>
      <c r="E285" s="57">
        <v>1</v>
      </c>
      <c r="F285" s="57">
        <v>0.26540000000000002</v>
      </c>
      <c r="G285" s="57">
        <v>0.1263</v>
      </c>
    </row>
    <row r="286" spans="1:7" x14ac:dyDescent="0.2">
      <c r="A286" s="63">
        <v>44665</v>
      </c>
      <c r="B286" s="57">
        <v>2383</v>
      </c>
      <c r="C286" s="57">
        <v>2</v>
      </c>
      <c r="D286" s="57" t="s">
        <v>169</v>
      </c>
      <c r="E286" s="57">
        <v>0</v>
      </c>
      <c r="F286" s="57">
        <v>0.66569999999999996</v>
      </c>
      <c r="G286" s="57">
        <v>0.3377</v>
      </c>
    </row>
    <row r="287" spans="1:7" x14ac:dyDescent="0.2">
      <c r="A287" s="63">
        <v>44665</v>
      </c>
      <c r="B287" s="57">
        <v>2013</v>
      </c>
      <c r="C287" s="57">
        <v>2</v>
      </c>
      <c r="D287" s="57" t="s">
        <v>159</v>
      </c>
      <c r="E287" s="57">
        <v>0</v>
      </c>
      <c r="F287" s="57">
        <v>2.6175000000000002</v>
      </c>
      <c r="G287" s="57">
        <v>0.11020000000000001</v>
      </c>
    </row>
    <row r="288" spans="1:7" x14ac:dyDescent="0.2">
      <c r="A288" s="63">
        <v>44665</v>
      </c>
      <c r="B288" s="57">
        <v>2028</v>
      </c>
      <c r="C288" s="57">
        <v>2</v>
      </c>
      <c r="D288" s="57" t="s">
        <v>169</v>
      </c>
      <c r="E288" s="57">
        <v>0</v>
      </c>
      <c r="F288" s="57">
        <v>0.79279999999999995</v>
      </c>
      <c r="G288" s="57">
        <v>0.3916</v>
      </c>
    </row>
    <row r="289" spans="1:7" x14ac:dyDescent="0.2">
      <c r="A289" s="63">
        <v>44665</v>
      </c>
      <c r="B289" s="57">
        <v>2031</v>
      </c>
      <c r="C289" s="57">
        <v>1</v>
      </c>
      <c r="D289" s="57" t="s">
        <v>159</v>
      </c>
      <c r="E289" s="57">
        <v>0</v>
      </c>
      <c r="F289" s="57">
        <v>0.41</v>
      </c>
      <c r="G289" s="57">
        <v>0.17660000000000001</v>
      </c>
    </row>
    <row r="290" spans="1:7" x14ac:dyDescent="0.2">
      <c r="A290" s="63">
        <v>44665</v>
      </c>
      <c r="B290" s="57">
        <v>2384</v>
      </c>
      <c r="C290" s="57">
        <v>2</v>
      </c>
      <c r="D290" s="57" t="s">
        <v>159</v>
      </c>
      <c r="E290" s="57">
        <v>1</v>
      </c>
      <c r="F290" s="57">
        <v>0.4017</v>
      </c>
      <c r="G290" s="57">
        <v>0.2021</v>
      </c>
    </row>
    <row r="291" spans="1:7" x14ac:dyDescent="0.2">
      <c r="A291" s="63">
        <v>44665</v>
      </c>
      <c r="B291" s="57">
        <v>2351</v>
      </c>
      <c r="C291" s="57">
        <v>2</v>
      </c>
      <c r="D291" s="57" t="s">
        <v>169</v>
      </c>
      <c r="E291" s="57">
        <v>1</v>
      </c>
      <c r="F291" s="57">
        <v>0.40460000000000002</v>
      </c>
      <c r="G291" s="57">
        <v>0.1895</v>
      </c>
    </row>
    <row r="292" spans="1:7" x14ac:dyDescent="0.2">
      <c r="A292" s="63">
        <v>44665</v>
      </c>
      <c r="B292" s="57">
        <v>2367</v>
      </c>
      <c r="C292" s="57">
        <v>2</v>
      </c>
      <c r="D292" s="57" t="s">
        <v>159</v>
      </c>
      <c r="E292" s="57">
        <v>0</v>
      </c>
      <c r="F292" s="57">
        <v>5.4699999999999999E-2</v>
      </c>
      <c r="G292" s="57">
        <v>2.23E-2</v>
      </c>
    </row>
    <row r="293" spans="1:7" x14ac:dyDescent="0.2">
      <c r="A293" s="63">
        <v>44665</v>
      </c>
      <c r="B293" s="57">
        <v>2367</v>
      </c>
      <c r="C293" s="57">
        <v>2</v>
      </c>
      <c r="D293" s="57" t="s">
        <v>159</v>
      </c>
      <c r="E293" s="57">
        <v>1</v>
      </c>
      <c r="F293" s="57">
        <v>0.26450000000000001</v>
      </c>
      <c r="G293" s="57">
        <v>0.13850000000000001</v>
      </c>
    </row>
    <row r="294" spans="1:7" x14ac:dyDescent="0.2">
      <c r="A294" s="63">
        <v>44665</v>
      </c>
      <c r="B294" s="57">
        <v>2377</v>
      </c>
      <c r="C294" s="57">
        <v>2</v>
      </c>
      <c r="D294" s="57" t="s">
        <v>159</v>
      </c>
      <c r="E294" s="57">
        <v>1</v>
      </c>
      <c r="F294" s="57">
        <v>0.62150000000000005</v>
      </c>
      <c r="G294" s="57">
        <v>0.3256</v>
      </c>
    </row>
    <row r="295" spans="1:7" x14ac:dyDescent="0.2">
      <c r="A295" s="63">
        <v>44665</v>
      </c>
      <c r="B295" s="57">
        <v>2010</v>
      </c>
      <c r="C295" s="57">
        <v>2</v>
      </c>
      <c r="D295" s="57" t="s">
        <v>159</v>
      </c>
      <c r="E295" s="57">
        <v>0</v>
      </c>
      <c r="F295" s="57">
        <v>0.26079999999999998</v>
      </c>
      <c r="G295" s="57">
        <v>0.1014</v>
      </c>
    </row>
    <row r="296" spans="1:7" x14ac:dyDescent="0.2">
      <c r="A296" s="63">
        <v>44665</v>
      </c>
      <c r="B296" s="57">
        <v>2350</v>
      </c>
      <c r="C296" s="57">
        <v>1</v>
      </c>
      <c r="D296" s="57" t="s">
        <v>159</v>
      </c>
      <c r="E296" s="57">
        <v>0</v>
      </c>
      <c r="F296" s="57">
        <v>0.45119999999999999</v>
      </c>
      <c r="G296" s="57">
        <v>0.14510000000000001</v>
      </c>
    </row>
    <row r="297" spans="1:7" x14ac:dyDescent="0.2">
      <c r="A297" s="63">
        <v>44665</v>
      </c>
      <c r="B297" s="57">
        <v>2345</v>
      </c>
      <c r="C297" s="57">
        <v>1</v>
      </c>
      <c r="D297" s="57" t="s">
        <v>159</v>
      </c>
      <c r="E297" s="57">
        <v>1</v>
      </c>
      <c r="F297" s="57">
        <v>0.2122</v>
      </c>
      <c r="G297" s="57">
        <v>0.1174</v>
      </c>
    </row>
    <row r="298" spans="1:7" x14ac:dyDescent="0.2">
      <c r="A298" s="63">
        <v>44665</v>
      </c>
      <c r="B298" s="57">
        <v>2010</v>
      </c>
      <c r="C298" s="57">
        <v>1</v>
      </c>
      <c r="D298" s="57" t="s">
        <v>159</v>
      </c>
      <c r="E298" s="57">
        <v>0</v>
      </c>
      <c r="F298" s="57">
        <v>0.21659999999999999</v>
      </c>
      <c r="G298" s="57">
        <v>8.5199999999999998E-2</v>
      </c>
    </row>
    <row r="299" spans="1:7" x14ac:dyDescent="0.2">
      <c r="A299" s="63">
        <v>44665</v>
      </c>
      <c r="B299" s="57">
        <v>2009</v>
      </c>
      <c r="C299" s="57">
        <v>1</v>
      </c>
      <c r="D299" s="57" t="s">
        <v>159</v>
      </c>
      <c r="E299" s="57">
        <v>0</v>
      </c>
      <c r="F299" s="57">
        <v>0.18820000000000001</v>
      </c>
      <c r="G299" s="57">
        <v>8.1299999999999997E-2</v>
      </c>
    </row>
    <row r="300" spans="1:7" x14ac:dyDescent="0.2">
      <c r="A300" s="63">
        <v>44665</v>
      </c>
      <c r="B300" s="57">
        <v>2379</v>
      </c>
      <c r="C300" s="57">
        <v>1</v>
      </c>
      <c r="D300" s="57" t="s">
        <v>159</v>
      </c>
      <c r="E300" s="57">
        <v>0</v>
      </c>
      <c r="F300" s="57">
        <v>7.9000000000000008E-3</v>
      </c>
      <c r="G300" s="57">
        <v>3.7000000000000002E-3</v>
      </c>
    </row>
    <row r="301" spans="1:7" x14ac:dyDescent="0.2">
      <c r="A301" s="63">
        <v>44665</v>
      </c>
      <c r="B301" s="57">
        <v>2010</v>
      </c>
      <c r="C301" s="57">
        <v>1</v>
      </c>
      <c r="D301" s="57" t="s">
        <v>159</v>
      </c>
      <c r="E301" s="57">
        <v>1</v>
      </c>
      <c r="F301" s="57">
        <v>0.2414</v>
      </c>
      <c r="G301" s="57">
        <v>0.1144</v>
      </c>
    </row>
    <row r="302" spans="1:7" x14ac:dyDescent="0.2">
      <c r="A302" s="63">
        <v>44665</v>
      </c>
      <c r="B302" s="57">
        <v>2013</v>
      </c>
      <c r="C302" s="57">
        <v>1</v>
      </c>
      <c r="D302" s="57" t="s">
        <v>169</v>
      </c>
      <c r="E302" s="57">
        <v>0</v>
      </c>
      <c r="F302" s="57">
        <v>0.69869999999999999</v>
      </c>
      <c r="G302" s="57">
        <v>0.2676</v>
      </c>
    </row>
    <row r="303" spans="1:7" x14ac:dyDescent="0.2">
      <c r="A303" s="63">
        <v>44665</v>
      </c>
      <c r="B303" s="57">
        <v>2369</v>
      </c>
      <c r="C303" s="57">
        <v>2</v>
      </c>
      <c r="D303" s="57" t="s">
        <v>169</v>
      </c>
      <c r="E303" s="57">
        <v>0</v>
      </c>
      <c r="F303" s="57">
        <v>0.95820000000000005</v>
      </c>
      <c r="G303" s="57">
        <v>0.45219999999999999</v>
      </c>
    </row>
    <row r="304" spans="1:7" x14ac:dyDescent="0.2">
      <c r="A304" s="63">
        <v>44665</v>
      </c>
      <c r="B304" s="57">
        <v>2365</v>
      </c>
      <c r="C304" s="57">
        <v>1</v>
      </c>
      <c r="D304" s="57" t="s">
        <v>169</v>
      </c>
      <c r="E304" s="57">
        <v>0</v>
      </c>
      <c r="F304" s="57">
        <v>0.80959999999999999</v>
      </c>
      <c r="G304" s="57">
        <v>0.37040000000000001</v>
      </c>
    </row>
    <row r="305" spans="1:7" x14ac:dyDescent="0.2">
      <c r="A305" s="63">
        <v>44665</v>
      </c>
      <c r="B305" s="57">
        <v>2025</v>
      </c>
      <c r="C305" s="57">
        <v>1</v>
      </c>
      <c r="D305" s="57" t="s">
        <v>169</v>
      </c>
      <c r="E305" s="57">
        <v>0</v>
      </c>
      <c r="F305" s="57">
        <v>0.57809999999999995</v>
      </c>
      <c r="G305" s="57">
        <v>0.28520000000000001</v>
      </c>
    </row>
    <row r="306" spans="1:7" x14ac:dyDescent="0.2">
      <c r="A306" s="63">
        <v>44665</v>
      </c>
      <c r="B306" s="57">
        <v>2013</v>
      </c>
      <c r="C306" s="57">
        <v>2</v>
      </c>
      <c r="D306" s="57" t="s">
        <v>169</v>
      </c>
      <c r="E306" s="57">
        <v>1</v>
      </c>
      <c r="F306" s="57">
        <v>1.1168</v>
      </c>
      <c r="G306" s="57">
        <v>0.42780000000000001</v>
      </c>
    </row>
    <row r="307" spans="1:7" x14ac:dyDescent="0.2">
      <c r="A307" s="63">
        <v>44665</v>
      </c>
      <c r="B307" s="57">
        <v>2377</v>
      </c>
      <c r="C307" s="57">
        <v>1</v>
      </c>
      <c r="D307" s="57" t="s">
        <v>159</v>
      </c>
      <c r="E307" s="57">
        <v>1</v>
      </c>
      <c r="F307" s="57">
        <v>0.72450000000000003</v>
      </c>
      <c r="G307" s="57">
        <v>0.3745</v>
      </c>
    </row>
    <row r="308" spans="1:7" x14ac:dyDescent="0.2">
      <c r="A308" s="63">
        <v>44665</v>
      </c>
      <c r="B308" s="57">
        <v>2012</v>
      </c>
      <c r="C308" s="57">
        <v>2</v>
      </c>
      <c r="D308" s="57" t="s">
        <v>159</v>
      </c>
      <c r="E308" s="57">
        <v>1</v>
      </c>
      <c r="F308" s="57">
        <v>0.34</v>
      </c>
      <c r="G308" s="57">
        <v>0.1646</v>
      </c>
    </row>
    <row r="309" spans="1:7" x14ac:dyDescent="0.2">
      <c r="A309" s="63">
        <v>44665</v>
      </c>
      <c r="B309" s="57">
        <v>2031</v>
      </c>
      <c r="C309" s="57">
        <v>1</v>
      </c>
      <c r="D309" s="57" t="s">
        <v>159</v>
      </c>
      <c r="E309" s="57">
        <v>1</v>
      </c>
      <c r="F309" s="57">
        <v>0.16850000000000001</v>
      </c>
      <c r="G309" s="57">
        <v>9.01E-2</v>
      </c>
    </row>
    <row r="310" spans="1:7" x14ac:dyDescent="0.2">
      <c r="A310" s="63">
        <v>44665</v>
      </c>
      <c r="B310" s="57">
        <v>2360</v>
      </c>
      <c r="C310" s="57">
        <v>1</v>
      </c>
      <c r="D310" s="57" t="s">
        <v>159</v>
      </c>
      <c r="E310" s="57">
        <v>1</v>
      </c>
      <c r="F310" s="57">
        <v>4.6699999999999998E-2</v>
      </c>
      <c r="G310" s="57">
        <v>2.46E-2</v>
      </c>
    </row>
    <row r="311" spans="1:7" x14ac:dyDescent="0.2">
      <c r="A311" s="63">
        <v>44665</v>
      </c>
      <c r="B311" s="57">
        <v>2351</v>
      </c>
      <c r="C311" s="57">
        <v>2</v>
      </c>
      <c r="D311" s="57" t="s">
        <v>159</v>
      </c>
      <c r="E311" s="57">
        <v>0</v>
      </c>
      <c r="F311" s="57">
        <v>1.84E-2</v>
      </c>
      <c r="G311" s="57">
        <v>7.9000000000000008E-3</v>
      </c>
    </row>
    <row r="312" spans="1:7" x14ac:dyDescent="0.2">
      <c r="A312" s="63">
        <v>44665</v>
      </c>
      <c r="B312" s="57">
        <v>2028</v>
      </c>
      <c r="C312" s="57">
        <v>2</v>
      </c>
      <c r="D312" s="57" t="s">
        <v>159</v>
      </c>
      <c r="E312" s="57">
        <v>1</v>
      </c>
      <c r="F312" s="57">
        <v>7.2599999999999998E-2</v>
      </c>
      <c r="G312" s="57">
        <v>3.3000000000000002E-2</v>
      </c>
    </row>
    <row r="313" spans="1:7" x14ac:dyDescent="0.2">
      <c r="A313" s="63">
        <v>44665</v>
      </c>
      <c r="B313" s="57">
        <v>2012</v>
      </c>
      <c r="C313" s="57">
        <v>2</v>
      </c>
      <c r="D313" s="57" t="s">
        <v>159</v>
      </c>
      <c r="E313" s="57">
        <v>0</v>
      </c>
      <c r="F313" s="57">
        <v>1.1387</v>
      </c>
      <c r="G313" s="57">
        <v>0.51259999999999994</v>
      </c>
    </row>
    <row r="314" spans="1:7" x14ac:dyDescent="0.2">
      <c r="A314" s="63">
        <v>44665</v>
      </c>
      <c r="B314" s="57">
        <v>2381</v>
      </c>
      <c r="C314" s="57">
        <v>3</v>
      </c>
      <c r="D314" s="57" t="s">
        <v>159</v>
      </c>
      <c r="E314" s="57">
        <v>0</v>
      </c>
      <c r="F314" s="57">
        <v>0.1168</v>
      </c>
      <c r="G314" s="57">
        <v>5.2600000000000001E-2</v>
      </c>
    </row>
    <row r="315" spans="1:7" x14ac:dyDescent="0.2">
      <c r="A315" s="63">
        <v>44665</v>
      </c>
      <c r="B315" s="57">
        <v>2351</v>
      </c>
      <c r="C315" s="57">
        <v>1</v>
      </c>
      <c r="D315" s="57" t="s">
        <v>159</v>
      </c>
      <c r="E315" s="57">
        <v>1</v>
      </c>
      <c r="F315" s="57">
        <v>5.5500000000000001E-2</v>
      </c>
      <c r="G315" s="57">
        <v>2.53E-2</v>
      </c>
    </row>
    <row r="316" spans="1:7" x14ac:dyDescent="0.2">
      <c r="A316" s="63">
        <v>44665</v>
      </c>
      <c r="B316" s="57">
        <v>2012</v>
      </c>
      <c r="C316" s="57">
        <v>1</v>
      </c>
      <c r="D316" s="57" t="s">
        <v>169</v>
      </c>
      <c r="E316" s="57">
        <v>0</v>
      </c>
      <c r="F316" s="57">
        <v>1.1114999999999999</v>
      </c>
      <c r="G316" s="57">
        <v>0.49919999999999998</v>
      </c>
    </row>
    <row r="317" spans="1:7" x14ac:dyDescent="0.2">
      <c r="A317" s="63">
        <v>44665</v>
      </c>
      <c r="B317" s="57">
        <v>2380</v>
      </c>
      <c r="C317" s="57">
        <v>1</v>
      </c>
      <c r="D317" s="57" t="s">
        <v>159</v>
      </c>
      <c r="E317" s="57">
        <v>0</v>
      </c>
      <c r="F317" s="57">
        <v>5.6500000000000002E-2</v>
      </c>
      <c r="G317" s="57">
        <v>1.83E-2</v>
      </c>
    </row>
    <row r="318" spans="1:7" x14ac:dyDescent="0.2">
      <c r="A318" s="63">
        <v>44665</v>
      </c>
      <c r="B318" s="57">
        <v>2380</v>
      </c>
      <c r="C318" s="57">
        <v>1</v>
      </c>
      <c r="D318" s="57" t="s">
        <v>169</v>
      </c>
      <c r="E318" s="57">
        <v>1</v>
      </c>
      <c r="F318" s="57">
        <v>1.1483000000000001</v>
      </c>
      <c r="G318" s="57">
        <v>0.71440000000000003</v>
      </c>
    </row>
    <row r="319" spans="1:7" x14ac:dyDescent="0.2">
      <c r="A319" s="63">
        <v>44665</v>
      </c>
      <c r="B319" s="57">
        <v>2025</v>
      </c>
      <c r="C319" s="57">
        <v>2</v>
      </c>
      <c r="D319" s="57" t="s">
        <v>159</v>
      </c>
      <c r="E319" s="57">
        <v>0</v>
      </c>
      <c r="F319" s="57">
        <v>5.6800000000000003E-2</v>
      </c>
      <c r="G319" s="57">
        <v>2.5399999999999999E-2</v>
      </c>
    </row>
    <row r="320" spans="1:7" x14ac:dyDescent="0.2">
      <c r="A320" s="63">
        <v>44665</v>
      </c>
      <c r="B320" s="57">
        <v>2369</v>
      </c>
      <c r="C320" s="57">
        <v>2</v>
      </c>
      <c r="D320" s="57" t="s">
        <v>159</v>
      </c>
      <c r="E320" s="57">
        <v>0</v>
      </c>
      <c r="F320" s="57">
        <v>0.12520000000000001</v>
      </c>
      <c r="G320" s="57">
        <v>5.1999999999999998E-2</v>
      </c>
    </row>
    <row r="321" spans="1:7" x14ac:dyDescent="0.2">
      <c r="A321" s="63">
        <v>44665</v>
      </c>
      <c r="B321" s="57">
        <v>2345</v>
      </c>
      <c r="C321" s="57">
        <v>2</v>
      </c>
      <c r="D321" s="57" t="s">
        <v>169</v>
      </c>
      <c r="E321" s="57">
        <v>1</v>
      </c>
      <c r="F321" s="57">
        <v>1.4442999999999999</v>
      </c>
      <c r="G321" s="57">
        <v>0.84719999999999995</v>
      </c>
    </row>
    <row r="322" spans="1:7" x14ac:dyDescent="0.2">
      <c r="A322" s="63">
        <v>44665</v>
      </c>
      <c r="B322" s="57">
        <v>2365</v>
      </c>
      <c r="C322" s="57">
        <v>1</v>
      </c>
      <c r="D322" s="57" t="s">
        <v>159</v>
      </c>
      <c r="E322" s="57">
        <v>1</v>
      </c>
      <c r="F322" s="57">
        <v>0.23139999999999999</v>
      </c>
      <c r="G322" s="57">
        <v>0.1115</v>
      </c>
    </row>
    <row r="323" spans="1:7" x14ac:dyDescent="0.2">
      <c r="A323" s="63">
        <v>44665</v>
      </c>
      <c r="B323" s="57">
        <v>2380</v>
      </c>
      <c r="C323" s="57">
        <v>2</v>
      </c>
      <c r="D323" s="57" t="s">
        <v>169</v>
      </c>
      <c r="E323" s="57">
        <v>1</v>
      </c>
      <c r="F323" s="57">
        <v>0.95409999999999995</v>
      </c>
      <c r="G323" s="57">
        <v>0.57469999999999999</v>
      </c>
    </row>
    <row r="324" spans="1:7" x14ac:dyDescent="0.2">
      <c r="A324" s="63">
        <v>44665</v>
      </c>
      <c r="B324" s="57">
        <v>2004</v>
      </c>
      <c r="C324" s="57">
        <v>1</v>
      </c>
      <c r="D324" s="57" t="s">
        <v>159</v>
      </c>
      <c r="E324" s="57">
        <v>0</v>
      </c>
      <c r="F324" s="57">
        <v>0.245</v>
      </c>
      <c r="G324" s="57">
        <v>0.1046</v>
      </c>
    </row>
    <row r="325" spans="1:7" x14ac:dyDescent="0.2">
      <c r="A325" s="63">
        <v>44665</v>
      </c>
      <c r="B325" s="57">
        <v>2375</v>
      </c>
      <c r="C325" s="57">
        <v>1</v>
      </c>
      <c r="D325" s="57" t="s">
        <v>159</v>
      </c>
      <c r="E325" s="57">
        <v>1</v>
      </c>
      <c r="F325" s="57">
        <v>6.7699999999999996E-2</v>
      </c>
      <c r="G325" s="57">
        <v>3.39E-2</v>
      </c>
    </row>
    <row r="326" spans="1:7" x14ac:dyDescent="0.2">
      <c r="A326" s="63">
        <v>44665</v>
      </c>
      <c r="B326" s="57">
        <v>2007</v>
      </c>
      <c r="C326" s="57">
        <v>1</v>
      </c>
      <c r="D326" s="57" t="s">
        <v>159</v>
      </c>
      <c r="E326" s="57">
        <v>1</v>
      </c>
      <c r="F326" s="57">
        <v>9.5299999999999996E-2</v>
      </c>
      <c r="G326" s="57">
        <v>4.4499999999999998E-2</v>
      </c>
    </row>
    <row r="327" spans="1:7" x14ac:dyDescent="0.2">
      <c r="A327" s="63">
        <v>44665</v>
      </c>
      <c r="B327" s="57">
        <v>2012</v>
      </c>
      <c r="C327" s="57">
        <v>3</v>
      </c>
      <c r="D327" s="57" t="s">
        <v>159</v>
      </c>
      <c r="E327" s="57">
        <v>1</v>
      </c>
      <c r="F327" s="57">
        <v>7.2900000000000006E-2</v>
      </c>
      <c r="G327" s="57">
        <v>2.87E-2</v>
      </c>
    </row>
    <row r="328" spans="1:7" x14ac:dyDescent="0.2">
      <c r="A328" s="63">
        <v>44665</v>
      </c>
      <c r="B328" s="57">
        <v>2351</v>
      </c>
      <c r="C328" s="57">
        <v>1</v>
      </c>
      <c r="D328" s="57" t="s">
        <v>159</v>
      </c>
      <c r="E328" s="57">
        <v>1</v>
      </c>
      <c r="F328" s="57">
        <v>7.8100000000000003E-2</v>
      </c>
      <c r="G328" s="57">
        <v>3.3000000000000002E-2</v>
      </c>
    </row>
    <row r="329" spans="1:7" x14ac:dyDescent="0.2">
      <c r="A329" s="63">
        <v>44665</v>
      </c>
      <c r="B329" s="57">
        <v>2379</v>
      </c>
      <c r="C329" s="57">
        <v>2</v>
      </c>
      <c r="D329" s="57" t="s">
        <v>169</v>
      </c>
      <c r="E329" s="57">
        <v>0</v>
      </c>
      <c r="F329" s="57">
        <v>0.97870000000000001</v>
      </c>
      <c r="G329" s="57">
        <v>0.46229999999999999</v>
      </c>
    </row>
    <row r="330" spans="1:7" x14ac:dyDescent="0.2">
      <c r="A330" s="63">
        <v>44665</v>
      </c>
      <c r="B330" s="57">
        <v>2012</v>
      </c>
      <c r="C330" s="57">
        <v>3</v>
      </c>
      <c r="D330" s="57" t="s">
        <v>169</v>
      </c>
      <c r="E330" s="57">
        <v>0</v>
      </c>
      <c r="F330" s="57">
        <v>0.58889999999999998</v>
      </c>
      <c r="G330" s="57">
        <v>0.26129999999999998</v>
      </c>
    </row>
    <row r="331" spans="1:7" x14ac:dyDescent="0.2">
      <c r="A331" s="63">
        <v>44665</v>
      </c>
      <c r="B331" s="57">
        <v>2383</v>
      </c>
      <c r="C331" s="57">
        <v>1</v>
      </c>
      <c r="D331" s="57" t="s">
        <v>159</v>
      </c>
      <c r="E331" s="57">
        <v>1</v>
      </c>
      <c r="F331" s="57">
        <v>0.29099999999999998</v>
      </c>
      <c r="G331" s="57">
        <v>0.14829999999999999</v>
      </c>
    </row>
    <row r="332" spans="1:7" x14ac:dyDescent="0.2">
      <c r="A332" s="63">
        <v>44665</v>
      </c>
      <c r="B332" s="57">
        <v>2012</v>
      </c>
      <c r="C332" s="57">
        <v>2</v>
      </c>
      <c r="D332" s="57" t="s">
        <v>169</v>
      </c>
      <c r="E332" s="57">
        <v>0</v>
      </c>
      <c r="F332" s="57">
        <v>8.2900000000000001E-2</v>
      </c>
      <c r="G332" s="57">
        <v>3.2300000000000002E-2</v>
      </c>
    </row>
    <row r="333" spans="1:7" x14ac:dyDescent="0.2">
      <c r="A333" s="63">
        <v>44665</v>
      </c>
      <c r="B333" s="57">
        <v>2351</v>
      </c>
      <c r="C333" s="57">
        <v>3</v>
      </c>
      <c r="D333" s="57" t="s">
        <v>169</v>
      </c>
      <c r="E333" s="57">
        <v>0</v>
      </c>
      <c r="F333" s="57">
        <v>0.58450000000000002</v>
      </c>
      <c r="G333" s="57">
        <v>0.26619999999999999</v>
      </c>
    </row>
    <row r="334" spans="1:7" x14ac:dyDescent="0.2">
      <c r="A334" s="63">
        <v>44665</v>
      </c>
      <c r="B334" s="57">
        <v>2381</v>
      </c>
      <c r="C334" s="57">
        <v>2</v>
      </c>
      <c r="D334" s="57" t="s">
        <v>169</v>
      </c>
      <c r="E334" s="57">
        <v>1</v>
      </c>
      <c r="F334" s="57">
        <v>2.0297000000000001</v>
      </c>
      <c r="G334" s="57">
        <v>1.0049999999999999</v>
      </c>
    </row>
    <row r="335" spans="1:7" x14ac:dyDescent="0.2">
      <c r="A335" s="63">
        <v>44665</v>
      </c>
      <c r="B335" s="57">
        <v>1478</v>
      </c>
      <c r="C335" s="57">
        <v>1</v>
      </c>
      <c r="D335" s="57" t="s">
        <v>159</v>
      </c>
      <c r="E335" s="57">
        <v>0</v>
      </c>
      <c r="F335" s="57">
        <v>0.26119999999999999</v>
      </c>
      <c r="G335" s="57">
        <v>9.1800000000000007E-2</v>
      </c>
    </row>
    <row r="336" spans="1:7" x14ac:dyDescent="0.2">
      <c r="A336" s="63">
        <v>44665</v>
      </c>
      <c r="B336" s="57">
        <v>2007</v>
      </c>
      <c r="C336" s="57">
        <v>2</v>
      </c>
      <c r="D336" s="57" t="s">
        <v>159</v>
      </c>
      <c r="E336" s="57">
        <v>1</v>
      </c>
      <c r="F336" s="57">
        <v>0.1948</v>
      </c>
      <c r="G336" s="57">
        <v>9.2600000000000002E-2</v>
      </c>
    </row>
    <row r="337" spans="1:7" x14ac:dyDescent="0.2">
      <c r="A337" s="63">
        <v>44665</v>
      </c>
      <c r="B337" s="57">
        <v>2351</v>
      </c>
      <c r="C337" s="57">
        <v>1</v>
      </c>
      <c r="D337" s="57" t="s">
        <v>159</v>
      </c>
      <c r="E337" s="57">
        <v>1</v>
      </c>
      <c r="F337" s="57">
        <v>0.30630000000000002</v>
      </c>
      <c r="G337" s="57">
        <v>0.1608</v>
      </c>
    </row>
    <row r="338" spans="1:7" x14ac:dyDescent="0.2">
      <c r="A338" s="63">
        <v>44665</v>
      </c>
      <c r="B338" s="57">
        <v>2028</v>
      </c>
      <c r="C338" s="57">
        <v>1</v>
      </c>
      <c r="D338" s="57" t="s">
        <v>159</v>
      </c>
      <c r="E338" s="57">
        <v>0</v>
      </c>
      <c r="F338" s="57">
        <v>4.9799999999999997E-2</v>
      </c>
      <c r="G338" s="57">
        <v>1.7600000000000001E-2</v>
      </c>
    </row>
    <row r="339" spans="1:7" x14ac:dyDescent="0.2">
      <c r="A339" s="63">
        <v>44665</v>
      </c>
      <c r="B339" s="57">
        <v>2020</v>
      </c>
      <c r="C339" s="57">
        <v>2</v>
      </c>
      <c r="D339" s="57" t="s">
        <v>169</v>
      </c>
      <c r="E339" s="57">
        <v>0</v>
      </c>
      <c r="F339" s="57">
        <v>0.6946</v>
      </c>
      <c r="G339" s="57">
        <v>0.33610000000000001</v>
      </c>
    </row>
    <row r="340" spans="1:7" x14ac:dyDescent="0.2">
      <c r="A340" s="63">
        <v>44665</v>
      </c>
      <c r="B340" s="57">
        <v>2005</v>
      </c>
      <c r="C340" s="57">
        <v>1</v>
      </c>
      <c r="D340" s="57" t="s">
        <v>159</v>
      </c>
      <c r="E340" s="57">
        <v>0</v>
      </c>
      <c r="F340" s="57">
        <v>0.35849999999999999</v>
      </c>
      <c r="G340" s="57">
        <v>0.15690000000000001</v>
      </c>
    </row>
    <row r="341" spans="1:7" x14ac:dyDescent="0.2">
      <c r="A341" s="63">
        <v>44665</v>
      </c>
      <c r="B341" s="57">
        <v>2007</v>
      </c>
      <c r="C341" s="57">
        <v>1</v>
      </c>
      <c r="D341" s="57" t="s">
        <v>169</v>
      </c>
      <c r="E341" s="57">
        <v>0</v>
      </c>
      <c r="F341" s="57">
        <v>1.0130999999999999</v>
      </c>
      <c r="G341" s="57">
        <v>0.49280000000000002</v>
      </c>
    </row>
    <row r="342" spans="1:7" x14ac:dyDescent="0.2">
      <c r="A342" s="63">
        <v>44665</v>
      </c>
      <c r="B342" s="57">
        <v>2381</v>
      </c>
      <c r="C342" s="57">
        <v>3</v>
      </c>
      <c r="D342" s="57" t="s">
        <v>159</v>
      </c>
      <c r="E342" s="57">
        <v>1</v>
      </c>
      <c r="F342" s="57">
        <v>0.20949999999999999</v>
      </c>
      <c r="G342" s="57">
        <v>9.1800000000000007E-2</v>
      </c>
    </row>
    <row r="343" spans="1:7" x14ac:dyDescent="0.2">
      <c r="A343" s="63">
        <v>44665</v>
      </c>
      <c r="B343" s="57">
        <v>2021</v>
      </c>
      <c r="C343" s="57">
        <v>1</v>
      </c>
      <c r="D343" s="57" t="s">
        <v>159</v>
      </c>
      <c r="E343" s="57">
        <v>1</v>
      </c>
      <c r="F343" s="57">
        <v>8.0500000000000002E-2</v>
      </c>
      <c r="G343" s="57">
        <v>3.9600000000000003E-2</v>
      </c>
    </row>
    <row r="344" spans="1:7" x14ac:dyDescent="0.2">
      <c r="A344" s="63">
        <v>44665</v>
      </c>
      <c r="B344" s="57">
        <v>2383</v>
      </c>
      <c r="C344" s="57">
        <v>3</v>
      </c>
      <c r="D344" s="57" t="s">
        <v>159</v>
      </c>
      <c r="E344" s="57">
        <v>1</v>
      </c>
      <c r="F344" s="57">
        <v>0.30759999999999998</v>
      </c>
      <c r="G344" s="57">
        <v>0.15440000000000001</v>
      </c>
    </row>
    <row r="345" spans="1:7" x14ac:dyDescent="0.2">
      <c r="A345" s="63">
        <v>44665</v>
      </c>
      <c r="B345" s="57">
        <v>2027</v>
      </c>
      <c r="C345" s="57">
        <v>1</v>
      </c>
      <c r="D345" s="57" t="s">
        <v>159</v>
      </c>
      <c r="E345" s="57">
        <v>0</v>
      </c>
      <c r="F345" s="57">
        <v>0.2056</v>
      </c>
      <c r="G345" s="57">
        <v>8.9499999999999996E-2</v>
      </c>
    </row>
    <row r="346" spans="1:7" x14ac:dyDescent="0.2">
      <c r="A346" s="63">
        <v>44665</v>
      </c>
      <c r="B346" s="57">
        <v>2375</v>
      </c>
      <c r="C346" s="57">
        <v>1</v>
      </c>
      <c r="D346" s="57" t="s">
        <v>159</v>
      </c>
      <c r="E346" s="57">
        <v>0</v>
      </c>
      <c r="F346" s="57">
        <v>0.1119</v>
      </c>
      <c r="G346" s="57">
        <v>5.04E-2</v>
      </c>
    </row>
    <row r="347" spans="1:7" x14ac:dyDescent="0.2">
      <c r="A347" s="63">
        <v>44665</v>
      </c>
      <c r="B347" s="57">
        <v>2381</v>
      </c>
      <c r="C347" s="57">
        <v>3</v>
      </c>
      <c r="D347" s="57" t="s">
        <v>169</v>
      </c>
      <c r="E347" s="57">
        <v>0</v>
      </c>
      <c r="F347" s="57">
        <v>1.8003</v>
      </c>
      <c r="G347" s="57">
        <v>0.81220000000000003</v>
      </c>
    </row>
    <row r="348" spans="1:7" x14ac:dyDescent="0.2">
      <c r="A348" s="63">
        <v>44665</v>
      </c>
      <c r="B348" s="57">
        <v>2380</v>
      </c>
      <c r="C348" s="57">
        <v>2</v>
      </c>
      <c r="D348" s="57" t="s">
        <v>159</v>
      </c>
      <c r="E348" s="57">
        <v>1</v>
      </c>
      <c r="F348" s="57">
        <v>0.16639999999999999</v>
      </c>
      <c r="G348" s="57">
        <v>9.0800000000000006E-2</v>
      </c>
    </row>
    <row r="349" spans="1:7" x14ac:dyDescent="0.2">
      <c r="A349" s="63">
        <v>44665</v>
      </c>
      <c r="B349" s="57">
        <v>2377</v>
      </c>
      <c r="C349" s="57">
        <v>3</v>
      </c>
      <c r="D349" s="57" t="s">
        <v>169</v>
      </c>
      <c r="E349" s="57">
        <v>1</v>
      </c>
      <c r="F349" s="57">
        <v>0.71240000000000003</v>
      </c>
      <c r="G349" s="57">
        <v>0.42680000000000001</v>
      </c>
    </row>
    <row r="350" spans="1:7" x14ac:dyDescent="0.2">
      <c r="A350" s="63">
        <v>44665</v>
      </c>
      <c r="B350" s="57">
        <v>2028</v>
      </c>
      <c r="C350" s="57">
        <v>1</v>
      </c>
      <c r="D350" s="57" t="s">
        <v>169</v>
      </c>
      <c r="E350" s="57">
        <v>0</v>
      </c>
      <c r="F350" s="57">
        <v>0.72750000000000004</v>
      </c>
      <c r="G350" s="57">
        <v>0.36990000000000001</v>
      </c>
    </row>
    <row r="351" spans="1:7" x14ac:dyDescent="0.2">
      <c r="A351" s="63">
        <v>44665</v>
      </c>
      <c r="B351" s="57">
        <v>2367</v>
      </c>
      <c r="C351" s="57">
        <v>1</v>
      </c>
      <c r="D351" s="57" t="s">
        <v>159</v>
      </c>
      <c r="E351" s="57">
        <v>0</v>
      </c>
      <c r="F351" s="57">
        <v>2.7400000000000001E-2</v>
      </c>
      <c r="G351" s="57">
        <v>1.1599999999999999E-2</v>
      </c>
    </row>
    <row r="352" spans="1:7" x14ac:dyDescent="0.2">
      <c r="A352" s="63">
        <v>44665</v>
      </c>
      <c r="B352" s="57">
        <v>2383</v>
      </c>
      <c r="C352" s="57">
        <v>2</v>
      </c>
      <c r="D352" s="57" t="s">
        <v>159</v>
      </c>
      <c r="E352" s="57">
        <v>1</v>
      </c>
      <c r="F352" s="57">
        <v>7.4499999999999997E-2</v>
      </c>
      <c r="G352" s="57">
        <v>3.6700000000000003E-2</v>
      </c>
    </row>
    <row r="353" spans="1:7" x14ac:dyDescent="0.2">
      <c r="A353" s="63">
        <v>44665</v>
      </c>
      <c r="B353" s="57">
        <v>2007</v>
      </c>
      <c r="C353" s="57">
        <v>2</v>
      </c>
      <c r="D353" s="57" t="s">
        <v>159</v>
      </c>
      <c r="E353" s="57">
        <v>0</v>
      </c>
      <c r="F353" s="57">
        <v>0.31819999999999998</v>
      </c>
      <c r="G353" s="57">
        <v>0.14319999999999999</v>
      </c>
    </row>
    <row r="354" spans="1:7" x14ac:dyDescent="0.2">
      <c r="A354" s="63">
        <v>44665</v>
      </c>
      <c r="B354" s="57">
        <v>2012</v>
      </c>
      <c r="C354" s="57">
        <v>1</v>
      </c>
      <c r="D354" s="57" t="s">
        <v>159</v>
      </c>
      <c r="E354" s="57">
        <v>1</v>
      </c>
      <c r="F354" s="57">
        <v>0.46029999999999999</v>
      </c>
      <c r="G354" s="57">
        <v>0.25269999999999998</v>
      </c>
    </row>
    <row r="355" spans="1:7" x14ac:dyDescent="0.2">
      <c r="A355" s="63">
        <v>44665</v>
      </c>
      <c r="B355" s="57">
        <v>2028</v>
      </c>
      <c r="C355" s="57">
        <v>1</v>
      </c>
      <c r="D355" s="57" t="s">
        <v>169</v>
      </c>
      <c r="E355" s="57">
        <v>0</v>
      </c>
      <c r="F355" s="57">
        <v>6.0400000000000002E-2</v>
      </c>
      <c r="G355" s="57">
        <v>2.7699999999999999E-2</v>
      </c>
    </row>
    <row r="356" spans="1:7" x14ac:dyDescent="0.2">
      <c r="A356" s="63">
        <v>44665</v>
      </c>
      <c r="B356" s="57">
        <v>2078</v>
      </c>
      <c r="C356" s="57">
        <v>1</v>
      </c>
      <c r="D356" s="57" t="s">
        <v>159</v>
      </c>
      <c r="E356" s="57">
        <v>0</v>
      </c>
      <c r="F356" s="57">
        <v>0.66439999999999999</v>
      </c>
      <c r="G356" s="57">
        <v>2.5700000000000001E-2</v>
      </c>
    </row>
    <row r="357" spans="1:7" x14ac:dyDescent="0.2">
      <c r="A357" s="63">
        <v>44665</v>
      </c>
      <c r="B357" s="57">
        <v>2360</v>
      </c>
      <c r="C357" s="57">
        <v>1</v>
      </c>
      <c r="D357" s="57" t="s">
        <v>159</v>
      </c>
      <c r="E357" s="57">
        <v>0</v>
      </c>
      <c r="F357" s="57">
        <v>0.114</v>
      </c>
      <c r="G357" s="57">
        <v>0.05</v>
      </c>
    </row>
    <row r="358" spans="1:7" x14ac:dyDescent="0.2">
      <c r="A358" s="63">
        <v>44665</v>
      </c>
      <c r="B358" s="57">
        <v>2369</v>
      </c>
      <c r="C358" s="57">
        <v>2</v>
      </c>
      <c r="D358" s="57" t="s">
        <v>159</v>
      </c>
      <c r="E358" s="57">
        <v>1</v>
      </c>
      <c r="F358" s="57">
        <v>0.28570000000000001</v>
      </c>
      <c r="G358" s="57">
        <v>0.13489999999999999</v>
      </c>
    </row>
    <row r="359" spans="1:7" x14ac:dyDescent="0.2">
      <c r="A359" s="63">
        <v>44665</v>
      </c>
      <c r="B359" s="57">
        <v>2011</v>
      </c>
      <c r="C359" s="57">
        <v>1</v>
      </c>
      <c r="D359" s="57" t="s">
        <v>169</v>
      </c>
      <c r="E359" s="57">
        <v>0</v>
      </c>
      <c r="F359" s="57">
        <v>1.2607999999999999</v>
      </c>
      <c r="G359" s="57">
        <v>0.60660000000000003</v>
      </c>
    </row>
    <row r="360" spans="1:7" x14ac:dyDescent="0.2">
      <c r="A360" s="63">
        <v>44665</v>
      </c>
      <c r="B360" s="57">
        <v>2384</v>
      </c>
      <c r="C360" s="57">
        <v>1</v>
      </c>
      <c r="D360" s="57" t="s">
        <v>159</v>
      </c>
      <c r="E360" s="57">
        <v>1</v>
      </c>
      <c r="F360" s="57">
        <v>0.41880000000000001</v>
      </c>
      <c r="G360" s="57">
        <v>0.22570000000000001</v>
      </c>
    </row>
    <row r="361" spans="1:7" x14ac:dyDescent="0.2">
      <c r="A361" s="63">
        <v>44665</v>
      </c>
      <c r="B361" s="57">
        <v>2011</v>
      </c>
      <c r="C361" s="57">
        <v>1</v>
      </c>
      <c r="D361" s="57" t="s">
        <v>159</v>
      </c>
      <c r="E361" s="57">
        <v>1</v>
      </c>
      <c r="F361" s="57">
        <v>0.25290000000000001</v>
      </c>
      <c r="G361" s="57">
        <v>0.11210000000000001</v>
      </c>
    </row>
    <row r="362" spans="1:7" x14ac:dyDescent="0.2">
      <c r="A362" s="63">
        <v>44665</v>
      </c>
      <c r="B362" s="57">
        <v>2381</v>
      </c>
      <c r="C362" s="57">
        <v>1</v>
      </c>
      <c r="D362" s="57" t="s">
        <v>169</v>
      </c>
      <c r="E362" s="57">
        <v>1</v>
      </c>
      <c r="F362" s="57">
        <v>0.80820000000000003</v>
      </c>
      <c r="G362" s="57">
        <v>0.40229999999999999</v>
      </c>
    </row>
    <row r="363" spans="1:7" x14ac:dyDescent="0.2">
      <c r="A363" s="63">
        <v>44665</v>
      </c>
      <c r="B363" s="57">
        <v>2379</v>
      </c>
      <c r="C363" s="57">
        <v>2</v>
      </c>
      <c r="D363" s="57" t="s">
        <v>159</v>
      </c>
      <c r="E363" s="57">
        <v>1</v>
      </c>
      <c r="F363" s="57">
        <v>1.2313000000000001</v>
      </c>
      <c r="G363" s="57">
        <v>0.63629999999999998</v>
      </c>
    </row>
    <row r="364" spans="1:7" x14ac:dyDescent="0.2">
      <c r="A364" s="63">
        <v>44665</v>
      </c>
      <c r="B364" s="57">
        <v>2377</v>
      </c>
      <c r="C364" s="57">
        <v>1</v>
      </c>
      <c r="D364" s="57" t="s">
        <v>169</v>
      </c>
      <c r="E364" s="57">
        <v>1</v>
      </c>
      <c r="F364" s="57">
        <v>1.4716</v>
      </c>
      <c r="G364" s="57">
        <v>0.83520000000000005</v>
      </c>
    </row>
    <row r="365" spans="1:7" x14ac:dyDescent="0.2">
      <c r="A365" s="63">
        <v>44665</v>
      </c>
      <c r="B365" s="57">
        <v>2345</v>
      </c>
      <c r="C365" s="57">
        <v>1</v>
      </c>
      <c r="D365" s="57" t="s">
        <v>169</v>
      </c>
      <c r="E365" s="57">
        <v>0</v>
      </c>
      <c r="F365" s="57">
        <v>1.0044</v>
      </c>
      <c r="G365" s="57">
        <v>0.58220000000000005</v>
      </c>
    </row>
    <row r="366" spans="1:7" x14ac:dyDescent="0.2">
      <c r="A366" s="63">
        <v>44665</v>
      </c>
      <c r="B366" s="57">
        <v>2351</v>
      </c>
      <c r="C366" s="57">
        <v>1</v>
      </c>
      <c r="D366" s="57" t="s">
        <v>159</v>
      </c>
      <c r="E366" s="57">
        <v>0</v>
      </c>
      <c r="F366" s="57">
        <v>3.7100000000000001E-2</v>
      </c>
      <c r="G366" s="57">
        <v>1.37E-2</v>
      </c>
    </row>
    <row r="367" spans="1:7" x14ac:dyDescent="0.2">
      <c r="A367" s="63">
        <v>44665</v>
      </c>
      <c r="B367" s="57">
        <v>2367</v>
      </c>
      <c r="C367" s="57">
        <v>2</v>
      </c>
      <c r="D367" s="57" t="s">
        <v>169</v>
      </c>
      <c r="E367" s="57">
        <v>0</v>
      </c>
      <c r="F367" s="57">
        <v>0.64329999999999998</v>
      </c>
      <c r="G367" s="57">
        <v>0.28570000000000001</v>
      </c>
    </row>
    <row r="368" spans="1:7" x14ac:dyDescent="0.2">
      <c r="A368" s="63">
        <v>44665</v>
      </c>
      <c r="B368" s="57">
        <v>2381</v>
      </c>
      <c r="C368" s="57">
        <v>2</v>
      </c>
      <c r="D368" s="57" t="s">
        <v>159</v>
      </c>
      <c r="E368" s="57">
        <v>0</v>
      </c>
      <c r="F368" s="57">
        <v>0.17449999999999999</v>
      </c>
      <c r="G368" s="57">
        <v>7.0599999999999996E-2</v>
      </c>
    </row>
    <row r="369" spans="1:7" x14ac:dyDescent="0.2">
      <c r="A369" s="63">
        <v>44665</v>
      </c>
      <c r="B369" s="57">
        <v>2381</v>
      </c>
      <c r="C369" s="57">
        <v>2</v>
      </c>
      <c r="D369" s="57" t="s">
        <v>169</v>
      </c>
      <c r="E369" s="57">
        <v>0</v>
      </c>
      <c r="F369" s="57">
        <v>1.4029</v>
      </c>
      <c r="G369" s="57">
        <v>0.66490000000000005</v>
      </c>
    </row>
    <row r="370" spans="1:7" x14ac:dyDescent="0.2">
      <c r="A370" s="63">
        <v>44665</v>
      </c>
      <c r="B370" s="57">
        <v>2011</v>
      </c>
      <c r="C370" s="57">
        <v>1</v>
      </c>
      <c r="D370" s="57" t="s">
        <v>159</v>
      </c>
      <c r="E370" s="57">
        <v>0</v>
      </c>
      <c r="F370" s="57">
        <v>0.12</v>
      </c>
      <c r="G370" s="57">
        <v>4.7699999999999999E-2</v>
      </c>
    </row>
    <row r="371" spans="1:7" x14ac:dyDescent="0.2">
      <c r="A371" s="63">
        <v>44665</v>
      </c>
      <c r="B371" s="57">
        <v>2384</v>
      </c>
      <c r="C371" s="57">
        <v>3</v>
      </c>
      <c r="D371" s="57" t="s">
        <v>159</v>
      </c>
      <c r="E371" s="57">
        <v>1</v>
      </c>
      <c r="F371" s="57">
        <v>0.1061</v>
      </c>
      <c r="G371" s="57">
        <v>5.7700000000000001E-2</v>
      </c>
    </row>
    <row r="372" spans="1:7" x14ac:dyDescent="0.2">
      <c r="A372" s="63">
        <v>44665</v>
      </c>
      <c r="B372" s="57">
        <v>2381</v>
      </c>
      <c r="C372" s="57">
        <v>2</v>
      </c>
      <c r="D372" s="57" t="s">
        <v>159</v>
      </c>
      <c r="E372" s="57">
        <v>1</v>
      </c>
      <c r="F372" s="57">
        <v>0.30420000000000003</v>
      </c>
      <c r="G372" s="57">
        <v>0.14119999999999999</v>
      </c>
    </row>
    <row r="373" spans="1:7" x14ac:dyDescent="0.2">
      <c r="A373" s="63">
        <v>44665</v>
      </c>
      <c r="B373" s="57">
        <v>2381</v>
      </c>
      <c r="C373" s="57">
        <v>3</v>
      </c>
      <c r="D373" s="57" t="s">
        <v>169</v>
      </c>
      <c r="E373" s="57">
        <v>1</v>
      </c>
      <c r="F373" s="57">
        <v>2.3696000000000002</v>
      </c>
      <c r="G373" s="57">
        <v>1.1948000000000001</v>
      </c>
    </row>
    <row r="374" spans="1:7" x14ac:dyDescent="0.2">
      <c r="A374" s="63">
        <v>44665</v>
      </c>
      <c r="B374" s="57">
        <v>2381</v>
      </c>
      <c r="C374" s="57">
        <v>3</v>
      </c>
      <c r="D374" s="57" t="s">
        <v>159</v>
      </c>
      <c r="E374" s="57">
        <v>1</v>
      </c>
      <c r="F374" s="57">
        <v>0.2117</v>
      </c>
      <c r="G374" s="57">
        <v>8.8499999999999995E-2</v>
      </c>
    </row>
    <row r="375" spans="1:7" x14ac:dyDescent="0.2">
      <c r="A375" s="63">
        <v>44665</v>
      </c>
      <c r="B375" s="57">
        <v>2010</v>
      </c>
      <c r="C375" s="57">
        <v>2</v>
      </c>
      <c r="D375" s="57" t="s">
        <v>159</v>
      </c>
      <c r="E375" s="57">
        <v>1</v>
      </c>
      <c r="F375" s="57">
        <v>0.1232</v>
      </c>
      <c r="G375" s="57">
        <v>5.7700000000000001E-2</v>
      </c>
    </row>
    <row r="376" spans="1:7" x14ac:dyDescent="0.2">
      <c r="A376" s="63">
        <v>44662</v>
      </c>
      <c r="B376" s="57">
        <v>2089</v>
      </c>
      <c r="C376" s="57">
        <v>1</v>
      </c>
      <c r="D376" s="57" t="s">
        <v>169</v>
      </c>
      <c r="E376" s="57">
        <v>0</v>
      </c>
      <c r="F376" s="57">
        <v>0.80610000000000004</v>
      </c>
      <c r="G376" s="57">
        <v>0.45400000000000001</v>
      </c>
    </row>
    <row r="377" spans="1:7" x14ac:dyDescent="0.2">
      <c r="A377" s="63">
        <v>44662</v>
      </c>
      <c r="B377" s="57">
        <v>2088</v>
      </c>
      <c r="C377" s="57">
        <v>1</v>
      </c>
      <c r="D377" s="57" t="s">
        <v>159</v>
      </c>
      <c r="E377" s="57">
        <v>0</v>
      </c>
      <c r="F377" s="57">
        <v>4.1099999999999998E-2</v>
      </c>
      <c r="G377" s="57">
        <v>1.6E-2</v>
      </c>
    </row>
    <row r="378" spans="1:7" x14ac:dyDescent="0.2">
      <c r="A378" s="63">
        <v>44662</v>
      </c>
      <c r="B378" s="57">
        <v>2088</v>
      </c>
      <c r="C378" s="57">
        <v>2</v>
      </c>
      <c r="D378" s="57" t="s">
        <v>159</v>
      </c>
      <c r="E378" s="57">
        <v>0</v>
      </c>
      <c r="F378" s="57">
        <v>9.4600000000000004E-2</v>
      </c>
      <c r="G378" s="57">
        <v>3.5999999999999997E-2</v>
      </c>
    </row>
    <row r="379" spans="1:7" x14ac:dyDescent="0.2">
      <c r="A379" s="63">
        <v>44662</v>
      </c>
      <c r="B379" s="57">
        <v>2092</v>
      </c>
      <c r="C379" s="57">
        <v>1</v>
      </c>
      <c r="D379" s="57" t="s">
        <v>169</v>
      </c>
      <c r="E379" s="57">
        <v>1</v>
      </c>
      <c r="F379" s="57">
        <v>3.8794</v>
      </c>
      <c r="G379" s="57">
        <v>2.1080000000000001</v>
      </c>
    </row>
    <row r="380" spans="1:7" x14ac:dyDescent="0.2">
      <c r="A380" s="63">
        <v>44662</v>
      </c>
      <c r="B380" s="57">
        <v>2088</v>
      </c>
      <c r="C380" s="57">
        <v>1</v>
      </c>
      <c r="D380" s="57" t="s">
        <v>169</v>
      </c>
      <c r="E380" s="57">
        <v>0</v>
      </c>
      <c r="F380" s="57">
        <v>0.32829999999999998</v>
      </c>
      <c r="G380" s="57">
        <v>0.154</v>
      </c>
    </row>
    <row r="381" spans="1:7" x14ac:dyDescent="0.2">
      <c r="A381" s="63">
        <v>44662</v>
      </c>
      <c r="B381" s="57">
        <v>2090</v>
      </c>
      <c r="C381" s="57">
        <v>1</v>
      </c>
      <c r="D381" s="57" t="s">
        <v>159</v>
      </c>
      <c r="E381" s="57">
        <v>0</v>
      </c>
      <c r="F381" s="57">
        <v>0.18559999999999999</v>
      </c>
      <c r="G381" s="57">
        <v>7.8E-2</v>
      </c>
    </row>
    <row r="382" spans="1:7" x14ac:dyDescent="0.2">
      <c r="A382" s="63">
        <v>44662</v>
      </c>
      <c r="B382" s="57">
        <v>2085</v>
      </c>
      <c r="C382" s="57">
        <v>1</v>
      </c>
      <c r="D382" s="57" t="s">
        <v>159</v>
      </c>
      <c r="E382" s="57">
        <v>1</v>
      </c>
      <c r="F382" s="57">
        <v>0.64529999999999998</v>
      </c>
      <c r="G382" s="57">
        <v>0.32100000000000001</v>
      </c>
    </row>
    <row r="383" spans="1:7" x14ac:dyDescent="0.2">
      <c r="A383" s="63">
        <v>44662</v>
      </c>
      <c r="B383" s="57">
        <v>2090</v>
      </c>
      <c r="C383" s="57">
        <v>1</v>
      </c>
      <c r="D383" s="57" t="s">
        <v>159</v>
      </c>
      <c r="E383" s="57">
        <v>1</v>
      </c>
      <c r="F383" s="57">
        <v>0.30709999999999998</v>
      </c>
      <c r="G383" s="57">
        <v>0.14299999999999999</v>
      </c>
    </row>
    <row r="384" spans="1:7" x14ac:dyDescent="0.2">
      <c r="A384" s="63">
        <v>44662</v>
      </c>
      <c r="B384" s="57">
        <v>2087</v>
      </c>
      <c r="C384" s="57">
        <v>1</v>
      </c>
      <c r="D384" s="57" t="s">
        <v>169</v>
      </c>
      <c r="E384" s="57">
        <v>0</v>
      </c>
      <c r="F384" s="57">
        <v>1.0510999999999999</v>
      </c>
      <c r="G384" s="57">
        <v>0.46300000000000002</v>
      </c>
    </row>
    <row r="385" spans="1:7" x14ac:dyDescent="0.2">
      <c r="A385" s="63">
        <v>44662</v>
      </c>
      <c r="B385" s="57">
        <v>2093</v>
      </c>
      <c r="C385" s="57">
        <v>1</v>
      </c>
      <c r="D385" s="57" t="s">
        <v>169</v>
      </c>
      <c r="E385" s="57">
        <v>1</v>
      </c>
      <c r="F385" s="57">
        <v>1.5894999999999999</v>
      </c>
      <c r="G385" s="57">
        <v>0.97899999999999998</v>
      </c>
    </row>
    <row r="386" spans="1:7" x14ac:dyDescent="0.2">
      <c r="A386" s="63">
        <v>44662</v>
      </c>
      <c r="B386" s="57">
        <v>2089</v>
      </c>
      <c r="C386" s="57">
        <v>1</v>
      </c>
      <c r="D386" s="57" t="s">
        <v>169</v>
      </c>
      <c r="E386" s="57">
        <v>0</v>
      </c>
      <c r="F386" s="57">
        <v>1.2576000000000001</v>
      </c>
      <c r="G386" s="57">
        <v>0.51900000000000002</v>
      </c>
    </row>
    <row r="387" spans="1:7" x14ac:dyDescent="0.2">
      <c r="A387" s="63">
        <v>44662</v>
      </c>
      <c r="B387" s="57">
        <v>2087</v>
      </c>
      <c r="C387" s="57">
        <v>1</v>
      </c>
      <c r="D387" s="57" t="s">
        <v>159</v>
      </c>
      <c r="E387" s="57">
        <v>0</v>
      </c>
      <c r="F387" s="57">
        <v>0.1963</v>
      </c>
      <c r="G387" s="57">
        <v>7.6999999999999999E-2</v>
      </c>
    </row>
    <row r="388" spans="1:7" x14ac:dyDescent="0.2">
      <c r="A388" s="63">
        <v>44662</v>
      </c>
      <c r="B388" s="57">
        <v>2085</v>
      </c>
      <c r="C388" s="57">
        <v>1</v>
      </c>
      <c r="D388" s="57" t="s">
        <v>159</v>
      </c>
      <c r="E388" s="57">
        <v>0</v>
      </c>
      <c r="F388" s="57">
        <v>0.2913</v>
      </c>
      <c r="G388" s="57">
        <v>0.123</v>
      </c>
    </row>
    <row r="389" spans="1:7" x14ac:dyDescent="0.2">
      <c r="A389" s="63">
        <v>44662</v>
      </c>
      <c r="B389" s="57">
        <v>2088</v>
      </c>
      <c r="C389" s="57">
        <v>2</v>
      </c>
      <c r="D389" s="57" t="s">
        <v>169</v>
      </c>
      <c r="E389" s="57">
        <v>0</v>
      </c>
      <c r="F389" s="57">
        <v>0.64039999999999997</v>
      </c>
      <c r="G389" s="57">
        <v>0.3</v>
      </c>
    </row>
    <row r="390" spans="1:7" x14ac:dyDescent="0.2">
      <c r="A390" s="63">
        <v>44662</v>
      </c>
      <c r="B390" s="57">
        <v>2085</v>
      </c>
      <c r="C390" s="57">
        <v>1</v>
      </c>
      <c r="D390" s="57" t="s">
        <v>169</v>
      </c>
      <c r="E390" s="57">
        <v>0</v>
      </c>
      <c r="F390" s="57">
        <v>1.2853000000000001</v>
      </c>
      <c r="G390" s="57">
        <v>0.57699999999999996</v>
      </c>
    </row>
    <row r="391" spans="1:7" x14ac:dyDescent="0.2">
      <c r="A391" s="63">
        <v>44662</v>
      </c>
      <c r="B391" s="57">
        <v>2089</v>
      </c>
      <c r="C391" s="57">
        <v>1</v>
      </c>
      <c r="D391" s="57" t="s">
        <v>159</v>
      </c>
      <c r="E391" s="57">
        <v>1</v>
      </c>
      <c r="F391" s="57">
        <v>3.0099999999999998E-2</v>
      </c>
      <c r="G391" s="57">
        <v>1.4999999999999999E-2</v>
      </c>
    </row>
    <row r="392" spans="1:7" x14ac:dyDescent="0.2">
      <c r="A392" s="63">
        <v>44655</v>
      </c>
      <c r="B392" s="57">
        <v>2383</v>
      </c>
      <c r="C392" s="57">
        <v>1</v>
      </c>
      <c r="D392" s="57" t="s">
        <v>169</v>
      </c>
      <c r="E392" s="57">
        <v>0</v>
      </c>
      <c r="F392" s="57">
        <v>0.98199999999999998</v>
      </c>
      <c r="G392" s="57">
        <v>0.49099999999999999</v>
      </c>
    </row>
    <row r="393" spans="1:7" x14ac:dyDescent="0.2">
      <c r="A393" s="63">
        <v>44662</v>
      </c>
      <c r="B393" s="57">
        <v>2086</v>
      </c>
      <c r="C393" s="57">
        <v>1</v>
      </c>
      <c r="D393" s="57" t="s">
        <v>159</v>
      </c>
      <c r="E393" s="57">
        <v>1</v>
      </c>
      <c r="F393" s="57">
        <v>0.1172</v>
      </c>
      <c r="G393" s="57">
        <v>5.3999999999999999E-2</v>
      </c>
    </row>
    <row r="394" spans="1:7" x14ac:dyDescent="0.2">
      <c r="A394" s="63">
        <v>44662</v>
      </c>
      <c r="B394" s="57">
        <v>2086</v>
      </c>
      <c r="C394" s="57">
        <v>1</v>
      </c>
      <c r="D394" s="57" t="s">
        <v>159</v>
      </c>
      <c r="E394" s="57">
        <v>0</v>
      </c>
      <c r="F394" s="57">
        <v>0.1356</v>
      </c>
      <c r="G394" s="57">
        <v>5.6500000000000002E-2</v>
      </c>
    </row>
    <row r="395" spans="1:7" x14ac:dyDescent="0.2">
      <c r="A395" s="63">
        <v>44662</v>
      </c>
      <c r="B395" s="57">
        <v>2086</v>
      </c>
      <c r="C395" s="57">
        <v>2</v>
      </c>
      <c r="D395" s="57" t="s">
        <v>159</v>
      </c>
      <c r="E395" s="57">
        <v>0</v>
      </c>
      <c r="F395" s="57">
        <v>0.22989999999999999</v>
      </c>
      <c r="G395" s="57">
        <v>8.6499999999999994E-2</v>
      </c>
    </row>
    <row r="396" spans="1:7" x14ac:dyDescent="0.2">
      <c r="A396" s="63">
        <v>44662</v>
      </c>
      <c r="B396" s="57">
        <v>2091</v>
      </c>
      <c r="C396" s="57">
        <v>1</v>
      </c>
      <c r="D396" s="57" t="s">
        <v>159</v>
      </c>
      <c r="E396" s="57">
        <v>0</v>
      </c>
      <c r="F396" s="57">
        <v>6.2300000000000001E-2</v>
      </c>
      <c r="G396" s="57">
        <v>2.1399999999999999E-2</v>
      </c>
    </row>
    <row r="397" spans="1:7" x14ac:dyDescent="0.2">
      <c r="A397" s="63">
        <v>44662</v>
      </c>
      <c r="B397" s="57">
        <v>2090</v>
      </c>
      <c r="C397" s="57">
        <v>1</v>
      </c>
      <c r="D397" s="57" t="s">
        <v>169</v>
      </c>
      <c r="E397" s="57">
        <v>0</v>
      </c>
      <c r="F397" s="57">
        <v>1.7516</v>
      </c>
      <c r="G397" s="57">
        <v>0.80779999999999996</v>
      </c>
    </row>
    <row r="398" spans="1:7" x14ac:dyDescent="0.2">
      <c r="A398" s="63">
        <v>44662</v>
      </c>
      <c r="B398" s="57">
        <v>2085</v>
      </c>
      <c r="C398" s="57">
        <v>2</v>
      </c>
      <c r="D398" s="57" t="s">
        <v>159</v>
      </c>
      <c r="E398" s="57">
        <v>0</v>
      </c>
      <c r="F398" s="57">
        <v>0.32590000000000002</v>
      </c>
      <c r="G398" s="57">
        <v>0.1328</v>
      </c>
    </row>
    <row r="399" spans="1:7" x14ac:dyDescent="0.2">
      <c r="A399" s="63">
        <v>44662</v>
      </c>
      <c r="B399" s="57">
        <v>2091</v>
      </c>
      <c r="C399" s="57">
        <v>1</v>
      </c>
      <c r="D399" s="57" t="s">
        <v>169</v>
      </c>
      <c r="E399" s="57">
        <v>1</v>
      </c>
      <c r="F399" s="57">
        <v>2.8018999999999998</v>
      </c>
      <c r="G399" s="57">
        <v>1.6554</v>
      </c>
    </row>
    <row r="400" spans="1:7" x14ac:dyDescent="0.2">
      <c r="A400" s="63">
        <v>44662</v>
      </c>
      <c r="B400" s="57">
        <v>2085</v>
      </c>
      <c r="C400" s="57">
        <v>2</v>
      </c>
      <c r="D400" s="57" t="s">
        <v>159</v>
      </c>
      <c r="E400" s="57">
        <v>1</v>
      </c>
      <c r="F400" s="57">
        <v>0.29360000000000003</v>
      </c>
      <c r="G400" s="57">
        <v>0.1338</v>
      </c>
    </row>
    <row r="401" spans="1:7" x14ac:dyDescent="0.2">
      <c r="A401" s="63">
        <v>44662</v>
      </c>
      <c r="B401" s="57">
        <v>2088</v>
      </c>
      <c r="C401" s="57">
        <v>2</v>
      </c>
      <c r="D401" s="57" t="s">
        <v>159</v>
      </c>
      <c r="E401" s="57">
        <v>1</v>
      </c>
      <c r="F401" s="57">
        <v>0.17949999999999999</v>
      </c>
      <c r="G401" s="57">
        <v>8.6699999999999999E-2</v>
      </c>
    </row>
    <row r="402" spans="1:7" x14ac:dyDescent="0.2">
      <c r="A402" s="63">
        <v>44662</v>
      </c>
      <c r="B402" s="57">
        <v>2091</v>
      </c>
      <c r="C402" s="57">
        <v>2</v>
      </c>
      <c r="D402" s="57" t="s">
        <v>159</v>
      </c>
      <c r="E402" s="57">
        <v>1</v>
      </c>
      <c r="F402" s="57">
        <v>0.40089999999999998</v>
      </c>
      <c r="G402" s="57">
        <v>0.21379999999999999</v>
      </c>
    </row>
    <row r="403" spans="1:7" x14ac:dyDescent="0.2">
      <c r="A403" s="63">
        <v>44662</v>
      </c>
      <c r="B403" s="57">
        <v>2092</v>
      </c>
      <c r="C403" s="57">
        <v>2</v>
      </c>
      <c r="D403" s="57" t="s">
        <v>159</v>
      </c>
      <c r="E403" s="57">
        <v>0</v>
      </c>
      <c r="F403" s="57">
        <v>8.1600000000000006E-2</v>
      </c>
      <c r="G403" s="57">
        <v>2.8299999999999999E-2</v>
      </c>
    </row>
    <row r="404" spans="1:7" x14ac:dyDescent="0.2">
      <c r="A404" s="63">
        <v>44662</v>
      </c>
      <c r="B404" s="57">
        <v>2089</v>
      </c>
      <c r="C404" s="57">
        <v>2</v>
      </c>
      <c r="D404" s="57" t="s">
        <v>159</v>
      </c>
      <c r="E404" s="57">
        <v>0</v>
      </c>
      <c r="F404" s="57">
        <v>4.2599999999999999E-2</v>
      </c>
      <c r="G404" s="57">
        <v>1.3299999999999999E-2</v>
      </c>
    </row>
    <row r="405" spans="1:7" x14ac:dyDescent="0.2">
      <c r="A405" s="63">
        <v>44662</v>
      </c>
      <c r="B405" s="57">
        <v>2089</v>
      </c>
      <c r="C405" s="57">
        <v>2</v>
      </c>
      <c r="D405" s="57" t="s">
        <v>159</v>
      </c>
      <c r="E405" s="57">
        <v>0</v>
      </c>
      <c r="F405" s="57">
        <v>0.1051</v>
      </c>
      <c r="G405" s="57">
        <v>1.3100000000000001E-2</v>
      </c>
    </row>
    <row r="406" spans="1:7" x14ac:dyDescent="0.2">
      <c r="A406" s="63">
        <v>44662</v>
      </c>
      <c r="B406" s="57">
        <v>2088</v>
      </c>
      <c r="C406" s="57">
        <v>1</v>
      </c>
      <c r="D406" s="57" t="s">
        <v>159</v>
      </c>
      <c r="E406" s="57">
        <v>0</v>
      </c>
      <c r="F406" s="57">
        <v>0.123</v>
      </c>
      <c r="G406" s="57">
        <v>4.87E-2</v>
      </c>
    </row>
    <row r="407" spans="1:7" x14ac:dyDescent="0.2">
      <c r="A407" s="63">
        <v>44662</v>
      </c>
      <c r="B407" s="57">
        <v>2093</v>
      </c>
      <c r="C407" s="57">
        <v>1</v>
      </c>
      <c r="D407" s="57" t="s">
        <v>159</v>
      </c>
      <c r="E407" s="57">
        <v>1</v>
      </c>
      <c r="F407" s="57">
        <v>0.1996</v>
      </c>
      <c r="G407" s="57">
        <v>0.1062</v>
      </c>
    </row>
    <row r="408" spans="1:7" x14ac:dyDescent="0.2">
      <c r="A408" s="63">
        <v>44662</v>
      </c>
      <c r="B408" s="57">
        <v>2093</v>
      </c>
      <c r="C408" s="57">
        <v>2</v>
      </c>
      <c r="D408" s="57" t="s">
        <v>169</v>
      </c>
      <c r="E408" s="57">
        <v>0</v>
      </c>
      <c r="F408" s="57">
        <v>1.0849</v>
      </c>
      <c r="G408" s="57">
        <v>0.64800000000000002</v>
      </c>
    </row>
    <row r="409" spans="1:7" x14ac:dyDescent="0.2">
      <c r="A409" s="63">
        <v>44662</v>
      </c>
      <c r="B409" s="57">
        <v>2085</v>
      </c>
      <c r="C409" s="57">
        <v>2</v>
      </c>
      <c r="D409" s="57" t="s">
        <v>169</v>
      </c>
      <c r="E409" s="57">
        <v>0</v>
      </c>
      <c r="F409" s="57">
        <v>1.1492</v>
      </c>
      <c r="G409" s="57">
        <v>0.47899999999999998</v>
      </c>
    </row>
    <row r="410" spans="1:7" x14ac:dyDescent="0.2">
      <c r="A410" s="63">
        <v>44662</v>
      </c>
      <c r="B410" s="57">
        <v>2089</v>
      </c>
      <c r="C410" s="57">
        <v>2</v>
      </c>
      <c r="D410" s="57" t="s">
        <v>159</v>
      </c>
      <c r="E410" s="57">
        <v>0</v>
      </c>
      <c r="F410" s="57">
        <v>5.8200000000000002E-2</v>
      </c>
      <c r="G410" s="57">
        <v>1.9400000000000001E-2</v>
      </c>
    </row>
    <row r="411" spans="1:7" x14ac:dyDescent="0.2">
      <c r="A411" s="63">
        <v>44662</v>
      </c>
      <c r="B411" s="57">
        <v>2093</v>
      </c>
      <c r="C411" s="57">
        <v>2</v>
      </c>
      <c r="D411" s="57" t="s">
        <v>159</v>
      </c>
      <c r="E411" s="57">
        <v>0</v>
      </c>
      <c r="F411" s="57">
        <v>9.5299999999999996E-2</v>
      </c>
      <c r="G411" s="57">
        <v>3.2899999999999999E-2</v>
      </c>
    </row>
    <row r="412" spans="1:7" x14ac:dyDescent="0.2">
      <c r="A412" s="63">
        <v>44662</v>
      </c>
      <c r="B412" s="57">
        <v>2087</v>
      </c>
      <c r="C412" s="57">
        <v>1</v>
      </c>
      <c r="D412" s="57" t="s">
        <v>159</v>
      </c>
      <c r="E412" s="57">
        <v>1</v>
      </c>
      <c r="F412" s="57">
        <v>0.14599999999999999</v>
      </c>
      <c r="G412" s="57">
        <v>6.2399999999999997E-2</v>
      </c>
    </row>
    <row r="413" spans="1:7" x14ac:dyDescent="0.2">
      <c r="A413" s="63">
        <v>44662</v>
      </c>
      <c r="B413" s="57">
        <v>2092</v>
      </c>
      <c r="C413" s="57">
        <v>2</v>
      </c>
      <c r="D413" s="57" t="s">
        <v>159</v>
      </c>
      <c r="E413" s="57">
        <v>1</v>
      </c>
      <c r="F413" s="57">
        <v>0.81920000000000004</v>
      </c>
      <c r="G413" s="57">
        <v>0.42399999999999999</v>
      </c>
    </row>
    <row r="414" spans="1:7" x14ac:dyDescent="0.2">
      <c r="A414" s="63">
        <v>44662</v>
      </c>
      <c r="B414" s="57">
        <v>2088</v>
      </c>
      <c r="C414" s="57">
        <v>1</v>
      </c>
      <c r="D414" s="57" t="s">
        <v>169</v>
      </c>
      <c r="E414" s="57">
        <v>0</v>
      </c>
      <c r="F414" s="57">
        <v>0.82730000000000004</v>
      </c>
      <c r="G414" s="57">
        <v>0.38100000000000001</v>
      </c>
    </row>
    <row r="415" spans="1:7" x14ac:dyDescent="0.2">
      <c r="A415" s="63">
        <v>44662</v>
      </c>
      <c r="B415" s="57">
        <v>2093</v>
      </c>
      <c r="C415" s="57">
        <v>2</v>
      </c>
      <c r="D415" s="57" t="s">
        <v>159</v>
      </c>
      <c r="E415" s="57">
        <v>1</v>
      </c>
      <c r="F415" s="57">
        <v>0.19420000000000001</v>
      </c>
      <c r="G415" s="57">
        <v>9.7299999999999998E-2</v>
      </c>
    </row>
    <row r="416" spans="1:7" x14ac:dyDescent="0.2">
      <c r="A416" s="63">
        <v>44662</v>
      </c>
      <c r="B416" s="57">
        <v>2091</v>
      </c>
      <c r="C416" s="57">
        <v>2</v>
      </c>
      <c r="D416" s="57" t="s">
        <v>159</v>
      </c>
      <c r="E416" s="57">
        <v>1</v>
      </c>
      <c r="F416" s="57">
        <v>0.73170000000000002</v>
      </c>
      <c r="G416" s="57">
        <v>0.41499999999999998</v>
      </c>
    </row>
    <row r="417" spans="1:7" x14ac:dyDescent="0.2">
      <c r="A417" s="63">
        <v>44662</v>
      </c>
      <c r="B417" s="57">
        <v>2089</v>
      </c>
      <c r="C417" s="57">
        <v>2</v>
      </c>
      <c r="D417" s="57" t="s">
        <v>159</v>
      </c>
      <c r="E417" s="57">
        <v>1</v>
      </c>
      <c r="F417" s="57">
        <v>0.4995</v>
      </c>
      <c r="G417" s="57">
        <v>0.25130000000000002</v>
      </c>
    </row>
    <row r="418" spans="1:7" x14ac:dyDescent="0.2">
      <c r="A418" s="63">
        <v>44662</v>
      </c>
      <c r="B418" s="57">
        <v>2089</v>
      </c>
      <c r="C418" s="57">
        <v>2</v>
      </c>
      <c r="D418" s="57" t="s">
        <v>169</v>
      </c>
      <c r="E418" s="57">
        <v>1</v>
      </c>
      <c r="F418" s="57">
        <v>1.1891</v>
      </c>
      <c r="G418" s="57">
        <v>0.60650000000000004</v>
      </c>
    </row>
    <row r="419" spans="1:7" x14ac:dyDescent="0.2">
      <c r="A419" s="63">
        <v>44662</v>
      </c>
      <c r="B419" s="57">
        <v>2086</v>
      </c>
      <c r="C419" s="57">
        <v>2</v>
      </c>
      <c r="D419" s="57" t="s">
        <v>169</v>
      </c>
      <c r="E419" s="57">
        <v>0</v>
      </c>
      <c r="F419" s="57">
        <v>0.70030000000000003</v>
      </c>
      <c r="G419" s="57">
        <v>0.31090000000000001</v>
      </c>
    </row>
    <row r="420" spans="1:7" x14ac:dyDescent="0.2">
      <c r="A420" s="63">
        <v>44663</v>
      </c>
      <c r="B420" s="57">
        <v>2343</v>
      </c>
      <c r="C420" s="57">
        <v>3</v>
      </c>
      <c r="D420" s="57" t="s">
        <v>159</v>
      </c>
      <c r="E420" s="57">
        <v>0</v>
      </c>
      <c r="F420" s="57">
        <v>0.14799999999999999</v>
      </c>
      <c r="G420" s="57">
        <v>5.8999999999999997E-2</v>
      </c>
    </row>
    <row r="421" spans="1:7" x14ac:dyDescent="0.2">
      <c r="A421" s="63">
        <v>44663</v>
      </c>
      <c r="B421" s="57">
        <v>2343</v>
      </c>
      <c r="C421" s="57">
        <v>1</v>
      </c>
      <c r="D421" s="57" t="s">
        <v>169</v>
      </c>
      <c r="E421" s="57">
        <v>0</v>
      </c>
      <c r="F421" s="57">
        <v>0.91300000000000003</v>
      </c>
      <c r="G421" s="57">
        <v>0.41899999999999998</v>
      </c>
    </row>
    <row r="422" spans="1:7" x14ac:dyDescent="0.2">
      <c r="A422" s="63">
        <v>44663</v>
      </c>
      <c r="B422" s="57">
        <v>2347</v>
      </c>
      <c r="C422" s="57">
        <v>1</v>
      </c>
      <c r="D422" s="57" t="s">
        <v>159</v>
      </c>
      <c r="E422" s="57">
        <v>0</v>
      </c>
      <c r="F422" s="57">
        <v>0.159</v>
      </c>
      <c r="G422" s="57">
        <v>5.8000000000000003E-2</v>
      </c>
    </row>
    <row r="423" spans="1:7" x14ac:dyDescent="0.2">
      <c r="A423" s="63">
        <v>44663</v>
      </c>
      <c r="B423" s="57">
        <v>2343</v>
      </c>
      <c r="C423" s="57">
        <v>3</v>
      </c>
      <c r="D423" s="57" t="s">
        <v>169</v>
      </c>
      <c r="E423" s="57">
        <v>0</v>
      </c>
      <c r="F423" s="57">
        <v>0.98399999999999999</v>
      </c>
      <c r="G423" s="57">
        <v>0.437</v>
      </c>
    </row>
    <row r="424" spans="1:7" x14ac:dyDescent="0.2">
      <c r="A424" s="63">
        <v>44663</v>
      </c>
      <c r="B424" s="57">
        <v>2331</v>
      </c>
      <c r="C424" s="57">
        <v>1</v>
      </c>
      <c r="D424" s="57" t="s">
        <v>159</v>
      </c>
      <c r="E424" s="57">
        <v>1</v>
      </c>
      <c r="F424" s="57">
        <v>0.127</v>
      </c>
      <c r="G424" s="57">
        <v>6.4000000000000001E-2</v>
      </c>
    </row>
    <row r="425" spans="1:7" x14ac:dyDescent="0.2">
      <c r="A425" s="63">
        <v>44663</v>
      </c>
      <c r="B425" s="57">
        <v>2347</v>
      </c>
      <c r="C425" s="57">
        <v>2</v>
      </c>
      <c r="D425" s="57" t="s">
        <v>169</v>
      </c>
      <c r="E425" s="57">
        <v>0</v>
      </c>
      <c r="F425" s="57">
        <v>0.7</v>
      </c>
      <c r="G425" s="57">
        <v>0.29399999999999998</v>
      </c>
    </row>
    <row r="426" spans="1:7" x14ac:dyDescent="0.2">
      <c r="A426" s="63">
        <v>44663</v>
      </c>
      <c r="B426" s="57">
        <v>2347</v>
      </c>
      <c r="C426" s="57">
        <v>3</v>
      </c>
      <c r="D426" s="57" t="s">
        <v>159</v>
      </c>
      <c r="E426" s="57">
        <v>0</v>
      </c>
      <c r="F426" s="57">
        <v>2.1000000000000001E-2</v>
      </c>
      <c r="G426" s="57">
        <v>7.0000000000000001E-3</v>
      </c>
    </row>
    <row r="427" spans="1:7" x14ac:dyDescent="0.2">
      <c r="A427" s="63">
        <v>44663</v>
      </c>
      <c r="B427" s="57">
        <v>2354</v>
      </c>
      <c r="C427" s="57">
        <v>2</v>
      </c>
      <c r="D427" s="57" t="s">
        <v>159</v>
      </c>
      <c r="E427" s="57">
        <v>0</v>
      </c>
      <c r="F427" s="57">
        <v>3.7999999999999999E-2</v>
      </c>
      <c r="G427" s="57">
        <v>1.2999999999999999E-2</v>
      </c>
    </row>
    <row r="428" spans="1:7" x14ac:dyDescent="0.2">
      <c r="A428" s="63">
        <v>44663</v>
      </c>
      <c r="B428" s="57">
        <v>2354</v>
      </c>
      <c r="C428" s="57">
        <v>3</v>
      </c>
      <c r="D428" s="57" t="s">
        <v>159</v>
      </c>
      <c r="E428" s="57">
        <v>0</v>
      </c>
      <c r="F428" s="57">
        <v>2.9000000000000001E-2</v>
      </c>
      <c r="G428" s="57">
        <v>0.01</v>
      </c>
    </row>
    <row r="429" spans="1:7" x14ac:dyDescent="0.2">
      <c r="A429" s="63">
        <v>44663</v>
      </c>
      <c r="B429" s="57">
        <v>2346</v>
      </c>
      <c r="C429" s="57">
        <v>2</v>
      </c>
      <c r="D429" s="57" t="s">
        <v>159</v>
      </c>
      <c r="E429" s="57">
        <v>0</v>
      </c>
      <c r="F429" s="57">
        <v>1.0999999999999999E-2</v>
      </c>
      <c r="G429" s="57">
        <v>4.0000000000000001E-3</v>
      </c>
    </row>
    <row r="430" spans="1:7" x14ac:dyDescent="0.2">
      <c r="A430" s="63">
        <v>44663</v>
      </c>
      <c r="B430" s="57">
        <v>2346</v>
      </c>
      <c r="C430" s="57">
        <v>3</v>
      </c>
      <c r="D430" s="57" t="s">
        <v>159</v>
      </c>
      <c r="E430" s="57">
        <v>0</v>
      </c>
      <c r="F430" s="57">
        <v>6.9000000000000006E-2</v>
      </c>
      <c r="G430" s="57">
        <v>2.5000000000000001E-2</v>
      </c>
    </row>
    <row r="431" spans="1:7" x14ac:dyDescent="0.2">
      <c r="A431" s="63">
        <v>44663</v>
      </c>
      <c r="B431" s="57">
        <v>2009</v>
      </c>
      <c r="C431" s="57">
        <v>3</v>
      </c>
      <c r="D431" s="57" t="s">
        <v>159</v>
      </c>
      <c r="E431" s="57">
        <v>0</v>
      </c>
      <c r="F431" s="57">
        <v>0.32500000000000001</v>
      </c>
      <c r="G431" s="57">
        <v>0.127</v>
      </c>
    </row>
    <row r="432" spans="1:7" x14ac:dyDescent="0.2">
      <c r="A432" s="63">
        <v>44663</v>
      </c>
      <c r="B432" s="57">
        <v>2347</v>
      </c>
      <c r="C432" s="57">
        <v>3</v>
      </c>
      <c r="D432" s="57" t="s">
        <v>169</v>
      </c>
      <c r="E432" s="57">
        <v>0</v>
      </c>
      <c r="F432" s="57">
        <v>0.34699999999999998</v>
      </c>
      <c r="G432" s="57">
        <v>0.151</v>
      </c>
    </row>
    <row r="433" spans="1:7" x14ac:dyDescent="0.2">
      <c r="A433" s="63">
        <v>44663</v>
      </c>
      <c r="B433" s="57">
        <v>2331</v>
      </c>
      <c r="C433" s="57">
        <v>2</v>
      </c>
      <c r="D433" s="57" t="s">
        <v>159</v>
      </c>
      <c r="E433" s="57">
        <v>1</v>
      </c>
      <c r="F433" s="57">
        <v>0.35899999999999999</v>
      </c>
      <c r="G433" s="57">
        <v>0.18</v>
      </c>
    </row>
    <row r="434" spans="1:7" x14ac:dyDescent="0.2">
      <c r="A434" s="63">
        <v>44663</v>
      </c>
      <c r="B434" s="57">
        <v>2348</v>
      </c>
      <c r="C434" s="57">
        <v>3</v>
      </c>
      <c r="D434" s="57" t="s">
        <v>159</v>
      </c>
      <c r="E434" s="57">
        <v>0</v>
      </c>
      <c r="F434" s="57">
        <v>3.5999999999999997E-2</v>
      </c>
      <c r="G434" s="57">
        <v>1.2999999999999999E-2</v>
      </c>
    </row>
    <row r="435" spans="1:7" x14ac:dyDescent="0.2">
      <c r="A435" s="63">
        <v>44663</v>
      </c>
      <c r="B435" s="57">
        <v>2354</v>
      </c>
      <c r="C435" s="57">
        <v>1</v>
      </c>
      <c r="D435" s="57" t="s">
        <v>169</v>
      </c>
      <c r="E435" s="57">
        <v>0</v>
      </c>
      <c r="F435" s="57">
        <v>0.83</v>
      </c>
      <c r="G435" s="57">
        <v>0.34699999999999998</v>
      </c>
    </row>
    <row r="436" spans="1:7" x14ac:dyDescent="0.2">
      <c r="A436" s="63">
        <v>44663</v>
      </c>
      <c r="B436" s="57">
        <v>2354</v>
      </c>
      <c r="C436" s="57">
        <v>3</v>
      </c>
      <c r="D436" s="57" t="s">
        <v>159</v>
      </c>
      <c r="E436" s="57">
        <v>1</v>
      </c>
      <c r="F436" s="57">
        <v>0.27700000000000002</v>
      </c>
      <c r="G436" s="57">
        <v>0.122</v>
      </c>
    </row>
    <row r="437" spans="1:7" x14ac:dyDescent="0.2">
      <c r="A437" s="63">
        <v>44663</v>
      </c>
      <c r="B437" s="57">
        <v>2354</v>
      </c>
      <c r="C437" s="57">
        <v>1</v>
      </c>
      <c r="D437" s="57" t="s">
        <v>159</v>
      </c>
      <c r="E437" s="57">
        <v>0</v>
      </c>
      <c r="F437" s="57">
        <v>3.7999999999999999E-2</v>
      </c>
      <c r="G437" s="57">
        <v>1.2E-2</v>
      </c>
    </row>
    <row r="438" spans="1:7" x14ac:dyDescent="0.2">
      <c r="A438" s="63">
        <v>44663</v>
      </c>
      <c r="B438" s="57">
        <v>2354</v>
      </c>
      <c r="C438" s="57">
        <v>3</v>
      </c>
      <c r="D438" s="57" t="s">
        <v>169</v>
      </c>
      <c r="E438" s="57">
        <v>0</v>
      </c>
      <c r="F438" s="57">
        <v>0.496</v>
      </c>
      <c r="G438" s="57">
        <v>0.21199999999999999</v>
      </c>
    </row>
    <row r="439" spans="1:7" x14ac:dyDescent="0.2">
      <c r="A439" s="63">
        <v>44663</v>
      </c>
      <c r="B439" s="57">
        <v>2352</v>
      </c>
      <c r="C439" s="57">
        <v>1</v>
      </c>
      <c r="D439" s="57" t="s">
        <v>159</v>
      </c>
      <c r="E439" s="57">
        <v>1</v>
      </c>
      <c r="F439" s="57">
        <v>9.4E-2</v>
      </c>
      <c r="G439" s="57">
        <v>4.7E-2</v>
      </c>
    </row>
    <row r="440" spans="1:7" x14ac:dyDescent="0.2">
      <c r="A440" s="63">
        <v>44663</v>
      </c>
      <c r="B440" s="57">
        <v>2348</v>
      </c>
      <c r="C440" s="57">
        <v>1</v>
      </c>
      <c r="D440" s="57" t="s">
        <v>169</v>
      </c>
      <c r="E440" s="57">
        <v>0</v>
      </c>
      <c r="F440" s="57">
        <v>0.91500000000000004</v>
      </c>
      <c r="G440" s="57">
        <v>0.371</v>
      </c>
    </row>
    <row r="441" spans="1:7" x14ac:dyDescent="0.2">
      <c r="A441" s="63">
        <v>44663</v>
      </c>
      <c r="B441" s="57">
        <v>2352</v>
      </c>
      <c r="C441" s="57">
        <v>2</v>
      </c>
      <c r="D441" s="57" t="s">
        <v>159</v>
      </c>
      <c r="E441" s="57">
        <v>1</v>
      </c>
      <c r="F441" s="57">
        <v>0.19400000000000001</v>
      </c>
      <c r="G441" s="57">
        <v>9.9000000000000005E-2</v>
      </c>
    </row>
    <row r="442" spans="1:7" x14ac:dyDescent="0.2">
      <c r="A442" s="63">
        <v>44663</v>
      </c>
      <c r="B442" s="57">
        <v>2371</v>
      </c>
      <c r="C442" s="57">
        <v>1</v>
      </c>
      <c r="D442" s="57" t="s">
        <v>159</v>
      </c>
      <c r="E442" s="57">
        <v>0</v>
      </c>
      <c r="F442" s="57">
        <v>0.124</v>
      </c>
      <c r="G442" s="57">
        <v>4.8000000000000001E-2</v>
      </c>
    </row>
    <row r="443" spans="1:7" x14ac:dyDescent="0.2">
      <c r="A443" s="63">
        <v>44663</v>
      </c>
      <c r="B443" s="57">
        <v>2343</v>
      </c>
      <c r="C443" s="57">
        <v>1</v>
      </c>
      <c r="D443" s="57" t="s">
        <v>159</v>
      </c>
      <c r="E443" s="57">
        <v>0</v>
      </c>
      <c r="F443" s="57">
        <v>0.125</v>
      </c>
      <c r="G443" s="57">
        <v>4.7E-2</v>
      </c>
    </row>
    <row r="444" spans="1:7" x14ac:dyDescent="0.2">
      <c r="A444" s="63">
        <v>44663</v>
      </c>
      <c r="B444" s="57">
        <v>2009</v>
      </c>
      <c r="C444" s="57">
        <v>1</v>
      </c>
      <c r="D444" s="57" t="s">
        <v>169</v>
      </c>
      <c r="E444" s="57">
        <v>0</v>
      </c>
      <c r="F444" s="57">
        <v>2.33</v>
      </c>
      <c r="G444" s="57">
        <v>1.0149999999999999</v>
      </c>
    </row>
    <row r="445" spans="1:7" x14ac:dyDescent="0.2">
      <c r="A445" s="63">
        <v>44663</v>
      </c>
      <c r="B445" s="57">
        <v>2348</v>
      </c>
      <c r="C445" s="57">
        <v>3</v>
      </c>
      <c r="D445" s="57" t="s">
        <v>169</v>
      </c>
      <c r="E445" s="57">
        <v>0</v>
      </c>
      <c r="F445" s="57">
        <v>0.53700000000000003</v>
      </c>
      <c r="G445" s="57">
        <v>0.214</v>
      </c>
    </row>
    <row r="446" spans="1:7" x14ac:dyDescent="0.2">
      <c r="A446" s="63">
        <v>44663</v>
      </c>
      <c r="B446" s="57">
        <v>2354</v>
      </c>
      <c r="C446" s="57">
        <v>1</v>
      </c>
      <c r="D446" s="57" t="s">
        <v>169</v>
      </c>
      <c r="E446" s="57">
        <v>1</v>
      </c>
      <c r="F446" s="57">
        <v>1.115</v>
      </c>
      <c r="G446" s="57">
        <v>0.63800000000000001</v>
      </c>
    </row>
    <row r="447" spans="1:7" x14ac:dyDescent="0.2">
      <c r="A447" s="63">
        <v>44663</v>
      </c>
      <c r="B447" s="57">
        <v>2331</v>
      </c>
      <c r="C447" s="57">
        <v>1</v>
      </c>
      <c r="D447" s="57" t="s">
        <v>159</v>
      </c>
      <c r="E447" s="57">
        <v>1</v>
      </c>
      <c r="F447" s="57">
        <v>0.28699999999999998</v>
      </c>
      <c r="G447" s="57">
        <v>0.14499999999999999</v>
      </c>
    </row>
    <row r="448" spans="1:7" x14ac:dyDescent="0.2">
      <c r="A448" s="63">
        <v>44663</v>
      </c>
      <c r="B448" s="57">
        <v>2354</v>
      </c>
      <c r="C448" s="57">
        <v>1</v>
      </c>
      <c r="D448" s="57" t="s">
        <v>159</v>
      </c>
      <c r="E448" s="57">
        <v>1</v>
      </c>
      <c r="F448" s="57">
        <v>0.26900000000000002</v>
      </c>
      <c r="G448" s="57">
        <v>0.115</v>
      </c>
    </row>
    <row r="449" spans="1:7" x14ac:dyDescent="0.2">
      <c r="A449" s="63">
        <v>44663</v>
      </c>
      <c r="B449" s="57">
        <v>2347</v>
      </c>
      <c r="C449" s="57">
        <v>1</v>
      </c>
      <c r="D449" s="57" t="s">
        <v>169</v>
      </c>
      <c r="E449" s="57">
        <v>0</v>
      </c>
      <c r="F449" s="57">
        <v>1.1910000000000001</v>
      </c>
      <c r="G449" s="57">
        <v>0.50600000000000001</v>
      </c>
    </row>
    <row r="450" spans="1:7" x14ac:dyDescent="0.2">
      <c r="A450" s="63">
        <v>44663</v>
      </c>
      <c r="B450" s="57">
        <v>2348</v>
      </c>
      <c r="C450" s="57">
        <v>1</v>
      </c>
      <c r="D450" s="57" t="s">
        <v>159</v>
      </c>
      <c r="E450" s="57">
        <v>0</v>
      </c>
      <c r="F450" s="57">
        <v>0.08</v>
      </c>
      <c r="G450" s="57">
        <v>2.7E-2</v>
      </c>
    </row>
    <row r="451" spans="1:7" x14ac:dyDescent="0.2">
      <c r="A451" s="63">
        <v>44663</v>
      </c>
      <c r="B451" s="57">
        <v>2349</v>
      </c>
      <c r="C451" s="57">
        <v>3</v>
      </c>
      <c r="D451" s="57" t="s">
        <v>169</v>
      </c>
      <c r="E451" s="57">
        <v>0</v>
      </c>
      <c r="F451" s="57">
        <v>0.45300000000000001</v>
      </c>
      <c r="G451" s="57">
        <v>0.17399999999999999</v>
      </c>
    </row>
    <row r="452" spans="1:7" x14ac:dyDescent="0.2">
      <c r="A452" s="63">
        <v>44663</v>
      </c>
      <c r="B452" s="57">
        <v>2349</v>
      </c>
      <c r="C452" s="57">
        <v>2</v>
      </c>
      <c r="D452" s="57" t="s">
        <v>159</v>
      </c>
      <c r="E452" s="57">
        <v>0</v>
      </c>
      <c r="F452" s="57">
        <v>8.2000000000000003E-2</v>
      </c>
      <c r="G452" s="57">
        <v>3.1E-2</v>
      </c>
    </row>
    <row r="453" spans="1:7" x14ac:dyDescent="0.2">
      <c r="A453" s="63">
        <v>44663</v>
      </c>
      <c r="B453" s="57">
        <v>2371</v>
      </c>
      <c r="C453" s="57">
        <v>1</v>
      </c>
      <c r="D453" s="57" t="s">
        <v>169</v>
      </c>
      <c r="E453" s="57">
        <v>0</v>
      </c>
      <c r="F453" s="57">
        <v>1.5620000000000001</v>
      </c>
      <c r="G453" s="57">
        <v>0.63</v>
      </c>
    </row>
    <row r="454" spans="1:7" x14ac:dyDescent="0.2">
      <c r="A454" s="63">
        <v>44663</v>
      </c>
      <c r="B454" s="57">
        <v>2371</v>
      </c>
      <c r="C454" s="57">
        <v>2</v>
      </c>
      <c r="D454" s="57" t="s">
        <v>169</v>
      </c>
      <c r="E454" s="57">
        <v>0</v>
      </c>
      <c r="F454" s="57">
        <v>0.68799999999999994</v>
      </c>
      <c r="G454" s="57">
        <v>0.27400000000000002</v>
      </c>
    </row>
    <row r="455" spans="1:7" x14ac:dyDescent="0.2">
      <c r="A455" s="63">
        <v>44663</v>
      </c>
      <c r="B455" s="57">
        <v>2370</v>
      </c>
      <c r="C455" s="57">
        <v>1</v>
      </c>
      <c r="D455" s="57" t="s">
        <v>169</v>
      </c>
      <c r="E455" s="57">
        <v>0</v>
      </c>
      <c r="F455" s="57">
        <v>0.76400000000000001</v>
      </c>
      <c r="G455" s="57">
        <v>0.311</v>
      </c>
    </row>
    <row r="456" spans="1:7" x14ac:dyDescent="0.2">
      <c r="A456" s="63">
        <v>44663</v>
      </c>
      <c r="B456" s="57">
        <v>2349</v>
      </c>
      <c r="C456" s="57">
        <v>1</v>
      </c>
      <c r="D456" s="57" t="s">
        <v>159</v>
      </c>
      <c r="E456" s="57">
        <v>0</v>
      </c>
      <c r="F456" s="57">
        <v>3.2000000000000001E-2</v>
      </c>
      <c r="G456" s="57">
        <v>1.0999999999999999E-2</v>
      </c>
    </row>
    <row r="457" spans="1:7" x14ac:dyDescent="0.2">
      <c r="A457" s="63">
        <v>44663</v>
      </c>
      <c r="B457" s="57">
        <v>2009</v>
      </c>
      <c r="C457" s="57">
        <v>3</v>
      </c>
      <c r="D457" s="57" t="s">
        <v>169</v>
      </c>
      <c r="E457" s="57">
        <v>0</v>
      </c>
      <c r="F457" s="57">
        <v>2.7490000000000001</v>
      </c>
      <c r="G457" s="57">
        <v>1.1759999999999999</v>
      </c>
    </row>
    <row r="458" spans="1:7" x14ac:dyDescent="0.2">
      <c r="A458" s="63">
        <v>44663</v>
      </c>
      <c r="B458" s="57">
        <v>2349</v>
      </c>
      <c r="C458" s="57">
        <v>1</v>
      </c>
      <c r="D458" s="57" t="s">
        <v>169</v>
      </c>
      <c r="E458" s="57">
        <v>0</v>
      </c>
      <c r="F458" s="57">
        <v>0.67800000000000005</v>
      </c>
      <c r="G458" s="57">
        <v>0.255</v>
      </c>
    </row>
    <row r="459" spans="1:7" x14ac:dyDescent="0.2">
      <c r="A459" s="63">
        <v>44663</v>
      </c>
      <c r="B459" s="57">
        <v>2372</v>
      </c>
      <c r="C459" s="57">
        <v>1</v>
      </c>
      <c r="D459" s="57" t="s">
        <v>169</v>
      </c>
      <c r="E459" s="57">
        <v>0</v>
      </c>
      <c r="F459" s="57">
        <v>1.5489999999999999</v>
      </c>
      <c r="G459" s="57">
        <v>0.64200000000000002</v>
      </c>
    </row>
    <row r="460" spans="1:7" x14ac:dyDescent="0.2">
      <c r="A460" s="63">
        <v>44663</v>
      </c>
      <c r="B460" s="57">
        <v>2331</v>
      </c>
      <c r="C460" s="57">
        <v>1</v>
      </c>
      <c r="D460" s="57" t="s">
        <v>169</v>
      </c>
      <c r="E460" s="57">
        <v>1</v>
      </c>
      <c r="F460" s="57">
        <v>0.47099999999999997</v>
      </c>
      <c r="G460" s="57">
        <v>0.27200000000000002</v>
      </c>
    </row>
    <row r="461" spans="1:7" x14ac:dyDescent="0.2">
      <c r="A461" s="63">
        <v>44663</v>
      </c>
      <c r="B461" s="57">
        <v>2331</v>
      </c>
      <c r="C461" s="57">
        <v>1</v>
      </c>
      <c r="D461" s="57" t="s">
        <v>159</v>
      </c>
      <c r="E461" s="57">
        <v>0</v>
      </c>
      <c r="F461" s="57">
        <v>3.4000000000000002E-2</v>
      </c>
      <c r="G461" s="57">
        <v>1.0999999999999999E-2</v>
      </c>
    </row>
    <row r="462" spans="1:7" x14ac:dyDescent="0.2">
      <c r="A462" s="63">
        <v>44663</v>
      </c>
      <c r="B462" s="57">
        <v>2372</v>
      </c>
      <c r="C462" s="57">
        <v>2</v>
      </c>
      <c r="D462" s="57" t="s">
        <v>169</v>
      </c>
      <c r="E462" s="57">
        <v>0</v>
      </c>
      <c r="F462" s="57">
        <v>1.03</v>
      </c>
      <c r="G462" s="57">
        <v>0.42299999999999999</v>
      </c>
    </row>
    <row r="463" spans="1:7" x14ac:dyDescent="0.2">
      <c r="A463" s="63">
        <v>44663</v>
      </c>
      <c r="B463" s="57">
        <v>2009</v>
      </c>
      <c r="C463" s="57">
        <v>2</v>
      </c>
      <c r="D463" s="57" t="s">
        <v>169</v>
      </c>
      <c r="E463" s="57">
        <v>0</v>
      </c>
      <c r="F463" s="57">
        <v>0.60199999999999998</v>
      </c>
      <c r="G463" s="57">
        <v>0.254</v>
      </c>
    </row>
    <row r="464" spans="1:7" x14ac:dyDescent="0.2">
      <c r="A464" s="63">
        <v>44663</v>
      </c>
      <c r="B464" s="57">
        <v>2009</v>
      </c>
      <c r="C464" s="57">
        <v>1</v>
      </c>
      <c r="D464" s="57" t="s">
        <v>159</v>
      </c>
      <c r="E464" s="57">
        <v>0</v>
      </c>
      <c r="F464" s="57">
        <v>0.25900000000000001</v>
      </c>
      <c r="G464" s="57">
        <v>0.10299999999999999</v>
      </c>
    </row>
    <row r="465" spans="1:7" x14ac:dyDescent="0.2">
      <c r="A465" s="63">
        <v>44663</v>
      </c>
      <c r="B465" s="57">
        <v>2331</v>
      </c>
      <c r="C465" s="57">
        <v>1</v>
      </c>
      <c r="D465" s="57" t="s">
        <v>169</v>
      </c>
      <c r="E465" s="57">
        <v>1</v>
      </c>
      <c r="F465" s="57">
        <v>0.93700000000000006</v>
      </c>
      <c r="G465" s="57">
        <v>0.52800000000000002</v>
      </c>
    </row>
    <row r="466" spans="1:7" x14ac:dyDescent="0.2">
      <c r="A466" s="63">
        <v>44663</v>
      </c>
      <c r="B466" s="57">
        <v>2343</v>
      </c>
      <c r="C466" s="57">
        <v>2</v>
      </c>
      <c r="D466" s="57" t="s">
        <v>159</v>
      </c>
      <c r="E466" s="57">
        <v>0</v>
      </c>
      <c r="F466" s="57">
        <v>0.14499999999999999</v>
      </c>
      <c r="G466" s="57">
        <v>5.5E-2</v>
      </c>
    </row>
    <row r="467" spans="1:7" x14ac:dyDescent="0.2">
      <c r="A467" s="63">
        <v>44663</v>
      </c>
      <c r="B467" s="57">
        <v>2331</v>
      </c>
      <c r="C467" s="57">
        <v>2</v>
      </c>
      <c r="D467" s="57" t="s">
        <v>169</v>
      </c>
      <c r="E467" s="57">
        <v>1</v>
      </c>
      <c r="F467" s="57">
        <v>0.94199999999999995</v>
      </c>
      <c r="G467" s="57">
        <v>0.54800000000000004</v>
      </c>
    </row>
    <row r="468" spans="1:7" x14ac:dyDescent="0.2">
      <c r="A468" s="63">
        <v>44663</v>
      </c>
      <c r="B468" s="57">
        <v>2354</v>
      </c>
      <c r="C468" s="57">
        <v>3</v>
      </c>
      <c r="D468" s="57" t="s">
        <v>169</v>
      </c>
      <c r="E468" s="57">
        <v>1</v>
      </c>
      <c r="F468" s="57">
        <v>0.28199999999999997</v>
      </c>
      <c r="G468" s="57">
        <v>0.16</v>
      </c>
    </row>
    <row r="469" spans="1:7" x14ac:dyDescent="0.2">
      <c r="A469" s="63">
        <v>44663</v>
      </c>
      <c r="B469" s="57">
        <v>2346</v>
      </c>
      <c r="C469" s="57">
        <v>1</v>
      </c>
      <c r="D469" s="57" t="s">
        <v>169</v>
      </c>
      <c r="E469" s="57">
        <v>1</v>
      </c>
      <c r="F469" s="57">
        <v>0.313</v>
      </c>
      <c r="G469" s="57">
        <v>0.155</v>
      </c>
    </row>
    <row r="470" spans="1:7" x14ac:dyDescent="0.2">
      <c r="A470" s="63">
        <v>44663</v>
      </c>
      <c r="B470" s="57">
        <v>2347</v>
      </c>
      <c r="C470" s="57">
        <v>2</v>
      </c>
      <c r="D470" s="57" t="s">
        <v>159</v>
      </c>
      <c r="E470" s="57">
        <v>0</v>
      </c>
      <c r="F470" s="57">
        <v>4.9000000000000002E-2</v>
      </c>
      <c r="G470" s="57">
        <v>2.1000000000000001E-2</v>
      </c>
    </row>
    <row r="471" spans="1:7" x14ac:dyDescent="0.2">
      <c r="A471" s="63">
        <v>44663</v>
      </c>
      <c r="B471" s="57">
        <v>2346</v>
      </c>
      <c r="C471" s="57">
        <v>2</v>
      </c>
      <c r="D471" s="57" t="s">
        <v>169</v>
      </c>
      <c r="E471" s="57">
        <v>0</v>
      </c>
      <c r="F471" s="57">
        <v>0.22900000000000001</v>
      </c>
      <c r="G471" s="57">
        <v>9.7000000000000003E-2</v>
      </c>
    </row>
    <row r="472" spans="1:7" x14ac:dyDescent="0.2">
      <c r="A472" s="63">
        <v>44663</v>
      </c>
      <c r="B472" s="57">
        <v>2346</v>
      </c>
      <c r="C472" s="57">
        <v>1</v>
      </c>
      <c r="D472" s="57" t="s">
        <v>169</v>
      </c>
      <c r="E472" s="57">
        <v>0</v>
      </c>
      <c r="F472" s="57">
        <v>0.97799999999999998</v>
      </c>
      <c r="G472" s="57">
        <v>0.43</v>
      </c>
    </row>
    <row r="473" spans="1:7" x14ac:dyDescent="0.2">
      <c r="A473" s="63">
        <v>44663</v>
      </c>
      <c r="B473" s="57">
        <v>2009</v>
      </c>
      <c r="C473" s="57">
        <v>2</v>
      </c>
      <c r="D473" s="57" t="s">
        <v>159</v>
      </c>
      <c r="E473" s="57">
        <v>0</v>
      </c>
      <c r="F473" s="57">
        <v>6.5000000000000002E-2</v>
      </c>
      <c r="G473" s="57">
        <v>2.3E-2</v>
      </c>
    </row>
    <row r="474" spans="1:7" x14ac:dyDescent="0.2">
      <c r="A474" s="63">
        <v>44663</v>
      </c>
      <c r="B474" s="57">
        <v>2346</v>
      </c>
      <c r="C474" s="57">
        <v>1</v>
      </c>
      <c r="D474" s="57" t="s">
        <v>159</v>
      </c>
      <c r="E474" s="57">
        <v>1</v>
      </c>
      <c r="F474" s="57">
        <v>0.26600000000000001</v>
      </c>
      <c r="G474" s="57">
        <v>0.11</v>
      </c>
    </row>
    <row r="475" spans="1:7" x14ac:dyDescent="0.2">
      <c r="A475" s="63">
        <v>44663</v>
      </c>
      <c r="B475" s="57">
        <v>2343</v>
      </c>
      <c r="C475" s="57">
        <v>2</v>
      </c>
      <c r="D475" s="57" t="s">
        <v>169</v>
      </c>
      <c r="E475" s="57">
        <v>0</v>
      </c>
      <c r="F475" s="57">
        <v>1.224</v>
      </c>
      <c r="G475" s="57">
        <v>0.55100000000000005</v>
      </c>
    </row>
    <row r="476" spans="1:7" x14ac:dyDescent="0.2">
      <c r="A476" s="63">
        <v>44663</v>
      </c>
      <c r="B476" s="57">
        <v>2346</v>
      </c>
      <c r="C476" s="57">
        <v>3</v>
      </c>
      <c r="D476" s="57" t="s">
        <v>169</v>
      </c>
      <c r="E476" s="57">
        <v>0</v>
      </c>
      <c r="F476" s="57">
        <v>0.56899999999999995</v>
      </c>
      <c r="G476" s="57">
        <v>0.249</v>
      </c>
    </row>
    <row r="477" spans="1:7" x14ac:dyDescent="0.2">
      <c r="A477" s="63">
        <v>44663</v>
      </c>
      <c r="B477" s="57">
        <v>2346</v>
      </c>
      <c r="C477" s="57">
        <v>1</v>
      </c>
      <c r="D477" s="57" t="s">
        <v>159</v>
      </c>
      <c r="E477" s="57">
        <v>0</v>
      </c>
      <c r="F477" s="57">
        <v>0.20300000000000001</v>
      </c>
      <c r="G477" s="57">
        <v>7.6999999999999999E-2</v>
      </c>
    </row>
    <row r="478" spans="1:7" x14ac:dyDescent="0.2">
      <c r="A478" s="63">
        <v>44663</v>
      </c>
      <c r="B478" s="57">
        <v>2354</v>
      </c>
      <c r="C478" s="57">
        <v>2</v>
      </c>
      <c r="D478" s="57" t="s">
        <v>169</v>
      </c>
      <c r="E478" s="57">
        <v>0</v>
      </c>
      <c r="F478" s="57">
        <v>0.89900000000000002</v>
      </c>
      <c r="G478" s="57">
        <v>0.38700000000000001</v>
      </c>
    </row>
    <row r="479" spans="1:7" x14ac:dyDescent="0.2">
      <c r="A479" s="63">
        <v>44663</v>
      </c>
      <c r="B479" s="57">
        <v>2371</v>
      </c>
      <c r="C479" s="57">
        <v>2</v>
      </c>
      <c r="D479" s="57" t="s">
        <v>159</v>
      </c>
      <c r="E479" s="57">
        <v>0</v>
      </c>
      <c r="F479" s="57">
        <v>3.4000000000000002E-2</v>
      </c>
      <c r="G479" s="57">
        <v>1.2999999999999999E-2</v>
      </c>
    </row>
    <row r="480" spans="1:7" x14ac:dyDescent="0.2">
      <c r="A480" s="63">
        <v>44663</v>
      </c>
      <c r="B480" s="57">
        <v>2370</v>
      </c>
      <c r="C480" s="57">
        <v>1</v>
      </c>
      <c r="D480" s="57" t="s">
        <v>159</v>
      </c>
      <c r="E480" s="57">
        <v>0</v>
      </c>
      <c r="F480" s="57">
        <v>0.13</v>
      </c>
      <c r="G480" s="57">
        <v>4.4999999999999998E-2</v>
      </c>
    </row>
    <row r="481" spans="1:7" x14ac:dyDescent="0.2">
      <c r="A481" s="63">
        <v>44663</v>
      </c>
      <c r="B481" s="57">
        <v>2370</v>
      </c>
      <c r="C481" s="57">
        <v>2</v>
      </c>
      <c r="D481" s="57" t="s">
        <v>169</v>
      </c>
      <c r="E481" s="57">
        <v>0</v>
      </c>
      <c r="F481" s="57">
        <v>0.30099999999999999</v>
      </c>
      <c r="G481" s="57">
        <v>0.11899999999999999</v>
      </c>
    </row>
    <row r="482" spans="1:7" x14ac:dyDescent="0.2">
      <c r="A482" s="63">
        <v>44663</v>
      </c>
      <c r="B482" s="57">
        <v>2352</v>
      </c>
      <c r="C482" s="57">
        <v>1</v>
      </c>
      <c r="D482" s="57" t="s">
        <v>169</v>
      </c>
      <c r="E482" s="57">
        <v>1</v>
      </c>
      <c r="F482" s="57">
        <v>0.32400000000000001</v>
      </c>
      <c r="G482" s="57">
        <v>0.18099999999999999</v>
      </c>
    </row>
    <row r="483" spans="1:7" x14ac:dyDescent="0.2">
      <c r="A483" s="63">
        <v>44663</v>
      </c>
      <c r="B483" s="57">
        <v>2370</v>
      </c>
      <c r="C483" s="57">
        <v>3</v>
      </c>
      <c r="D483" s="57" t="s">
        <v>169</v>
      </c>
      <c r="E483" s="57">
        <v>0</v>
      </c>
      <c r="F483" s="57">
        <v>0.249</v>
      </c>
      <c r="G483" s="57">
        <v>0.104</v>
      </c>
    </row>
    <row r="484" spans="1:7" x14ac:dyDescent="0.2">
      <c r="A484" s="63">
        <v>44663</v>
      </c>
      <c r="B484" s="57">
        <v>2348</v>
      </c>
      <c r="C484" s="57">
        <v>2</v>
      </c>
      <c r="D484" s="57" t="s">
        <v>169</v>
      </c>
      <c r="E484" s="57">
        <v>0</v>
      </c>
      <c r="F484" s="57">
        <v>0.51600000000000001</v>
      </c>
      <c r="G484" s="57">
        <v>0.20399999999999999</v>
      </c>
    </row>
    <row r="485" spans="1:7" x14ac:dyDescent="0.2">
      <c r="A485" s="63">
        <v>44663</v>
      </c>
      <c r="B485" s="57">
        <v>2351</v>
      </c>
      <c r="C485" s="57">
        <v>2</v>
      </c>
      <c r="D485" s="57" t="s">
        <v>169</v>
      </c>
      <c r="E485" s="57">
        <v>0</v>
      </c>
      <c r="F485" s="57">
        <v>1.036</v>
      </c>
      <c r="G485" s="57">
        <v>0.35099999999999998</v>
      </c>
    </row>
    <row r="486" spans="1:7" x14ac:dyDescent="0.2">
      <c r="A486" s="63">
        <v>44663</v>
      </c>
      <c r="B486" s="57">
        <v>2351</v>
      </c>
      <c r="C486" s="57">
        <v>3</v>
      </c>
      <c r="D486" s="57" t="s">
        <v>169</v>
      </c>
      <c r="E486" s="57">
        <v>0</v>
      </c>
      <c r="F486" s="57">
        <v>0.86899999999999999</v>
      </c>
      <c r="G486" s="57">
        <v>0.26</v>
      </c>
    </row>
    <row r="487" spans="1:7" x14ac:dyDescent="0.2">
      <c r="A487" s="63">
        <v>44663</v>
      </c>
      <c r="B487" s="57">
        <v>2349</v>
      </c>
      <c r="C487" s="57">
        <v>2</v>
      </c>
      <c r="D487" s="57" t="s">
        <v>169</v>
      </c>
      <c r="E487" s="57">
        <v>0</v>
      </c>
      <c r="F487" s="57">
        <v>1.2070000000000001</v>
      </c>
      <c r="G487" s="57">
        <v>0.46300000000000002</v>
      </c>
    </row>
    <row r="488" spans="1:7" x14ac:dyDescent="0.2">
      <c r="A488" s="63">
        <v>44663</v>
      </c>
      <c r="B488" s="57">
        <v>2370</v>
      </c>
      <c r="C488" s="57">
        <v>2</v>
      </c>
      <c r="D488" s="57" t="s">
        <v>159</v>
      </c>
      <c r="E488" s="57">
        <v>0</v>
      </c>
      <c r="F488" s="57">
        <v>3.3000000000000002E-2</v>
      </c>
      <c r="G488" s="57">
        <v>1.2E-2</v>
      </c>
    </row>
    <row r="489" spans="1:7" x14ac:dyDescent="0.2">
      <c r="A489" s="63">
        <v>44663</v>
      </c>
      <c r="B489" s="57">
        <v>2372</v>
      </c>
      <c r="C489" s="57">
        <v>1</v>
      </c>
      <c r="D489" s="57" t="s">
        <v>159</v>
      </c>
      <c r="E489" s="57">
        <v>0</v>
      </c>
      <c r="F489" s="57">
        <v>0.13800000000000001</v>
      </c>
      <c r="G489" s="57">
        <v>0.05</v>
      </c>
    </row>
    <row r="490" spans="1:7" x14ac:dyDescent="0.2">
      <c r="A490" s="63">
        <v>44663</v>
      </c>
      <c r="B490" s="57">
        <v>2372</v>
      </c>
      <c r="C490" s="57">
        <v>2</v>
      </c>
      <c r="D490" s="57" t="s">
        <v>159</v>
      </c>
      <c r="E490" s="57">
        <v>0</v>
      </c>
      <c r="F490" s="57">
        <v>7.0000000000000007E-2</v>
      </c>
      <c r="G490" s="57">
        <v>2.5000000000000001E-2</v>
      </c>
    </row>
    <row r="491" spans="1:7" x14ac:dyDescent="0.2">
      <c r="A491" s="63">
        <v>44663</v>
      </c>
      <c r="B491" s="57">
        <v>2331</v>
      </c>
      <c r="C491" s="57">
        <v>2</v>
      </c>
      <c r="D491" s="57" t="s">
        <v>159</v>
      </c>
      <c r="E491" s="57">
        <v>1</v>
      </c>
      <c r="F491" s="57">
        <v>0.30099999999999999</v>
      </c>
      <c r="G491" s="57">
        <v>0.15</v>
      </c>
    </row>
    <row r="492" spans="1:7" x14ac:dyDescent="0.2">
      <c r="A492" s="63">
        <v>44663</v>
      </c>
      <c r="B492" s="57">
        <v>2351</v>
      </c>
      <c r="C492" s="57">
        <v>1</v>
      </c>
      <c r="D492" s="57" t="s">
        <v>159</v>
      </c>
      <c r="E492" s="57">
        <v>0</v>
      </c>
      <c r="F492" s="57">
        <v>0.115</v>
      </c>
      <c r="G492" s="57">
        <v>3.4000000000000002E-2</v>
      </c>
    </row>
    <row r="493" spans="1:7" x14ac:dyDescent="0.2">
      <c r="A493" s="63">
        <v>44663</v>
      </c>
      <c r="B493" s="57">
        <v>2349</v>
      </c>
      <c r="C493" s="57">
        <v>3</v>
      </c>
      <c r="D493" s="57" t="s">
        <v>159</v>
      </c>
      <c r="E493" s="57">
        <v>0</v>
      </c>
      <c r="F493" s="57">
        <v>0.02</v>
      </c>
      <c r="G493" s="57">
        <v>8.0000000000000002E-3</v>
      </c>
    </row>
    <row r="494" spans="1:7" x14ac:dyDescent="0.2">
      <c r="A494" s="63">
        <v>44663</v>
      </c>
      <c r="B494" s="57">
        <v>2352</v>
      </c>
      <c r="C494" s="57">
        <v>2</v>
      </c>
      <c r="D494" s="57" t="s">
        <v>169</v>
      </c>
      <c r="E494" s="57">
        <v>1</v>
      </c>
      <c r="F494" s="57">
        <v>0.69399999999999995</v>
      </c>
      <c r="G494" s="57">
        <v>0.38800000000000001</v>
      </c>
    </row>
    <row r="495" spans="1:7" x14ac:dyDescent="0.2">
      <c r="A495" s="63">
        <v>44663</v>
      </c>
      <c r="B495" s="57">
        <v>2351</v>
      </c>
      <c r="C495" s="57">
        <v>2</v>
      </c>
      <c r="D495" s="57" t="s">
        <v>159</v>
      </c>
      <c r="E495" s="57">
        <v>0</v>
      </c>
      <c r="F495" s="57">
        <v>0.11799999999999999</v>
      </c>
      <c r="G495" s="57">
        <v>3.7999999999999999E-2</v>
      </c>
    </row>
    <row r="496" spans="1:7" x14ac:dyDescent="0.2">
      <c r="A496" s="63">
        <v>44663</v>
      </c>
      <c r="B496" s="57">
        <v>2370</v>
      </c>
      <c r="C496" s="57">
        <v>3</v>
      </c>
      <c r="D496" s="57" t="s">
        <v>159</v>
      </c>
      <c r="E496" s="57">
        <v>0</v>
      </c>
      <c r="F496" s="57">
        <v>1.9E-2</v>
      </c>
      <c r="G496" s="57">
        <v>8.0000000000000002E-3</v>
      </c>
    </row>
    <row r="497" spans="1:7" x14ac:dyDescent="0.2">
      <c r="A497" s="63">
        <v>44663</v>
      </c>
      <c r="B497" s="57">
        <v>2331</v>
      </c>
      <c r="C497" s="57">
        <v>2</v>
      </c>
      <c r="D497" s="57" t="s">
        <v>169</v>
      </c>
      <c r="E497" s="57">
        <v>1</v>
      </c>
      <c r="F497" s="57">
        <v>1.0509999999999999</v>
      </c>
      <c r="G497" s="57">
        <v>0.58499999999999996</v>
      </c>
    </row>
    <row r="498" spans="1:7" x14ac:dyDescent="0.2">
      <c r="A498" s="63">
        <v>44663</v>
      </c>
      <c r="B498" s="57">
        <v>2351</v>
      </c>
      <c r="C498" s="57">
        <v>1</v>
      </c>
      <c r="D498" s="57" t="s">
        <v>169</v>
      </c>
      <c r="E498" s="57">
        <v>0</v>
      </c>
      <c r="F498" s="57">
        <v>0.82699999999999996</v>
      </c>
      <c r="G498" s="57">
        <v>0.23499999999999999</v>
      </c>
    </row>
    <row r="499" spans="1:7" x14ac:dyDescent="0.2">
      <c r="A499" s="63">
        <v>44663</v>
      </c>
      <c r="B499" s="57">
        <v>2351</v>
      </c>
      <c r="C499" s="57">
        <v>3</v>
      </c>
      <c r="D499" s="57" t="s">
        <v>159</v>
      </c>
      <c r="E499" s="57">
        <v>0</v>
      </c>
      <c r="F499" s="57">
        <v>7.0000000000000007E-2</v>
      </c>
      <c r="G499" s="57">
        <v>2.1999999999999999E-2</v>
      </c>
    </row>
    <row r="500" spans="1:7" x14ac:dyDescent="0.2">
      <c r="A500" s="63">
        <v>44663</v>
      </c>
      <c r="B500" s="57">
        <v>2348</v>
      </c>
      <c r="C500" s="57">
        <v>2</v>
      </c>
      <c r="D500" s="57" t="s">
        <v>159</v>
      </c>
      <c r="E500" s="57">
        <v>0</v>
      </c>
      <c r="F500" s="57">
        <v>4.4999999999999998E-2</v>
      </c>
      <c r="G500" s="57">
        <v>1.6E-2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5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59765625" customWidth="1"/>
    <col min="2" max="2" width="9" customWidth="1"/>
    <col min="3" max="3" width="10.796875" customWidth="1"/>
    <col min="4" max="4" width="6.796875" customWidth="1"/>
    <col min="5" max="5" width="7" customWidth="1"/>
    <col min="6" max="6" width="4.796875" customWidth="1"/>
    <col min="7" max="7" width="5" customWidth="1"/>
    <col min="8" max="8" width="4.59765625" customWidth="1"/>
    <col min="9" max="9" width="4.796875" customWidth="1"/>
  </cols>
  <sheetData>
    <row r="1" spans="1:26" x14ac:dyDescent="0.2">
      <c r="A1" s="61" t="s">
        <v>140</v>
      </c>
      <c r="B1" s="61" t="s">
        <v>170</v>
      </c>
      <c r="C1" s="61" t="s">
        <v>171</v>
      </c>
      <c r="D1" s="61" t="s">
        <v>132</v>
      </c>
      <c r="E1" s="61" t="s">
        <v>131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">
      <c r="A2" s="63">
        <v>44620</v>
      </c>
      <c r="B2" s="57">
        <v>2381</v>
      </c>
      <c r="C2" s="57">
        <v>9.4E-2</v>
      </c>
      <c r="F2" s="57">
        <v>2</v>
      </c>
      <c r="G2" s="57" t="s">
        <v>172</v>
      </c>
      <c r="H2" s="57">
        <v>3</v>
      </c>
      <c r="I2" s="57" t="s">
        <v>142</v>
      </c>
    </row>
    <row r="3" spans="1:26" x14ac:dyDescent="0.2">
      <c r="A3" s="63">
        <v>44620</v>
      </c>
      <c r="B3" s="57">
        <v>2351.0500000000002</v>
      </c>
      <c r="C3" s="57">
        <v>0.80900000000000005</v>
      </c>
      <c r="F3" s="57">
        <v>3</v>
      </c>
      <c r="G3" s="57" t="s">
        <v>172</v>
      </c>
      <c r="H3" s="57">
        <v>3</v>
      </c>
      <c r="I3" s="57" t="s">
        <v>173</v>
      </c>
    </row>
    <row r="4" spans="1:26" x14ac:dyDescent="0.2">
      <c r="A4" s="63">
        <v>44620</v>
      </c>
      <c r="B4" s="57">
        <v>2384</v>
      </c>
      <c r="C4" s="57">
        <v>0.125</v>
      </c>
      <c r="F4" s="57">
        <v>1</v>
      </c>
      <c r="G4" s="57" t="s">
        <v>172</v>
      </c>
      <c r="H4" s="57">
        <v>3</v>
      </c>
      <c r="I4" s="57" t="s">
        <v>146</v>
      </c>
    </row>
    <row r="5" spans="1:26" x14ac:dyDescent="0.2">
      <c r="A5" s="63">
        <v>44620</v>
      </c>
      <c r="B5" s="57">
        <v>2381.0700000000002</v>
      </c>
      <c r="C5" s="57">
        <v>0.497</v>
      </c>
      <c r="F5" s="57">
        <v>3</v>
      </c>
      <c r="G5" s="57" t="s">
        <v>172</v>
      </c>
      <c r="H5" s="57">
        <v>3</v>
      </c>
      <c r="I5" s="57" t="s">
        <v>174</v>
      </c>
    </row>
    <row r="6" spans="1:26" x14ac:dyDescent="0.2">
      <c r="A6" s="63">
        <v>44620</v>
      </c>
      <c r="B6" s="57">
        <v>2384</v>
      </c>
      <c r="C6" s="57">
        <v>0.13400000000000001</v>
      </c>
      <c r="F6" s="57">
        <v>2</v>
      </c>
      <c r="G6" s="57" t="s">
        <v>172</v>
      </c>
      <c r="H6" s="57">
        <v>3</v>
      </c>
      <c r="I6" s="57" t="s">
        <v>175</v>
      </c>
    </row>
    <row r="7" spans="1:26" x14ac:dyDescent="0.2">
      <c r="A7" s="63">
        <v>44620</v>
      </c>
      <c r="B7" s="57">
        <v>2381</v>
      </c>
      <c r="C7" s="57">
        <v>0.23699999999999999</v>
      </c>
      <c r="F7" s="57">
        <v>1</v>
      </c>
      <c r="G7" s="57" t="s">
        <v>172</v>
      </c>
      <c r="H7" s="57">
        <v>3</v>
      </c>
      <c r="I7" s="57" t="s">
        <v>142</v>
      </c>
    </row>
    <row r="8" spans="1:26" x14ac:dyDescent="0.2">
      <c r="A8" s="63">
        <v>44620</v>
      </c>
      <c r="B8" s="57">
        <v>2381</v>
      </c>
      <c r="C8" s="57">
        <v>0.11700000000000001</v>
      </c>
      <c r="F8" s="57">
        <v>1</v>
      </c>
      <c r="G8" s="57" t="s">
        <v>172</v>
      </c>
      <c r="H8" s="57">
        <v>3</v>
      </c>
      <c r="I8" s="57" t="s">
        <v>143</v>
      </c>
    </row>
    <row r="9" spans="1:26" x14ac:dyDescent="0.2">
      <c r="A9" s="63">
        <v>44620</v>
      </c>
      <c r="B9" s="57">
        <v>2381</v>
      </c>
      <c r="C9" s="57">
        <v>0.159</v>
      </c>
      <c r="F9" s="57">
        <v>2</v>
      </c>
      <c r="G9" s="57" t="s">
        <v>172</v>
      </c>
      <c r="H9" s="57">
        <v>3</v>
      </c>
      <c r="I9" s="57" t="s">
        <v>143</v>
      </c>
    </row>
    <row r="10" spans="1:26" x14ac:dyDescent="0.2">
      <c r="A10" s="63">
        <v>44620</v>
      </c>
      <c r="B10" s="57">
        <v>2384</v>
      </c>
      <c r="C10" s="57">
        <v>6.0999999999999999E-2</v>
      </c>
      <c r="F10" s="57">
        <v>1</v>
      </c>
      <c r="G10" s="57" t="s">
        <v>172</v>
      </c>
      <c r="H10" s="57">
        <v>3</v>
      </c>
      <c r="I10" s="57" t="s">
        <v>176</v>
      </c>
    </row>
    <row r="11" spans="1:26" x14ac:dyDescent="0.2">
      <c r="A11" s="63">
        <v>44620</v>
      </c>
      <c r="B11" s="57">
        <v>2381.04</v>
      </c>
      <c r="C11" s="57">
        <v>0.3</v>
      </c>
      <c r="F11" s="57">
        <v>3</v>
      </c>
      <c r="G11" s="57" t="s">
        <v>172</v>
      </c>
      <c r="H11" s="57">
        <v>3</v>
      </c>
      <c r="I11" s="57" t="s">
        <v>176</v>
      </c>
    </row>
    <row r="12" spans="1:26" x14ac:dyDescent="0.2">
      <c r="A12" s="63">
        <v>44620</v>
      </c>
      <c r="B12" s="57">
        <v>2381.0300000000002</v>
      </c>
      <c r="C12" s="57">
        <v>0.23200000000000001</v>
      </c>
      <c r="F12" s="57">
        <v>3</v>
      </c>
      <c r="G12" s="57" t="s">
        <v>172</v>
      </c>
      <c r="H12" s="57">
        <v>3</v>
      </c>
      <c r="I12" s="57" t="s">
        <v>146</v>
      </c>
    </row>
    <row r="13" spans="1:26" x14ac:dyDescent="0.2">
      <c r="A13" s="63">
        <v>44620</v>
      </c>
      <c r="B13" s="57">
        <v>2384</v>
      </c>
      <c r="C13" s="57">
        <v>0.107</v>
      </c>
      <c r="F13" s="57">
        <v>2</v>
      </c>
      <c r="G13" s="57" t="s">
        <v>172</v>
      </c>
      <c r="H13" s="57">
        <v>3</v>
      </c>
      <c r="I13" s="57" t="s">
        <v>173</v>
      </c>
    </row>
    <row r="14" spans="1:26" x14ac:dyDescent="0.2">
      <c r="A14" s="63">
        <v>44620</v>
      </c>
      <c r="B14" s="57">
        <v>2381.02</v>
      </c>
      <c r="C14" s="57">
        <v>0.72199999999999998</v>
      </c>
      <c r="F14" s="57">
        <v>3</v>
      </c>
      <c r="G14" s="57" t="s">
        <v>172</v>
      </c>
      <c r="H14" s="57">
        <v>3</v>
      </c>
      <c r="I14" s="57" t="s">
        <v>143</v>
      </c>
    </row>
    <row r="15" spans="1:26" x14ac:dyDescent="0.2">
      <c r="A15" s="63">
        <v>44620</v>
      </c>
      <c r="B15" s="57">
        <v>2381</v>
      </c>
      <c r="C15" s="57">
        <v>0.11899999999999999</v>
      </c>
      <c r="F15" s="57">
        <v>2</v>
      </c>
      <c r="G15" s="57" t="s">
        <v>172</v>
      </c>
      <c r="H15" s="57">
        <v>3</v>
      </c>
      <c r="I15" s="57" t="s">
        <v>176</v>
      </c>
    </row>
    <row r="16" spans="1:26" x14ac:dyDescent="0.2">
      <c r="A16" s="63">
        <v>44620</v>
      </c>
      <c r="B16" s="57">
        <v>2384</v>
      </c>
      <c r="C16" s="57">
        <v>9.7000000000000003E-2</v>
      </c>
      <c r="F16" s="57">
        <v>1</v>
      </c>
      <c r="G16" s="57" t="s">
        <v>172</v>
      </c>
      <c r="H16" s="57">
        <v>3</v>
      </c>
      <c r="I16" s="57" t="s">
        <v>143</v>
      </c>
    </row>
    <row r="17" spans="1:9" x14ac:dyDescent="0.2">
      <c r="A17" s="63">
        <v>44620</v>
      </c>
      <c r="B17" s="57">
        <v>2381</v>
      </c>
      <c r="C17" s="57">
        <v>0.12</v>
      </c>
      <c r="F17" s="57">
        <v>2</v>
      </c>
      <c r="G17" s="57" t="s">
        <v>172</v>
      </c>
      <c r="H17" s="57">
        <v>3</v>
      </c>
      <c r="I17" s="57" t="s">
        <v>146</v>
      </c>
    </row>
    <row r="18" spans="1:9" x14ac:dyDescent="0.2">
      <c r="A18" s="63">
        <v>44620</v>
      </c>
      <c r="B18" s="57">
        <v>2381</v>
      </c>
      <c r="C18" s="57">
        <v>0.36599999999999999</v>
      </c>
      <c r="F18" s="57">
        <v>3</v>
      </c>
      <c r="G18" s="57" t="s">
        <v>172</v>
      </c>
      <c r="H18" s="57">
        <v>3</v>
      </c>
      <c r="I18" s="57" t="s">
        <v>177</v>
      </c>
    </row>
    <row r="19" spans="1:9" x14ac:dyDescent="0.2">
      <c r="A19" s="63">
        <v>44620</v>
      </c>
      <c r="B19" s="57">
        <v>2381</v>
      </c>
      <c r="C19" s="57">
        <v>8.3000000000000004E-2</v>
      </c>
      <c r="F19" s="57">
        <v>1</v>
      </c>
      <c r="G19" s="57" t="s">
        <v>172</v>
      </c>
      <c r="H19" s="57">
        <v>3</v>
      </c>
      <c r="I19" s="57" t="s">
        <v>146</v>
      </c>
    </row>
    <row r="20" spans="1:9" x14ac:dyDescent="0.2">
      <c r="A20" s="63">
        <v>44620</v>
      </c>
      <c r="B20" s="57">
        <v>2381.06</v>
      </c>
      <c r="C20" s="57">
        <v>0.34599999999999997</v>
      </c>
      <c r="F20" s="57">
        <v>3</v>
      </c>
      <c r="G20" s="57" t="s">
        <v>172</v>
      </c>
      <c r="H20" s="57">
        <v>3</v>
      </c>
      <c r="I20" s="57" t="s">
        <v>175</v>
      </c>
    </row>
    <row r="21" spans="1:9" x14ac:dyDescent="0.2">
      <c r="A21" s="63">
        <v>44620</v>
      </c>
      <c r="B21" s="57">
        <v>2381</v>
      </c>
      <c r="C21" s="57">
        <v>0.13800000000000001</v>
      </c>
      <c r="F21" s="57">
        <v>1</v>
      </c>
      <c r="G21" s="57" t="s">
        <v>172</v>
      </c>
      <c r="H21" s="57">
        <v>3</v>
      </c>
      <c r="I21" s="57" t="s">
        <v>177</v>
      </c>
    </row>
    <row r="22" spans="1:9" x14ac:dyDescent="0.2">
      <c r="A22" s="63">
        <v>44620</v>
      </c>
      <c r="B22" s="57">
        <v>2384</v>
      </c>
      <c r="C22" s="57">
        <v>0.32</v>
      </c>
      <c r="F22" s="57">
        <v>1</v>
      </c>
      <c r="G22" s="57" t="s">
        <v>172</v>
      </c>
      <c r="H22" s="57">
        <v>3</v>
      </c>
      <c r="I22" s="57" t="s">
        <v>142</v>
      </c>
    </row>
    <row r="23" spans="1:9" x14ac:dyDescent="0.2">
      <c r="A23" s="63">
        <v>44620</v>
      </c>
      <c r="B23" s="57">
        <v>2381</v>
      </c>
      <c r="C23" s="57">
        <v>0.39900000000000002</v>
      </c>
      <c r="F23" s="57">
        <v>3</v>
      </c>
      <c r="G23" s="57" t="s">
        <v>172</v>
      </c>
      <c r="H23" s="57">
        <v>3</v>
      </c>
      <c r="I23" s="57" t="s">
        <v>142</v>
      </c>
    </row>
    <row r="24" spans="1:9" x14ac:dyDescent="0.2">
      <c r="A24" s="63">
        <v>44620</v>
      </c>
      <c r="B24" s="57">
        <v>2384</v>
      </c>
      <c r="C24" s="57">
        <v>8.8999999999999996E-2</v>
      </c>
      <c r="F24" s="57">
        <v>1</v>
      </c>
      <c r="G24" s="57" t="s">
        <v>172</v>
      </c>
      <c r="H24" s="57">
        <v>3</v>
      </c>
      <c r="I24" s="57" t="s">
        <v>177</v>
      </c>
    </row>
    <row r="25" spans="1:9" x14ac:dyDescent="0.2">
      <c r="A25" s="63">
        <v>44620</v>
      </c>
      <c r="B25" s="57">
        <v>2381</v>
      </c>
      <c r="C25" s="57">
        <v>0.14099999999999999</v>
      </c>
      <c r="F25" s="57">
        <v>1</v>
      </c>
      <c r="G25" s="57" t="s">
        <v>172</v>
      </c>
      <c r="H25" s="57">
        <v>3</v>
      </c>
      <c r="I25" s="57" t="s">
        <v>176</v>
      </c>
    </row>
    <row r="26" spans="1:9" x14ac:dyDescent="0.2">
      <c r="A26" s="63">
        <v>44635</v>
      </c>
      <c r="B26" s="57">
        <v>2346</v>
      </c>
      <c r="C26" s="57">
        <v>9.4999999999999998E-3</v>
      </c>
      <c r="D26" s="57">
        <v>3</v>
      </c>
      <c r="E26" s="57">
        <v>3</v>
      </c>
    </row>
    <row r="27" spans="1:9" x14ac:dyDescent="0.2">
      <c r="A27" s="63">
        <v>44635</v>
      </c>
      <c r="B27" s="57">
        <v>2367</v>
      </c>
      <c r="C27" s="57">
        <v>0.105</v>
      </c>
      <c r="D27" s="57">
        <v>3</v>
      </c>
      <c r="E27" s="57">
        <v>2</v>
      </c>
    </row>
    <row r="28" spans="1:9" x14ac:dyDescent="0.2">
      <c r="A28" s="63">
        <v>44635</v>
      </c>
      <c r="B28" s="57">
        <v>2365</v>
      </c>
      <c r="C28" s="57">
        <v>0.99299999999999999</v>
      </c>
      <c r="D28" s="57">
        <v>3</v>
      </c>
      <c r="E28" s="57">
        <v>6</v>
      </c>
    </row>
    <row r="29" spans="1:9" x14ac:dyDescent="0.2">
      <c r="A29" s="63">
        <v>44635</v>
      </c>
      <c r="B29" s="57">
        <v>2365</v>
      </c>
      <c r="C29" s="57">
        <v>0.67400000000000004</v>
      </c>
      <c r="D29" s="57">
        <v>3</v>
      </c>
      <c r="E29" s="57">
        <v>2</v>
      </c>
    </row>
    <row r="30" spans="1:9" x14ac:dyDescent="0.2">
      <c r="A30" s="63">
        <v>44635</v>
      </c>
      <c r="B30" s="57">
        <v>2365</v>
      </c>
      <c r="C30" s="57">
        <v>1.0640000000000001</v>
      </c>
      <c r="D30" s="57">
        <v>3</v>
      </c>
      <c r="E30" s="57">
        <v>1</v>
      </c>
    </row>
    <row r="31" spans="1:9" x14ac:dyDescent="0.2">
      <c r="A31" s="63">
        <v>44635</v>
      </c>
      <c r="B31" s="57">
        <v>2365</v>
      </c>
      <c r="C31" s="57">
        <v>0.98099999999999998</v>
      </c>
      <c r="D31" s="57">
        <v>3</v>
      </c>
      <c r="E31" s="57">
        <v>5</v>
      </c>
    </row>
    <row r="32" spans="1:9" x14ac:dyDescent="0.2">
      <c r="A32" s="63">
        <v>44635</v>
      </c>
      <c r="B32" s="57">
        <v>2343</v>
      </c>
      <c r="C32" s="57">
        <v>0.11799999999999999</v>
      </c>
      <c r="D32" s="57">
        <v>3</v>
      </c>
      <c r="E32" s="57">
        <v>5</v>
      </c>
    </row>
    <row r="33" spans="1:5" x14ac:dyDescent="0.2">
      <c r="A33" s="63">
        <v>44635</v>
      </c>
      <c r="B33" s="57">
        <v>2346</v>
      </c>
      <c r="C33" s="57">
        <v>8.3000000000000004E-2</v>
      </c>
      <c r="D33" s="57">
        <v>3</v>
      </c>
      <c r="E33" s="57">
        <v>6</v>
      </c>
    </row>
    <row r="34" spans="1:5" x14ac:dyDescent="0.2">
      <c r="A34" s="63">
        <v>44635</v>
      </c>
      <c r="B34" s="57">
        <v>2347</v>
      </c>
      <c r="C34" s="57">
        <v>3.9E-2</v>
      </c>
      <c r="D34" s="57">
        <v>3</v>
      </c>
      <c r="E34" s="57">
        <v>4</v>
      </c>
    </row>
    <row r="35" spans="1:5" x14ac:dyDescent="0.2">
      <c r="A35" s="63">
        <v>44635</v>
      </c>
      <c r="B35" s="57">
        <v>2343</v>
      </c>
      <c r="C35" s="57">
        <v>3.1E-2</v>
      </c>
      <c r="D35" s="57">
        <v>3</v>
      </c>
      <c r="E35" s="57">
        <v>6</v>
      </c>
    </row>
    <row r="36" spans="1:5" x14ac:dyDescent="0.2">
      <c r="A36" s="63">
        <v>44635</v>
      </c>
      <c r="B36" s="57">
        <v>2346</v>
      </c>
      <c r="C36" s="57">
        <v>0.186</v>
      </c>
      <c r="D36" s="57">
        <v>3</v>
      </c>
      <c r="E36" s="57">
        <v>2</v>
      </c>
    </row>
    <row r="37" spans="1:5" x14ac:dyDescent="0.2">
      <c r="A37" s="63">
        <v>44635</v>
      </c>
      <c r="B37" s="57">
        <v>2343</v>
      </c>
      <c r="C37" s="57">
        <v>9.0999999999999998E-2</v>
      </c>
      <c r="D37" s="57">
        <v>3</v>
      </c>
      <c r="E37" s="57">
        <v>3</v>
      </c>
    </row>
    <row r="38" spans="1:5" x14ac:dyDescent="0.2">
      <c r="A38" s="63">
        <v>44635</v>
      </c>
      <c r="B38" s="57">
        <v>2343</v>
      </c>
      <c r="C38" s="57">
        <v>0.20699999999999999</v>
      </c>
      <c r="D38" s="57">
        <v>3</v>
      </c>
      <c r="E38" s="57">
        <v>4</v>
      </c>
    </row>
    <row r="39" spans="1:5" x14ac:dyDescent="0.2">
      <c r="A39" s="63">
        <v>44635</v>
      </c>
      <c r="B39" s="57">
        <v>2365</v>
      </c>
      <c r="C39" s="57">
        <v>0.47499999999999998</v>
      </c>
      <c r="D39" s="57">
        <v>1</v>
      </c>
      <c r="E39" s="57">
        <v>4</v>
      </c>
    </row>
    <row r="40" spans="1:5" x14ac:dyDescent="0.2">
      <c r="A40" s="63">
        <v>44635</v>
      </c>
      <c r="B40" s="57">
        <v>2347</v>
      </c>
      <c r="C40" s="57">
        <v>2.8000000000000001E-2</v>
      </c>
      <c r="D40" s="57">
        <v>3</v>
      </c>
      <c r="E40" s="57">
        <v>5</v>
      </c>
    </row>
    <row r="41" spans="1:5" x14ac:dyDescent="0.2">
      <c r="A41" s="63">
        <v>44635</v>
      </c>
      <c r="B41" s="57">
        <v>2365</v>
      </c>
      <c r="C41" s="57">
        <v>0.57899999999999996</v>
      </c>
      <c r="D41" s="57">
        <v>3</v>
      </c>
      <c r="E41" s="57">
        <v>3</v>
      </c>
    </row>
    <row r="42" spans="1:5" x14ac:dyDescent="0.2">
      <c r="A42" s="63">
        <v>44635</v>
      </c>
      <c r="B42" s="57">
        <v>2369</v>
      </c>
      <c r="C42" s="57">
        <v>0.252</v>
      </c>
      <c r="D42" s="57">
        <v>3</v>
      </c>
      <c r="E42" s="57">
        <v>6</v>
      </c>
    </row>
    <row r="43" spans="1:5" x14ac:dyDescent="0.2">
      <c r="A43" s="63">
        <v>44635</v>
      </c>
      <c r="B43" s="57">
        <v>2369</v>
      </c>
      <c r="C43" s="57">
        <v>0.22900000000000001</v>
      </c>
      <c r="D43" s="57">
        <v>3</v>
      </c>
      <c r="E43" s="57">
        <v>3</v>
      </c>
    </row>
    <row r="44" spans="1:5" x14ac:dyDescent="0.2">
      <c r="A44" s="63">
        <v>44635</v>
      </c>
      <c r="B44" s="57">
        <v>2346</v>
      </c>
      <c r="C44" s="57">
        <v>3.5999999999999997E-2</v>
      </c>
      <c r="D44" s="57">
        <v>3</v>
      </c>
      <c r="E44" s="57">
        <v>4</v>
      </c>
    </row>
    <row r="45" spans="1:5" x14ac:dyDescent="0.2">
      <c r="A45" s="63">
        <v>44635</v>
      </c>
      <c r="B45" s="57">
        <v>2343</v>
      </c>
      <c r="C45" s="57">
        <v>5.2999999999999999E-2</v>
      </c>
      <c r="D45" s="57">
        <v>3</v>
      </c>
      <c r="E45" s="57">
        <v>2</v>
      </c>
    </row>
    <row r="46" spans="1:5" x14ac:dyDescent="0.2">
      <c r="A46" s="63">
        <v>44635</v>
      </c>
      <c r="B46" s="57">
        <v>2369</v>
      </c>
      <c r="C46" s="57">
        <v>0.35199999999999998</v>
      </c>
      <c r="D46" s="57">
        <v>3</v>
      </c>
      <c r="E46" s="57">
        <v>2</v>
      </c>
    </row>
    <row r="47" spans="1:5" x14ac:dyDescent="0.2">
      <c r="A47" s="63">
        <v>44635</v>
      </c>
      <c r="B47" s="57">
        <v>2367</v>
      </c>
      <c r="C47" s="57">
        <v>1.2E-2</v>
      </c>
      <c r="D47" s="57">
        <v>3</v>
      </c>
      <c r="E47" s="57">
        <v>6</v>
      </c>
    </row>
    <row r="48" spans="1:5" x14ac:dyDescent="0.2">
      <c r="A48" s="63">
        <v>44635</v>
      </c>
      <c r="B48" s="57">
        <v>2347</v>
      </c>
      <c r="C48" s="57">
        <v>2.1999999999999999E-2</v>
      </c>
      <c r="D48" s="57">
        <v>3</v>
      </c>
      <c r="E48" s="57">
        <v>2</v>
      </c>
    </row>
    <row r="49" spans="1:5" x14ac:dyDescent="0.2">
      <c r="A49" s="63">
        <v>44635</v>
      </c>
      <c r="B49" s="57">
        <v>2343</v>
      </c>
      <c r="C49" s="57">
        <v>0.28100000000000003</v>
      </c>
      <c r="D49" s="57">
        <v>3</v>
      </c>
      <c r="E49" s="57">
        <v>1</v>
      </c>
    </row>
    <row r="50" spans="1:5" x14ac:dyDescent="0.2">
      <c r="A50" s="63">
        <v>44635</v>
      </c>
      <c r="B50" s="57">
        <v>2369</v>
      </c>
      <c r="C50" s="57">
        <v>0.53600000000000003</v>
      </c>
      <c r="D50" s="57">
        <v>3</v>
      </c>
      <c r="E50" s="57">
        <v>5</v>
      </c>
    </row>
    <row r="51" spans="1:5" x14ac:dyDescent="0.2">
      <c r="A51" s="63">
        <v>44635</v>
      </c>
      <c r="B51" s="57">
        <v>2347</v>
      </c>
      <c r="C51" s="57">
        <v>3.4000000000000002E-2</v>
      </c>
      <c r="D51" s="57">
        <v>3</v>
      </c>
      <c r="E51" s="57">
        <v>3</v>
      </c>
    </row>
    <row r="52" spans="1:5" x14ac:dyDescent="0.2">
      <c r="A52" s="63">
        <v>44635</v>
      </c>
      <c r="B52" s="57">
        <v>2347</v>
      </c>
      <c r="C52" s="57">
        <v>3.5000000000000003E-2</v>
      </c>
      <c r="D52" s="57">
        <v>3</v>
      </c>
      <c r="E52" s="57">
        <v>1</v>
      </c>
    </row>
    <row r="53" spans="1:5" x14ac:dyDescent="0.2">
      <c r="A53" s="63">
        <v>44635</v>
      </c>
      <c r="B53" s="57">
        <v>2367</v>
      </c>
      <c r="C53" s="57">
        <v>1.0999999999999999E-2</v>
      </c>
      <c r="D53" s="57">
        <v>3</v>
      </c>
      <c r="E53" s="57">
        <v>5</v>
      </c>
    </row>
    <row r="54" spans="1:5" x14ac:dyDescent="0.2">
      <c r="A54" s="63">
        <v>44635</v>
      </c>
      <c r="B54" s="57">
        <v>2369</v>
      </c>
      <c r="C54" s="57">
        <v>0.13600000000000001</v>
      </c>
      <c r="D54" s="57">
        <v>3</v>
      </c>
      <c r="E54" s="57">
        <v>4</v>
      </c>
    </row>
    <row r="55" spans="1:5" x14ac:dyDescent="0.2">
      <c r="A55" s="63">
        <v>44635</v>
      </c>
      <c r="B55" s="57">
        <v>2367</v>
      </c>
      <c r="C55" s="57">
        <v>9.4E-2</v>
      </c>
      <c r="D55" s="57">
        <v>3</v>
      </c>
      <c r="E55" s="57">
        <v>3</v>
      </c>
    </row>
    <row r="56" spans="1:5" x14ac:dyDescent="0.2">
      <c r="A56" s="63">
        <v>44635</v>
      </c>
      <c r="B56" s="57">
        <v>2346</v>
      </c>
      <c r="C56" s="57">
        <v>0.183</v>
      </c>
      <c r="D56" s="57">
        <v>3</v>
      </c>
      <c r="E56" s="57">
        <v>1</v>
      </c>
    </row>
    <row r="57" spans="1:5" x14ac:dyDescent="0.2">
      <c r="A57" s="63">
        <v>44635</v>
      </c>
      <c r="B57" s="57">
        <v>2367</v>
      </c>
      <c r="C57" s="57">
        <v>1.7999999999999999E-2</v>
      </c>
      <c r="D57" s="57">
        <v>3</v>
      </c>
      <c r="E57" s="57">
        <v>1</v>
      </c>
    </row>
    <row r="58" spans="1:5" x14ac:dyDescent="0.2">
      <c r="A58" s="63">
        <v>44635</v>
      </c>
      <c r="B58" s="57">
        <v>2346</v>
      </c>
      <c r="C58" s="57">
        <v>0.02</v>
      </c>
      <c r="D58" s="57">
        <v>3</v>
      </c>
      <c r="E58" s="57">
        <v>5</v>
      </c>
    </row>
    <row r="59" spans="1:5" x14ac:dyDescent="0.2">
      <c r="A59" s="63">
        <v>44635</v>
      </c>
      <c r="B59" s="57">
        <v>2367</v>
      </c>
      <c r="C59" s="57">
        <v>1.9E-2</v>
      </c>
      <c r="D59" s="57">
        <v>3</v>
      </c>
      <c r="E59" s="57">
        <v>4</v>
      </c>
    </row>
    <row r="60" spans="1:5" x14ac:dyDescent="0.2">
      <c r="A60" s="63">
        <v>44635</v>
      </c>
      <c r="B60" s="57">
        <v>2369</v>
      </c>
      <c r="C60" s="57">
        <v>0.27200000000000002</v>
      </c>
      <c r="D60" s="57">
        <v>3</v>
      </c>
      <c r="E60" s="57">
        <v>1</v>
      </c>
    </row>
    <row r="61" spans="1:5" x14ac:dyDescent="0.2">
      <c r="A61" s="63">
        <v>44647</v>
      </c>
      <c r="B61" s="57">
        <v>2343.6</v>
      </c>
      <c r="C61" s="57">
        <v>0.51500000000000001</v>
      </c>
    </row>
    <row r="62" spans="1:5" x14ac:dyDescent="0.2">
      <c r="A62" s="63">
        <v>44647</v>
      </c>
      <c r="B62" s="57">
        <v>2365.6999999999998</v>
      </c>
      <c r="C62" s="57">
        <v>0.48099999999999998</v>
      </c>
    </row>
    <row r="63" spans="1:5" x14ac:dyDescent="0.2">
      <c r="A63" s="63">
        <v>44647</v>
      </c>
      <c r="B63" s="57">
        <v>2347.1</v>
      </c>
      <c r="C63" s="57">
        <v>0.11799999999999999</v>
      </c>
    </row>
    <row r="64" spans="1:5" x14ac:dyDescent="0.2">
      <c r="A64" s="63">
        <v>44647</v>
      </c>
      <c r="B64" s="57">
        <v>2343.3000000000002</v>
      </c>
      <c r="C64" s="57">
        <v>0.72899999999999998</v>
      </c>
    </row>
    <row r="65" spans="1:3" x14ac:dyDescent="0.2">
      <c r="A65" s="63">
        <v>44647</v>
      </c>
      <c r="B65" s="57">
        <v>2347.1999999999998</v>
      </c>
      <c r="C65" s="57">
        <v>0.29699999999999999</v>
      </c>
    </row>
    <row r="66" spans="1:3" x14ac:dyDescent="0.2">
      <c r="A66" s="63">
        <v>44647</v>
      </c>
      <c r="B66" s="57">
        <v>2367.5</v>
      </c>
      <c r="C66" s="57">
        <v>0.14000000000000001</v>
      </c>
    </row>
    <row r="67" spans="1:3" x14ac:dyDescent="0.2">
      <c r="A67" s="63">
        <v>44647</v>
      </c>
      <c r="B67" s="57">
        <v>2365.1</v>
      </c>
      <c r="C67" s="57">
        <v>1.026</v>
      </c>
    </row>
    <row r="68" spans="1:3" x14ac:dyDescent="0.2">
      <c r="A68" s="63">
        <v>44647</v>
      </c>
      <c r="B68" s="57">
        <v>2369.1</v>
      </c>
      <c r="C68" s="57">
        <v>1.155</v>
      </c>
    </row>
    <row r="69" spans="1:3" x14ac:dyDescent="0.2">
      <c r="A69" s="63">
        <v>44647</v>
      </c>
      <c r="B69" s="57">
        <v>2346.3000000000002</v>
      </c>
      <c r="C69" s="57">
        <v>0.70399999999999996</v>
      </c>
    </row>
    <row r="70" spans="1:3" x14ac:dyDescent="0.2">
      <c r="A70" s="63">
        <v>44647</v>
      </c>
      <c r="B70" s="57">
        <v>2343.5</v>
      </c>
      <c r="C70" s="57">
        <v>0.378</v>
      </c>
    </row>
    <row r="71" spans="1:3" x14ac:dyDescent="0.2">
      <c r="A71" s="63">
        <v>44647</v>
      </c>
      <c r="B71" s="57">
        <v>2365.3000000000002</v>
      </c>
      <c r="C71" s="57">
        <v>0.39100000000000001</v>
      </c>
    </row>
    <row r="72" spans="1:3" x14ac:dyDescent="0.2">
      <c r="A72" s="63">
        <v>44647</v>
      </c>
      <c r="B72" s="57">
        <v>2346.4</v>
      </c>
      <c r="C72" s="57">
        <v>0.16700000000000001</v>
      </c>
    </row>
    <row r="73" spans="1:3" x14ac:dyDescent="0.2">
      <c r="A73" s="63">
        <v>44647</v>
      </c>
      <c r="B73" s="57">
        <v>2369.1999999999998</v>
      </c>
      <c r="C73" s="57">
        <v>1.3140000000000001</v>
      </c>
    </row>
    <row r="74" spans="1:3" x14ac:dyDescent="0.2">
      <c r="A74" s="63">
        <v>44647</v>
      </c>
      <c r="B74" s="57">
        <v>2347.5</v>
      </c>
      <c r="C74" s="57">
        <v>0.32300000000000001</v>
      </c>
    </row>
    <row r="75" spans="1:3" x14ac:dyDescent="0.2">
      <c r="A75" s="63">
        <v>44647</v>
      </c>
      <c r="B75" s="57">
        <v>2367.6999999999998</v>
      </c>
      <c r="C75" s="57">
        <v>0.374</v>
      </c>
    </row>
    <row r="76" spans="1:3" x14ac:dyDescent="0.2">
      <c r="A76" s="63">
        <v>44647</v>
      </c>
      <c r="B76" s="57">
        <v>2369.8000000000002</v>
      </c>
      <c r="C76" s="57">
        <v>0.22</v>
      </c>
    </row>
    <row r="77" spans="1:3" x14ac:dyDescent="0.2">
      <c r="A77" s="63">
        <v>44647</v>
      </c>
      <c r="B77" s="57">
        <v>2369.6</v>
      </c>
      <c r="C77" s="57">
        <v>0.77800000000000002</v>
      </c>
    </row>
    <row r="78" spans="1:3" x14ac:dyDescent="0.2">
      <c r="A78" s="63">
        <v>44647</v>
      </c>
      <c r="B78" s="57">
        <v>2369.6999999999998</v>
      </c>
      <c r="C78" s="57">
        <v>0.48099999999999998</v>
      </c>
    </row>
    <row r="79" spans="1:3" x14ac:dyDescent="0.2">
      <c r="A79" s="63">
        <v>44647</v>
      </c>
      <c r="B79" s="57">
        <v>2346.1</v>
      </c>
      <c r="C79" s="57">
        <v>0.51</v>
      </c>
    </row>
    <row r="80" spans="1:3" x14ac:dyDescent="0.2">
      <c r="A80" s="63">
        <v>44647</v>
      </c>
      <c r="B80" s="57">
        <v>2367.6</v>
      </c>
      <c r="C80" s="57">
        <v>0.11799999999999999</v>
      </c>
    </row>
    <row r="81" spans="1:3" x14ac:dyDescent="0.2">
      <c r="A81" s="63">
        <v>44647</v>
      </c>
      <c r="B81" s="57">
        <v>2369.1</v>
      </c>
      <c r="C81" s="57">
        <v>5.2999999999999999E-2</v>
      </c>
    </row>
    <row r="82" spans="1:3" x14ac:dyDescent="0.2">
      <c r="A82" s="63">
        <v>44647</v>
      </c>
      <c r="B82" s="57">
        <v>2347.4</v>
      </c>
      <c r="C82" s="57">
        <v>0.127</v>
      </c>
    </row>
    <row r="83" spans="1:3" x14ac:dyDescent="0.2">
      <c r="A83" s="63">
        <v>44647</v>
      </c>
      <c r="B83" s="57">
        <v>2343.1999999999998</v>
      </c>
      <c r="C83" s="57">
        <v>0.82299999999999995</v>
      </c>
    </row>
    <row r="84" spans="1:3" x14ac:dyDescent="0.2">
      <c r="A84" s="63">
        <v>44647</v>
      </c>
      <c r="B84" s="57">
        <v>2369.5</v>
      </c>
      <c r="C84" s="57">
        <v>0.38900000000000001</v>
      </c>
    </row>
    <row r="85" spans="1:3" x14ac:dyDescent="0.2">
      <c r="A85" s="63">
        <v>44647</v>
      </c>
      <c r="B85" s="57">
        <v>2369.9</v>
      </c>
      <c r="C85" s="57">
        <v>0.64</v>
      </c>
    </row>
    <row r="86" spans="1:3" x14ac:dyDescent="0.2">
      <c r="A86" s="63">
        <v>44647</v>
      </c>
      <c r="B86" s="57">
        <v>2365.6</v>
      </c>
      <c r="C86" s="57">
        <v>0.38700000000000001</v>
      </c>
    </row>
    <row r="87" spans="1:3" x14ac:dyDescent="0.2">
      <c r="A87" s="63">
        <v>44647</v>
      </c>
      <c r="B87" s="57">
        <v>2369.5</v>
      </c>
      <c r="C87" s="57">
        <v>0.67100000000000004</v>
      </c>
    </row>
    <row r="88" spans="1:3" x14ac:dyDescent="0.2">
      <c r="A88" s="63">
        <v>44647</v>
      </c>
      <c r="B88" s="57">
        <v>2365.5</v>
      </c>
      <c r="C88" s="57">
        <v>0.376</v>
      </c>
    </row>
    <row r="89" spans="1:3" x14ac:dyDescent="0.2">
      <c r="A89" s="63">
        <v>44647</v>
      </c>
      <c r="B89" s="57">
        <v>2346.1999999999998</v>
      </c>
      <c r="C89" s="57">
        <v>1.7649999999999999</v>
      </c>
    </row>
    <row r="90" spans="1:3" x14ac:dyDescent="0.2">
      <c r="A90" s="63">
        <v>44647</v>
      </c>
      <c r="B90" s="57">
        <v>2343.4</v>
      </c>
      <c r="C90" s="57">
        <v>0.40600000000000003</v>
      </c>
    </row>
    <row r="91" spans="1:3" x14ac:dyDescent="0.2">
      <c r="A91" s="63">
        <v>44647</v>
      </c>
      <c r="B91" s="57">
        <v>2367.4</v>
      </c>
      <c r="C91" s="57">
        <v>0.152</v>
      </c>
    </row>
    <row r="92" spans="1:3" x14ac:dyDescent="0.2">
      <c r="A92" s="63">
        <v>44647</v>
      </c>
      <c r="B92" s="57">
        <v>2346.6999999999998</v>
      </c>
      <c r="C92" s="57">
        <v>0.29399999999999998</v>
      </c>
    </row>
    <row r="93" spans="1:3" x14ac:dyDescent="0.2">
      <c r="A93" s="63">
        <v>44647</v>
      </c>
      <c r="B93" s="57">
        <v>2369.3000000000002</v>
      </c>
      <c r="C93" s="57">
        <v>0.216</v>
      </c>
    </row>
    <row r="94" spans="1:3" x14ac:dyDescent="0.2">
      <c r="A94" s="63">
        <v>44647</v>
      </c>
      <c r="B94" s="57">
        <v>2367.3000000000002</v>
      </c>
      <c r="C94" s="57">
        <v>0.63300000000000001</v>
      </c>
    </row>
    <row r="95" spans="1:3" x14ac:dyDescent="0.2">
      <c r="A95" s="63">
        <v>44647</v>
      </c>
      <c r="B95" s="57">
        <v>2347.6</v>
      </c>
      <c r="C95" s="57">
        <v>0.25900000000000001</v>
      </c>
    </row>
    <row r="96" spans="1:3" x14ac:dyDescent="0.2">
      <c r="A96" s="63">
        <v>44647</v>
      </c>
      <c r="B96" s="57">
        <v>2343.1</v>
      </c>
      <c r="C96" s="57">
        <v>0.74099999999999999</v>
      </c>
    </row>
    <row r="97" spans="1:3" x14ac:dyDescent="0.2">
      <c r="A97" s="63">
        <v>44647</v>
      </c>
      <c r="B97" s="57">
        <v>2346.5</v>
      </c>
      <c r="C97" s="57">
        <v>0.24299999999999999</v>
      </c>
    </row>
    <row r="98" spans="1:3" x14ac:dyDescent="0.2">
      <c r="A98" s="63">
        <v>44647</v>
      </c>
      <c r="B98" s="57">
        <v>2365.1999999999998</v>
      </c>
      <c r="C98" s="57">
        <v>0.54800000000000004</v>
      </c>
    </row>
    <row r="99" spans="1:3" x14ac:dyDescent="0.2">
      <c r="A99" s="63">
        <v>44647</v>
      </c>
      <c r="B99" s="57">
        <v>2369.6</v>
      </c>
      <c r="C99" s="57">
        <v>0.223</v>
      </c>
    </row>
    <row r="100" spans="1:3" x14ac:dyDescent="0.2">
      <c r="A100" s="63">
        <v>44647</v>
      </c>
      <c r="B100" s="57">
        <v>2365.8000000000002</v>
      </c>
      <c r="C100" s="57">
        <v>0.29099999999999998</v>
      </c>
    </row>
    <row r="101" spans="1:3" x14ac:dyDescent="0.2">
      <c r="A101" s="63">
        <v>44647</v>
      </c>
      <c r="B101" s="57">
        <v>2369.4</v>
      </c>
      <c r="C101" s="57">
        <v>0.57799999999999996</v>
      </c>
    </row>
    <row r="102" spans="1:3" x14ac:dyDescent="0.2">
      <c r="A102" s="63">
        <v>44647</v>
      </c>
      <c r="B102" s="57">
        <v>2347.3000000000002</v>
      </c>
      <c r="C102" s="57">
        <v>0.127</v>
      </c>
    </row>
    <row r="103" spans="1:3" x14ac:dyDescent="0.2">
      <c r="A103" s="63">
        <v>44647</v>
      </c>
      <c r="B103" s="57">
        <v>2365.4</v>
      </c>
      <c r="C103" s="57">
        <v>0.371</v>
      </c>
    </row>
    <row r="104" spans="1:3" x14ac:dyDescent="0.2">
      <c r="A104" s="63">
        <v>44647</v>
      </c>
      <c r="B104" s="57">
        <v>2346.6</v>
      </c>
      <c r="C104" s="57">
        <v>0.68899999999999995</v>
      </c>
    </row>
    <row r="105" spans="1:3" x14ac:dyDescent="0.2">
      <c r="A105" s="63">
        <v>44647</v>
      </c>
      <c r="B105" s="57">
        <v>2365.9</v>
      </c>
      <c r="C105" s="57">
        <v>0.317</v>
      </c>
    </row>
    <row r="106" spans="1:3" x14ac:dyDescent="0.2">
      <c r="A106" s="63">
        <v>44663</v>
      </c>
      <c r="B106" s="57">
        <v>2369.3000000000002</v>
      </c>
      <c r="C106" s="57">
        <v>0.46</v>
      </c>
    </row>
    <row r="107" spans="1:3" x14ac:dyDescent="0.2">
      <c r="A107" s="63">
        <v>44663</v>
      </c>
      <c r="B107" s="57">
        <v>2369.4</v>
      </c>
      <c r="C107" s="57">
        <v>0.68700000000000006</v>
      </c>
    </row>
    <row r="108" spans="1:3" x14ac:dyDescent="0.2">
      <c r="A108" s="63">
        <v>44663</v>
      </c>
      <c r="B108" s="57">
        <v>2347.5</v>
      </c>
      <c r="C108" s="57">
        <v>0.2</v>
      </c>
    </row>
    <row r="109" spans="1:3" x14ac:dyDescent="0.2">
      <c r="A109" s="63">
        <v>44663</v>
      </c>
      <c r="B109" s="57">
        <v>2343.3000000000002</v>
      </c>
      <c r="C109" s="57">
        <v>0.76</v>
      </c>
    </row>
    <row r="110" spans="1:3" x14ac:dyDescent="0.2">
      <c r="A110" s="63">
        <v>44663</v>
      </c>
      <c r="B110" s="57">
        <v>2343.4</v>
      </c>
      <c r="C110" s="57">
        <v>0.628</v>
      </c>
    </row>
    <row r="111" spans="1:3" x14ac:dyDescent="0.2">
      <c r="A111" s="63">
        <v>44663</v>
      </c>
      <c r="B111" s="57">
        <v>2343.6</v>
      </c>
      <c r="C111" s="57">
        <v>0.23200000000000001</v>
      </c>
    </row>
    <row r="112" spans="1:3" x14ac:dyDescent="0.2">
      <c r="A112" s="63">
        <v>44663</v>
      </c>
      <c r="B112" s="57">
        <v>2369.1999999999998</v>
      </c>
      <c r="C112" s="57">
        <v>0.873</v>
      </c>
    </row>
    <row r="113" spans="1:3" x14ac:dyDescent="0.2">
      <c r="A113" s="63">
        <v>44663</v>
      </c>
      <c r="B113" s="57">
        <v>2347.1</v>
      </c>
      <c r="C113" s="57">
        <v>0.30599999999999999</v>
      </c>
    </row>
    <row r="114" spans="1:3" x14ac:dyDescent="0.2">
      <c r="A114" s="63">
        <v>44663</v>
      </c>
      <c r="B114" s="57">
        <v>2343.5</v>
      </c>
      <c r="C114" s="57">
        <v>0.52400000000000002</v>
      </c>
    </row>
    <row r="115" spans="1:3" x14ac:dyDescent="0.2">
      <c r="A115" s="63">
        <v>44663</v>
      </c>
      <c r="B115" s="57">
        <v>2367.4</v>
      </c>
      <c r="C115" s="57">
        <v>0.217</v>
      </c>
    </row>
    <row r="116" spans="1:3" x14ac:dyDescent="0.2">
      <c r="A116" s="63">
        <v>44663</v>
      </c>
      <c r="B116" s="57">
        <v>2365.3000000000002</v>
      </c>
      <c r="C116" s="57">
        <v>0.123</v>
      </c>
    </row>
    <row r="117" spans="1:3" x14ac:dyDescent="0.2">
      <c r="A117" s="63">
        <v>44663</v>
      </c>
      <c r="B117" s="57">
        <v>2365.5</v>
      </c>
      <c r="C117" s="57">
        <v>0.253</v>
      </c>
    </row>
    <row r="118" spans="1:3" x14ac:dyDescent="0.2">
      <c r="A118" s="63">
        <v>44663</v>
      </c>
      <c r="B118" s="57">
        <v>2347.3000000000002</v>
      </c>
      <c r="C118" s="57">
        <v>0.17799999999999999</v>
      </c>
    </row>
    <row r="119" spans="1:3" x14ac:dyDescent="0.2">
      <c r="A119" s="63">
        <v>44663</v>
      </c>
      <c r="B119" s="57">
        <v>2365.6</v>
      </c>
      <c r="C119" s="57">
        <v>0.35299999999999998</v>
      </c>
    </row>
    <row r="120" spans="1:3" x14ac:dyDescent="0.2">
      <c r="A120" s="63">
        <v>44663</v>
      </c>
      <c r="B120" s="57">
        <v>2346.5</v>
      </c>
      <c r="C120" s="57">
        <v>0.253</v>
      </c>
    </row>
    <row r="121" spans="1:3" x14ac:dyDescent="0.2">
      <c r="A121" s="63">
        <v>44663</v>
      </c>
      <c r="B121" s="57">
        <v>2346.4</v>
      </c>
      <c r="C121" s="57">
        <v>0.36399999999999999</v>
      </c>
    </row>
    <row r="122" spans="1:3" x14ac:dyDescent="0.2">
      <c r="A122" s="63">
        <v>44663</v>
      </c>
      <c r="B122" s="57">
        <v>2365.1999999999998</v>
      </c>
      <c r="C122" s="57">
        <v>0.438</v>
      </c>
    </row>
    <row r="123" spans="1:3" x14ac:dyDescent="0.2">
      <c r="A123" s="63">
        <v>44663</v>
      </c>
      <c r="B123" s="57">
        <v>2369.5</v>
      </c>
      <c r="C123" s="57">
        <v>0.372</v>
      </c>
    </row>
    <row r="124" spans="1:3" x14ac:dyDescent="0.2">
      <c r="A124" s="63">
        <v>44663</v>
      </c>
      <c r="B124" s="57">
        <v>2367.1999999999998</v>
      </c>
      <c r="C124" s="57">
        <v>0.23899999999999999</v>
      </c>
    </row>
    <row r="125" spans="1:3" x14ac:dyDescent="0.2">
      <c r="A125" s="63">
        <v>44663</v>
      </c>
      <c r="B125" s="57">
        <v>2347.4</v>
      </c>
      <c r="C125" s="57">
        <v>0.24099999999999999</v>
      </c>
    </row>
    <row r="126" spans="1:3" x14ac:dyDescent="0.2">
      <c r="A126" s="63">
        <v>44663</v>
      </c>
      <c r="B126" s="57">
        <v>2346.1999999999998</v>
      </c>
      <c r="C126" s="57">
        <v>0.51400000000000001</v>
      </c>
    </row>
    <row r="127" spans="1:3" x14ac:dyDescent="0.2">
      <c r="A127" s="63">
        <v>44663</v>
      </c>
      <c r="B127" s="57">
        <v>2367.6</v>
      </c>
      <c r="C127" s="57">
        <v>4.2000000000000003E-2</v>
      </c>
    </row>
    <row r="128" spans="1:3" x14ac:dyDescent="0.2">
      <c r="A128" s="63">
        <v>44663</v>
      </c>
      <c r="B128" s="57">
        <v>2346.3000000000002</v>
      </c>
      <c r="C128" s="57">
        <v>0.32200000000000001</v>
      </c>
    </row>
    <row r="129" spans="1:3" x14ac:dyDescent="0.2">
      <c r="A129" s="63">
        <v>44663</v>
      </c>
      <c r="B129" s="57">
        <v>2365.1</v>
      </c>
      <c r="C129" s="57">
        <v>0.38600000000000001</v>
      </c>
    </row>
    <row r="130" spans="1:3" x14ac:dyDescent="0.2">
      <c r="A130" s="63">
        <v>44663</v>
      </c>
      <c r="B130" s="57">
        <v>2343.1</v>
      </c>
      <c r="C130" s="57">
        <v>0.91400000000000003</v>
      </c>
    </row>
    <row r="131" spans="1:3" x14ac:dyDescent="0.2">
      <c r="A131" s="63">
        <v>44663</v>
      </c>
      <c r="B131" s="57">
        <v>2347.1999999999998</v>
      </c>
      <c r="C131" s="57">
        <v>0.224</v>
      </c>
    </row>
    <row r="132" spans="1:3" x14ac:dyDescent="0.2">
      <c r="A132" s="63">
        <v>44663</v>
      </c>
      <c r="B132" s="57">
        <v>2367.4</v>
      </c>
      <c r="C132" s="57">
        <v>0.16600000000000001</v>
      </c>
    </row>
    <row r="133" spans="1:3" x14ac:dyDescent="0.2">
      <c r="A133" s="63">
        <v>44663</v>
      </c>
      <c r="B133" s="57">
        <v>2369.6</v>
      </c>
      <c r="C133" s="57">
        <v>0.53800000000000003</v>
      </c>
    </row>
    <row r="134" spans="1:3" x14ac:dyDescent="0.2">
      <c r="A134" s="63">
        <v>44663</v>
      </c>
      <c r="B134" s="57">
        <v>2367.1</v>
      </c>
      <c r="C134" s="57">
        <v>0.34</v>
      </c>
    </row>
    <row r="135" spans="1:3" x14ac:dyDescent="0.2">
      <c r="A135" s="63">
        <v>44663</v>
      </c>
      <c r="B135" s="57">
        <v>2346.6</v>
      </c>
      <c r="C135" s="57">
        <v>8.5999999999999993E-2</v>
      </c>
    </row>
    <row r="136" spans="1:3" x14ac:dyDescent="0.2">
      <c r="A136" s="63">
        <v>44663</v>
      </c>
      <c r="B136" s="57">
        <v>2365.4</v>
      </c>
      <c r="C136" s="57">
        <v>0.26100000000000001</v>
      </c>
    </row>
    <row r="137" spans="1:3" x14ac:dyDescent="0.2">
      <c r="A137" s="63">
        <v>44663</v>
      </c>
      <c r="B137" s="57">
        <v>2367.5</v>
      </c>
      <c r="C137" s="57">
        <v>7.0999999999999994E-2</v>
      </c>
    </row>
    <row r="138" spans="1:3" x14ac:dyDescent="0.2">
      <c r="A138" s="63">
        <v>44663</v>
      </c>
      <c r="B138" s="57">
        <v>2347.6</v>
      </c>
      <c r="C138" s="57">
        <v>0.106</v>
      </c>
    </row>
    <row r="139" spans="1:3" x14ac:dyDescent="0.2">
      <c r="A139" s="63">
        <v>44663</v>
      </c>
      <c r="B139" s="57">
        <v>2343.1999999999998</v>
      </c>
      <c r="C139" s="57">
        <v>0.73699999999999999</v>
      </c>
    </row>
    <row r="140" spans="1:3" x14ac:dyDescent="0.2">
      <c r="A140" s="63">
        <v>44663</v>
      </c>
      <c r="B140" s="57">
        <v>2369.1</v>
      </c>
      <c r="C140" s="57">
        <v>0.44400000000000001</v>
      </c>
    </row>
    <row r="141" spans="1:3" x14ac:dyDescent="0.2">
      <c r="A141" s="63">
        <v>44663</v>
      </c>
      <c r="B141" s="57">
        <v>2346.1</v>
      </c>
      <c r="C141" s="57">
        <v>0.58899999999999997</v>
      </c>
    </row>
    <row r="142" spans="1:3" x14ac:dyDescent="0.2">
      <c r="A142" s="63">
        <v>44676</v>
      </c>
      <c r="B142" s="57">
        <v>2343.1999999999998</v>
      </c>
      <c r="C142" s="57">
        <v>1.1180000000000001</v>
      </c>
    </row>
    <row r="143" spans="1:3" x14ac:dyDescent="0.2">
      <c r="A143" s="63">
        <v>44676</v>
      </c>
      <c r="B143" s="57">
        <v>2346.3000000000002</v>
      </c>
      <c r="C143" s="57">
        <v>0.35799999999999998</v>
      </c>
    </row>
    <row r="144" spans="1:3" x14ac:dyDescent="0.2">
      <c r="A144" s="63">
        <v>44676</v>
      </c>
      <c r="B144" s="57">
        <v>2346.1</v>
      </c>
      <c r="C144" s="57">
        <v>0.35599999999999998</v>
      </c>
    </row>
    <row r="145" spans="1:3" x14ac:dyDescent="0.2">
      <c r="A145" s="63">
        <v>44676</v>
      </c>
      <c r="B145" s="57">
        <v>2347.1</v>
      </c>
      <c r="C145" s="57">
        <v>0.80900000000000005</v>
      </c>
    </row>
    <row r="146" spans="1:3" x14ac:dyDescent="0.2">
      <c r="A146" s="63">
        <v>44676</v>
      </c>
      <c r="B146" s="57">
        <v>2346.1999999999998</v>
      </c>
      <c r="C146" s="57">
        <v>0.28999999999999998</v>
      </c>
    </row>
    <row r="147" spans="1:3" x14ac:dyDescent="0.2">
      <c r="A147" s="63">
        <v>44676</v>
      </c>
      <c r="B147" s="57">
        <v>2347.1999999999998</v>
      </c>
      <c r="C147" s="57">
        <v>0.45400000000000001</v>
      </c>
    </row>
    <row r="148" spans="1:3" x14ac:dyDescent="0.2">
      <c r="A148" s="63">
        <v>44676</v>
      </c>
      <c r="B148" s="57">
        <v>2343.1</v>
      </c>
      <c r="C148" s="57">
        <v>0.55600000000000005</v>
      </c>
    </row>
    <row r="149" spans="1:3" x14ac:dyDescent="0.2">
      <c r="A149" s="63">
        <v>44676</v>
      </c>
      <c r="B149" s="57">
        <v>2347.3000000000002</v>
      </c>
      <c r="C149" s="57">
        <v>1.6990000000000001</v>
      </c>
    </row>
    <row r="150" spans="1:3" x14ac:dyDescent="0.2">
      <c r="A150" s="63">
        <v>44676</v>
      </c>
      <c r="B150" s="57">
        <v>2367.3000000000002</v>
      </c>
      <c r="C150" s="57">
        <v>0.33200000000000002</v>
      </c>
    </row>
    <row r="151" spans="1:3" x14ac:dyDescent="0.2">
      <c r="A151" s="63">
        <v>44676</v>
      </c>
      <c r="B151" s="57">
        <v>2367.1999999999998</v>
      </c>
      <c r="C151" s="57">
        <v>0.46200000000000002</v>
      </c>
    </row>
    <row r="152" spans="1:3" x14ac:dyDescent="0.2">
      <c r="A152" s="63">
        <v>44676</v>
      </c>
      <c r="B152" s="57">
        <v>2367.1</v>
      </c>
      <c r="C152" s="57">
        <v>0.29099999999999998</v>
      </c>
    </row>
    <row r="153" spans="1:3" x14ac:dyDescent="0.2">
      <c r="A153" s="63">
        <v>44676</v>
      </c>
      <c r="B153" s="57">
        <v>2343.3000000000002</v>
      </c>
      <c r="C153" s="57">
        <v>1.474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I314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sheetData>
    <row r="1" spans="1:61" x14ac:dyDescent="0.2">
      <c r="A1" s="64" t="s">
        <v>178</v>
      </c>
      <c r="B1" s="1"/>
      <c r="C1" s="1"/>
    </row>
    <row r="3" spans="1:61" x14ac:dyDescent="0.2">
      <c r="A3" s="12" t="s">
        <v>1</v>
      </c>
      <c r="B3" s="38" t="s">
        <v>179</v>
      </c>
      <c r="C3" s="12"/>
    </row>
    <row r="4" spans="1:61" x14ac:dyDescent="0.2">
      <c r="A4" s="12" t="s">
        <v>3</v>
      </c>
      <c r="B4" s="38" t="s">
        <v>180</v>
      </c>
    </row>
    <row r="6" spans="1:61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  <c r="BG6" s="9"/>
      <c r="BH6" s="9"/>
      <c r="BI6" s="9"/>
    </row>
    <row r="7" spans="1:61" x14ac:dyDescent="0.2">
      <c r="A7" s="12" t="s">
        <v>57</v>
      </c>
      <c r="B7" s="12" t="s">
        <v>58</v>
      </c>
      <c r="C7" s="12">
        <v>2352</v>
      </c>
    </row>
    <row r="8" spans="1:61" x14ac:dyDescent="0.2">
      <c r="A8" s="12" t="s">
        <v>57</v>
      </c>
      <c r="B8" s="12" t="s">
        <v>58</v>
      </c>
      <c r="C8" s="12">
        <v>2353</v>
      </c>
    </row>
    <row r="9" spans="1:61" x14ac:dyDescent="0.2">
      <c r="A9" s="12" t="s">
        <v>57</v>
      </c>
      <c r="B9" s="12" t="s">
        <v>58</v>
      </c>
      <c r="C9" s="34">
        <v>2354</v>
      </c>
    </row>
    <row r="10" spans="1:61" x14ac:dyDescent="0.2">
      <c r="A10" s="12" t="s">
        <v>57</v>
      </c>
      <c r="B10" s="12" t="s">
        <v>64</v>
      </c>
      <c r="C10" s="12">
        <v>2355</v>
      </c>
      <c r="D10" s="57">
        <v>2</v>
      </c>
      <c r="E10" s="57">
        <v>1</v>
      </c>
      <c r="F10" s="63">
        <v>44610</v>
      </c>
    </row>
    <row r="11" spans="1:61" x14ac:dyDescent="0.2">
      <c r="A11" s="12" t="s">
        <v>57</v>
      </c>
      <c r="B11" s="12" t="s">
        <v>64</v>
      </c>
      <c r="C11" s="34" t="s">
        <v>65</v>
      </c>
    </row>
    <row r="12" spans="1:61" x14ac:dyDescent="0.2">
      <c r="A12" s="12" t="s">
        <v>57</v>
      </c>
      <c r="B12" s="12" t="s">
        <v>64</v>
      </c>
      <c r="C12" s="12">
        <v>2356</v>
      </c>
      <c r="D12" s="57">
        <v>3</v>
      </c>
      <c r="E12" s="57">
        <v>0</v>
      </c>
      <c r="F12" s="63">
        <v>44610</v>
      </c>
    </row>
    <row r="13" spans="1:61" x14ac:dyDescent="0.2">
      <c r="A13" s="12" t="s">
        <v>57</v>
      </c>
      <c r="B13" s="12" t="s">
        <v>64</v>
      </c>
      <c r="C13" s="12">
        <v>2357</v>
      </c>
      <c r="D13" s="57">
        <v>2</v>
      </c>
      <c r="E13" s="57">
        <v>3</v>
      </c>
      <c r="F13" s="63">
        <v>44610</v>
      </c>
    </row>
    <row r="14" spans="1:61" x14ac:dyDescent="0.2">
      <c r="A14" s="12" t="s">
        <v>57</v>
      </c>
      <c r="B14" s="12" t="s">
        <v>64</v>
      </c>
      <c r="C14" s="34" t="s">
        <v>65</v>
      </c>
    </row>
    <row r="15" spans="1:61" x14ac:dyDescent="0.2">
      <c r="A15" s="12" t="s">
        <v>57</v>
      </c>
      <c r="B15" s="12" t="s">
        <v>64</v>
      </c>
      <c r="C15" s="12">
        <v>2358</v>
      </c>
      <c r="D15" s="57">
        <v>1</v>
      </c>
      <c r="E15" s="57">
        <v>2</v>
      </c>
      <c r="F15" s="63">
        <v>44610</v>
      </c>
    </row>
    <row r="16" spans="1:61" x14ac:dyDescent="0.2">
      <c r="A16" s="12" t="s">
        <v>57</v>
      </c>
      <c r="B16" s="12" t="s">
        <v>64</v>
      </c>
      <c r="C16" s="12">
        <v>2359</v>
      </c>
      <c r="D16" s="57">
        <v>0</v>
      </c>
      <c r="E16" s="57">
        <v>2</v>
      </c>
      <c r="F16" s="63">
        <v>44610</v>
      </c>
    </row>
    <row r="17" spans="1:6" x14ac:dyDescent="0.2">
      <c r="A17" s="12" t="s">
        <v>57</v>
      </c>
      <c r="B17" s="12" t="s">
        <v>64</v>
      </c>
      <c r="C17" s="34" t="s">
        <v>65</v>
      </c>
    </row>
    <row r="18" spans="1:6" x14ac:dyDescent="0.2">
      <c r="A18" s="12" t="s">
        <v>57</v>
      </c>
      <c r="B18" s="12" t="s">
        <v>64</v>
      </c>
      <c r="C18" s="12">
        <v>2360</v>
      </c>
      <c r="D18" s="57">
        <v>0</v>
      </c>
      <c r="E18" s="57">
        <v>5</v>
      </c>
      <c r="F18" s="63">
        <v>44610</v>
      </c>
    </row>
    <row r="19" spans="1:6" x14ac:dyDescent="0.2">
      <c r="A19" s="12" t="s">
        <v>57</v>
      </c>
      <c r="B19" s="12" t="s">
        <v>64</v>
      </c>
      <c r="C19" s="12">
        <v>2361</v>
      </c>
      <c r="D19" s="57">
        <v>3</v>
      </c>
      <c r="E19" s="57">
        <v>0</v>
      </c>
      <c r="F19" s="63">
        <v>44610</v>
      </c>
    </row>
    <row r="20" spans="1:6" x14ac:dyDescent="0.2">
      <c r="A20" s="12" t="s">
        <v>57</v>
      </c>
      <c r="B20" s="12" t="s">
        <v>64</v>
      </c>
      <c r="C20" s="34" t="s">
        <v>65</v>
      </c>
    </row>
    <row r="21" spans="1:6" x14ac:dyDescent="0.2">
      <c r="A21" s="12" t="s">
        <v>57</v>
      </c>
      <c r="B21" s="12" t="s">
        <v>64</v>
      </c>
      <c r="C21" s="12">
        <v>2362</v>
      </c>
      <c r="D21" s="57">
        <v>3</v>
      </c>
      <c r="E21" s="63">
        <v>44687</v>
      </c>
      <c r="F21" s="63">
        <v>44610</v>
      </c>
    </row>
    <row r="22" spans="1:6" x14ac:dyDescent="0.2">
      <c r="A22" s="12" t="s">
        <v>57</v>
      </c>
      <c r="B22" s="12" t="s">
        <v>64</v>
      </c>
      <c r="C22" s="12">
        <v>2363</v>
      </c>
      <c r="D22" s="57">
        <v>3</v>
      </c>
      <c r="E22" s="57">
        <v>0</v>
      </c>
      <c r="F22" s="63">
        <v>44610</v>
      </c>
    </row>
    <row r="23" spans="1:6" x14ac:dyDescent="0.2">
      <c r="A23" s="12" t="s">
        <v>57</v>
      </c>
      <c r="B23" s="12" t="s">
        <v>64</v>
      </c>
      <c r="C23" s="12">
        <v>2364</v>
      </c>
      <c r="D23" s="57">
        <v>3</v>
      </c>
      <c r="E23" s="57">
        <v>0</v>
      </c>
      <c r="F23" s="63">
        <v>44610</v>
      </c>
    </row>
    <row r="24" spans="1:6" x14ac:dyDescent="0.2">
      <c r="A24" s="12" t="s">
        <v>57</v>
      </c>
      <c r="B24" s="12" t="s">
        <v>64</v>
      </c>
      <c r="C24" s="12">
        <v>2365</v>
      </c>
      <c r="D24" s="57">
        <v>3</v>
      </c>
      <c r="E24" s="57">
        <v>1</v>
      </c>
      <c r="F24" s="63">
        <v>44610</v>
      </c>
    </row>
    <row r="25" spans="1:6" x14ac:dyDescent="0.2">
      <c r="A25" s="12" t="s">
        <v>57</v>
      </c>
      <c r="B25" s="12" t="s">
        <v>64</v>
      </c>
      <c r="C25" s="12">
        <v>2366</v>
      </c>
      <c r="D25" s="57">
        <v>3</v>
      </c>
      <c r="E25" s="57">
        <v>0</v>
      </c>
      <c r="F25" s="63">
        <v>44610</v>
      </c>
    </row>
    <row r="26" spans="1:6" x14ac:dyDescent="0.2">
      <c r="A26" s="12" t="s">
        <v>57</v>
      </c>
      <c r="B26" s="12" t="s">
        <v>64</v>
      </c>
      <c r="C26" s="34" t="s">
        <v>65</v>
      </c>
    </row>
    <row r="27" spans="1:6" x14ac:dyDescent="0.2">
      <c r="A27" s="12" t="s">
        <v>57</v>
      </c>
      <c r="B27" s="12" t="s">
        <v>64</v>
      </c>
      <c r="C27" s="12">
        <v>2367</v>
      </c>
      <c r="D27" s="57">
        <v>2</v>
      </c>
      <c r="E27" s="57">
        <v>0</v>
      </c>
      <c r="F27" s="63">
        <v>44610</v>
      </c>
    </row>
    <row r="28" spans="1:6" x14ac:dyDescent="0.2">
      <c r="A28" s="12" t="s">
        <v>57</v>
      </c>
      <c r="B28" s="12" t="s">
        <v>64</v>
      </c>
      <c r="C28" s="34" t="s">
        <v>65</v>
      </c>
    </row>
    <row r="29" spans="1:6" x14ac:dyDescent="0.2">
      <c r="A29" s="12" t="s">
        <v>57</v>
      </c>
      <c r="B29" s="12" t="s">
        <v>64</v>
      </c>
      <c r="C29" s="34" t="s">
        <v>65</v>
      </c>
    </row>
    <row r="30" spans="1:6" x14ac:dyDescent="0.2">
      <c r="A30" s="12" t="s">
        <v>57</v>
      </c>
      <c r="B30" s="12" t="s">
        <v>64</v>
      </c>
      <c r="C30" s="12">
        <v>2369</v>
      </c>
      <c r="D30" s="57">
        <v>3</v>
      </c>
      <c r="E30" s="57">
        <v>0</v>
      </c>
      <c r="F30" s="63">
        <v>44610</v>
      </c>
    </row>
    <row r="31" spans="1:6" x14ac:dyDescent="0.2">
      <c r="A31" s="38" t="s">
        <v>70</v>
      </c>
      <c r="B31" s="38" t="s">
        <v>58</v>
      </c>
      <c r="C31" s="38">
        <v>2376</v>
      </c>
    </row>
    <row r="32" spans="1:6" x14ac:dyDescent="0.2">
      <c r="A32" s="38" t="s">
        <v>70</v>
      </c>
      <c r="B32" s="38" t="s">
        <v>58</v>
      </c>
      <c r="C32" s="38">
        <v>2377</v>
      </c>
    </row>
    <row r="33" spans="1:6" x14ac:dyDescent="0.2">
      <c r="A33" s="38" t="s">
        <v>70</v>
      </c>
      <c r="B33" s="38" t="s">
        <v>64</v>
      </c>
      <c r="C33" s="38">
        <v>2378</v>
      </c>
    </row>
    <row r="34" spans="1:6" x14ac:dyDescent="0.2">
      <c r="A34" s="38" t="s">
        <v>70</v>
      </c>
      <c r="B34" s="38" t="s">
        <v>64</v>
      </c>
      <c r="C34" s="38">
        <v>2379</v>
      </c>
    </row>
    <row r="35" spans="1:6" x14ac:dyDescent="0.2">
      <c r="A35" s="38" t="s">
        <v>70</v>
      </c>
      <c r="B35" s="38" t="s">
        <v>58</v>
      </c>
      <c r="C35" s="38">
        <v>2380</v>
      </c>
    </row>
    <row r="36" spans="1:6" x14ac:dyDescent="0.2">
      <c r="A36" s="12" t="s">
        <v>74</v>
      </c>
      <c r="B36" s="12" t="s">
        <v>64</v>
      </c>
      <c r="C36" s="12">
        <v>2337</v>
      </c>
      <c r="D36" s="57">
        <v>0</v>
      </c>
      <c r="E36" s="57">
        <v>0</v>
      </c>
      <c r="F36" s="63">
        <v>44610</v>
      </c>
    </row>
    <row r="37" spans="1:6" x14ac:dyDescent="0.2">
      <c r="A37" s="12" t="s">
        <v>74</v>
      </c>
      <c r="B37" s="12" t="s">
        <v>64</v>
      </c>
      <c r="C37" s="12">
        <v>2338</v>
      </c>
      <c r="D37" s="57">
        <v>0</v>
      </c>
      <c r="E37" s="57">
        <v>0</v>
      </c>
      <c r="F37" s="63">
        <v>44610</v>
      </c>
    </row>
    <row r="38" spans="1:6" x14ac:dyDescent="0.2">
      <c r="A38" s="12" t="s">
        <v>74</v>
      </c>
      <c r="B38" s="12" t="s">
        <v>64</v>
      </c>
      <c r="C38" s="12">
        <v>2339</v>
      </c>
      <c r="D38" s="57">
        <v>1</v>
      </c>
      <c r="E38" s="57">
        <v>0</v>
      </c>
      <c r="F38" s="63">
        <v>44610</v>
      </c>
    </row>
    <row r="39" spans="1:6" x14ac:dyDescent="0.2">
      <c r="A39" s="12" t="s">
        <v>74</v>
      </c>
      <c r="B39" s="12" t="s">
        <v>64</v>
      </c>
      <c r="C39" s="12">
        <v>2340</v>
      </c>
      <c r="D39" s="57">
        <v>0</v>
      </c>
      <c r="E39" s="57">
        <v>0</v>
      </c>
      <c r="F39" s="63">
        <v>44610</v>
      </c>
    </row>
    <row r="40" spans="1:6" x14ac:dyDescent="0.2">
      <c r="A40" s="12" t="s">
        <v>74</v>
      </c>
      <c r="B40" s="12" t="s">
        <v>64</v>
      </c>
      <c r="C40" s="12">
        <v>2341</v>
      </c>
      <c r="D40" s="57">
        <v>0</v>
      </c>
      <c r="E40" s="57">
        <v>0</v>
      </c>
      <c r="F40" s="63">
        <v>44610</v>
      </c>
    </row>
    <row r="41" spans="1:6" x14ac:dyDescent="0.2">
      <c r="A41" s="12" t="s">
        <v>74</v>
      </c>
      <c r="B41" s="12" t="s">
        <v>64</v>
      </c>
      <c r="C41" s="12">
        <v>2342</v>
      </c>
      <c r="D41" s="57">
        <v>0</v>
      </c>
      <c r="E41" s="57">
        <v>0</v>
      </c>
      <c r="F41" s="63">
        <v>44610</v>
      </c>
    </row>
    <row r="42" spans="1:6" x14ac:dyDescent="0.2">
      <c r="A42" s="12" t="s">
        <v>74</v>
      </c>
      <c r="B42" s="12" t="s">
        <v>64</v>
      </c>
      <c r="C42" s="12">
        <v>2343</v>
      </c>
      <c r="D42" s="57">
        <v>1</v>
      </c>
      <c r="E42" s="57">
        <v>0</v>
      </c>
      <c r="F42" s="63">
        <v>44610</v>
      </c>
    </row>
    <row r="43" spans="1:6" x14ac:dyDescent="0.2">
      <c r="A43" s="41" t="s">
        <v>74</v>
      </c>
      <c r="B43" s="41" t="s">
        <v>64</v>
      </c>
      <c r="C43" s="41" t="s">
        <v>78</v>
      </c>
    </row>
    <row r="44" spans="1:6" x14ac:dyDescent="0.2">
      <c r="A44" s="12" t="s">
        <v>74</v>
      </c>
      <c r="B44" s="12" t="s">
        <v>64</v>
      </c>
      <c r="C44" s="12">
        <v>2344</v>
      </c>
    </row>
    <row r="45" spans="1:6" x14ac:dyDescent="0.2">
      <c r="A45" s="41" t="s">
        <v>74</v>
      </c>
      <c r="B45" s="41" t="s">
        <v>58</v>
      </c>
      <c r="C45" s="41" t="s">
        <v>78</v>
      </c>
    </row>
    <row r="46" spans="1:6" x14ac:dyDescent="0.2">
      <c r="A46" s="12" t="s">
        <v>74</v>
      </c>
      <c r="B46" s="12" t="s">
        <v>58</v>
      </c>
      <c r="C46" s="34">
        <v>2345</v>
      </c>
    </row>
    <row r="47" spans="1:6" x14ac:dyDescent="0.2">
      <c r="A47" s="12" t="s">
        <v>74</v>
      </c>
      <c r="B47" s="12" t="s">
        <v>64</v>
      </c>
      <c r="C47" s="12">
        <v>2346</v>
      </c>
      <c r="D47" s="57">
        <v>2</v>
      </c>
      <c r="E47" s="57">
        <v>0</v>
      </c>
      <c r="F47" s="63">
        <v>44610</v>
      </c>
    </row>
    <row r="48" spans="1:6" x14ac:dyDescent="0.2">
      <c r="A48" s="12" t="s">
        <v>74</v>
      </c>
      <c r="B48" s="12" t="s">
        <v>64</v>
      </c>
      <c r="C48" s="12">
        <v>2347</v>
      </c>
      <c r="D48" s="57">
        <v>2</v>
      </c>
      <c r="E48" s="57">
        <v>0</v>
      </c>
      <c r="F48" s="63">
        <v>44610</v>
      </c>
    </row>
    <row r="49" spans="1:6" x14ac:dyDescent="0.2">
      <c r="A49" s="12" t="s">
        <v>74</v>
      </c>
      <c r="B49" s="12" t="s">
        <v>64</v>
      </c>
      <c r="C49" s="12">
        <v>2348</v>
      </c>
      <c r="D49" s="57">
        <v>1</v>
      </c>
      <c r="E49" s="57">
        <v>0</v>
      </c>
      <c r="F49" s="63">
        <v>44610</v>
      </c>
    </row>
    <row r="50" spans="1:6" x14ac:dyDescent="0.2">
      <c r="A50" s="12" t="s">
        <v>74</v>
      </c>
      <c r="B50" s="12" t="s">
        <v>64</v>
      </c>
      <c r="C50" s="12">
        <v>2349</v>
      </c>
      <c r="D50" s="57">
        <v>1</v>
      </c>
      <c r="E50" s="57">
        <v>0</v>
      </c>
      <c r="F50" s="63">
        <v>44610</v>
      </c>
    </row>
    <row r="51" spans="1:6" x14ac:dyDescent="0.2">
      <c r="A51" s="12" t="s">
        <v>74</v>
      </c>
      <c r="B51" s="12" t="s">
        <v>64</v>
      </c>
      <c r="C51" s="12">
        <v>2350</v>
      </c>
      <c r="D51" s="57">
        <v>1</v>
      </c>
      <c r="E51" s="57">
        <v>0</v>
      </c>
      <c r="F51" s="63">
        <v>44610</v>
      </c>
    </row>
    <row r="52" spans="1:6" x14ac:dyDescent="0.2">
      <c r="A52" s="12" t="s">
        <v>74</v>
      </c>
      <c r="B52" s="12" t="s">
        <v>64</v>
      </c>
      <c r="C52" s="12">
        <v>2351</v>
      </c>
      <c r="D52" s="57">
        <v>1</v>
      </c>
      <c r="E52" s="57">
        <v>0</v>
      </c>
      <c r="F52" s="63">
        <v>44610</v>
      </c>
    </row>
    <row r="53" spans="1:6" x14ac:dyDescent="0.2">
      <c r="A53" s="38" t="s">
        <v>88</v>
      </c>
      <c r="B53" s="38" t="s">
        <v>64</v>
      </c>
      <c r="C53" s="38">
        <v>2375</v>
      </c>
    </row>
    <row r="54" spans="1:6" x14ac:dyDescent="0.2">
      <c r="A54" s="12" t="s">
        <v>90</v>
      </c>
      <c r="B54" s="12" t="s">
        <v>64</v>
      </c>
      <c r="C54" s="12">
        <v>2310</v>
      </c>
      <c r="D54" s="57">
        <v>1</v>
      </c>
      <c r="E54" s="57">
        <v>0</v>
      </c>
      <c r="F54" s="63">
        <v>44612</v>
      </c>
    </row>
    <row r="55" spans="1:6" x14ac:dyDescent="0.2">
      <c r="A55" s="12" t="s">
        <v>90</v>
      </c>
      <c r="B55" s="12" t="s">
        <v>64</v>
      </c>
      <c r="C55" s="12">
        <v>2311</v>
      </c>
      <c r="D55" s="57">
        <v>0</v>
      </c>
      <c r="E55" s="57">
        <v>0</v>
      </c>
      <c r="F55" s="63">
        <v>44612</v>
      </c>
    </row>
    <row r="56" spans="1:6" x14ac:dyDescent="0.2">
      <c r="A56" s="12" t="s">
        <v>90</v>
      </c>
      <c r="B56" s="12" t="s">
        <v>64</v>
      </c>
      <c r="C56" s="12">
        <v>2312</v>
      </c>
      <c r="D56" s="57">
        <v>0</v>
      </c>
      <c r="E56" s="57">
        <v>1</v>
      </c>
      <c r="F56" s="63">
        <v>44612</v>
      </c>
    </row>
    <row r="57" spans="1:6" x14ac:dyDescent="0.2">
      <c r="A57" s="12" t="s">
        <v>90</v>
      </c>
      <c r="B57" s="12" t="s">
        <v>64</v>
      </c>
      <c r="C57" s="12">
        <v>2313</v>
      </c>
      <c r="D57" s="57">
        <v>4</v>
      </c>
      <c r="E57" s="57">
        <v>0</v>
      </c>
      <c r="F57" s="63">
        <v>44612</v>
      </c>
    </row>
    <row r="58" spans="1:6" x14ac:dyDescent="0.2">
      <c r="A58" s="12" t="s">
        <v>90</v>
      </c>
      <c r="B58" s="12" t="s">
        <v>64</v>
      </c>
      <c r="C58" s="12">
        <v>2314</v>
      </c>
      <c r="D58" s="57">
        <v>1</v>
      </c>
      <c r="E58" s="57">
        <v>0</v>
      </c>
      <c r="F58" s="63">
        <v>44612</v>
      </c>
    </row>
    <row r="59" spans="1:6" x14ac:dyDescent="0.2">
      <c r="A59" s="12" t="s">
        <v>90</v>
      </c>
      <c r="B59" s="12" t="s">
        <v>58</v>
      </c>
      <c r="C59" s="12">
        <v>2315</v>
      </c>
    </row>
    <row r="60" spans="1:6" x14ac:dyDescent="0.2">
      <c r="A60" s="12" t="s">
        <v>90</v>
      </c>
      <c r="B60" s="12" t="s">
        <v>64</v>
      </c>
      <c r="C60" s="12">
        <v>2316</v>
      </c>
    </row>
    <row r="61" spans="1:6" x14ac:dyDescent="0.2">
      <c r="A61" s="12" t="s">
        <v>90</v>
      </c>
      <c r="B61" s="12" t="s">
        <v>64</v>
      </c>
      <c r="C61" s="12">
        <v>2317</v>
      </c>
      <c r="D61" s="57">
        <v>2</v>
      </c>
      <c r="E61" s="57">
        <v>0</v>
      </c>
      <c r="F61" s="63">
        <v>44612</v>
      </c>
    </row>
    <row r="62" spans="1:6" x14ac:dyDescent="0.2">
      <c r="A62" s="12" t="s">
        <v>90</v>
      </c>
      <c r="B62" s="12" t="s">
        <v>64</v>
      </c>
      <c r="C62" s="12">
        <v>2318</v>
      </c>
      <c r="D62" s="57">
        <v>1</v>
      </c>
      <c r="E62" s="57">
        <v>0</v>
      </c>
      <c r="F62" s="63">
        <v>44612</v>
      </c>
    </row>
    <row r="63" spans="1:6" x14ac:dyDescent="0.2">
      <c r="A63" s="12" t="s">
        <v>90</v>
      </c>
      <c r="B63" s="12" t="s">
        <v>64</v>
      </c>
      <c r="C63" s="12">
        <v>2319</v>
      </c>
      <c r="D63" s="57">
        <v>2</v>
      </c>
      <c r="E63" s="57">
        <v>0</v>
      </c>
      <c r="F63" s="63">
        <v>44612</v>
      </c>
    </row>
    <row r="64" spans="1:6" x14ac:dyDescent="0.2">
      <c r="A64" s="12" t="s">
        <v>90</v>
      </c>
      <c r="B64" s="12" t="s">
        <v>58</v>
      </c>
      <c r="C64" s="12">
        <v>2320</v>
      </c>
    </row>
    <row r="65" spans="1:6" x14ac:dyDescent="0.2">
      <c r="A65" s="12" t="s">
        <v>90</v>
      </c>
      <c r="B65" s="12" t="s">
        <v>64</v>
      </c>
      <c r="C65" s="12">
        <v>2321</v>
      </c>
      <c r="D65" s="57">
        <v>1</v>
      </c>
      <c r="E65" s="57">
        <v>0</v>
      </c>
      <c r="F65" s="63">
        <v>44612</v>
      </c>
    </row>
    <row r="66" spans="1:6" x14ac:dyDescent="0.2">
      <c r="A66" s="12" t="s">
        <v>90</v>
      </c>
      <c r="B66" s="12" t="s">
        <v>58</v>
      </c>
      <c r="C66" s="12">
        <v>2322</v>
      </c>
    </row>
    <row r="67" spans="1:6" x14ac:dyDescent="0.2">
      <c r="A67" s="12" t="s">
        <v>90</v>
      </c>
      <c r="B67" s="12" t="s">
        <v>58</v>
      </c>
      <c r="C67" s="12">
        <v>2323</v>
      </c>
    </row>
    <row r="68" spans="1:6" x14ac:dyDescent="0.2">
      <c r="A68" s="12" t="s">
        <v>90</v>
      </c>
      <c r="B68" s="12" t="s">
        <v>64</v>
      </c>
      <c r="C68" s="12">
        <v>2324</v>
      </c>
      <c r="D68" s="57">
        <v>0</v>
      </c>
      <c r="E68" s="57">
        <v>0</v>
      </c>
      <c r="F68" s="63">
        <v>44612</v>
      </c>
    </row>
    <row r="69" spans="1:6" x14ac:dyDescent="0.2">
      <c r="A69" s="12" t="s">
        <v>90</v>
      </c>
      <c r="B69" s="12" t="s">
        <v>64</v>
      </c>
      <c r="C69" s="12">
        <v>2325</v>
      </c>
      <c r="D69" s="57">
        <v>1</v>
      </c>
      <c r="E69" s="57">
        <v>0</v>
      </c>
      <c r="F69" s="63">
        <v>44612</v>
      </c>
    </row>
    <row r="70" spans="1:6" x14ac:dyDescent="0.2">
      <c r="A70" s="12" t="s">
        <v>90</v>
      </c>
      <c r="B70" s="12" t="s">
        <v>64</v>
      </c>
      <c r="C70" s="12">
        <v>2327</v>
      </c>
      <c r="D70" s="57">
        <v>0</v>
      </c>
      <c r="E70" s="57">
        <v>1</v>
      </c>
      <c r="F70" s="63">
        <v>44612</v>
      </c>
    </row>
    <row r="71" spans="1:6" x14ac:dyDescent="0.2">
      <c r="A71" s="12" t="s">
        <v>90</v>
      </c>
      <c r="B71" s="12" t="s">
        <v>64</v>
      </c>
      <c r="C71" s="12">
        <v>2326</v>
      </c>
      <c r="D71" s="57">
        <v>0</v>
      </c>
      <c r="E71" s="57">
        <v>1</v>
      </c>
      <c r="F71" s="63">
        <v>44612</v>
      </c>
    </row>
    <row r="72" spans="1:6" x14ac:dyDescent="0.2">
      <c r="A72" s="12" t="s">
        <v>90</v>
      </c>
      <c r="B72" s="12" t="s">
        <v>58</v>
      </c>
      <c r="C72" s="12">
        <v>2328</v>
      </c>
    </row>
    <row r="73" spans="1:6" x14ac:dyDescent="0.2">
      <c r="A73" s="12" t="s">
        <v>90</v>
      </c>
      <c r="B73" s="12" t="s">
        <v>64</v>
      </c>
      <c r="C73" s="12">
        <v>2329</v>
      </c>
      <c r="D73" s="57">
        <v>0</v>
      </c>
      <c r="E73" s="57">
        <v>0</v>
      </c>
      <c r="F73" s="63">
        <v>44612</v>
      </c>
    </row>
    <row r="74" spans="1:6" x14ac:dyDescent="0.2">
      <c r="A74" s="12" t="s">
        <v>90</v>
      </c>
      <c r="B74" s="12" t="s">
        <v>64</v>
      </c>
      <c r="C74" s="12">
        <v>2330</v>
      </c>
      <c r="D74" s="57">
        <v>3</v>
      </c>
      <c r="E74" s="57">
        <v>0</v>
      </c>
      <c r="F74" s="63">
        <v>44612</v>
      </c>
    </row>
    <row r="75" spans="1:6" x14ac:dyDescent="0.2">
      <c r="A75" s="12" t="s">
        <v>90</v>
      </c>
      <c r="B75" s="12" t="s">
        <v>58</v>
      </c>
      <c r="C75" s="12">
        <v>2331</v>
      </c>
    </row>
    <row r="76" spans="1:6" x14ac:dyDescent="0.2">
      <c r="A76" s="12" t="s">
        <v>90</v>
      </c>
      <c r="B76" s="12" t="s">
        <v>64</v>
      </c>
      <c r="C76" s="12">
        <v>2332</v>
      </c>
      <c r="D76" s="57">
        <v>1</v>
      </c>
      <c r="E76" s="57">
        <v>0</v>
      </c>
      <c r="F76" s="63">
        <v>44612</v>
      </c>
    </row>
    <row r="77" spans="1:6" x14ac:dyDescent="0.2">
      <c r="A77" s="12" t="s">
        <v>90</v>
      </c>
      <c r="B77" s="12" t="s">
        <v>64</v>
      </c>
      <c r="C77" s="12">
        <v>2333</v>
      </c>
      <c r="D77" s="57">
        <v>1</v>
      </c>
      <c r="E77" s="57">
        <v>0</v>
      </c>
      <c r="F77" s="63">
        <v>44612</v>
      </c>
    </row>
    <row r="78" spans="1:6" x14ac:dyDescent="0.2">
      <c r="A78" s="2" t="s">
        <v>90</v>
      </c>
      <c r="B78" s="3" t="s">
        <v>64</v>
      </c>
      <c r="C78" s="12">
        <v>2334</v>
      </c>
      <c r="D78" s="57">
        <v>1</v>
      </c>
      <c r="E78" s="57">
        <v>0</v>
      </c>
      <c r="F78" s="63">
        <v>44612</v>
      </c>
    </row>
    <row r="79" spans="1:6" x14ac:dyDescent="0.2">
      <c r="A79" s="12" t="s">
        <v>90</v>
      </c>
      <c r="B79" s="12" t="s">
        <v>64</v>
      </c>
      <c r="C79" s="12">
        <v>2336</v>
      </c>
      <c r="D79" s="57">
        <v>0</v>
      </c>
      <c r="E79" s="57">
        <v>0</v>
      </c>
      <c r="F79" s="63">
        <v>44612</v>
      </c>
    </row>
    <row r="80" spans="1:6" x14ac:dyDescent="0.2">
      <c r="A80" s="12" t="s">
        <v>90</v>
      </c>
      <c r="B80" s="12" t="s">
        <v>64</v>
      </c>
      <c r="C80" s="12">
        <v>2335</v>
      </c>
      <c r="D80" s="57">
        <v>0</v>
      </c>
      <c r="E80" s="57">
        <v>0</v>
      </c>
      <c r="F80" s="63">
        <v>44612</v>
      </c>
    </row>
    <row r="81" spans="1:6" x14ac:dyDescent="0.2">
      <c r="A81" s="38" t="s">
        <v>100</v>
      </c>
      <c r="B81" s="38" t="s">
        <v>64</v>
      </c>
      <c r="C81" s="38">
        <v>2374</v>
      </c>
    </row>
    <row r="82" spans="1:6" x14ac:dyDescent="0.2">
      <c r="A82" s="12" t="s">
        <v>101</v>
      </c>
      <c r="B82" s="12" t="s">
        <v>58</v>
      </c>
      <c r="C82" s="34">
        <v>2301</v>
      </c>
    </row>
    <row r="83" spans="1:6" x14ac:dyDescent="0.2">
      <c r="A83" s="12" t="s">
        <v>101</v>
      </c>
      <c r="B83" s="12" t="s">
        <v>64</v>
      </c>
      <c r="C83" s="12">
        <v>2302</v>
      </c>
      <c r="D83" s="57">
        <v>0</v>
      </c>
      <c r="E83" s="57">
        <v>0</v>
      </c>
      <c r="F83" s="63">
        <v>44612</v>
      </c>
    </row>
    <row r="84" spans="1:6" x14ac:dyDescent="0.2">
      <c r="A84" s="12" t="s">
        <v>101</v>
      </c>
      <c r="B84" s="12" t="s">
        <v>64</v>
      </c>
      <c r="C84" s="12">
        <v>2303</v>
      </c>
      <c r="D84" s="57">
        <v>0</v>
      </c>
      <c r="E84" s="57">
        <v>0</v>
      </c>
      <c r="F84" s="63">
        <v>44612</v>
      </c>
    </row>
    <row r="85" spans="1:6" x14ac:dyDescent="0.2">
      <c r="A85" s="12" t="s">
        <v>101</v>
      </c>
      <c r="B85" s="12" t="s">
        <v>64</v>
      </c>
      <c r="C85" s="12">
        <v>2304</v>
      </c>
      <c r="D85" s="57">
        <v>0</v>
      </c>
      <c r="E85" s="57">
        <v>0</v>
      </c>
      <c r="F85" s="63">
        <v>44612</v>
      </c>
    </row>
    <row r="86" spans="1:6" x14ac:dyDescent="0.2">
      <c r="A86" s="12" t="s">
        <v>101</v>
      </c>
      <c r="B86" s="12" t="s">
        <v>64</v>
      </c>
      <c r="C86" s="12">
        <v>2305</v>
      </c>
      <c r="D86" s="57">
        <v>0</v>
      </c>
      <c r="E86" s="57">
        <v>1</v>
      </c>
      <c r="F86" s="63">
        <v>44612</v>
      </c>
    </row>
    <row r="87" spans="1:6" x14ac:dyDescent="0.2">
      <c r="A87" s="12" t="s">
        <v>101</v>
      </c>
      <c r="B87" s="12" t="s">
        <v>64</v>
      </c>
      <c r="C87" s="12">
        <v>2306</v>
      </c>
      <c r="D87" s="57">
        <v>1</v>
      </c>
      <c r="E87" s="57">
        <v>0</v>
      </c>
      <c r="F87" s="63">
        <v>44612</v>
      </c>
    </row>
    <row r="88" spans="1:6" x14ac:dyDescent="0.2">
      <c r="A88" s="12" t="s">
        <v>101</v>
      </c>
      <c r="B88" s="12" t="s">
        <v>64</v>
      </c>
      <c r="C88" s="12">
        <v>2307</v>
      </c>
      <c r="D88" s="57">
        <v>0</v>
      </c>
      <c r="E88" s="57">
        <v>0</v>
      </c>
      <c r="F88" s="63">
        <v>44612</v>
      </c>
    </row>
    <row r="89" spans="1:6" x14ac:dyDescent="0.2">
      <c r="A89" s="12" t="s">
        <v>101</v>
      </c>
      <c r="B89" s="12" t="s">
        <v>64</v>
      </c>
      <c r="C89" s="12">
        <v>2308</v>
      </c>
      <c r="D89" s="57">
        <v>3</v>
      </c>
      <c r="E89" s="57">
        <v>0</v>
      </c>
      <c r="F89" s="63">
        <v>44612</v>
      </c>
    </row>
    <row r="90" spans="1:6" x14ac:dyDescent="0.2">
      <c r="A90" s="12" t="s">
        <v>101</v>
      </c>
      <c r="B90" s="12" t="s">
        <v>64</v>
      </c>
      <c r="C90" s="12">
        <v>2309</v>
      </c>
      <c r="D90" s="57">
        <v>0</v>
      </c>
      <c r="E90" s="57">
        <v>0</v>
      </c>
      <c r="F90" s="63">
        <v>44612</v>
      </c>
    </row>
    <row r="91" spans="1:6" x14ac:dyDescent="0.2">
      <c r="A91" s="53" t="s">
        <v>106</v>
      </c>
      <c r="B91" s="54" t="s">
        <v>64</v>
      </c>
      <c r="C91" s="55">
        <v>2370</v>
      </c>
    </row>
    <row r="92" spans="1:6" x14ac:dyDescent="0.2">
      <c r="A92" s="53" t="s">
        <v>107</v>
      </c>
      <c r="B92" s="54" t="s">
        <v>64</v>
      </c>
      <c r="C92" s="55">
        <v>2371</v>
      </c>
    </row>
    <row r="93" spans="1:6" x14ac:dyDescent="0.2">
      <c r="A93" s="53" t="s">
        <v>108</v>
      </c>
      <c r="B93" s="54" t="s">
        <v>64</v>
      </c>
      <c r="C93" s="55">
        <v>2372</v>
      </c>
    </row>
    <row r="94" spans="1:6" x14ac:dyDescent="0.2">
      <c r="A94" s="53" t="s">
        <v>110</v>
      </c>
      <c r="B94" s="54" t="s">
        <v>64</v>
      </c>
      <c r="C94" s="55">
        <v>2373</v>
      </c>
    </row>
    <row r="95" spans="1:6" x14ac:dyDescent="0.2">
      <c r="A95" s="2" t="s">
        <v>112</v>
      </c>
      <c r="B95" s="3" t="s">
        <v>64</v>
      </c>
      <c r="C95" s="3"/>
    </row>
    <row r="96" spans="1:6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233</v>
      </c>
      <c r="B117" s="54" t="s">
        <v>234</v>
      </c>
    </row>
    <row r="118" spans="1:3" x14ac:dyDescent="0.2">
      <c r="A118" s="57" t="s">
        <v>235</v>
      </c>
      <c r="B118" s="54" t="s">
        <v>234</v>
      </c>
    </row>
    <row r="119" spans="1:3" x14ac:dyDescent="0.2">
      <c r="A119" s="57" t="s">
        <v>232</v>
      </c>
      <c r="B119" s="54" t="s">
        <v>234</v>
      </c>
    </row>
    <row r="120" spans="1:3" x14ac:dyDescent="0.2">
      <c r="A120" s="57" t="s">
        <v>233</v>
      </c>
      <c r="B120" s="54" t="s">
        <v>166</v>
      </c>
    </row>
    <row r="121" spans="1:3" x14ac:dyDescent="0.2">
      <c r="A121" s="57" t="s">
        <v>235</v>
      </c>
      <c r="B121" s="54" t="s">
        <v>166</v>
      </c>
    </row>
    <row r="122" spans="1:3" x14ac:dyDescent="0.2">
      <c r="A122" s="57" t="s">
        <v>232</v>
      </c>
      <c r="B122" s="54" t="s">
        <v>166</v>
      </c>
    </row>
    <row r="123" spans="1:3" x14ac:dyDescent="0.2">
      <c r="A123" s="57" t="s">
        <v>236</v>
      </c>
      <c r="B123" s="54" t="s">
        <v>58</v>
      </c>
      <c r="C123" s="57">
        <v>2093</v>
      </c>
    </row>
    <row r="124" spans="1:3" x14ac:dyDescent="0.2">
      <c r="A124" s="57" t="s">
        <v>236</v>
      </c>
      <c r="B124" s="54" t="s">
        <v>58</v>
      </c>
      <c r="C124" s="57">
        <v>2092</v>
      </c>
    </row>
    <row r="125" spans="1:3" x14ac:dyDescent="0.2">
      <c r="A125" s="57" t="s">
        <v>236</v>
      </c>
      <c r="B125" s="54" t="s">
        <v>58</v>
      </c>
      <c r="C125" s="57">
        <v>2091</v>
      </c>
    </row>
    <row r="126" spans="1:3" x14ac:dyDescent="0.2">
      <c r="A126" s="57" t="s">
        <v>236</v>
      </c>
      <c r="B126" s="54" t="s">
        <v>129</v>
      </c>
      <c r="C126" s="57">
        <v>2090</v>
      </c>
    </row>
    <row r="127" spans="1:3" x14ac:dyDescent="0.2">
      <c r="A127" s="57" t="s">
        <v>236</v>
      </c>
      <c r="B127" s="54" t="s">
        <v>58</v>
      </c>
      <c r="C127" s="57">
        <v>2089</v>
      </c>
    </row>
    <row r="128" spans="1: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54" t="s">
        <v>64</v>
      </c>
      <c r="C153" s="57">
        <v>2032</v>
      </c>
    </row>
    <row r="154" spans="1:3" x14ac:dyDescent="0.2">
      <c r="B154" s="54" t="s">
        <v>64</v>
      </c>
      <c r="C154" s="57">
        <v>2385</v>
      </c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Y1011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  <col min="4" max="6" width="14.3984375" hidden="1" customWidth="1"/>
    <col min="7" max="7" width="9.796875" customWidth="1"/>
    <col min="8" max="8" width="9.3984375" customWidth="1"/>
    <col min="9" max="9" width="8.19921875" customWidth="1"/>
    <col min="10" max="10" width="11.19921875" customWidth="1"/>
    <col min="11" max="11" width="10.19921875" customWidth="1"/>
    <col min="12" max="12" width="8.59765625" customWidth="1"/>
    <col min="13" max="13" width="10.796875" customWidth="1"/>
    <col min="14" max="14" width="11" customWidth="1"/>
    <col min="15" max="15" width="7.796875" customWidth="1"/>
    <col min="16" max="16" width="10.59765625" customWidth="1"/>
    <col min="17" max="17" width="11.19921875" customWidth="1"/>
    <col min="18" max="18" width="8.3984375" customWidth="1"/>
    <col min="19" max="19" width="11.19921875" customWidth="1"/>
    <col min="20" max="20" width="10.3984375" customWidth="1"/>
    <col min="21" max="21" width="8" customWidth="1"/>
    <col min="22" max="22" width="11.19921875" customWidth="1"/>
    <col min="23" max="23" width="10.796875" customWidth="1"/>
    <col min="24" max="24" width="7.19921875" customWidth="1"/>
    <col min="25" max="25" width="7" customWidth="1"/>
    <col min="26" max="26" width="8.796875" customWidth="1"/>
    <col min="27" max="27" width="7.3984375" customWidth="1"/>
    <col min="28" max="28" width="12" customWidth="1"/>
    <col min="29" max="29" width="10.796875" customWidth="1"/>
    <col min="30" max="30" width="7.19921875" customWidth="1"/>
    <col min="31" max="31" width="11.3984375" customWidth="1"/>
    <col min="32" max="32" width="11.59765625" customWidth="1"/>
    <col min="33" max="33" width="7.3984375" customWidth="1"/>
    <col min="34" max="34" width="11.19921875" customWidth="1"/>
    <col min="35" max="35" width="10.796875" customWidth="1"/>
    <col min="36" max="36" width="7.59765625" customWidth="1"/>
    <col min="37" max="37" width="11.59765625" customWidth="1"/>
    <col min="38" max="38" width="12.19921875" customWidth="1"/>
    <col min="39" max="39" width="6.796875" customWidth="1"/>
    <col min="40" max="40" width="11.3984375" customWidth="1"/>
    <col min="41" max="41" width="11.19921875" customWidth="1"/>
    <col min="42" max="42" width="7.19921875" customWidth="1"/>
    <col min="43" max="43" width="11.796875" customWidth="1"/>
    <col min="44" max="44" width="11.19921875" customWidth="1"/>
    <col min="45" max="45" width="6.59765625" customWidth="1"/>
    <col min="46" max="46" width="11.796875" customWidth="1"/>
    <col min="47" max="47" width="11.19921875" customWidth="1"/>
    <col min="48" max="50" width="10.19921875" customWidth="1"/>
    <col min="51" max="51" width="20.796875" customWidth="1"/>
  </cols>
  <sheetData>
    <row r="1" spans="1:51" ht="15.75" customHeight="1" x14ac:dyDescent="0.2">
      <c r="A1" s="64" t="s">
        <v>178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 spans="1:51" ht="8.25" customHeight="1" x14ac:dyDescent="0.2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1"/>
    </row>
    <row r="3" spans="1:51" ht="15.75" customHeight="1" x14ac:dyDescent="0.2">
      <c r="A3" s="12" t="s">
        <v>1</v>
      </c>
      <c r="B3" s="38" t="s">
        <v>179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1"/>
    </row>
    <row r="4" spans="1:51" ht="15.75" customHeight="1" x14ac:dyDescent="0.2">
      <c r="A4" s="12" t="s">
        <v>3</v>
      </c>
      <c r="B4" s="65">
        <v>44620</v>
      </c>
      <c r="D4" s="3"/>
      <c r="G4" s="38" t="s">
        <v>241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1"/>
    </row>
    <row r="5" spans="1:51" ht="21.75" customHeight="1" x14ac:dyDescent="0.2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1" t="s">
        <v>7</v>
      </c>
    </row>
    <row r="6" spans="1:51" ht="15.75" customHeight="1" x14ac:dyDescent="0.2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181</v>
      </c>
      <c r="J6" s="30" t="s">
        <v>182</v>
      </c>
      <c r="K6" s="30" t="s">
        <v>183</v>
      </c>
      <c r="L6" s="30" t="s">
        <v>184</v>
      </c>
      <c r="M6" s="30" t="s">
        <v>185</v>
      </c>
      <c r="N6" s="30" t="s">
        <v>186</v>
      </c>
      <c r="O6" s="30" t="s">
        <v>187</v>
      </c>
      <c r="P6" s="30" t="s">
        <v>188</v>
      </c>
      <c r="Q6" s="30" t="s">
        <v>189</v>
      </c>
      <c r="R6" s="30" t="s">
        <v>190</v>
      </c>
      <c r="S6" s="30" t="s">
        <v>191</v>
      </c>
      <c r="T6" s="30" t="s">
        <v>192</v>
      </c>
      <c r="U6" s="30" t="s">
        <v>193</v>
      </c>
      <c r="V6" s="30" t="s">
        <v>194</v>
      </c>
      <c r="W6" s="30" t="s">
        <v>195</v>
      </c>
      <c r="X6" s="30" t="s">
        <v>196</v>
      </c>
      <c r="Y6" s="30" t="s">
        <v>199</v>
      </c>
      <c r="Z6" s="30" t="s">
        <v>207</v>
      </c>
      <c r="AA6" s="30" t="s">
        <v>208</v>
      </c>
      <c r="AB6" s="30" t="s">
        <v>209</v>
      </c>
      <c r="AC6" s="30" t="s">
        <v>210</v>
      </c>
      <c r="AD6" s="30" t="s">
        <v>211</v>
      </c>
      <c r="AE6" s="30" t="s">
        <v>212</v>
      </c>
      <c r="AF6" s="30" t="s">
        <v>213</v>
      </c>
      <c r="AG6" s="30" t="s">
        <v>214</v>
      </c>
      <c r="AH6" s="30" t="s">
        <v>215</v>
      </c>
      <c r="AI6" s="30" t="s">
        <v>216</v>
      </c>
      <c r="AJ6" s="30" t="s">
        <v>217</v>
      </c>
      <c r="AK6" s="30" t="s">
        <v>218</v>
      </c>
      <c r="AL6" s="30" t="s">
        <v>219</v>
      </c>
      <c r="AM6" s="30" t="s">
        <v>220</v>
      </c>
      <c r="AN6" s="30" t="s">
        <v>221</v>
      </c>
      <c r="AO6" s="30" t="s">
        <v>222</v>
      </c>
      <c r="AP6" s="30" t="s">
        <v>223</v>
      </c>
      <c r="AQ6" s="30" t="s">
        <v>224</v>
      </c>
      <c r="AR6" s="30" t="s">
        <v>225</v>
      </c>
      <c r="AS6" s="30" t="s">
        <v>226</v>
      </c>
      <c r="AT6" s="30" t="s">
        <v>227</v>
      </c>
      <c r="AU6" s="30" t="s">
        <v>228</v>
      </c>
      <c r="AV6" s="30" t="s">
        <v>229</v>
      </c>
      <c r="AW6" s="30" t="s">
        <v>230</v>
      </c>
      <c r="AX6" s="30" t="s">
        <v>231</v>
      </c>
      <c r="AY6" s="29" t="s">
        <v>26</v>
      </c>
    </row>
    <row r="7" spans="1:51" ht="17.25" customHeight="1" x14ac:dyDescent="0.2">
      <c r="A7" s="12" t="s">
        <v>57</v>
      </c>
      <c r="B7" s="12" t="s">
        <v>58</v>
      </c>
      <c r="C7" s="12">
        <v>2352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5" t="e">
        <f t="shared" ref="Z7:Z112" si="0">AVERAGE(I7,L7,O7,R7,U7,X7,Y7)</f>
        <v>#DIV/0!</v>
      </c>
      <c r="AA7" s="15">
        <v>2.4700000000000002</v>
      </c>
      <c r="AB7" s="15">
        <v>0.13400000000000001</v>
      </c>
      <c r="AC7" s="15">
        <v>8.8999999999999996E-2</v>
      </c>
      <c r="AD7" s="15">
        <v>2.5</v>
      </c>
      <c r="AE7" s="15">
        <v>0.11799999999999999</v>
      </c>
      <c r="AF7" s="15">
        <v>7.1999999999999995E-2</v>
      </c>
      <c r="AG7" s="15">
        <v>1.96</v>
      </c>
      <c r="AH7" s="15">
        <v>0.106</v>
      </c>
      <c r="AI7" s="15">
        <v>6.5000000000000002E-2</v>
      </c>
      <c r="AJ7" s="15">
        <v>2.04</v>
      </c>
      <c r="AK7" s="15">
        <v>0.13400000000000001</v>
      </c>
      <c r="AL7" s="15">
        <v>8.3000000000000004E-2</v>
      </c>
      <c r="AM7" s="15">
        <v>2.4</v>
      </c>
      <c r="AN7" s="15">
        <v>0.114</v>
      </c>
      <c r="AO7" s="15">
        <v>7.1999999999999995E-2</v>
      </c>
      <c r="AP7" s="9"/>
      <c r="AQ7" s="9"/>
      <c r="AR7" s="9"/>
      <c r="AS7" s="9"/>
      <c r="AT7" s="9"/>
      <c r="AU7" s="9"/>
      <c r="AV7" s="9"/>
      <c r="AW7" s="9"/>
      <c r="AX7" s="9">
        <f t="shared" ref="AX7:AX112" si="1">AVERAGE(AA7,AD7,AG7,AJ7,AM7,AP7,AS7)</f>
        <v>2.274</v>
      </c>
      <c r="AY7" s="11"/>
    </row>
    <row r="8" spans="1:51" ht="18.75" customHeight="1" x14ac:dyDescent="0.2">
      <c r="A8" s="12" t="s">
        <v>57</v>
      </c>
      <c r="B8" s="12" t="s">
        <v>58</v>
      </c>
      <c r="C8" s="12">
        <v>2353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 t="e">
        <f t="shared" si="0"/>
        <v>#DIV/0!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 t="e">
        <f t="shared" si="1"/>
        <v>#DIV/0!</v>
      </c>
      <c r="AY8" s="11"/>
    </row>
    <row r="9" spans="1:51" ht="17.25" customHeight="1" x14ac:dyDescent="0.2">
      <c r="A9" s="12" t="s">
        <v>57</v>
      </c>
      <c r="B9" s="12" t="s">
        <v>58</v>
      </c>
      <c r="C9" s="34">
        <v>2354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 t="e">
        <f t="shared" si="0"/>
        <v>#DIV/0!</v>
      </c>
      <c r="AA9" s="15">
        <v>1.78</v>
      </c>
      <c r="AB9" s="15">
        <v>0.26300000000000001</v>
      </c>
      <c r="AC9" s="15">
        <v>0.155</v>
      </c>
      <c r="AD9" s="15">
        <v>0.96199999999999997</v>
      </c>
      <c r="AE9" s="15">
        <v>0.23799999999999999</v>
      </c>
      <c r="AF9" s="15">
        <v>0.14000000000000001</v>
      </c>
      <c r="AG9" s="15">
        <v>2.64</v>
      </c>
      <c r="AH9" s="15">
        <v>0.25800000000000001</v>
      </c>
      <c r="AI9" s="15">
        <v>0.156</v>
      </c>
      <c r="AJ9" s="15">
        <v>1.92</v>
      </c>
      <c r="AK9" s="15">
        <v>0.189</v>
      </c>
      <c r="AL9" s="15">
        <v>0.115</v>
      </c>
      <c r="AM9" s="15">
        <v>1.54</v>
      </c>
      <c r="AN9" s="15">
        <v>0.27</v>
      </c>
      <c r="AO9" s="15">
        <v>0.16500000000000001</v>
      </c>
      <c r="AP9" s="9"/>
      <c r="AQ9" s="9"/>
      <c r="AR9" s="9"/>
      <c r="AS9" s="9"/>
      <c r="AT9" s="9"/>
      <c r="AU9" s="9"/>
      <c r="AV9" s="9"/>
      <c r="AW9" s="9"/>
      <c r="AX9" s="9">
        <f t="shared" si="1"/>
        <v>1.7683999999999997</v>
      </c>
      <c r="AY9" s="11"/>
    </row>
    <row r="10" spans="1:51" ht="17.25" customHeight="1" x14ac:dyDescent="0.2">
      <c r="A10" s="12" t="s">
        <v>57</v>
      </c>
      <c r="B10" s="12" t="s">
        <v>64</v>
      </c>
      <c r="C10" s="12">
        <v>2355</v>
      </c>
      <c r="D10" s="32">
        <v>0.5</v>
      </c>
      <c r="E10" s="32">
        <v>0.6</v>
      </c>
      <c r="G10" s="14">
        <v>2</v>
      </c>
      <c r="H10" s="15">
        <v>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5" t="e">
        <f t="shared" si="0"/>
        <v>#DIV/0!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 t="e">
        <f t="shared" si="1"/>
        <v>#DIV/0!</v>
      </c>
      <c r="AY10" s="11"/>
    </row>
    <row r="11" spans="1:51" ht="17.25" customHeight="1" x14ac:dyDescent="0.2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5" t="e">
        <f t="shared" si="0"/>
        <v>#DIV/0!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 t="e">
        <f t="shared" si="1"/>
        <v>#DIV/0!</v>
      </c>
      <c r="AY11" s="11"/>
    </row>
    <row r="12" spans="1:51" ht="17.25" customHeight="1" x14ac:dyDescent="0.2">
      <c r="A12" s="12" t="s">
        <v>57</v>
      </c>
      <c r="B12" s="12" t="s">
        <v>64</v>
      </c>
      <c r="C12" s="12">
        <v>2356</v>
      </c>
      <c r="D12" s="32">
        <v>0.1</v>
      </c>
      <c r="E12" s="32">
        <v>0.05</v>
      </c>
      <c r="G12" s="14">
        <v>3</v>
      </c>
      <c r="H12" s="15">
        <v>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5" t="e">
        <f t="shared" si="0"/>
        <v>#DIV/0!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 t="e">
        <f t="shared" si="1"/>
        <v>#DIV/0!</v>
      </c>
      <c r="AY12" s="11"/>
    </row>
    <row r="13" spans="1:51" ht="17.25" customHeight="1" x14ac:dyDescent="0.2">
      <c r="A13" s="12" t="s">
        <v>57</v>
      </c>
      <c r="B13" s="12" t="s">
        <v>64</v>
      </c>
      <c r="C13" s="12">
        <v>2357</v>
      </c>
      <c r="D13" s="32">
        <v>0.2</v>
      </c>
      <c r="E13" s="32">
        <v>0.1</v>
      </c>
      <c r="F13" s="9" t="s">
        <v>67</v>
      </c>
      <c r="G13" s="14">
        <v>2</v>
      </c>
      <c r="H13" s="15">
        <v>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5" t="e">
        <f t="shared" si="0"/>
        <v>#DIV/0!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 t="e">
        <f t="shared" si="1"/>
        <v>#DIV/0!</v>
      </c>
      <c r="AY13" s="11"/>
    </row>
    <row r="14" spans="1:51" ht="17.25" customHeight="1" x14ac:dyDescent="0.2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5" t="e">
        <f t="shared" si="0"/>
        <v>#DIV/0!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 t="e">
        <f t="shared" si="1"/>
        <v>#DIV/0!</v>
      </c>
      <c r="AY14" s="11"/>
    </row>
    <row r="15" spans="1:51" ht="17.25" customHeight="1" x14ac:dyDescent="0.2">
      <c r="A15" s="12" t="s">
        <v>57</v>
      </c>
      <c r="B15" s="12" t="s">
        <v>64</v>
      </c>
      <c r="C15" s="12">
        <v>2358</v>
      </c>
      <c r="D15" s="32">
        <v>0.8</v>
      </c>
      <c r="E15" s="32">
        <v>0.3</v>
      </c>
      <c r="G15" s="14">
        <v>0</v>
      </c>
      <c r="H15" s="15">
        <v>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5" t="e">
        <f t="shared" si="0"/>
        <v>#DIV/0!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 t="e">
        <f t="shared" si="1"/>
        <v>#DIV/0!</v>
      </c>
      <c r="AY15" s="11"/>
    </row>
    <row r="16" spans="1:51" ht="17.25" customHeight="1" x14ac:dyDescent="0.2">
      <c r="A16" s="12" t="s">
        <v>57</v>
      </c>
      <c r="B16" s="12" t="s">
        <v>64</v>
      </c>
      <c r="C16" s="12">
        <v>2359</v>
      </c>
      <c r="D16" s="32">
        <v>0.8</v>
      </c>
      <c r="E16" s="32">
        <v>0.1</v>
      </c>
      <c r="F16" s="12"/>
      <c r="G16" s="14">
        <v>0</v>
      </c>
      <c r="H16" s="15">
        <v>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5" t="e">
        <f t="shared" si="0"/>
        <v>#DIV/0!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 t="e">
        <f t="shared" si="1"/>
        <v>#DIV/0!</v>
      </c>
      <c r="AY16" s="11"/>
    </row>
    <row r="17" spans="1:51" ht="17.25" customHeight="1" x14ac:dyDescent="0.2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5" t="e">
        <f t="shared" si="0"/>
        <v>#DIV/0!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 t="e">
        <f t="shared" si="1"/>
        <v>#DIV/0!</v>
      </c>
      <c r="AY17" s="11"/>
    </row>
    <row r="18" spans="1:51" ht="17.25" customHeight="1" x14ac:dyDescent="0.2">
      <c r="A18" s="12" t="s">
        <v>57</v>
      </c>
      <c r="B18" s="12" t="s">
        <v>64</v>
      </c>
      <c r="C18" s="12">
        <v>2360</v>
      </c>
      <c r="D18" s="32">
        <v>0.7</v>
      </c>
      <c r="E18" s="32">
        <v>0.4</v>
      </c>
      <c r="G18" s="14">
        <v>0</v>
      </c>
      <c r="H18" s="15">
        <v>5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5" t="e">
        <f t="shared" si="0"/>
        <v>#DIV/0!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 t="e">
        <f t="shared" si="1"/>
        <v>#DIV/0!</v>
      </c>
      <c r="AY18" s="11"/>
    </row>
    <row r="19" spans="1:51" ht="17.25" customHeight="1" x14ac:dyDescent="0.2">
      <c r="A19" s="12" t="s">
        <v>57</v>
      </c>
      <c r="B19" s="12" t="s">
        <v>64</v>
      </c>
      <c r="C19" s="12">
        <v>2361</v>
      </c>
      <c r="D19" s="32">
        <v>0.8</v>
      </c>
      <c r="E19" s="32">
        <v>0.1</v>
      </c>
      <c r="F19" s="12"/>
      <c r="G19" s="14">
        <v>1</v>
      </c>
      <c r="H19" s="15">
        <v>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5" t="e">
        <f t="shared" si="0"/>
        <v>#DIV/0!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 t="e">
        <f t="shared" si="1"/>
        <v>#DIV/0!</v>
      </c>
      <c r="AY19" s="11"/>
    </row>
    <row r="20" spans="1:51" ht="17.25" customHeight="1" x14ac:dyDescent="0.2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5" t="e">
        <f t="shared" si="0"/>
        <v>#DIV/0!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 t="e">
        <f t="shared" si="1"/>
        <v>#DIV/0!</v>
      </c>
      <c r="AY20" s="11"/>
    </row>
    <row r="21" spans="1:51" ht="17.25" customHeight="1" x14ac:dyDescent="0.2">
      <c r="A21" s="12" t="s">
        <v>57</v>
      </c>
      <c r="B21" s="12" t="s">
        <v>64</v>
      </c>
      <c r="C21" s="12">
        <v>2362</v>
      </c>
      <c r="D21" s="32">
        <v>0.7</v>
      </c>
      <c r="E21" s="32">
        <v>0.3</v>
      </c>
      <c r="F21" s="9" t="s">
        <v>69</v>
      </c>
      <c r="G21" s="14">
        <v>1</v>
      </c>
      <c r="H21" s="15"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5" t="e">
        <f t="shared" si="0"/>
        <v>#DIV/0!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 t="e">
        <f t="shared" si="1"/>
        <v>#DIV/0!</v>
      </c>
      <c r="AY21" s="11"/>
    </row>
    <row r="22" spans="1:51" ht="17.25" customHeight="1" x14ac:dyDescent="0.2">
      <c r="A22" s="12" t="s">
        <v>57</v>
      </c>
      <c r="B22" s="12" t="s">
        <v>64</v>
      </c>
      <c r="C22" s="12">
        <v>2363</v>
      </c>
      <c r="D22" s="32">
        <v>0.8</v>
      </c>
      <c r="E22" s="32">
        <v>0.3</v>
      </c>
      <c r="G22" s="14">
        <v>2</v>
      </c>
      <c r="H22" s="15">
        <v>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5" t="e">
        <f t="shared" si="0"/>
        <v>#DIV/0!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 t="e">
        <f t="shared" si="1"/>
        <v>#DIV/0!</v>
      </c>
      <c r="AY22" s="11"/>
    </row>
    <row r="23" spans="1:51" ht="17.25" customHeight="1" x14ac:dyDescent="0.2">
      <c r="A23" s="12" t="s">
        <v>57</v>
      </c>
      <c r="B23" s="12" t="s">
        <v>64</v>
      </c>
      <c r="C23" s="12">
        <v>2364</v>
      </c>
      <c r="D23" s="32">
        <v>0.6</v>
      </c>
      <c r="E23" s="32">
        <v>0.4</v>
      </c>
      <c r="G23" s="14">
        <v>2</v>
      </c>
      <c r="H23" s="15"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5" t="e">
        <f t="shared" si="0"/>
        <v>#DIV/0!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 t="e">
        <f t="shared" si="1"/>
        <v>#DIV/0!</v>
      </c>
      <c r="AY23" s="11"/>
    </row>
    <row r="24" spans="1:51" ht="17.25" customHeight="1" x14ac:dyDescent="0.2">
      <c r="A24" s="12" t="s">
        <v>57</v>
      </c>
      <c r="B24" s="12" t="s">
        <v>64</v>
      </c>
      <c r="C24" s="12">
        <v>2365</v>
      </c>
      <c r="D24" s="32">
        <v>0.8</v>
      </c>
      <c r="E24" s="32">
        <v>0.3</v>
      </c>
      <c r="G24" s="14">
        <v>1</v>
      </c>
      <c r="H24" s="15">
        <v>3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5" t="e">
        <f t="shared" si="0"/>
        <v>#DIV/0!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 t="e">
        <f t="shared" si="1"/>
        <v>#DIV/0!</v>
      </c>
      <c r="AY24" s="11"/>
    </row>
    <row r="25" spans="1:51" ht="17.25" customHeight="1" x14ac:dyDescent="0.2">
      <c r="A25" s="12" t="s">
        <v>57</v>
      </c>
      <c r="B25" s="12" t="s">
        <v>64</v>
      </c>
      <c r="C25" s="12">
        <v>2366</v>
      </c>
      <c r="D25" s="32">
        <v>0.7</v>
      </c>
      <c r="E25" s="32">
        <v>0.3</v>
      </c>
      <c r="G25" s="14">
        <v>1</v>
      </c>
      <c r="H25" s="15">
        <v>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5" t="e">
        <f t="shared" si="0"/>
        <v>#DIV/0!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 t="e">
        <f t="shared" si="1"/>
        <v>#DIV/0!</v>
      </c>
      <c r="AY25" s="11"/>
    </row>
    <row r="26" spans="1:51" ht="17.25" customHeight="1" x14ac:dyDescent="0.2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5" t="e">
        <f t="shared" si="0"/>
        <v>#DIV/0!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 t="e">
        <f t="shared" si="1"/>
        <v>#DIV/0!</v>
      </c>
      <c r="AY26" s="11"/>
    </row>
    <row r="27" spans="1:51" ht="17.25" customHeight="1" x14ac:dyDescent="0.2">
      <c r="A27" s="12" t="s">
        <v>57</v>
      </c>
      <c r="B27" s="12" t="s">
        <v>64</v>
      </c>
      <c r="C27" s="12">
        <v>2367</v>
      </c>
      <c r="D27" s="32">
        <v>0.5</v>
      </c>
      <c r="E27" s="32">
        <v>0.3</v>
      </c>
      <c r="G27" s="14">
        <v>1</v>
      </c>
      <c r="H27" s="15">
        <v>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5" t="e">
        <f t="shared" si="0"/>
        <v>#DIV/0!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 t="e">
        <f t="shared" si="1"/>
        <v>#DIV/0!</v>
      </c>
      <c r="AY27" s="11"/>
    </row>
    <row r="28" spans="1:51" ht="17.25" customHeight="1" x14ac:dyDescent="0.2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5" t="e">
        <f t="shared" si="0"/>
        <v>#DIV/0!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 t="e">
        <f t="shared" si="1"/>
        <v>#DIV/0!</v>
      </c>
      <c r="AY28" s="11"/>
    </row>
    <row r="29" spans="1:51" ht="17.25" customHeight="1" x14ac:dyDescent="0.2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5" t="e">
        <f t="shared" si="0"/>
        <v>#DIV/0!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 t="e">
        <f t="shared" si="1"/>
        <v>#DIV/0!</v>
      </c>
      <c r="AY29" s="11"/>
    </row>
    <row r="30" spans="1:51" ht="17.25" customHeight="1" x14ac:dyDescent="0.2">
      <c r="A30" s="12" t="s">
        <v>57</v>
      </c>
      <c r="B30" s="12" t="s">
        <v>64</v>
      </c>
      <c r="C30" s="12">
        <v>2369</v>
      </c>
      <c r="D30" s="32">
        <v>0.5</v>
      </c>
      <c r="E30" s="32">
        <v>0.3</v>
      </c>
      <c r="G30" s="14">
        <v>2</v>
      </c>
      <c r="H30" s="15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 t="e">
        <f t="shared" si="0"/>
        <v>#DIV/0!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 t="e">
        <f t="shared" si="1"/>
        <v>#DIV/0!</v>
      </c>
      <c r="AY30" s="11"/>
    </row>
    <row r="31" spans="1:51" ht="17.25" customHeight="1" x14ac:dyDescent="0.2">
      <c r="A31" s="38" t="s">
        <v>70</v>
      </c>
      <c r="B31" s="38" t="s">
        <v>58</v>
      </c>
      <c r="C31" s="38">
        <v>2376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5" t="e">
        <f t="shared" si="0"/>
        <v>#DIV/0!</v>
      </c>
      <c r="AA31" s="15">
        <v>2.19</v>
      </c>
      <c r="AB31" s="15">
        <v>0.20899999999999999</v>
      </c>
      <c r="AC31" s="15">
        <v>0.124</v>
      </c>
      <c r="AD31" s="15">
        <v>1.73</v>
      </c>
      <c r="AE31" s="15">
        <v>0.193</v>
      </c>
      <c r="AF31" s="15">
        <v>0.114</v>
      </c>
      <c r="AG31" s="9">
        <f>AVERAGE(1.4,2)</f>
        <v>1.7</v>
      </c>
      <c r="AH31" s="15">
        <v>0.16500000000000001</v>
      </c>
      <c r="AI31" s="15">
        <v>9.8000000000000004E-2</v>
      </c>
      <c r="AJ31" s="15">
        <v>1.65</v>
      </c>
      <c r="AK31" s="15">
        <v>0.156</v>
      </c>
      <c r="AL31" s="15">
        <v>9.0999999999999998E-2</v>
      </c>
      <c r="AM31" s="9">
        <f>AVERAGE(1.71,1.45)</f>
        <v>1.58</v>
      </c>
      <c r="AN31" s="15">
        <v>0.312</v>
      </c>
      <c r="AO31" s="15">
        <v>0.184</v>
      </c>
      <c r="AP31" s="15">
        <v>1.3</v>
      </c>
      <c r="AQ31" s="9"/>
      <c r="AR31" s="9"/>
      <c r="AS31" s="9"/>
      <c r="AT31" s="9"/>
      <c r="AU31" s="9"/>
      <c r="AV31" s="9"/>
      <c r="AW31" s="9"/>
      <c r="AX31" s="9">
        <f t="shared" si="1"/>
        <v>1.6916666666666667</v>
      </c>
      <c r="AY31" s="16" t="s">
        <v>71</v>
      </c>
    </row>
    <row r="32" spans="1:51" ht="17.25" customHeight="1" x14ac:dyDescent="0.2">
      <c r="A32" s="38" t="s">
        <v>70</v>
      </c>
      <c r="B32" s="38" t="s">
        <v>58</v>
      </c>
      <c r="C32" s="38">
        <v>2377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" t="e">
        <f t="shared" si="0"/>
        <v>#DIV/0!</v>
      </c>
      <c r="AA32" s="15">
        <v>2.1800000000000002</v>
      </c>
      <c r="AB32" s="15">
        <v>0.32100000000000001</v>
      </c>
      <c r="AC32" s="15">
        <v>0.19</v>
      </c>
      <c r="AD32" s="15">
        <v>2.71</v>
      </c>
      <c r="AE32" s="15">
        <v>0.23300000000000001</v>
      </c>
      <c r="AF32" s="15">
        <v>0.14099999999999999</v>
      </c>
      <c r="AG32" s="15">
        <v>1.7</v>
      </c>
      <c r="AH32" s="15">
        <v>0.254</v>
      </c>
      <c r="AI32" s="15">
        <v>0.157</v>
      </c>
      <c r="AJ32" s="15">
        <v>1.64</v>
      </c>
      <c r="AK32" s="15">
        <v>0.29399999999999998</v>
      </c>
      <c r="AL32" s="15">
        <v>0.16800000000000001</v>
      </c>
      <c r="AM32" s="15">
        <v>2.5099999999999998</v>
      </c>
      <c r="AN32" s="15">
        <v>0.17599999999999999</v>
      </c>
      <c r="AO32" s="15">
        <v>0.105</v>
      </c>
      <c r="AP32" s="15">
        <v>2.1</v>
      </c>
      <c r="AQ32" s="9"/>
      <c r="AR32" s="9"/>
      <c r="AS32" s="9"/>
      <c r="AT32" s="9"/>
      <c r="AU32" s="9"/>
      <c r="AV32" s="9"/>
      <c r="AW32" s="9"/>
      <c r="AX32" s="9">
        <f t="shared" si="1"/>
        <v>2.14</v>
      </c>
      <c r="AY32" s="16" t="s">
        <v>72</v>
      </c>
    </row>
    <row r="33" spans="1:51" ht="17.25" customHeight="1" x14ac:dyDescent="0.2">
      <c r="A33" s="38" t="s">
        <v>70</v>
      </c>
      <c r="B33" s="38" t="s">
        <v>64</v>
      </c>
      <c r="C33" s="38">
        <v>2378</v>
      </c>
      <c r="D33" s="32"/>
      <c r="E33" s="32"/>
      <c r="G33" s="14">
        <v>0</v>
      </c>
      <c r="H33" s="15">
        <v>6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5" t="e">
        <f t="shared" si="0"/>
        <v>#DIV/0!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 t="e">
        <f t="shared" si="1"/>
        <v>#DIV/0!</v>
      </c>
      <c r="AY33" s="16" t="s">
        <v>72</v>
      </c>
    </row>
    <row r="34" spans="1:51" ht="17.25" customHeight="1" x14ac:dyDescent="0.2">
      <c r="A34" s="38" t="s">
        <v>70</v>
      </c>
      <c r="B34" s="38" t="s">
        <v>64</v>
      </c>
      <c r="C34" s="38">
        <v>2379</v>
      </c>
      <c r="D34" s="32"/>
      <c r="E34" s="32"/>
      <c r="G34" s="14">
        <v>0</v>
      </c>
      <c r="H34" s="15">
        <v>7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" t="e">
        <f t="shared" si="0"/>
        <v>#DIV/0!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 t="e">
        <f t="shared" si="1"/>
        <v>#DIV/0!</v>
      </c>
      <c r="AY34" s="16" t="s">
        <v>72</v>
      </c>
    </row>
    <row r="35" spans="1:51" ht="17.25" customHeight="1" x14ac:dyDescent="0.2">
      <c r="A35" s="38" t="s">
        <v>70</v>
      </c>
      <c r="B35" s="38" t="s">
        <v>58</v>
      </c>
      <c r="C35" s="38">
        <v>2380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5" t="e">
        <f t="shared" si="0"/>
        <v>#DIV/0!</v>
      </c>
      <c r="AA35" s="15">
        <v>1.66</v>
      </c>
      <c r="AB35" s="15">
        <v>0.217</v>
      </c>
      <c r="AC35" s="15">
        <v>0.13100000000000001</v>
      </c>
      <c r="AD35" s="15">
        <v>1.65</v>
      </c>
      <c r="AE35" s="15">
        <v>0.16</v>
      </c>
      <c r="AF35" s="15">
        <v>9.7000000000000003E-2</v>
      </c>
      <c r="AG35" s="15">
        <v>1.88</v>
      </c>
      <c r="AH35" s="15">
        <v>0.17399999999999999</v>
      </c>
      <c r="AI35" s="15">
        <v>0.105</v>
      </c>
      <c r="AJ35" s="15">
        <v>2.27</v>
      </c>
      <c r="AK35" s="15">
        <v>0.221</v>
      </c>
      <c r="AL35" s="15">
        <v>0.13100000000000001</v>
      </c>
      <c r="AM35" s="9"/>
      <c r="AN35" s="15">
        <v>0.23599999999999999</v>
      </c>
      <c r="AO35" s="15">
        <v>0.14499999999999999</v>
      </c>
      <c r="AP35" s="9"/>
      <c r="AQ35" s="9"/>
      <c r="AR35" s="9"/>
      <c r="AS35" s="9"/>
      <c r="AT35" s="9"/>
      <c r="AU35" s="9"/>
      <c r="AV35" s="9"/>
      <c r="AW35" s="9"/>
      <c r="AX35" s="9">
        <f t="shared" si="1"/>
        <v>1.8649999999999998</v>
      </c>
      <c r="AY35" s="11"/>
    </row>
    <row r="36" spans="1:51" ht="17.25" customHeight="1" x14ac:dyDescent="0.2">
      <c r="A36" s="12" t="s">
        <v>74</v>
      </c>
      <c r="B36" s="12" t="s">
        <v>64</v>
      </c>
      <c r="C36" s="12">
        <v>2337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5" t="e">
        <f t="shared" si="0"/>
        <v>#DIV/0!</v>
      </c>
      <c r="AA36" s="9"/>
      <c r="AB36" s="15"/>
      <c r="AC36" s="1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 t="e">
        <f t="shared" si="1"/>
        <v>#DIV/0!</v>
      </c>
      <c r="AY36" s="11"/>
    </row>
    <row r="37" spans="1:51" ht="17.25" customHeight="1" x14ac:dyDescent="0.2">
      <c r="A37" s="12" t="s">
        <v>74</v>
      </c>
      <c r="B37" s="12" t="s">
        <v>64</v>
      </c>
      <c r="C37" s="12">
        <v>2338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5" t="e">
        <f t="shared" si="0"/>
        <v>#DIV/0!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 t="e">
        <f t="shared" si="1"/>
        <v>#DIV/0!</v>
      </c>
      <c r="AY37" s="11"/>
    </row>
    <row r="38" spans="1:51" ht="17.25" customHeight="1" x14ac:dyDescent="0.2">
      <c r="A38" s="12" t="s">
        <v>74</v>
      </c>
      <c r="B38" s="12" t="s">
        <v>64</v>
      </c>
      <c r="C38" s="12">
        <v>2339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" t="e">
        <f t="shared" si="0"/>
        <v>#DIV/0!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 t="e">
        <f t="shared" si="1"/>
        <v>#DIV/0!</v>
      </c>
      <c r="AY38" s="11"/>
    </row>
    <row r="39" spans="1:51" ht="17.25" customHeight="1" x14ac:dyDescent="0.2">
      <c r="A39" s="12" t="s">
        <v>74</v>
      </c>
      <c r="B39" s="12" t="s">
        <v>64</v>
      </c>
      <c r="C39" s="12">
        <v>2340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5" t="e">
        <f t="shared" si="0"/>
        <v>#DIV/0!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 t="e">
        <f t="shared" si="1"/>
        <v>#DIV/0!</v>
      </c>
      <c r="AY39" s="11"/>
    </row>
    <row r="40" spans="1:51" ht="17.25" customHeight="1" x14ac:dyDescent="0.2">
      <c r="A40" s="12" t="s">
        <v>74</v>
      </c>
      <c r="B40" s="12" t="s">
        <v>64</v>
      </c>
      <c r="C40" s="12">
        <v>2341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5" t="e">
        <f t="shared" si="0"/>
        <v>#DIV/0!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 t="e">
        <f t="shared" si="1"/>
        <v>#DIV/0!</v>
      </c>
      <c r="AY40" s="11"/>
    </row>
    <row r="41" spans="1:51" ht="17.25" customHeight="1" x14ac:dyDescent="0.2">
      <c r="A41" s="12" t="s">
        <v>74</v>
      </c>
      <c r="B41" s="12" t="s">
        <v>64</v>
      </c>
      <c r="C41" s="12">
        <v>2342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5" t="e">
        <f t="shared" si="0"/>
        <v>#DIV/0!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 t="e">
        <f t="shared" si="1"/>
        <v>#DIV/0!</v>
      </c>
      <c r="AY41" s="11"/>
    </row>
    <row r="42" spans="1:51" ht="17.25" customHeight="1" x14ac:dyDescent="0.2">
      <c r="A42" s="12" t="s">
        <v>74</v>
      </c>
      <c r="B42" s="12" t="s">
        <v>64</v>
      </c>
      <c r="C42" s="12">
        <v>2343</v>
      </c>
      <c r="D42" s="32">
        <v>0.5</v>
      </c>
      <c r="E42" s="32">
        <v>0.6</v>
      </c>
      <c r="G42" s="14">
        <v>1</v>
      </c>
      <c r="H42" s="15">
        <v>2</v>
      </c>
      <c r="I42" s="15">
        <v>1.2</v>
      </c>
      <c r="J42" s="15">
        <v>0.14599999999999999</v>
      </c>
      <c r="K42" s="15">
        <v>7.8E-2</v>
      </c>
      <c r="L42" s="15">
        <v>1.1000000000000001</v>
      </c>
      <c r="M42" s="15">
        <v>7.5999999999999998E-2</v>
      </c>
      <c r="N42" s="15">
        <v>4.2999999999999997E-2</v>
      </c>
      <c r="O42" s="15">
        <v>1.1000000000000001</v>
      </c>
      <c r="P42" s="15">
        <v>8.5999999999999993E-2</v>
      </c>
      <c r="Q42" s="15">
        <v>4.7E-2</v>
      </c>
      <c r="R42" s="9"/>
      <c r="S42" s="15">
        <v>7.1999999999999995E-2</v>
      </c>
      <c r="T42" s="15">
        <v>0.04</v>
      </c>
      <c r="U42" s="9"/>
      <c r="V42" s="15">
        <v>0.115</v>
      </c>
      <c r="W42" s="15">
        <v>6.5000000000000002E-2</v>
      </c>
      <c r="X42" s="9"/>
      <c r="Y42" s="9"/>
      <c r="Z42" s="15">
        <f t="shared" si="0"/>
        <v>1.1333333333333333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 t="e">
        <f t="shared" si="1"/>
        <v>#DIV/0!</v>
      </c>
      <c r="AY42" s="16" t="s">
        <v>77</v>
      </c>
    </row>
    <row r="43" spans="1:51" ht="17.25" customHeight="1" x14ac:dyDescent="0.2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5" t="e">
        <f t="shared" si="0"/>
        <v>#DIV/0!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 t="e">
        <f t="shared" si="1"/>
        <v>#DIV/0!</v>
      </c>
      <c r="AY43" s="11"/>
    </row>
    <row r="44" spans="1:51" ht="17.25" customHeight="1" x14ac:dyDescent="0.2">
      <c r="A44" s="12" t="s">
        <v>74</v>
      </c>
      <c r="B44" s="12" t="s">
        <v>64</v>
      </c>
      <c r="C44" s="12">
        <v>2344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1.1399999999999999</v>
      </c>
      <c r="S44" s="15"/>
      <c r="T44" s="15"/>
      <c r="U44" s="15">
        <v>1.34</v>
      </c>
      <c r="V44" s="9"/>
      <c r="W44" s="9"/>
      <c r="X44" s="9"/>
      <c r="Y44" s="9"/>
      <c r="Z44" s="15">
        <f t="shared" si="0"/>
        <v>1.4139999999999999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 t="e">
        <f t="shared" si="1"/>
        <v>#DIV/0!</v>
      </c>
      <c r="AY44" s="11"/>
    </row>
    <row r="45" spans="1:51" ht="17.25" customHeight="1" x14ac:dyDescent="0.2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5" t="e">
        <f t="shared" si="0"/>
        <v>#DIV/0!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 t="e">
        <f t="shared" si="1"/>
        <v>#DIV/0!</v>
      </c>
      <c r="AY45" s="11"/>
    </row>
    <row r="46" spans="1:51" ht="17.25" customHeight="1" x14ac:dyDescent="0.2">
      <c r="A46" s="12" t="s">
        <v>74</v>
      </c>
      <c r="B46" s="12" t="s">
        <v>58</v>
      </c>
      <c r="C46" s="34">
        <v>2345</v>
      </c>
      <c r="D46" s="32">
        <v>0.2</v>
      </c>
      <c r="E46" s="32">
        <v>0.2</v>
      </c>
      <c r="F46" s="9" t="s">
        <v>81</v>
      </c>
      <c r="G46" s="10"/>
      <c r="H46" s="9"/>
      <c r="I46" s="15">
        <v>0.56399999999999995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Y46" s="9"/>
      <c r="Z46" s="15">
        <f t="shared" si="0"/>
        <v>0.53349999999999997</v>
      </c>
      <c r="AA46" s="15">
        <v>1.88</v>
      </c>
      <c r="AB46" s="15">
        <v>0.185</v>
      </c>
      <c r="AC46" s="15">
        <v>0.106</v>
      </c>
      <c r="AD46" s="15">
        <v>1.83</v>
      </c>
      <c r="AE46" s="15">
        <v>0.21099999999999999</v>
      </c>
      <c r="AF46" s="15">
        <v>0.122</v>
      </c>
      <c r="AG46" s="15">
        <v>1.04</v>
      </c>
      <c r="AH46" s="15">
        <v>0.20599999999999999</v>
      </c>
      <c r="AI46" s="15">
        <v>0.11700000000000001</v>
      </c>
      <c r="AJ46" s="15">
        <v>1.77</v>
      </c>
      <c r="AK46" s="15">
        <v>0.20100000000000001</v>
      </c>
      <c r="AL46" s="15">
        <v>0.11799999999999999</v>
      </c>
      <c r="AM46" s="9"/>
      <c r="AN46" s="15">
        <v>0.20599999999999999</v>
      </c>
      <c r="AO46" s="15">
        <v>0.11899999999999999</v>
      </c>
      <c r="AP46" s="9"/>
      <c r="AQ46" s="9"/>
      <c r="AR46" s="9"/>
      <c r="AS46" s="9"/>
      <c r="AT46" s="9"/>
      <c r="AU46" s="9"/>
      <c r="AV46" s="9"/>
      <c r="AW46" s="9"/>
      <c r="AX46" s="9">
        <f t="shared" si="1"/>
        <v>1.63</v>
      </c>
      <c r="AY46" s="11"/>
    </row>
    <row r="47" spans="1:51" ht="17.25" customHeight="1" x14ac:dyDescent="0.2">
      <c r="A47" s="12" t="s">
        <v>74</v>
      </c>
      <c r="B47" s="12" t="s">
        <v>64</v>
      </c>
      <c r="C47" s="12">
        <v>2346</v>
      </c>
      <c r="D47" s="32">
        <v>0.7</v>
      </c>
      <c r="E47" s="32">
        <v>0.4</v>
      </c>
      <c r="G47" s="14">
        <v>3</v>
      </c>
      <c r="H47" s="15">
        <v>0</v>
      </c>
      <c r="I47" s="9">
        <f>AVERAGE(0.96,1.3)</f>
        <v>1.1299999999999999</v>
      </c>
      <c r="J47" s="9"/>
      <c r="K47" s="9"/>
      <c r="L47" s="9">
        <f>AVERAGE(0.78,1.09)</f>
        <v>0.93500000000000005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Y47" s="9"/>
      <c r="Z47" s="15">
        <f t="shared" si="0"/>
        <v>1.00875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 t="e">
        <f t="shared" si="1"/>
        <v>#DIV/0!</v>
      </c>
      <c r="AY47" s="16" t="s">
        <v>82</v>
      </c>
    </row>
    <row r="48" spans="1:51" ht="17.25" customHeight="1" x14ac:dyDescent="0.2">
      <c r="A48" s="12" t="s">
        <v>74</v>
      </c>
      <c r="B48" s="12" t="s">
        <v>64</v>
      </c>
      <c r="C48" s="12">
        <v>2347</v>
      </c>
      <c r="D48" s="32">
        <v>0.8</v>
      </c>
      <c r="E48" s="32">
        <v>0.2</v>
      </c>
      <c r="G48" s="14">
        <v>2</v>
      </c>
      <c r="H48" s="15">
        <v>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1.4649999999999999</v>
      </c>
      <c r="S48" s="9"/>
      <c r="T48" s="9"/>
      <c r="U48" s="9">
        <f>AVERAGE(1.35,1.67)</f>
        <v>1.51</v>
      </c>
      <c r="V48" s="9"/>
      <c r="W48" s="9"/>
      <c r="X48" s="9"/>
      <c r="Y48" s="9"/>
      <c r="Z48" s="15">
        <f t="shared" si="0"/>
        <v>1.786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 t="e">
        <f t="shared" si="1"/>
        <v>#DIV/0!</v>
      </c>
      <c r="AY48" s="16" t="s">
        <v>83</v>
      </c>
    </row>
    <row r="49" spans="1:51" ht="17.25" customHeight="1" x14ac:dyDescent="0.2">
      <c r="A49" s="12" t="s">
        <v>74</v>
      </c>
      <c r="B49" s="12" t="s">
        <v>64</v>
      </c>
      <c r="C49" s="12">
        <v>2348</v>
      </c>
      <c r="D49" s="32">
        <v>0.7</v>
      </c>
      <c r="E49" s="32">
        <v>0.2</v>
      </c>
      <c r="F49" s="9" t="s">
        <v>84</v>
      </c>
      <c r="G49" s="14">
        <v>1</v>
      </c>
      <c r="H49" s="15">
        <v>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 t="e">
        <f t="shared" si="0"/>
        <v>#DIV/0!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 t="e">
        <f t="shared" si="1"/>
        <v>#DIV/0!</v>
      </c>
      <c r="AY49" s="11"/>
    </row>
    <row r="50" spans="1:51" ht="17.25" customHeight="1" x14ac:dyDescent="0.2">
      <c r="A50" s="12" t="s">
        <v>74</v>
      </c>
      <c r="B50" s="12" t="s">
        <v>64</v>
      </c>
      <c r="C50" s="12">
        <v>2349</v>
      </c>
      <c r="D50" s="32">
        <v>0.7</v>
      </c>
      <c r="E50" s="32">
        <v>0.2</v>
      </c>
      <c r="G50" s="14">
        <v>1</v>
      </c>
      <c r="H50" s="15">
        <v>0</v>
      </c>
      <c r="I50" s="15">
        <v>1.64</v>
      </c>
      <c r="J50" s="15"/>
      <c r="K50" s="15"/>
      <c r="L50" s="15">
        <v>1.6</v>
      </c>
      <c r="M50" s="15"/>
      <c r="N50" s="15"/>
      <c r="O50" s="15">
        <v>2.2000000000000002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Y50" s="9"/>
      <c r="Z50" s="15">
        <f t="shared" si="0"/>
        <v>1.8900000000000001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 t="e">
        <f t="shared" si="1"/>
        <v>#DIV/0!</v>
      </c>
      <c r="AY50" s="16" t="s">
        <v>85</v>
      </c>
    </row>
    <row r="51" spans="1:51" ht="17.25" customHeight="1" x14ac:dyDescent="0.2">
      <c r="A51" s="12" t="s">
        <v>74</v>
      </c>
      <c r="B51" s="12" t="s">
        <v>64</v>
      </c>
      <c r="C51" s="12">
        <v>2350</v>
      </c>
      <c r="D51" s="32">
        <v>0.2</v>
      </c>
      <c r="E51" s="12" t="s">
        <v>87</v>
      </c>
      <c r="F51" s="12"/>
      <c r="G51" s="14">
        <v>1</v>
      </c>
      <c r="H51" s="15">
        <v>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5" t="e">
        <f t="shared" si="0"/>
        <v>#DIV/0!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 t="e">
        <f t="shared" si="1"/>
        <v>#DIV/0!</v>
      </c>
      <c r="AY51" s="11"/>
    </row>
    <row r="52" spans="1:51" ht="17.25" customHeight="1" x14ac:dyDescent="0.2">
      <c r="A52" s="12" t="s">
        <v>74</v>
      </c>
      <c r="B52" s="12" t="s">
        <v>64</v>
      </c>
      <c r="C52" s="12">
        <v>2351</v>
      </c>
      <c r="D52" s="32">
        <v>0.05</v>
      </c>
      <c r="E52" s="12" t="s">
        <v>87</v>
      </c>
      <c r="F52" s="12"/>
      <c r="G52" s="14">
        <v>1</v>
      </c>
      <c r="H52" s="15">
        <v>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5" t="e">
        <f t="shared" si="0"/>
        <v>#DIV/0!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 t="e">
        <f t="shared" si="1"/>
        <v>#DIV/0!</v>
      </c>
      <c r="AY52" s="11"/>
    </row>
    <row r="53" spans="1:51" ht="15.75" customHeight="1" x14ac:dyDescent="0.2">
      <c r="A53" s="38" t="s">
        <v>88</v>
      </c>
      <c r="B53" s="38" t="s">
        <v>64</v>
      </c>
      <c r="C53" s="38">
        <v>2375</v>
      </c>
      <c r="D53" s="32"/>
      <c r="E53" s="32"/>
      <c r="G53" s="14">
        <v>1</v>
      </c>
      <c r="H53" s="15">
        <v>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5" t="e">
        <f t="shared" si="0"/>
        <v>#DIV/0!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 t="e">
        <f t="shared" si="1"/>
        <v>#DIV/0!</v>
      </c>
      <c r="AY53" s="16" t="s">
        <v>89</v>
      </c>
    </row>
    <row r="54" spans="1:51" ht="15.75" customHeight="1" x14ac:dyDescent="0.2">
      <c r="A54" s="12" t="s">
        <v>90</v>
      </c>
      <c r="B54" s="12" t="s">
        <v>64</v>
      </c>
      <c r="C54" s="12">
        <v>2310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5" t="e">
        <f t="shared" si="0"/>
        <v>#DIV/0!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 t="e">
        <f t="shared" si="1"/>
        <v>#DIV/0!</v>
      </c>
      <c r="AY54" s="11"/>
    </row>
    <row r="55" spans="1:51" ht="17.25" customHeight="1" x14ac:dyDescent="0.2">
      <c r="A55" s="12" t="s">
        <v>90</v>
      </c>
      <c r="B55" s="12" t="s">
        <v>64</v>
      </c>
      <c r="C55" s="12">
        <v>2311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5" t="e">
        <f t="shared" si="0"/>
        <v>#DIV/0!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 t="e">
        <f t="shared" si="1"/>
        <v>#DIV/0!</v>
      </c>
      <c r="AY55" s="11"/>
    </row>
    <row r="56" spans="1:51" ht="17.25" customHeight="1" x14ac:dyDescent="0.2">
      <c r="A56" s="12" t="s">
        <v>90</v>
      </c>
      <c r="B56" s="12" t="s">
        <v>64</v>
      </c>
      <c r="C56" s="12">
        <v>2312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5" t="e">
        <f t="shared" si="0"/>
        <v>#DIV/0!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 t="e">
        <f t="shared" si="1"/>
        <v>#DIV/0!</v>
      </c>
      <c r="AY56" s="11"/>
    </row>
    <row r="57" spans="1:51" ht="17.25" customHeight="1" x14ac:dyDescent="0.2">
      <c r="A57" s="12" t="s">
        <v>90</v>
      </c>
      <c r="B57" s="12" t="s">
        <v>64</v>
      </c>
      <c r="C57" s="12">
        <v>2313</v>
      </c>
      <c r="D57" s="32">
        <v>0.6</v>
      </c>
      <c r="E57" s="32">
        <v>0.4</v>
      </c>
      <c r="G57" s="10"/>
      <c r="H57" s="9"/>
      <c r="I57" s="15">
        <v>1.1399999999999999</v>
      </c>
      <c r="J57" s="15">
        <v>0.14000000000000001</v>
      </c>
      <c r="K57" s="15">
        <v>7.4999999999999997E-2</v>
      </c>
      <c r="L57" s="9">
        <f>AVERAGE(1.02,1.55)</f>
        <v>1.2850000000000001</v>
      </c>
      <c r="M57" s="15">
        <v>0.14399999999999999</v>
      </c>
      <c r="N57" s="15">
        <v>8.3000000000000004E-2</v>
      </c>
      <c r="O57" s="9">
        <f>AVERAGE(1.57,1.44)</f>
        <v>1.5049999999999999</v>
      </c>
      <c r="P57" s="15">
        <v>9.6000000000000002E-2</v>
      </c>
      <c r="Q57" s="15">
        <v>5.8999999999999997E-2</v>
      </c>
      <c r="R57" s="15">
        <v>1.1200000000000001</v>
      </c>
      <c r="S57" s="15">
        <v>0.127</v>
      </c>
      <c r="T57" s="15">
        <v>7.0000000000000007E-2</v>
      </c>
      <c r="U57" s="9"/>
      <c r="V57" s="9"/>
      <c r="W57" s="9"/>
      <c r="X57" s="9"/>
      <c r="Y57" s="9"/>
      <c r="Z57" s="15">
        <f t="shared" si="0"/>
        <v>1.2625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 t="e">
        <f t="shared" si="1"/>
        <v>#DIV/0!</v>
      </c>
      <c r="AY57" s="11"/>
    </row>
    <row r="58" spans="1:51" ht="17.25" customHeight="1" x14ac:dyDescent="0.2">
      <c r="A58" s="12" t="s">
        <v>90</v>
      </c>
      <c r="B58" s="12" t="s">
        <v>64</v>
      </c>
      <c r="C58" s="12">
        <v>2314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5" t="e">
        <f t="shared" si="0"/>
        <v>#DIV/0!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 t="e">
        <f t="shared" si="1"/>
        <v>#DIV/0!</v>
      </c>
      <c r="AY58" s="11"/>
    </row>
    <row r="59" spans="1:51" ht="17.25" customHeight="1" x14ac:dyDescent="0.2">
      <c r="A59" s="12" t="s">
        <v>90</v>
      </c>
      <c r="B59" s="12" t="s">
        <v>58</v>
      </c>
      <c r="C59" s="12">
        <v>2315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5" t="e">
        <f t="shared" si="0"/>
        <v>#DIV/0!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 t="e">
        <f t="shared" si="1"/>
        <v>#DIV/0!</v>
      </c>
      <c r="AY59" s="11"/>
    </row>
    <row r="60" spans="1:51" ht="17.25" customHeight="1" x14ac:dyDescent="0.2">
      <c r="A60" s="12" t="s">
        <v>90</v>
      </c>
      <c r="B60" s="12" t="s">
        <v>64</v>
      </c>
      <c r="C60" s="12">
        <v>2316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5" t="e">
        <f t="shared" si="0"/>
        <v>#DIV/0!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 t="e">
        <f t="shared" si="1"/>
        <v>#DIV/0!</v>
      </c>
      <c r="AY60" s="11"/>
    </row>
    <row r="61" spans="1:51" ht="17.25" customHeight="1" x14ac:dyDescent="0.2">
      <c r="A61" s="12" t="s">
        <v>90</v>
      </c>
      <c r="B61" s="12" t="s">
        <v>64</v>
      </c>
      <c r="C61" s="12">
        <v>2317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5" t="e">
        <f t="shared" si="0"/>
        <v>#DIV/0!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 t="e">
        <f t="shared" si="1"/>
        <v>#DIV/0!</v>
      </c>
      <c r="AY61" s="11"/>
    </row>
    <row r="62" spans="1:51" ht="17.25" customHeight="1" x14ac:dyDescent="0.2">
      <c r="A62" s="12" t="s">
        <v>90</v>
      </c>
      <c r="B62" s="12" t="s">
        <v>64</v>
      </c>
      <c r="C62" s="12">
        <v>2318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5" t="e">
        <f t="shared" si="0"/>
        <v>#DIV/0!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 t="e">
        <f t="shared" si="1"/>
        <v>#DIV/0!</v>
      </c>
      <c r="AY62" s="11"/>
    </row>
    <row r="63" spans="1:51" ht="17.25" customHeight="1" x14ac:dyDescent="0.2">
      <c r="A63" s="12" t="s">
        <v>90</v>
      </c>
      <c r="B63" s="12" t="s">
        <v>64</v>
      </c>
      <c r="C63" s="12">
        <v>2319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5" t="e">
        <f t="shared" si="0"/>
        <v>#DIV/0!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 t="e">
        <f t="shared" si="1"/>
        <v>#DIV/0!</v>
      </c>
      <c r="AY63" s="11"/>
    </row>
    <row r="64" spans="1:51" ht="17.25" customHeight="1" x14ac:dyDescent="0.2">
      <c r="A64" s="12" t="s">
        <v>90</v>
      </c>
      <c r="B64" s="12" t="s">
        <v>58</v>
      </c>
      <c r="C64" s="12">
        <v>2320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5" t="e">
        <f t="shared" si="0"/>
        <v>#DIV/0!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 t="e">
        <f t="shared" si="1"/>
        <v>#DIV/0!</v>
      </c>
      <c r="AY64" s="11"/>
    </row>
    <row r="65" spans="1:51" ht="17.25" customHeight="1" x14ac:dyDescent="0.2">
      <c r="A65" s="12" t="s">
        <v>90</v>
      </c>
      <c r="B65" s="12" t="s">
        <v>64</v>
      </c>
      <c r="C65" s="12">
        <v>2321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5" t="e">
        <f t="shared" si="0"/>
        <v>#DIV/0!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 t="e">
        <f t="shared" si="1"/>
        <v>#DIV/0!</v>
      </c>
      <c r="AY65" s="11"/>
    </row>
    <row r="66" spans="1:51" ht="17.25" customHeight="1" x14ac:dyDescent="0.2">
      <c r="A66" s="12" t="s">
        <v>90</v>
      </c>
      <c r="B66" s="12" t="s">
        <v>58</v>
      </c>
      <c r="C66" s="12">
        <v>2322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15">
        <f t="shared" si="0"/>
        <v>0.62666666666666659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 t="e">
        <f t="shared" si="1"/>
        <v>#DIV/0!</v>
      </c>
      <c r="AY66" s="11"/>
    </row>
    <row r="67" spans="1:51" ht="17.25" customHeight="1" x14ac:dyDescent="0.2">
      <c r="A67" s="12" t="s">
        <v>90</v>
      </c>
      <c r="B67" s="12" t="s">
        <v>58</v>
      </c>
      <c r="C67" s="12">
        <v>2323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5" t="e">
        <f t="shared" si="0"/>
        <v>#DIV/0!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 t="e">
        <f t="shared" si="1"/>
        <v>#DIV/0!</v>
      </c>
      <c r="AY67" s="11"/>
    </row>
    <row r="68" spans="1:51" ht="17.25" customHeight="1" x14ac:dyDescent="0.2">
      <c r="A68" s="12" t="s">
        <v>90</v>
      </c>
      <c r="B68" s="12" t="s">
        <v>64</v>
      </c>
      <c r="C68" s="12">
        <v>2324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5" t="e">
        <f t="shared" si="0"/>
        <v>#DIV/0!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 t="e">
        <f t="shared" si="1"/>
        <v>#DIV/0!</v>
      </c>
      <c r="AY68" s="11"/>
    </row>
    <row r="69" spans="1:51" ht="17.25" customHeight="1" x14ac:dyDescent="0.2">
      <c r="A69" s="12" t="s">
        <v>90</v>
      </c>
      <c r="B69" s="12" t="s">
        <v>64</v>
      </c>
      <c r="C69" s="12">
        <v>2325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5" t="e">
        <f t="shared" si="0"/>
        <v>#DIV/0!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 t="e">
        <f t="shared" si="1"/>
        <v>#DIV/0!</v>
      </c>
      <c r="AY69" s="11"/>
    </row>
    <row r="70" spans="1:51" ht="17.25" customHeight="1" x14ac:dyDescent="0.2">
      <c r="A70" s="12" t="s">
        <v>90</v>
      </c>
      <c r="B70" s="12" t="s">
        <v>64</v>
      </c>
      <c r="C70" s="12">
        <v>2327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5" t="e">
        <f t="shared" si="0"/>
        <v>#DIV/0!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 t="e">
        <f t="shared" si="1"/>
        <v>#DIV/0!</v>
      </c>
      <c r="AY70" s="11"/>
    </row>
    <row r="71" spans="1:51" ht="17.25" customHeight="1" x14ac:dyDescent="0.2">
      <c r="A71" s="12" t="s">
        <v>90</v>
      </c>
      <c r="B71" s="12" t="s">
        <v>64</v>
      </c>
      <c r="C71" s="12">
        <v>2326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5" t="e">
        <f t="shared" si="0"/>
        <v>#DIV/0!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 t="e">
        <f t="shared" si="1"/>
        <v>#DIV/0!</v>
      </c>
      <c r="AY71" s="11"/>
    </row>
    <row r="72" spans="1:51" ht="17.25" customHeight="1" x14ac:dyDescent="0.2">
      <c r="A72" s="12" t="s">
        <v>90</v>
      </c>
      <c r="B72" s="12" t="s">
        <v>58</v>
      </c>
      <c r="C72" s="12">
        <v>2328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5" t="e">
        <f t="shared" si="0"/>
        <v>#DIV/0!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 t="e">
        <f t="shared" si="1"/>
        <v>#DIV/0!</v>
      </c>
      <c r="AY72" s="11"/>
    </row>
    <row r="73" spans="1:51" ht="17.25" customHeight="1" x14ac:dyDescent="0.2">
      <c r="A73" s="12" t="s">
        <v>90</v>
      </c>
      <c r="B73" s="12" t="s">
        <v>64</v>
      </c>
      <c r="C73" s="12">
        <v>2329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5" t="e">
        <f t="shared" si="0"/>
        <v>#DIV/0!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 t="e">
        <f t="shared" si="1"/>
        <v>#DIV/0!</v>
      </c>
      <c r="AY73" s="11"/>
    </row>
    <row r="74" spans="1:51" ht="17.25" customHeight="1" x14ac:dyDescent="0.2">
      <c r="A74" s="12" t="s">
        <v>90</v>
      </c>
      <c r="B74" s="12" t="s">
        <v>64</v>
      </c>
      <c r="C74" s="12">
        <v>2330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5" t="e">
        <f t="shared" si="0"/>
        <v>#DIV/0!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 t="e">
        <f t="shared" si="1"/>
        <v>#DIV/0!</v>
      </c>
      <c r="AY74" s="11"/>
    </row>
    <row r="75" spans="1:51" ht="15.75" customHeight="1" x14ac:dyDescent="0.2">
      <c r="A75" s="12" t="s">
        <v>90</v>
      </c>
      <c r="B75" s="12" t="s">
        <v>58</v>
      </c>
      <c r="C75" s="12">
        <v>2331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0.56000000000000005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15">
        <f t="shared" si="0"/>
        <v>0.49666666666666665</v>
      </c>
      <c r="AA75" s="15">
        <v>2.5099999999999998</v>
      </c>
      <c r="AB75" s="15">
        <v>0.14000000000000001</v>
      </c>
      <c r="AC75" s="15">
        <v>8.2000000000000003E-2</v>
      </c>
      <c r="AD75" s="15">
        <v>2.2999999999999998</v>
      </c>
      <c r="AE75" s="15">
        <v>0.127</v>
      </c>
      <c r="AF75" s="15">
        <v>7.5999999999999998E-2</v>
      </c>
      <c r="AG75" s="15">
        <v>2.7</v>
      </c>
      <c r="AH75" s="15">
        <v>0.16800000000000001</v>
      </c>
      <c r="AI75" s="15">
        <v>0.1</v>
      </c>
      <c r="AJ75" s="15">
        <v>2.83</v>
      </c>
      <c r="AK75" s="15">
        <v>0.16600000000000001</v>
      </c>
      <c r="AL75" s="15">
        <v>9.6000000000000002E-2</v>
      </c>
      <c r="AM75" s="15">
        <v>2.72</v>
      </c>
      <c r="AN75" s="15">
        <v>0.113</v>
      </c>
      <c r="AO75" s="15">
        <v>6.4000000000000001E-2</v>
      </c>
      <c r="AP75" s="9"/>
      <c r="AQ75" s="9"/>
      <c r="AR75" s="9"/>
      <c r="AS75" s="9"/>
      <c r="AT75" s="9"/>
      <c r="AU75" s="9"/>
      <c r="AV75" s="9"/>
      <c r="AW75" s="9"/>
      <c r="AX75" s="9">
        <f t="shared" si="1"/>
        <v>2.6120000000000001</v>
      </c>
      <c r="AY75" s="11"/>
    </row>
    <row r="76" spans="1:51" ht="15.75" customHeight="1" x14ac:dyDescent="0.2">
      <c r="A76" s="12" t="s">
        <v>90</v>
      </c>
      <c r="B76" s="12" t="s">
        <v>64</v>
      </c>
      <c r="C76" s="12">
        <v>2332</v>
      </c>
      <c r="D76" s="32">
        <v>0.7</v>
      </c>
      <c r="E76" s="32">
        <v>0.4</v>
      </c>
      <c r="F76" s="12" t="s">
        <v>96</v>
      </c>
      <c r="G76" s="14">
        <v>1</v>
      </c>
      <c r="H76" s="15">
        <v>1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5" t="e">
        <f t="shared" si="0"/>
        <v>#DIV/0!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 t="e">
        <f t="shared" si="1"/>
        <v>#DIV/0!</v>
      </c>
      <c r="AY76" s="11"/>
    </row>
    <row r="77" spans="1:51" ht="15.75" customHeight="1" x14ac:dyDescent="0.2">
      <c r="A77" s="12" t="s">
        <v>90</v>
      </c>
      <c r="B77" s="12" t="s">
        <v>64</v>
      </c>
      <c r="C77" s="12">
        <v>2333</v>
      </c>
      <c r="D77" s="32">
        <v>0.7</v>
      </c>
      <c r="E77" s="32">
        <v>0.6</v>
      </c>
      <c r="G77" s="14">
        <v>1</v>
      </c>
      <c r="H77" s="15">
        <v>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5" t="e">
        <f t="shared" si="0"/>
        <v>#DIV/0!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 t="e">
        <f t="shared" si="1"/>
        <v>#DIV/0!</v>
      </c>
      <c r="AY77" s="11"/>
    </row>
    <row r="78" spans="1:51" ht="15.75" customHeight="1" x14ac:dyDescent="0.2">
      <c r="A78" s="2" t="s">
        <v>90</v>
      </c>
      <c r="B78" s="3" t="s">
        <v>64</v>
      </c>
      <c r="C78" s="12">
        <v>2334</v>
      </c>
      <c r="D78" s="32">
        <v>0.5</v>
      </c>
      <c r="E78" s="32">
        <v>0.5</v>
      </c>
      <c r="F78" s="9" t="s">
        <v>97</v>
      </c>
      <c r="G78" s="14">
        <v>1</v>
      </c>
      <c r="H78" s="15">
        <v>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5" t="e">
        <f t="shared" si="0"/>
        <v>#DIV/0!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 t="e">
        <f t="shared" si="1"/>
        <v>#DIV/0!</v>
      </c>
      <c r="AY78" s="11"/>
    </row>
    <row r="79" spans="1:51" ht="15.75" customHeight="1" x14ac:dyDescent="0.2">
      <c r="A79" s="12" t="s">
        <v>90</v>
      </c>
      <c r="B79" s="12" t="s">
        <v>64</v>
      </c>
      <c r="C79" s="12">
        <v>2336</v>
      </c>
      <c r="D79" s="32">
        <v>0.5</v>
      </c>
      <c r="E79" s="32">
        <v>0.5</v>
      </c>
      <c r="F79" s="9" t="s">
        <v>98</v>
      </c>
      <c r="G79" s="14">
        <v>0</v>
      </c>
      <c r="H79" s="15">
        <v>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5" t="e">
        <f t="shared" si="0"/>
        <v>#DIV/0!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 t="e">
        <f t="shared" si="1"/>
        <v>#DIV/0!</v>
      </c>
      <c r="AY79" s="11"/>
    </row>
    <row r="80" spans="1:51" ht="15.75" customHeight="1" x14ac:dyDescent="0.2">
      <c r="A80" s="12" t="s">
        <v>90</v>
      </c>
      <c r="B80" s="12" t="s">
        <v>64</v>
      </c>
      <c r="C80" s="12">
        <v>2335</v>
      </c>
      <c r="D80" s="32">
        <v>0.4</v>
      </c>
      <c r="E80" s="32">
        <v>0.5</v>
      </c>
      <c r="F80" s="9" t="s">
        <v>99</v>
      </c>
      <c r="G80" s="14">
        <v>1</v>
      </c>
      <c r="H80" s="15">
        <v>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5" t="e">
        <f t="shared" si="0"/>
        <v>#DIV/0!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 t="e">
        <f t="shared" si="1"/>
        <v>#DIV/0!</v>
      </c>
      <c r="AY80" s="11"/>
    </row>
    <row r="81" spans="1:51" ht="15.75" customHeight="1" x14ac:dyDescent="0.2">
      <c r="A81" s="38" t="s">
        <v>100</v>
      </c>
      <c r="B81" s="38" t="s">
        <v>64</v>
      </c>
      <c r="C81" s="38">
        <v>2374</v>
      </c>
      <c r="D81" s="32"/>
      <c r="E81" s="32"/>
      <c r="F81" s="12"/>
      <c r="G81" s="14">
        <v>2</v>
      </c>
      <c r="H81" s="15">
        <v>2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5" t="e">
        <f t="shared" si="0"/>
        <v>#DIV/0!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 t="e">
        <f t="shared" si="1"/>
        <v>#DIV/0!</v>
      </c>
      <c r="AY81" s="11"/>
    </row>
    <row r="82" spans="1:51" ht="15.75" customHeight="1" x14ac:dyDescent="0.2">
      <c r="A82" s="12" t="s">
        <v>101</v>
      </c>
      <c r="B82" s="12" t="s">
        <v>58</v>
      </c>
      <c r="C82" s="34">
        <v>2301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1.1200000000000001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Y82" s="9"/>
      <c r="Z82" s="15">
        <f t="shared" si="0"/>
        <v>0.97499999999999998</v>
      </c>
      <c r="AA82" s="15">
        <v>1.7</v>
      </c>
      <c r="AB82" s="15">
        <v>0.29199999999999998</v>
      </c>
      <c r="AC82" s="15">
        <v>0.17299999999999999</v>
      </c>
      <c r="AD82" s="15">
        <v>1.42</v>
      </c>
      <c r="AE82" s="15">
        <v>0.32700000000000001</v>
      </c>
      <c r="AF82" s="15">
        <v>0.185</v>
      </c>
      <c r="AG82" s="15">
        <v>1.7</v>
      </c>
      <c r="AH82" s="15">
        <v>0.38</v>
      </c>
      <c r="AI82" s="15">
        <v>0.22700000000000001</v>
      </c>
      <c r="AJ82" s="15">
        <v>2.25</v>
      </c>
      <c r="AK82" s="15">
        <v>0.28899999999999998</v>
      </c>
      <c r="AL82" s="15">
        <v>0.16400000000000001</v>
      </c>
      <c r="AM82" s="15">
        <v>1.96</v>
      </c>
      <c r="AN82" s="15">
        <v>0.29399999999999998</v>
      </c>
      <c r="AO82" s="15">
        <v>0.16800000000000001</v>
      </c>
      <c r="AP82" s="9"/>
      <c r="AQ82" s="9"/>
      <c r="AR82" s="9"/>
      <c r="AS82" s="9"/>
      <c r="AT82" s="9"/>
      <c r="AU82" s="9"/>
      <c r="AV82" s="9"/>
      <c r="AW82" s="9"/>
      <c r="AX82" s="9">
        <f t="shared" si="1"/>
        <v>1.8060000000000003</v>
      </c>
      <c r="AY82" s="11"/>
    </row>
    <row r="83" spans="1:51" ht="15.75" customHeight="1" x14ac:dyDescent="0.2">
      <c r="A83" s="12" t="s">
        <v>101</v>
      </c>
      <c r="B83" s="12" t="s">
        <v>64</v>
      </c>
      <c r="C83" s="12">
        <v>2302</v>
      </c>
      <c r="D83" s="32">
        <v>0.4</v>
      </c>
      <c r="E83" s="32">
        <v>0.5</v>
      </c>
      <c r="G83" s="14">
        <v>0</v>
      </c>
      <c r="H83" s="15">
        <v>1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5" t="e">
        <f t="shared" si="0"/>
        <v>#DIV/0!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 t="e">
        <f t="shared" si="1"/>
        <v>#DIV/0!</v>
      </c>
      <c r="AY83" s="11"/>
    </row>
    <row r="84" spans="1:51" ht="15.75" customHeight="1" x14ac:dyDescent="0.2">
      <c r="A84" s="12" t="s">
        <v>101</v>
      </c>
      <c r="B84" s="12" t="s">
        <v>64</v>
      </c>
      <c r="C84" s="12">
        <v>2303</v>
      </c>
      <c r="D84" s="32">
        <v>0.7</v>
      </c>
      <c r="E84" s="32">
        <v>0.6</v>
      </c>
      <c r="G84" s="14">
        <v>0</v>
      </c>
      <c r="H84" s="15">
        <v>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5" t="e">
        <f t="shared" si="0"/>
        <v>#DIV/0!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 t="e">
        <f t="shared" si="1"/>
        <v>#DIV/0!</v>
      </c>
      <c r="AY84" s="11"/>
    </row>
    <row r="85" spans="1:51" ht="17.25" customHeight="1" x14ac:dyDescent="0.2">
      <c r="A85" s="12" t="s">
        <v>101</v>
      </c>
      <c r="B85" s="12" t="s">
        <v>64</v>
      </c>
      <c r="C85" s="12">
        <v>2304</v>
      </c>
      <c r="D85" s="32">
        <v>0.4</v>
      </c>
      <c r="E85" s="32">
        <v>0.4</v>
      </c>
      <c r="G85" s="14">
        <v>0</v>
      </c>
      <c r="H85" s="15">
        <v>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5" t="e">
        <f t="shared" si="0"/>
        <v>#DIV/0!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 t="e">
        <f t="shared" si="1"/>
        <v>#DIV/0!</v>
      </c>
      <c r="AY85" s="11"/>
    </row>
    <row r="86" spans="1:51" ht="17.25" customHeight="1" x14ac:dyDescent="0.2">
      <c r="A86" s="12" t="s">
        <v>101</v>
      </c>
      <c r="B86" s="12" t="s">
        <v>64</v>
      </c>
      <c r="C86" s="12">
        <v>2305</v>
      </c>
      <c r="D86" s="32">
        <v>0.5</v>
      </c>
      <c r="E86" s="32">
        <v>0.4</v>
      </c>
      <c r="F86" s="9" t="s">
        <v>103</v>
      </c>
      <c r="G86" s="14">
        <v>0</v>
      </c>
      <c r="H86" s="15">
        <v>1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5" t="e">
        <f t="shared" si="0"/>
        <v>#DIV/0!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e">
        <f t="shared" si="1"/>
        <v>#DIV/0!</v>
      </c>
      <c r="AY86" s="11"/>
    </row>
    <row r="87" spans="1:51" ht="17.25" customHeight="1" x14ac:dyDescent="0.2">
      <c r="A87" s="12" t="s">
        <v>101</v>
      </c>
      <c r="B87" s="12" t="s">
        <v>64</v>
      </c>
      <c r="C87" s="12">
        <v>2306</v>
      </c>
      <c r="D87" s="32">
        <v>0.5</v>
      </c>
      <c r="E87" s="32">
        <v>0.4</v>
      </c>
      <c r="F87" s="12" t="s">
        <v>104</v>
      </c>
      <c r="G87" s="14">
        <v>1</v>
      </c>
      <c r="H87" s="15">
        <v>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5" t="e">
        <f t="shared" si="0"/>
        <v>#DIV/0!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 t="e">
        <f t="shared" si="1"/>
        <v>#DIV/0!</v>
      </c>
      <c r="AY87" s="11"/>
    </row>
    <row r="88" spans="1:51" ht="17.25" customHeight="1" x14ac:dyDescent="0.2">
      <c r="A88" s="12" t="s">
        <v>101</v>
      </c>
      <c r="B88" s="12" t="s">
        <v>64</v>
      </c>
      <c r="C88" s="12">
        <v>2307</v>
      </c>
      <c r="D88" s="32">
        <v>0.6</v>
      </c>
      <c r="E88" s="32">
        <v>0.5</v>
      </c>
      <c r="G88" s="14">
        <v>0</v>
      </c>
      <c r="H88" s="15">
        <v>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5" t="e">
        <f t="shared" si="0"/>
        <v>#DIV/0!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 t="e">
        <f t="shared" si="1"/>
        <v>#DIV/0!</v>
      </c>
      <c r="AY88" s="11"/>
    </row>
    <row r="89" spans="1:51" ht="17.25" customHeight="1" x14ac:dyDescent="0.2">
      <c r="A89" s="12" t="s">
        <v>101</v>
      </c>
      <c r="B89" s="12" t="s">
        <v>64</v>
      </c>
      <c r="C89" s="12">
        <v>2308</v>
      </c>
      <c r="D89" s="32">
        <v>0.7</v>
      </c>
      <c r="E89" s="32">
        <v>0.7</v>
      </c>
      <c r="G89" s="14">
        <v>3</v>
      </c>
      <c r="H89" s="15">
        <v>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5" t="e">
        <f t="shared" si="0"/>
        <v>#DIV/0!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 t="e">
        <f t="shared" si="1"/>
        <v>#DIV/0!</v>
      </c>
      <c r="AY89" s="11"/>
    </row>
    <row r="90" spans="1:51" ht="17.25" customHeight="1" x14ac:dyDescent="0.2">
      <c r="A90" s="12" t="s">
        <v>101</v>
      </c>
      <c r="B90" s="12" t="s">
        <v>64</v>
      </c>
      <c r="C90" s="12">
        <v>2309</v>
      </c>
      <c r="D90" s="32">
        <v>0.7</v>
      </c>
      <c r="E90" s="32">
        <v>0.5</v>
      </c>
      <c r="G90" s="14">
        <v>0</v>
      </c>
      <c r="H90" s="15">
        <v>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Y90" s="9"/>
      <c r="Z90" s="15">
        <f t="shared" si="0"/>
        <v>1.548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 t="e">
        <f t="shared" si="1"/>
        <v>#DIV/0!</v>
      </c>
      <c r="AY90" s="16" t="s">
        <v>105</v>
      </c>
    </row>
    <row r="91" spans="1:51" ht="15.75" customHeight="1" x14ac:dyDescent="0.2">
      <c r="A91" s="53" t="s">
        <v>106</v>
      </c>
      <c r="B91" s="54" t="s">
        <v>64</v>
      </c>
      <c r="C91" s="55">
        <v>2370</v>
      </c>
      <c r="D91" s="32"/>
      <c r="E91" s="32"/>
      <c r="G91" s="14">
        <v>1</v>
      </c>
      <c r="H91" s="15">
        <v>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5" t="e">
        <f t="shared" si="0"/>
        <v>#DIV/0!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 t="e">
        <f t="shared" si="1"/>
        <v>#DIV/0!</v>
      </c>
      <c r="AY91" s="16" t="s">
        <v>105</v>
      </c>
    </row>
    <row r="92" spans="1:51" ht="15.75" customHeight="1" x14ac:dyDescent="0.2">
      <c r="A92" s="53" t="s">
        <v>107</v>
      </c>
      <c r="B92" s="54" t="s">
        <v>64</v>
      </c>
      <c r="C92" s="55">
        <v>2371</v>
      </c>
      <c r="D92" s="32"/>
      <c r="E92" s="32"/>
      <c r="G92" s="14">
        <v>0</v>
      </c>
      <c r="H92" s="15">
        <v>0</v>
      </c>
      <c r="I92" s="15">
        <v>1.26</v>
      </c>
      <c r="J92" s="15"/>
      <c r="K92" s="15"/>
      <c r="L92" s="15">
        <v>2.2000000000000002</v>
      </c>
      <c r="M92" s="15"/>
      <c r="N92" s="15"/>
      <c r="O92" s="15">
        <v>1.89</v>
      </c>
      <c r="P92" s="15"/>
      <c r="Q92" s="15"/>
      <c r="R92" s="15">
        <v>1.0900000000000001</v>
      </c>
      <c r="S92" s="15"/>
      <c r="T92" s="15"/>
      <c r="U92" s="15">
        <v>1.77</v>
      </c>
      <c r="V92" s="9"/>
      <c r="W92" s="9"/>
      <c r="X92" s="9"/>
      <c r="Y92" s="9"/>
      <c r="Z92" s="15">
        <f t="shared" si="0"/>
        <v>1.6419999999999999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 t="e">
        <f t="shared" si="1"/>
        <v>#DIV/0!</v>
      </c>
      <c r="AY92" s="16" t="s">
        <v>105</v>
      </c>
    </row>
    <row r="93" spans="1:51" ht="15.75" customHeight="1" x14ac:dyDescent="0.2">
      <c r="A93" s="53" t="s">
        <v>108</v>
      </c>
      <c r="B93" s="54" t="s">
        <v>64</v>
      </c>
      <c r="C93" s="55">
        <v>2372</v>
      </c>
      <c r="D93" s="32"/>
      <c r="E93" s="32"/>
      <c r="G93" s="14">
        <v>1</v>
      </c>
      <c r="H93" s="15">
        <v>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Y93" s="9"/>
      <c r="Z93" s="15">
        <f t="shared" si="0"/>
        <v>1.302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 t="e">
        <f t="shared" si="1"/>
        <v>#DIV/0!</v>
      </c>
      <c r="AY93" s="16" t="s">
        <v>109</v>
      </c>
    </row>
    <row r="94" spans="1:51" ht="15.75" customHeight="1" x14ac:dyDescent="0.2">
      <c r="A94" s="53" t="s">
        <v>110</v>
      </c>
      <c r="B94" s="54" t="s">
        <v>64</v>
      </c>
      <c r="C94" s="55">
        <v>2373</v>
      </c>
      <c r="D94" s="32"/>
      <c r="E94" s="32"/>
      <c r="G94" s="14">
        <v>0</v>
      </c>
      <c r="H94" s="15">
        <v>1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</v>
      </c>
      <c r="Y94" s="9"/>
      <c r="Z94" s="15">
        <f t="shared" si="0"/>
        <v>1.3099999999999998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 t="e">
        <f t="shared" si="1"/>
        <v>#DIV/0!</v>
      </c>
      <c r="AY94" s="16" t="s">
        <v>111</v>
      </c>
    </row>
    <row r="95" spans="1:51" ht="15.75" customHeight="1" x14ac:dyDescent="0.2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5" t="e">
        <f t="shared" si="0"/>
        <v>#DIV/0!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 t="e">
        <f t="shared" si="1"/>
        <v>#DIV/0!</v>
      </c>
      <c r="AY95" s="11"/>
    </row>
    <row r="96" spans="1:51" ht="15.75" customHeight="1" x14ac:dyDescent="0.2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5" t="e">
        <f t="shared" si="0"/>
        <v>#DIV/0!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 t="e">
        <f t="shared" si="1"/>
        <v>#DIV/0!</v>
      </c>
      <c r="AY96" s="11"/>
    </row>
    <row r="97" spans="1:51" ht="15.75" customHeight="1" x14ac:dyDescent="0.2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5" t="e">
        <f t="shared" si="0"/>
        <v>#DIV/0!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 t="e">
        <f t="shared" si="1"/>
        <v>#DIV/0!</v>
      </c>
      <c r="AY97" s="11"/>
    </row>
    <row r="98" spans="1:51" ht="15.75" customHeight="1" x14ac:dyDescent="0.2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5" t="e">
        <f t="shared" si="0"/>
        <v>#DIV/0!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 t="e">
        <f t="shared" si="1"/>
        <v>#DIV/0!</v>
      </c>
      <c r="AY98" s="11"/>
    </row>
    <row r="99" spans="1:51" ht="15.75" customHeight="1" x14ac:dyDescent="0.2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5" t="e">
        <f t="shared" si="0"/>
        <v>#DIV/0!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 t="e">
        <f t="shared" si="1"/>
        <v>#DIV/0!</v>
      </c>
      <c r="AY99" s="11"/>
    </row>
    <row r="100" spans="1:51" ht="15.75" customHeight="1" x14ac:dyDescent="0.2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5" t="e">
        <f t="shared" si="0"/>
        <v>#DIV/0!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 t="e">
        <f t="shared" si="1"/>
        <v>#DIV/0!</v>
      </c>
      <c r="AY100" s="11"/>
    </row>
    <row r="101" spans="1:51" ht="15.75" customHeight="1" x14ac:dyDescent="0.2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5" t="e">
        <f t="shared" si="0"/>
        <v>#DIV/0!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 t="e">
        <f t="shared" si="1"/>
        <v>#DIV/0!</v>
      </c>
      <c r="AY101" s="11"/>
    </row>
    <row r="102" spans="1:51" ht="15.75" customHeight="1" x14ac:dyDescent="0.2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5" t="e">
        <f t="shared" si="0"/>
        <v>#DIV/0!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 t="e">
        <f t="shared" si="1"/>
        <v>#DIV/0!</v>
      </c>
      <c r="AY102" s="11"/>
    </row>
    <row r="103" spans="1:51" ht="15.75" customHeight="1" x14ac:dyDescent="0.2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5" t="e">
        <f t="shared" si="0"/>
        <v>#DIV/0!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 t="e">
        <f t="shared" si="1"/>
        <v>#DIV/0!</v>
      </c>
      <c r="AY103" s="11"/>
    </row>
    <row r="104" spans="1:51" ht="15.75" customHeight="1" x14ac:dyDescent="0.2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5" t="e">
        <f t="shared" si="0"/>
        <v>#DIV/0!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 t="e">
        <f t="shared" si="1"/>
        <v>#DIV/0!</v>
      </c>
      <c r="AY104" s="11"/>
    </row>
    <row r="105" spans="1:51" ht="15.75" customHeight="1" x14ac:dyDescent="0.2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5" t="e">
        <f t="shared" si="0"/>
        <v>#DIV/0!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 t="e">
        <f t="shared" si="1"/>
        <v>#DIV/0!</v>
      </c>
      <c r="AY105" s="11"/>
    </row>
    <row r="106" spans="1:51" ht="15.75" customHeight="1" x14ac:dyDescent="0.2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5" t="e">
        <f t="shared" si="0"/>
        <v>#DIV/0!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 t="e">
        <f t="shared" si="1"/>
        <v>#DIV/0!</v>
      </c>
      <c r="AY106" s="11"/>
    </row>
    <row r="107" spans="1:51" ht="15.75" customHeight="1" x14ac:dyDescent="0.2">
      <c r="A107" s="2" t="s">
        <v>117</v>
      </c>
      <c r="B107" s="3" t="s">
        <v>64</v>
      </c>
      <c r="C107" s="58">
        <v>2381</v>
      </c>
      <c r="D107" s="32"/>
      <c r="E107" s="32"/>
      <c r="F107" s="33" t="s">
        <v>118</v>
      </c>
      <c r="G107" s="14">
        <v>0</v>
      </c>
      <c r="H107" s="15">
        <v>3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5" t="e">
        <f t="shared" si="0"/>
        <v>#DIV/0!</v>
      </c>
      <c r="AA107" s="9"/>
      <c r="AB107" s="9"/>
      <c r="AC107" s="15">
        <v>8.3000000000000004E-2</v>
      </c>
      <c r="AD107" s="9"/>
      <c r="AE107" s="9"/>
      <c r="AF107" s="15">
        <v>4.3999999999999997E-2</v>
      </c>
      <c r="AG107" s="9"/>
      <c r="AH107" s="9"/>
      <c r="AI107" s="15">
        <v>3.6999999999999998E-2</v>
      </c>
      <c r="AJ107" s="9"/>
      <c r="AK107" s="9"/>
      <c r="AL107" s="15">
        <v>0.16300000000000001</v>
      </c>
      <c r="AM107" s="9"/>
      <c r="AN107" s="9"/>
      <c r="AO107" s="15">
        <v>4.2000000000000003E-2</v>
      </c>
      <c r="AP107" s="9"/>
      <c r="AQ107" s="9"/>
      <c r="AR107" s="15">
        <v>4.2999999999999997E-2</v>
      </c>
      <c r="AS107" s="9"/>
      <c r="AT107" s="9"/>
      <c r="AU107" s="15">
        <v>0.108</v>
      </c>
      <c r="AV107" s="15">
        <v>0.44800000000000001</v>
      </c>
      <c r="AW107" s="15">
        <v>0.14499999999999999</v>
      </c>
      <c r="AX107" s="9" t="e">
        <f t="shared" si="1"/>
        <v>#DIV/0!</v>
      </c>
      <c r="AY107" s="16" t="s">
        <v>119</v>
      </c>
    </row>
    <row r="108" spans="1:51" ht="15.75" customHeight="1" x14ac:dyDescent="0.2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 t="e">
        <f t="shared" si="0"/>
        <v>#DIV/0!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 t="e">
        <f t="shared" si="1"/>
        <v>#DIV/0!</v>
      </c>
      <c r="AY108" s="11"/>
    </row>
    <row r="109" spans="1:51" ht="15.75" customHeight="1" x14ac:dyDescent="0.2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 t="e">
        <f t="shared" si="0"/>
        <v>#DIV/0!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 t="e">
        <f t="shared" si="1"/>
        <v>#DIV/0!</v>
      </c>
      <c r="AY109" s="11"/>
    </row>
    <row r="110" spans="1:51" ht="15.75" customHeight="1" x14ac:dyDescent="0.2">
      <c r="A110" s="2" t="s">
        <v>117</v>
      </c>
      <c r="B110" s="3" t="s">
        <v>64</v>
      </c>
      <c r="C110" s="58">
        <v>2382</v>
      </c>
      <c r="D110" s="32"/>
      <c r="E110" s="32"/>
      <c r="F110" s="33" t="s">
        <v>122</v>
      </c>
      <c r="G110" s="14">
        <v>0</v>
      </c>
      <c r="H110" s="15">
        <v>6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5" t="e">
        <f t="shared" si="0"/>
        <v>#DIV/0!</v>
      </c>
      <c r="AA110" s="9"/>
      <c r="AB110" s="9"/>
      <c r="AC110" s="15">
        <v>5.8999999999999997E-2</v>
      </c>
      <c r="AD110" s="9"/>
      <c r="AE110" s="9"/>
      <c r="AF110" s="15">
        <v>4.3999999999999997E-2</v>
      </c>
      <c r="AG110" s="9"/>
      <c r="AH110" s="9"/>
      <c r="AI110" s="15">
        <v>7.4999999999999997E-2</v>
      </c>
      <c r="AJ110" s="9"/>
      <c r="AK110" s="9"/>
      <c r="AL110" s="15">
        <v>5.3999999999999999E-2</v>
      </c>
      <c r="AM110" s="9"/>
      <c r="AN110" s="9"/>
      <c r="AO110" s="9"/>
      <c r="AP110" s="9"/>
      <c r="AQ110" s="9"/>
      <c r="AR110" s="9"/>
      <c r="AS110" s="9"/>
      <c r="AT110" s="9"/>
      <c r="AU110" s="15">
        <v>1.03</v>
      </c>
      <c r="AV110" s="15">
        <v>0.30499999999999999</v>
      </c>
      <c r="AW110" s="9"/>
      <c r="AX110" s="9" t="e">
        <f t="shared" si="1"/>
        <v>#DIV/0!</v>
      </c>
      <c r="AY110" s="16" t="s">
        <v>123</v>
      </c>
    </row>
    <row r="111" spans="1:51" ht="15.75" customHeight="1" x14ac:dyDescent="0.2">
      <c r="A111" s="57" t="s">
        <v>125</v>
      </c>
      <c r="B111" s="54" t="s">
        <v>64</v>
      </c>
      <c r="C111" s="60">
        <v>2383</v>
      </c>
      <c r="D111" s="3"/>
      <c r="E111" s="32"/>
      <c r="F111" s="32"/>
      <c r="G111" s="14">
        <v>0</v>
      </c>
      <c r="H111" s="15">
        <v>7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5" t="e">
        <f t="shared" si="0"/>
        <v>#DIV/0!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 t="e">
        <f t="shared" si="1"/>
        <v>#DIV/0!</v>
      </c>
      <c r="AY111" s="11"/>
    </row>
    <row r="112" spans="1:51" ht="15.75" customHeight="1" x14ac:dyDescent="0.2">
      <c r="A112" s="57" t="s">
        <v>126</v>
      </c>
      <c r="B112" s="54" t="s">
        <v>64</v>
      </c>
      <c r="C112" s="57">
        <v>2384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5" t="e">
        <f t="shared" si="0"/>
        <v>#DIV/0!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 t="e">
        <f t="shared" si="1"/>
        <v>#DIV/0!</v>
      </c>
      <c r="AY112" s="11"/>
    </row>
    <row r="113" spans="2:51" ht="15.75" customHeight="1" x14ac:dyDescent="0.2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1"/>
    </row>
    <row r="114" spans="2:51" ht="15.75" customHeight="1" x14ac:dyDescent="0.2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11"/>
    </row>
    <row r="115" spans="2:51" ht="15.75" customHeight="1" x14ac:dyDescent="0.2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11"/>
    </row>
    <row r="116" spans="2:51" ht="15.75" customHeight="1" x14ac:dyDescent="0.2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11"/>
    </row>
    <row r="117" spans="2:51" ht="15.75" customHeight="1" x14ac:dyDescent="0.2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11"/>
    </row>
    <row r="118" spans="2:51" ht="15.75" customHeight="1" x14ac:dyDescent="0.2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11"/>
    </row>
    <row r="119" spans="2:51" ht="15.75" customHeight="1" x14ac:dyDescent="0.2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11"/>
    </row>
    <row r="120" spans="2:51" ht="15.75" customHeight="1" x14ac:dyDescent="0.2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11"/>
    </row>
    <row r="121" spans="2:51" ht="15.75" customHeight="1" x14ac:dyDescent="0.2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11"/>
    </row>
    <row r="122" spans="2:51" ht="15.75" customHeight="1" x14ac:dyDescent="0.2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11"/>
    </row>
    <row r="123" spans="2:51" ht="15.75" customHeight="1" x14ac:dyDescent="0.2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11"/>
    </row>
    <row r="124" spans="2:51" ht="15.75" customHeight="1" x14ac:dyDescent="0.2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1"/>
    </row>
    <row r="125" spans="2:51" ht="15.75" customHeight="1" x14ac:dyDescent="0.2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11"/>
    </row>
    <row r="126" spans="2:51" ht="15.75" customHeight="1" x14ac:dyDescent="0.2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11"/>
    </row>
    <row r="127" spans="2:51" ht="15.75" customHeight="1" x14ac:dyDescent="0.2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11"/>
    </row>
    <row r="128" spans="2:51" ht="15.75" customHeight="1" x14ac:dyDescent="0.2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11"/>
    </row>
    <row r="129" spans="2:51" ht="15.75" customHeight="1" x14ac:dyDescent="0.2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11"/>
    </row>
    <row r="130" spans="2:51" ht="15.75" customHeight="1" x14ac:dyDescent="0.2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11"/>
    </row>
    <row r="131" spans="2:51" ht="15.75" customHeight="1" x14ac:dyDescent="0.2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11"/>
    </row>
    <row r="132" spans="2:51" ht="15.75" customHeight="1" x14ac:dyDescent="0.2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11"/>
    </row>
    <row r="133" spans="2:51" ht="15.75" customHeight="1" x14ac:dyDescent="0.2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1"/>
    </row>
    <row r="134" spans="2:51" ht="15.75" customHeight="1" x14ac:dyDescent="0.2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1"/>
    </row>
    <row r="135" spans="2:51" ht="15.75" customHeight="1" x14ac:dyDescent="0.2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1"/>
    </row>
    <row r="136" spans="2:51" ht="15.75" customHeight="1" x14ac:dyDescent="0.2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1"/>
    </row>
    <row r="137" spans="2:51" ht="15.75" customHeight="1" x14ac:dyDescent="0.2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1"/>
    </row>
    <row r="138" spans="2:51" ht="15.75" customHeight="1" x14ac:dyDescent="0.2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1"/>
    </row>
    <row r="139" spans="2:51" ht="15.75" customHeight="1" x14ac:dyDescent="0.2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1"/>
    </row>
    <row r="140" spans="2:51" ht="15.75" customHeight="1" x14ac:dyDescent="0.2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1"/>
    </row>
    <row r="141" spans="2:51" ht="15.75" customHeight="1" x14ac:dyDescent="0.2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1"/>
    </row>
    <row r="142" spans="2:51" ht="15.75" customHeight="1" x14ac:dyDescent="0.2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1"/>
    </row>
    <row r="143" spans="2:51" ht="15.75" customHeight="1" x14ac:dyDescent="0.2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1"/>
    </row>
    <row r="144" spans="2:51" ht="15.75" customHeight="1" x14ac:dyDescent="0.2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1"/>
    </row>
    <row r="145" spans="2:51" ht="15.75" customHeight="1" x14ac:dyDescent="0.2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11"/>
    </row>
    <row r="146" spans="2:51" ht="15.75" customHeight="1" x14ac:dyDescent="0.2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11"/>
    </row>
    <row r="147" spans="2:51" ht="15.75" customHeight="1" x14ac:dyDescent="0.2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11"/>
    </row>
    <row r="148" spans="2:51" ht="15.75" customHeight="1" x14ac:dyDescent="0.2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1"/>
    </row>
    <row r="149" spans="2:51" ht="15.75" customHeight="1" x14ac:dyDescent="0.2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11"/>
    </row>
    <row r="150" spans="2:51" ht="15.75" customHeight="1" x14ac:dyDescent="0.2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11"/>
    </row>
    <row r="151" spans="2:51" ht="15.75" customHeight="1" x14ac:dyDescent="0.2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11"/>
    </row>
    <row r="152" spans="2:51" ht="15.75" customHeight="1" x14ac:dyDescent="0.2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11"/>
    </row>
    <row r="153" spans="2:51" ht="15.75" customHeight="1" x14ac:dyDescent="0.2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11"/>
    </row>
    <row r="154" spans="2:51" ht="15.75" customHeight="1" x14ac:dyDescent="0.2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11"/>
    </row>
    <row r="155" spans="2:51" ht="15.75" customHeight="1" x14ac:dyDescent="0.2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11"/>
    </row>
    <row r="156" spans="2:51" ht="15.75" customHeight="1" x14ac:dyDescent="0.2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11"/>
    </row>
    <row r="157" spans="2:51" ht="15.75" customHeight="1" x14ac:dyDescent="0.2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11"/>
    </row>
    <row r="158" spans="2:51" ht="15.75" customHeight="1" x14ac:dyDescent="0.2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11"/>
    </row>
    <row r="159" spans="2:51" ht="15.75" customHeight="1" x14ac:dyDescent="0.2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11"/>
    </row>
    <row r="160" spans="2:51" ht="15.75" customHeight="1" x14ac:dyDescent="0.2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1"/>
    </row>
    <row r="161" spans="2:51" ht="15.75" customHeight="1" x14ac:dyDescent="0.2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11"/>
    </row>
    <row r="162" spans="2:51" ht="15.75" customHeight="1" x14ac:dyDescent="0.2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11"/>
    </row>
    <row r="163" spans="2:51" ht="15.75" customHeight="1" x14ac:dyDescent="0.2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11"/>
    </row>
    <row r="164" spans="2:51" ht="15.75" customHeight="1" x14ac:dyDescent="0.2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11"/>
    </row>
    <row r="165" spans="2:51" ht="15.75" customHeight="1" x14ac:dyDescent="0.2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11"/>
    </row>
    <row r="166" spans="2:51" ht="15.75" customHeight="1" x14ac:dyDescent="0.2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11"/>
    </row>
    <row r="167" spans="2:51" ht="15.75" customHeight="1" x14ac:dyDescent="0.2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11"/>
    </row>
    <row r="168" spans="2:51" ht="15.75" customHeight="1" x14ac:dyDescent="0.2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11"/>
    </row>
    <row r="169" spans="2:51" ht="15.75" customHeight="1" x14ac:dyDescent="0.2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11"/>
    </row>
    <row r="170" spans="2:51" ht="15.75" customHeight="1" x14ac:dyDescent="0.2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11"/>
    </row>
    <row r="171" spans="2:51" ht="15.75" customHeight="1" x14ac:dyDescent="0.2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11"/>
    </row>
    <row r="172" spans="2:51" ht="15.75" customHeight="1" x14ac:dyDescent="0.2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11"/>
    </row>
    <row r="173" spans="2:51" ht="15.75" customHeight="1" x14ac:dyDescent="0.2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11"/>
    </row>
    <row r="174" spans="2:51" ht="15.75" customHeight="1" x14ac:dyDescent="0.2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11"/>
    </row>
    <row r="175" spans="2:51" ht="15.75" customHeight="1" x14ac:dyDescent="0.2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11"/>
    </row>
    <row r="176" spans="2:51" ht="15.75" customHeight="1" x14ac:dyDescent="0.2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11"/>
    </row>
    <row r="177" spans="2:51" ht="15.75" customHeight="1" x14ac:dyDescent="0.2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11"/>
    </row>
    <row r="178" spans="2:51" ht="15.75" customHeight="1" x14ac:dyDescent="0.2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11"/>
    </row>
    <row r="179" spans="2:51" ht="15.75" customHeight="1" x14ac:dyDescent="0.2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11"/>
    </row>
    <row r="180" spans="2:51" ht="15.75" customHeight="1" x14ac:dyDescent="0.2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11"/>
    </row>
    <row r="181" spans="2:51" ht="15.75" customHeight="1" x14ac:dyDescent="0.2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11"/>
    </row>
    <row r="182" spans="2:51" ht="15.75" customHeight="1" x14ac:dyDescent="0.2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11"/>
    </row>
    <row r="183" spans="2:51" ht="15.75" customHeight="1" x14ac:dyDescent="0.2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11"/>
    </row>
    <row r="184" spans="2:51" ht="15.75" customHeight="1" x14ac:dyDescent="0.2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1"/>
    </row>
    <row r="185" spans="2:51" ht="15.75" customHeight="1" x14ac:dyDescent="0.2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1"/>
    </row>
    <row r="186" spans="2:51" ht="15.75" customHeight="1" x14ac:dyDescent="0.2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11"/>
    </row>
    <row r="187" spans="2:51" ht="15.75" customHeight="1" x14ac:dyDescent="0.2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11"/>
    </row>
    <row r="188" spans="2:51" ht="15.75" customHeight="1" x14ac:dyDescent="0.2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11"/>
    </row>
    <row r="189" spans="2:51" ht="15.75" customHeight="1" x14ac:dyDescent="0.2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11"/>
    </row>
    <row r="190" spans="2:51" ht="15.75" customHeight="1" x14ac:dyDescent="0.2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11"/>
    </row>
    <row r="191" spans="2:51" ht="15.75" customHeight="1" x14ac:dyDescent="0.2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11"/>
    </row>
    <row r="192" spans="2:51" ht="15.75" customHeight="1" x14ac:dyDescent="0.2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11"/>
    </row>
    <row r="193" spans="2:51" ht="15.75" customHeight="1" x14ac:dyDescent="0.2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11"/>
    </row>
    <row r="194" spans="2:51" ht="15.75" customHeight="1" x14ac:dyDescent="0.2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11"/>
    </row>
    <row r="195" spans="2:51" ht="15.75" customHeight="1" x14ac:dyDescent="0.2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11"/>
    </row>
    <row r="196" spans="2:51" ht="15.75" customHeight="1" x14ac:dyDescent="0.2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11"/>
    </row>
    <row r="197" spans="2:51" ht="15.75" customHeight="1" x14ac:dyDescent="0.2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11"/>
    </row>
    <row r="198" spans="2:51" ht="15.75" customHeight="1" x14ac:dyDescent="0.2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11"/>
    </row>
    <row r="199" spans="2:51" ht="15.75" customHeight="1" x14ac:dyDescent="0.2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11"/>
    </row>
    <row r="200" spans="2:51" ht="15.75" customHeight="1" x14ac:dyDescent="0.2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11"/>
    </row>
    <row r="201" spans="2:51" ht="15.75" customHeight="1" x14ac:dyDescent="0.2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11"/>
    </row>
    <row r="202" spans="2:51" ht="15.75" customHeight="1" x14ac:dyDescent="0.2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11"/>
    </row>
    <row r="203" spans="2:51" ht="15.75" customHeight="1" x14ac:dyDescent="0.2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11"/>
    </row>
    <row r="204" spans="2:51" ht="15.75" customHeight="1" x14ac:dyDescent="0.2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11"/>
    </row>
    <row r="205" spans="2:51" ht="15.75" customHeight="1" x14ac:dyDescent="0.2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11"/>
    </row>
    <row r="206" spans="2:51" ht="15.75" customHeight="1" x14ac:dyDescent="0.2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11"/>
    </row>
    <row r="207" spans="2:51" ht="15.75" customHeight="1" x14ac:dyDescent="0.2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11"/>
    </row>
    <row r="208" spans="2:51" ht="15.75" customHeight="1" x14ac:dyDescent="0.2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11"/>
    </row>
    <row r="209" spans="2:51" ht="15.75" customHeight="1" x14ac:dyDescent="0.2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11"/>
    </row>
    <row r="210" spans="2:51" ht="15.75" customHeight="1" x14ac:dyDescent="0.2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11"/>
    </row>
    <row r="211" spans="2:51" ht="15.75" customHeight="1" x14ac:dyDescent="0.2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11"/>
    </row>
    <row r="212" spans="2:51" ht="15.75" customHeight="1" x14ac:dyDescent="0.2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11"/>
    </row>
    <row r="213" spans="2:51" ht="15.75" customHeight="1" x14ac:dyDescent="0.2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11"/>
    </row>
    <row r="214" spans="2:51" ht="15.75" customHeight="1" x14ac:dyDescent="0.2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11"/>
    </row>
    <row r="215" spans="2:51" ht="15.75" customHeight="1" x14ac:dyDescent="0.2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11"/>
    </row>
    <row r="216" spans="2:51" ht="15.75" customHeight="1" x14ac:dyDescent="0.2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11"/>
    </row>
    <row r="217" spans="2:51" ht="15.75" customHeight="1" x14ac:dyDescent="0.2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11"/>
    </row>
    <row r="218" spans="2:51" ht="15.75" customHeight="1" x14ac:dyDescent="0.2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11"/>
    </row>
    <row r="219" spans="2:51" ht="15.75" customHeight="1" x14ac:dyDescent="0.2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11"/>
    </row>
    <row r="220" spans="2:51" ht="15.75" customHeight="1" x14ac:dyDescent="0.2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11"/>
    </row>
    <row r="221" spans="2:51" ht="15.75" customHeight="1" x14ac:dyDescent="0.2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11"/>
    </row>
    <row r="222" spans="2:51" ht="15.75" customHeight="1" x14ac:dyDescent="0.2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11"/>
    </row>
    <row r="223" spans="2:51" ht="15.75" customHeight="1" x14ac:dyDescent="0.2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11"/>
    </row>
    <row r="224" spans="2:51" ht="15.75" customHeight="1" x14ac:dyDescent="0.2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11"/>
    </row>
    <row r="225" spans="2:51" ht="15.75" customHeight="1" x14ac:dyDescent="0.2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11"/>
    </row>
    <row r="226" spans="2:51" ht="15.75" customHeight="1" x14ac:dyDescent="0.2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11"/>
    </row>
    <row r="227" spans="2:51" ht="15.75" customHeight="1" x14ac:dyDescent="0.2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11"/>
    </row>
    <row r="228" spans="2:51" ht="15.75" customHeight="1" x14ac:dyDescent="0.2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11"/>
    </row>
    <row r="229" spans="2:51" ht="15.75" customHeight="1" x14ac:dyDescent="0.2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11"/>
    </row>
    <row r="230" spans="2:51" ht="15.75" customHeight="1" x14ac:dyDescent="0.2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11"/>
    </row>
    <row r="231" spans="2:51" ht="15.75" customHeight="1" x14ac:dyDescent="0.2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11"/>
    </row>
    <row r="232" spans="2:51" ht="15.75" customHeight="1" x14ac:dyDescent="0.2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11"/>
    </row>
    <row r="233" spans="2:51" ht="15.75" customHeight="1" x14ac:dyDescent="0.2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11"/>
    </row>
    <row r="234" spans="2:51" ht="15.75" customHeight="1" x14ac:dyDescent="0.2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11"/>
    </row>
    <row r="235" spans="2:51" ht="15.75" customHeight="1" x14ac:dyDescent="0.2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11"/>
    </row>
    <row r="236" spans="2:51" ht="15.75" customHeight="1" x14ac:dyDescent="0.2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11"/>
    </row>
    <row r="237" spans="2:51" ht="15.75" customHeight="1" x14ac:dyDescent="0.2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11"/>
    </row>
    <row r="238" spans="2:51" ht="15.75" customHeight="1" x14ac:dyDescent="0.2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11"/>
    </row>
    <row r="239" spans="2:51" ht="15.75" customHeight="1" x14ac:dyDescent="0.2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11"/>
    </row>
    <row r="240" spans="2:51" ht="15.75" customHeight="1" x14ac:dyDescent="0.2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11"/>
    </row>
    <row r="241" spans="2:51" ht="15.75" customHeight="1" x14ac:dyDescent="0.2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11"/>
    </row>
    <row r="242" spans="2:51" ht="15.75" customHeight="1" x14ac:dyDescent="0.2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11"/>
    </row>
    <row r="243" spans="2:51" ht="15.75" customHeight="1" x14ac:dyDescent="0.2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11"/>
    </row>
    <row r="244" spans="2:51" ht="15.75" customHeight="1" x14ac:dyDescent="0.2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11"/>
    </row>
    <row r="245" spans="2:51" ht="15.75" customHeight="1" x14ac:dyDescent="0.2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11"/>
    </row>
    <row r="246" spans="2:51" ht="15.75" customHeight="1" x14ac:dyDescent="0.2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11"/>
    </row>
    <row r="247" spans="2:51" ht="15.75" customHeight="1" x14ac:dyDescent="0.2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11"/>
    </row>
    <row r="248" spans="2:51" ht="15.75" customHeight="1" x14ac:dyDescent="0.2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11"/>
    </row>
    <row r="249" spans="2:51" ht="15.75" customHeight="1" x14ac:dyDescent="0.2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11"/>
    </row>
    <row r="250" spans="2:51" ht="15.75" customHeight="1" x14ac:dyDescent="0.2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11"/>
    </row>
    <row r="251" spans="2:51" ht="15.75" customHeight="1" x14ac:dyDescent="0.2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11"/>
    </row>
    <row r="252" spans="2:51" ht="15.75" customHeight="1" x14ac:dyDescent="0.2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11"/>
    </row>
    <row r="253" spans="2:51" ht="15.75" customHeight="1" x14ac:dyDescent="0.2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11"/>
    </row>
    <row r="254" spans="2:51" ht="15.75" customHeight="1" x14ac:dyDescent="0.2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11"/>
    </row>
    <row r="255" spans="2:51" ht="15.75" customHeight="1" x14ac:dyDescent="0.2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11"/>
    </row>
    <row r="256" spans="2:51" ht="15.75" customHeight="1" x14ac:dyDescent="0.2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11"/>
    </row>
    <row r="257" spans="2:51" ht="15.75" customHeight="1" x14ac:dyDescent="0.2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11"/>
    </row>
    <row r="258" spans="2:51" ht="15.75" customHeight="1" x14ac:dyDescent="0.2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11"/>
    </row>
    <row r="259" spans="2:51" ht="15.75" customHeight="1" x14ac:dyDescent="0.2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11"/>
    </row>
    <row r="260" spans="2:51" ht="15.75" customHeight="1" x14ac:dyDescent="0.2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11"/>
    </row>
    <row r="261" spans="2:51" ht="15.75" customHeight="1" x14ac:dyDescent="0.2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11"/>
    </row>
    <row r="262" spans="2:51" ht="15.75" customHeight="1" x14ac:dyDescent="0.2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11"/>
    </row>
    <row r="263" spans="2:51" ht="15.75" customHeight="1" x14ac:dyDescent="0.2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11"/>
    </row>
    <row r="264" spans="2:51" ht="15.75" customHeight="1" x14ac:dyDescent="0.2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11"/>
    </row>
    <row r="265" spans="2:51" ht="15.75" customHeight="1" x14ac:dyDescent="0.2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11"/>
    </row>
    <row r="266" spans="2:51" ht="15.75" customHeight="1" x14ac:dyDescent="0.2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11"/>
    </row>
    <row r="267" spans="2:51" ht="15.75" customHeight="1" x14ac:dyDescent="0.2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11"/>
    </row>
    <row r="268" spans="2:51" ht="15.75" customHeight="1" x14ac:dyDescent="0.2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11"/>
    </row>
    <row r="269" spans="2:51" ht="15.75" customHeight="1" x14ac:dyDescent="0.2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11"/>
    </row>
    <row r="270" spans="2:51" ht="15.75" customHeight="1" x14ac:dyDescent="0.2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11"/>
    </row>
    <row r="271" spans="2:51" ht="15.75" customHeight="1" x14ac:dyDescent="0.2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11"/>
    </row>
    <row r="272" spans="2:51" ht="15.75" customHeight="1" x14ac:dyDescent="0.2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11"/>
    </row>
    <row r="273" spans="2:51" ht="15.75" customHeight="1" x14ac:dyDescent="0.2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11"/>
    </row>
    <row r="274" spans="2:51" ht="15.75" customHeight="1" x14ac:dyDescent="0.2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11"/>
    </row>
    <row r="275" spans="2:51" ht="15.75" customHeight="1" x14ac:dyDescent="0.2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11"/>
    </row>
    <row r="276" spans="2:51" ht="15.75" customHeight="1" x14ac:dyDescent="0.2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11"/>
    </row>
    <row r="277" spans="2:51" ht="15.75" customHeight="1" x14ac:dyDescent="0.2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11"/>
    </row>
    <row r="278" spans="2:51" ht="15.75" customHeight="1" x14ac:dyDescent="0.2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11"/>
    </row>
    <row r="279" spans="2:51" ht="15.75" customHeight="1" x14ac:dyDescent="0.2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11"/>
    </row>
    <row r="280" spans="2:51" ht="15.75" customHeight="1" x14ac:dyDescent="0.2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11"/>
    </row>
    <row r="281" spans="2:51" ht="15.75" customHeight="1" x14ac:dyDescent="0.2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11"/>
    </row>
    <row r="282" spans="2:51" ht="15.75" customHeight="1" x14ac:dyDescent="0.2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11"/>
    </row>
    <row r="283" spans="2:51" ht="15.75" customHeight="1" x14ac:dyDescent="0.2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11"/>
    </row>
    <row r="284" spans="2:51" ht="15.75" customHeight="1" x14ac:dyDescent="0.2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11"/>
    </row>
    <row r="285" spans="2:51" ht="15.75" customHeight="1" x14ac:dyDescent="0.2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11"/>
    </row>
    <row r="286" spans="2:51" ht="15.75" customHeight="1" x14ac:dyDescent="0.2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11"/>
    </row>
    <row r="287" spans="2:51" ht="15.75" customHeight="1" x14ac:dyDescent="0.2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11"/>
    </row>
    <row r="288" spans="2:51" ht="15.75" customHeight="1" x14ac:dyDescent="0.2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11"/>
    </row>
    <row r="289" spans="2:51" ht="15.75" customHeight="1" x14ac:dyDescent="0.2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11"/>
    </row>
    <row r="290" spans="2:51" ht="15.75" customHeight="1" x14ac:dyDescent="0.2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11"/>
    </row>
    <row r="291" spans="2:51" ht="15.75" customHeight="1" x14ac:dyDescent="0.2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11"/>
    </row>
    <row r="292" spans="2:51" ht="15.75" customHeight="1" x14ac:dyDescent="0.2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11"/>
    </row>
    <row r="293" spans="2:51" ht="15.75" customHeight="1" x14ac:dyDescent="0.2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11"/>
    </row>
    <row r="294" spans="2:51" ht="15.75" customHeight="1" x14ac:dyDescent="0.2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11"/>
    </row>
    <row r="295" spans="2:51" ht="15.75" customHeight="1" x14ac:dyDescent="0.2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11"/>
    </row>
    <row r="296" spans="2:51" ht="15.75" customHeight="1" x14ac:dyDescent="0.2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11"/>
    </row>
    <row r="297" spans="2:51" ht="15.75" customHeight="1" x14ac:dyDescent="0.2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11"/>
    </row>
    <row r="298" spans="2:51" ht="15.75" customHeight="1" x14ac:dyDescent="0.2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11"/>
    </row>
    <row r="299" spans="2:51" ht="15.75" customHeight="1" x14ac:dyDescent="0.2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11"/>
    </row>
    <row r="300" spans="2:51" ht="15.75" customHeight="1" x14ac:dyDescent="0.2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11"/>
    </row>
    <row r="301" spans="2:51" ht="15.75" customHeight="1" x14ac:dyDescent="0.2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11"/>
    </row>
    <row r="302" spans="2:51" ht="15.75" customHeight="1" x14ac:dyDescent="0.2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11"/>
    </row>
    <row r="303" spans="2:51" ht="15.75" customHeight="1" x14ac:dyDescent="0.2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11"/>
    </row>
    <row r="304" spans="2:51" ht="15.75" customHeight="1" x14ac:dyDescent="0.2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11"/>
    </row>
    <row r="305" spans="2:51" ht="15.75" customHeight="1" x14ac:dyDescent="0.2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11"/>
    </row>
    <row r="306" spans="2:51" ht="15.75" customHeight="1" x14ac:dyDescent="0.2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11"/>
    </row>
    <row r="307" spans="2:51" ht="15.75" customHeight="1" x14ac:dyDescent="0.2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11"/>
    </row>
    <row r="308" spans="2:51" ht="15.75" customHeight="1" x14ac:dyDescent="0.2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11"/>
    </row>
    <row r="309" spans="2:51" ht="15.75" customHeight="1" x14ac:dyDescent="0.2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11"/>
    </row>
    <row r="310" spans="2:51" ht="15.75" customHeight="1" x14ac:dyDescent="0.2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11"/>
    </row>
    <row r="311" spans="2:51" ht="15.75" customHeight="1" x14ac:dyDescent="0.2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11"/>
    </row>
    <row r="312" spans="2:51" ht="15.75" customHeight="1" x14ac:dyDescent="0.2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11"/>
    </row>
    <row r="313" spans="2:51" ht="15.75" customHeight="1" x14ac:dyDescent="0.2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11"/>
    </row>
    <row r="314" spans="2:51" ht="15.75" customHeight="1" x14ac:dyDescent="0.2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11"/>
    </row>
    <row r="315" spans="2:51" ht="15.75" customHeight="1" x14ac:dyDescent="0.2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11"/>
    </row>
    <row r="316" spans="2:51" ht="15.75" customHeight="1" x14ac:dyDescent="0.2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11"/>
    </row>
    <row r="317" spans="2:51" ht="15.75" customHeight="1" x14ac:dyDescent="0.2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11"/>
    </row>
    <row r="318" spans="2:51" ht="15.75" customHeight="1" x14ac:dyDescent="0.2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11"/>
    </row>
    <row r="319" spans="2:51" ht="15.75" customHeight="1" x14ac:dyDescent="0.2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11"/>
    </row>
    <row r="320" spans="2:51" ht="15.75" customHeight="1" x14ac:dyDescent="0.2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11"/>
    </row>
    <row r="321" spans="7:51" ht="15.75" customHeight="1" x14ac:dyDescent="0.2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11"/>
    </row>
    <row r="322" spans="7:51" ht="15.75" customHeight="1" x14ac:dyDescent="0.2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11"/>
    </row>
    <row r="323" spans="7:51" ht="15.75" customHeight="1" x14ac:dyDescent="0.2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11"/>
    </row>
    <row r="324" spans="7:51" ht="15.75" customHeight="1" x14ac:dyDescent="0.2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11"/>
    </row>
    <row r="325" spans="7:51" ht="15.75" customHeight="1" x14ac:dyDescent="0.2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11"/>
    </row>
    <row r="326" spans="7:51" ht="15.75" customHeight="1" x14ac:dyDescent="0.2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11"/>
    </row>
    <row r="327" spans="7:51" ht="15.75" customHeight="1" x14ac:dyDescent="0.2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11"/>
    </row>
    <row r="328" spans="7:51" ht="15.75" customHeight="1" x14ac:dyDescent="0.2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11"/>
    </row>
    <row r="329" spans="7:51" ht="15.75" customHeight="1" x14ac:dyDescent="0.2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11"/>
    </row>
    <row r="330" spans="7:51" ht="15.75" customHeight="1" x14ac:dyDescent="0.2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11"/>
    </row>
    <row r="331" spans="7:51" ht="15.75" customHeight="1" x14ac:dyDescent="0.2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11"/>
    </row>
    <row r="332" spans="7:51" ht="15.75" customHeight="1" x14ac:dyDescent="0.2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11"/>
    </row>
    <row r="333" spans="7:51" ht="15.75" customHeight="1" x14ac:dyDescent="0.2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11"/>
    </row>
    <row r="334" spans="7:51" ht="15.75" customHeight="1" x14ac:dyDescent="0.2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11"/>
    </row>
    <row r="335" spans="7:51" ht="15.75" customHeight="1" x14ac:dyDescent="0.2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11"/>
    </row>
    <row r="336" spans="7:51" ht="15.75" customHeight="1" x14ac:dyDescent="0.2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11"/>
    </row>
    <row r="337" spans="7:51" ht="15.75" customHeight="1" x14ac:dyDescent="0.2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11"/>
    </row>
    <row r="338" spans="7:51" ht="15.75" customHeight="1" x14ac:dyDescent="0.2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11"/>
    </row>
    <row r="339" spans="7:51" ht="15.75" customHeight="1" x14ac:dyDescent="0.2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11"/>
    </row>
    <row r="340" spans="7:51" ht="15.75" customHeight="1" x14ac:dyDescent="0.2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11"/>
    </row>
    <row r="341" spans="7:51" ht="15.75" customHeight="1" x14ac:dyDescent="0.2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11"/>
    </row>
    <row r="342" spans="7:51" ht="15.75" customHeight="1" x14ac:dyDescent="0.2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11"/>
    </row>
    <row r="343" spans="7:51" ht="15.75" customHeight="1" x14ac:dyDescent="0.2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11"/>
    </row>
    <row r="344" spans="7:51" ht="15.75" customHeight="1" x14ac:dyDescent="0.2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11"/>
    </row>
    <row r="345" spans="7:51" ht="15.75" customHeight="1" x14ac:dyDescent="0.2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11"/>
    </row>
    <row r="346" spans="7:51" ht="15.75" customHeight="1" x14ac:dyDescent="0.2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11"/>
    </row>
    <row r="347" spans="7:51" ht="15.75" customHeight="1" x14ac:dyDescent="0.2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11"/>
    </row>
    <row r="348" spans="7:51" ht="15.75" customHeight="1" x14ac:dyDescent="0.2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11"/>
    </row>
    <row r="349" spans="7:51" ht="15.75" customHeight="1" x14ac:dyDescent="0.2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11"/>
    </row>
    <row r="350" spans="7:51" ht="15.75" customHeight="1" x14ac:dyDescent="0.2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11"/>
    </row>
    <row r="351" spans="7:51" ht="15.75" customHeight="1" x14ac:dyDescent="0.2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11"/>
    </row>
    <row r="352" spans="7:51" ht="15.75" customHeight="1" x14ac:dyDescent="0.2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1"/>
    </row>
    <row r="353" spans="7:51" ht="15.75" customHeight="1" x14ac:dyDescent="0.2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11"/>
    </row>
    <row r="354" spans="7:51" ht="15.75" customHeight="1" x14ac:dyDescent="0.2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11"/>
    </row>
    <row r="355" spans="7:51" ht="15.75" customHeight="1" x14ac:dyDescent="0.2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11"/>
    </row>
    <row r="356" spans="7:51" ht="15.75" customHeight="1" x14ac:dyDescent="0.2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11"/>
    </row>
    <row r="357" spans="7:51" ht="15.75" customHeight="1" x14ac:dyDescent="0.2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11"/>
    </row>
    <row r="358" spans="7:51" ht="15.75" customHeight="1" x14ac:dyDescent="0.2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11"/>
    </row>
    <row r="359" spans="7:51" ht="15.75" customHeight="1" x14ac:dyDescent="0.2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11"/>
    </row>
    <row r="360" spans="7:51" ht="15.75" customHeight="1" x14ac:dyDescent="0.2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11"/>
    </row>
    <row r="361" spans="7:51" ht="15.75" customHeight="1" x14ac:dyDescent="0.2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11"/>
    </row>
    <row r="362" spans="7:51" ht="15.75" customHeight="1" x14ac:dyDescent="0.2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11"/>
    </row>
    <row r="363" spans="7:51" ht="15.75" customHeight="1" x14ac:dyDescent="0.2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11"/>
    </row>
    <row r="364" spans="7:51" ht="15.75" customHeight="1" x14ac:dyDescent="0.2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11"/>
    </row>
    <row r="365" spans="7:51" ht="15.75" customHeight="1" x14ac:dyDescent="0.2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11"/>
    </row>
    <row r="366" spans="7:51" ht="15.75" customHeight="1" x14ac:dyDescent="0.2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11"/>
    </row>
    <row r="367" spans="7:51" ht="15.75" customHeight="1" x14ac:dyDescent="0.2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11"/>
    </row>
    <row r="368" spans="7:51" ht="15.75" customHeight="1" x14ac:dyDescent="0.2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11"/>
    </row>
    <row r="369" spans="7:51" ht="15.75" customHeight="1" x14ac:dyDescent="0.2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11"/>
    </row>
    <row r="370" spans="7:51" ht="15.75" customHeight="1" x14ac:dyDescent="0.2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11"/>
    </row>
    <row r="371" spans="7:51" ht="15.75" customHeight="1" x14ac:dyDescent="0.2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11"/>
    </row>
    <row r="372" spans="7:51" ht="15.75" customHeight="1" x14ac:dyDescent="0.2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11"/>
    </row>
    <row r="373" spans="7:51" ht="15.75" customHeight="1" x14ac:dyDescent="0.2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11"/>
    </row>
    <row r="374" spans="7:51" ht="15.75" customHeight="1" x14ac:dyDescent="0.2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11"/>
    </row>
    <row r="375" spans="7:51" ht="15.75" customHeight="1" x14ac:dyDescent="0.2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11"/>
    </row>
    <row r="376" spans="7:51" ht="15.75" customHeight="1" x14ac:dyDescent="0.2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11"/>
    </row>
    <row r="377" spans="7:51" ht="15.75" customHeight="1" x14ac:dyDescent="0.2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11"/>
    </row>
    <row r="378" spans="7:51" ht="15.75" customHeight="1" x14ac:dyDescent="0.2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11"/>
    </row>
    <row r="379" spans="7:51" ht="15.75" customHeight="1" x14ac:dyDescent="0.2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11"/>
    </row>
    <row r="380" spans="7:51" ht="15.75" customHeight="1" x14ac:dyDescent="0.2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11"/>
    </row>
    <row r="381" spans="7:51" ht="15.75" customHeight="1" x14ac:dyDescent="0.2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11"/>
    </row>
    <row r="382" spans="7:51" ht="15.75" customHeight="1" x14ac:dyDescent="0.2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11"/>
    </row>
    <row r="383" spans="7:51" ht="15.75" customHeight="1" x14ac:dyDescent="0.2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11"/>
    </row>
    <row r="384" spans="7:51" ht="15.75" customHeight="1" x14ac:dyDescent="0.2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11"/>
    </row>
    <row r="385" spans="7:51" ht="15.75" customHeight="1" x14ac:dyDescent="0.2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11"/>
    </row>
    <row r="386" spans="7:51" ht="15.75" customHeight="1" x14ac:dyDescent="0.2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11"/>
    </row>
    <row r="387" spans="7:51" ht="15.75" customHeight="1" x14ac:dyDescent="0.2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11"/>
    </row>
    <row r="388" spans="7:51" ht="15.75" customHeight="1" x14ac:dyDescent="0.2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11"/>
    </row>
    <row r="389" spans="7:51" ht="15.75" customHeight="1" x14ac:dyDescent="0.2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11"/>
    </row>
    <row r="390" spans="7:51" ht="15.75" customHeight="1" x14ac:dyDescent="0.2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11"/>
    </row>
    <row r="391" spans="7:51" ht="15.75" customHeight="1" x14ac:dyDescent="0.2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11"/>
    </row>
    <row r="392" spans="7:51" ht="15.75" customHeight="1" x14ac:dyDescent="0.2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11"/>
    </row>
    <row r="393" spans="7:51" ht="15.75" customHeight="1" x14ac:dyDescent="0.2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11"/>
    </row>
    <row r="394" spans="7:51" ht="15.75" customHeight="1" x14ac:dyDescent="0.2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11"/>
    </row>
    <row r="395" spans="7:51" ht="15.75" customHeight="1" x14ac:dyDescent="0.2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11"/>
    </row>
    <row r="396" spans="7:51" ht="15.75" customHeight="1" x14ac:dyDescent="0.2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11"/>
    </row>
    <row r="397" spans="7:51" ht="15.75" customHeight="1" x14ac:dyDescent="0.2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11"/>
    </row>
    <row r="398" spans="7:51" ht="15.75" customHeight="1" x14ac:dyDescent="0.2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11"/>
    </row>
    <row r="399" spans="7:51" ht="15.75" customHeight="1" x14ac:dyDescent="0.2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11"/>
    </row>
    <row r="400" spans="7:51" ht="15.75" customHeight="1" x14ac:dyDescent="0.2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11"/>
    </row>
    <row r="401" spans="7:51" ht="15.75" customHeight="1" x14ac:dyDescent="0.2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11"/>
    </row>
    <row r="402" spans="7:51" ht="15.75" customHeight="1" x14ac:dyDescent="0.2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11"/>
    </row>
    <row r="403" spans="7:51" ht="15.75" customHeight="1" x14ac:dyDescent="0.2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11"/>
    </row>
    <row r="404" spans="7:51" ht="15.75" customHeight="1" x14ac:dyDescent="0.2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11"/>
    </row>
    <row r="405" spans="7:51" ht="15.75" customHeight="1" x14ac:dyDescent="0.2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11"/>
    </row>
    <row r="406" spans="7:51" ht="15.75" customHeight="1" x14ac:dyDescent="0.2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11"/>
    </row>
    <row r="407" spans="7:51" ht="15.75" customHeight="1" x14ac:dyDescent="0.2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11"/>
    </row>
    <row r="408" spans="7:51" ht="15.75" customHeight="1" x14ac:dyDescent="0.2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11"/>
    </row>
    <row r="409" spans="7:51" ht="15.75" customHeight="1" x14ac:dyDescent="0.2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11"/>
    </row>
    <row r="410" spans="7:51" ht="15.75" customHeight="1" x14ac:dyDescent="0.2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11"/>
    </row>
    <row r="411" spans="7:51" ht="15.75" customHeight="1" x14ac:dyDescent="0.2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11"/>
    </row>
    <row r="412" spans="7:51" ht="15.75" customHeight="1" x14ac:dyDescent="0.2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11"/>
    </row>
    <row r="413" spans="7:51" ht="15.75" customHeight="1" x14ac:dyDescent="0.2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11"/>
    </row>
    <row r="414" spans="7:51" ht="15.75" customHeight="1" x14ac:dyDescent="0.2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11"/>
    </row>
    <row r="415" spans="7:51" ht="15.75" customHeight="1" x14ac:dyDescent="0.2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11"/>
    </row>
    <row r="416" spans="7:51" ht="15.75" customHeight="1" x14ac:dyDescent="0.2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11"/>
    </row>
    <row r="417" spans="7:51" ht="15.75" customHeight="1" x14ac:dyDescent="0.2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11"/>
    </row>
    <row r="418" spans="7:51" ht="15.75" customHeight="1" x14ac:dyDescent="0.2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11"/>
    </row>
    <row r="419" spans="7:51" ht="15.75" customHeight="1" x14ac:dyDescent="0.2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11"/>
    </row>
    <row r="420" spans="7:51" ht="15.75" customHeight="1" x14ac:dyDescent="0.2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11"/>
    </row>
    <row r="421" spans="7:51" ht="15.75" customHeight="1" x14ac:dyDescent="0.2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11"/>
    </row>
    <row r="422" spans="7:51" ht="15.75" customHeight="1" x14ac:dyDescent="0.2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11"/>
    </row>
    <row r="423" spans="7:51" ht="15.75" customHeight="1" x14ac:dyDescent="0.2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11"/>
    </row>
    <row r="424" spans="7:51" ht="15.75" customHeight="1" x14ac:dyDescent="0.2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11"/>
    </row>
    <row r="425" spans="7:51" ht="15.75" customHeight="1" x14ac:dyDescent="0.2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11"/>
    </row>
    <row r="426" spans="7:51" ht="15.75" customHeight="1" x14ac:dyDescent="0.2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11"/>
    </row>
    <row r="427" spans="7:51" ht="15.75" customHeight="1" x14ac:dyDescent="0.2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11"/>
    </row>
    <row r="428" spans="7:51" ht="15.75" customHeight="1" x14ac:dyDescent="0.2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11"/>
    </row>
    <row r="429" spans="7:51" ht="15.75" customHeight="1" x14ac:dyDescent="0.2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11"/>
    </row>
    <row r="430" spans="7:51" ht="15.75" customHeight="1" x14ac:dyDescent="0.2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11"/>
    </row>
    <row r="431" spans="7:51" ht="15.75" customHeight="1" x14ac:dyDescent="0.2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11"/>
    </row>
    <row r="432" spans="7:51" ht="15.75" customHeight="1" x14ac:dyDescent="0.2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11"/>
    </row>
    <row r="433" spans="7:51" ht="15.75" customHeight="1" x14ac:dyDescent="0.2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11"/>
    </row>
    <row r="434" spans="7:51" ht="15.75" customHeight="1" x14ac:dyDescent="0.2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11"/>
    </row>
    <row r="435" spans="7:51" ht="15.75" customHeight="1" x14ac:dyDescent="0.2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11"/>
    </row>
    <row r="436" spans="7:51" ht="15.75" customHeight="1" x14ac:dyDescent="0.2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11"/>
    </row>
    <row r="437" spans="7:51" ht="15.75" customHeight="1" x14ac:dyDescent="0.2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11"/>
    </row>
    <row r="438" spans="7:51" ht="15.75" customHeight="1" x14ac:dyDescent="0.2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11"/>
    </row>
    <row r="439" spans="7:51" ht="15.75" customHeight="1" x14ac:dyDescent="0.2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11"/>
    </row>
    <row r="440" spans="7:51" ht="15.75" customHeight="1" x14ac:dyDescent="0.2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11"/>
    </row>
    <row r="441" spans="7:51" ht="15.75" customHeight="1" x14ac:dyDescent="0.2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11"/>
    </row>
    <row r="442" spans="7:51" ht="15.75" customHeight="1" x14ac:dyDescent="0.2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11"/>
    </row>
    <row r="443" spans="7:51" ht="15.75" customHeight="1" x14ac:dyDescent="0.2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11"/>
    </row>
    <row r="444" spans="7:51" ht="15.75" customHeight="1" x14ac:dyDescent="0.2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11"/>
    </row>
    <row r="445" spans="7:51" ht="15.75" customHeight="1" x14ac:dyDescent="0.2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11"/>
    </row>
    <row r="446" spans="7:51" ht="15.75" customHeight="1" x14ac:dyDescent="0.2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11"/>
    </row>
    <row r="447" spans="7:51" ht="15.75" customHeight="1" x14ac:dyDescent="0.2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11"/>
    </row>
    <row r="448" spans="7:51" ht="15.75" customHeight="1" x14ac:dyDescent="0.2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11"/>
    </row>
    <row r="449" spans="7:51" ht="15.75" customHeight="1" x14ac:dyDescent="0.2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11"/>
    </row>
    <row r="450" spans="7:51" ht="15.75" customHeight="1" x14ac:dyDescent="0.2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11"/>
    </row>
    <row r="451" spans="7:51" ht="15.75" customHeight="1" x14ac:dyDescent="0.2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11"/>
    </row>
    <row r="452" spans="7:51" ht="15.75" customHeight="1" x14ac:dyDescent="0.2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11"/>
    </row>
    <row r="453" spans="7:51" ht="15.75" customHeight="1" x14ac:dyDescent="0.2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11"/>
    </row>
    <row r="454" spans="7:51" ht="15.75" customHeight="1" x14ac:dyDescent="0.2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11"/>
    </row>
    <row r="455" spans="7:51" ht="15.75" customHeight="1" x14ac:dyDescent="0.2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11"/>
    </row>
    <row r="456" spans="7:51" ht="15.75" customHeight="1" x14ac:dyDescent="0.2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11"/>
    </row>
    <row r="457" spans="7:51" ht="15.75" customHeight="1" x14ac:dyDescent="0.2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11"/>
    </row>
    <row r="458" spans="7:51" ht="15.75" customHeight="1" x14ac:dyDescent="0.2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11"/>
    </row>
    <row r="459" spans="7:51" ht="15.75" customHeight="1" x14ac:dyDescent="0.2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11"/>
    </row>
    <row r="460" spans="7:51" ht="15.75" customHeight="1" x14ac:dyDescent="0.2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11"/>
    </row>
    <row r="461" spans="7:51" ht="15.75" customHeight="1" x14ac:dyDescent="0.2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11"/>
    </row>
    <row r="462" spans="7:51" ht="15.75" customHeight="1" x14ac:dyDescent="0.2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11"/>
    </row>
    <row r="463" spans="7:51" ht="15.75" customHeight="1" x14ac:dyDescent="0.2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11"/>
    </row>
    <row r="464" spans="7:51" ht="15.75" customHeight="1" x14ac:dyDescent="0.2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11"/>
    </row>
    <row r="465" spans="7:51" ht="15.75" customHeight="1" x14ac:dyDescent="0.2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11"/>
    </row>
    <row r="466" spans="7:51" ht="15.75" customHeight="1" x14ac:dyDescent="0.2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11"/>
    </row>
    <row r="467" spans="7:51" ht="15.75" customHeight="1" x14ac:dyDescent="0.2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11"/>
    </row>
    <row r="468" spans="7:51" ht="15.75" customHeight="1" x14ac:dyDescent="0.2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11"/>
    </row>
    <row r="469" spans="7:51" ht="15.75" customHeight="1" x14ac:dyDescent="0.2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11"/>
    </row>
    <row r="470" spans="7:51" ht="15.75" customHeight="1" x14ac:dyDescent="0.2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11"/>
    </row>
    <row r="471" spans="7:51" ht="15.75" customHeight="1" x14ac:dyDescent="0.2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11"/>
    </row>
    <row r="472" spans="7:51" ht="15.75" customHeight="1" x14ac:dyDescent="0.2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11"/>
    </row>
    <row r="473" spans="7:51" ht="15.75" customHeight="1" x14ac:dyDescent="0.2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11"/>
    </row>
    <row r="474" spans="7:51" ht="15.75" customHeight="1" x14ac:dyDescent="0.2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11"/>
    </row>
    <row r="475" spans="7:51" ht="15.75" customHeight="1" x14ac:dyDescent="0.2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11"/>
    </row>
    <row r="476" spans="7:51" ht="15.75" customHeight="1" x14ac:dyDescent="0.2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11"/>
    </row>
    <row r="477" spans="7:51" ht="15.75" customHeight="1" x14ac:dyDescent="0.2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11"/>
    </row>
    <row r="478" spans="7:51" ht="15.75" customHeight="1" x14ac:dyDescent="0.2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11"/>
    </row>
    <row r="479" spans="7:51" ht="15.75" customHeight="1" x14ac:dyDescent="0.2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11"/>
    </row>
    <row r="480" spans="7:51" ht="15.75" customHeight="1" x14ac:dyDescent="0.2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11"/>
    </row>
    <row r="481" spans="7:51" ht="15.75" customHeight="1" x14ac:dyDescent="0.2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11"/>
    </row>
    <row r="482" spans="7:51" ht="15.75" customHeight="1" x14ac:dyDescent="0.2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11"/>
    </row>
    <row r="483" spans="7:51" ht="15.75" customHeight="1" x14ac:dyDescent="0.2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11"/>
    </row>
    <row r="484" spans="7:51" ht="15.75" customHeight="1" x14ac:dyDescent="0.2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11"/>
    </row>
    <row r="485" spans="7:51" ht="15.75" customHeight="1" x14ac:dyDescent="0.2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11"/>
    </row>
    <row r="486" spans="7:51" ht="15.75" customHeight="1" x14ac:dyDescent="0.2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11"/>
    </row>
    <row r="487" spans="7:51" ht="15.75" customHeight="1" x14ac:dyDescent="0.2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11"/>
    </row>
    <row r="488" spans="7:51" ht="15.75" customHeight="1" x14ac:dyDescent="0.2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11"/>
    </row>
    <row r="489" spans="7:51" ht="15.75" customHeight="1" x14ac:dyDescent="0.2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11"/>
    </row>
    <row r="490" spans="7:51" ht="15.75" customHeight="1" x14ac:dyDescent="0.2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11"/>
    </row>
    <row r="491" spans="7:51" ht="15.75" customHeight="1" x14ac:dyDescent="0.2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11"/>
    </row>
    <row r="492" spans="7:51" ht="15.75" customHeight="1" x14ac:dyDescent="0.2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11"/>
    </row>
    <row r="493" spans="7:51" ht="15.75" customHeight="1" x14ac:dyDescent="0.2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11"/>
    </row>
    <row r="494" spans="7:51" ht="15.75" customHeight="1" x14ac:dyDescent="0.2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11"/>
    </row>
    <row r="495" spans="7:51" ht="15.75" customHeight="1" x14ac:dyDescent="0.2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11"/>
    </row>
    <row r="496" spans="7:51" ht="15.75" customHeight="1" x14ac:dyDescent="0.2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11"/>
    </row>
    <row r="497" spans="7:51" ht="15.75" customHeight="1" x14ac:dyDescent="0.2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11"/>
    </row>
    <row r="498" spans="7:51" ht="15.75" customHeight="1" x14ac:dyDescent="0.2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11"/>
    </row>
    <row r="499" spans="7:51" ht="15.75" customHeight="1" x14ac:dyDescent="0.2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11"/>
    </row>
    <row r="500" spans="7:51" ht="15.75" customHeight="1" x14ac:dyDescent="0.2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11"/>
    </row>
    <row r="501" spans="7:51" ht="15.75" customHeight="1" x14ac:dyDescent="0.2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11"/>
    </row>
    <row r="502" spans="7:51" ht="15.75" customHeight="1" x14ac:dyDescent="0.2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11"/>
    </row>
    <row r="503" spans="7:51" ht="15.75" customHeight="1" x14ac:dyDescent="0.2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11"/>
    </row>
    <row r="504" spans="7:51" ht="15.75" customHeight="1" x14ac:dyDescent="0.2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11"/>
    </row>
    <row r="505" spans="7:51" ht="15.75" customHeight="1" x14ac:dyDescent="0.2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11"/>
    </row>
    <row r="506" spans="7:51" ht="15.75" customHeight="1" x14ac:dyDescent="0.2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11"/>
    </row>
    <row r="507" spans="7:51" ht="15.75" customHeight="1" x14ac:dyDescent="0.2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11"/>
    </row>
    <row r="508" spans="7:51" ht="15.75" customHeight="1" x14ac:dyDescent="0.2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11"/>
    </row>
    <row r="509" spans="7:51" ht="15.75" customHeight="1" x14ac:dyDescent="0.2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11"/>
    </row>
    <row r="510" spans="7:51" ht="15.75" customHeight="1" x14ac:dyDescent="0.2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11"/>
    </row>
    <row r="511" spans="7:51" ht="15.75" customHeight="1" x14ac:dyDescent="0.2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11"/>
    </row>
    <row r="512" spans="7:51" ht="15.75" customHeight="1" x14ac:dyDescent="0.2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11"/>
    </row>
    <row r="513" spans="7:51" ht="15.75" customHeight="1" x14ac:dyDescent="0.2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11"/>
    </row>
    <row r="514" spans="7:51" ht="15.75" customHeight="1" x14ac:dyDescent="0.2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11"/>
    </row>
    <row r="515" spans="7:51" ht="15.75" customHeight="1" x14ac:dyDescent="0.2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11"/>
    </row>
    <row r="516" spans="7:51" ht="15.75" customHeight="1" x14ac:dyDescent="0.2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11"/>
    </row>
    <row r="517" spans="7:51" ht="15.75" customHeight="1" x14ac:dyDescent="0.2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11"/>
    </row>
    <row r="518" spans="7:51" ht="15.75" customHeight="1" x14ac:dyDescent="0.2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11"/>
    </row>
    <row r="519" spans="7:51" ht="15.75" customHeight="1" x14ac:dyDescent="0.2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11"/>
    </row>
    <row r="520" spans="7:51" ht="15.75" customHeight="1" x14ac:dyDescent="0.2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11"/>
    </row>
    <row r="521" spans="7:51" ht="15.75" customHeight="1" x14ac:dyDescent="0.2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11"/>
    </row>
    <row r="522" spans="7:51" ht="15.75" customHeight="1" x14ac:dyDescent="0.2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11"/>
    </row>
    <row r="523" spans="7:51" ht="15.75" customHeight="1" x14ac:dyDescent="0.2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11"/>
    </row>
    <row r="524" spans="7:51" ht="15.75" customHeight="1" x14ac:dyDescent="0.2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11"/>
    </row>
    <row r="525" spans="7:51" ht="15.75" customHeight="1" x14ac:dyDescent="0.2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11"/>
    </row>
    <row r="526" spans="7:51" ht="15.75" customHeight="1" x14ac:dyDescent="0.2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11"/>
    </row>
    <row r="527" spans="7:51" ht="15.75" customHeight="1" x14ac:dyDescent="0.2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11"/>
    </row>
    <row r="528" spans="7:51" ht="15.75" customHeight="1" x14ac:dyDescent="0.2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11"/>
    </row>
    <row r="529" spans="7:51" ht="15.75" customHeight="1" x14ac:dyDescent="0.2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11"/>
    </row>
    <row r="530" spans="7:51" ht="15.75" customHeight="1" x14ac:dyDescent="0.2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11"/>
    </row>
    <row r="531" spans="7:51" ht="15.75" customHeight="1" x14ac:dyDescent="0.2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11"/>
    </row>
    <row r="532" spans="7:51" ht="15.75" customHeight="1" x14ac:dyDescent="0.2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11"/>
    </row>
    <row r="533" spans="7:51" ht="15.75" customHeight="1" x14ac:dyDescent="0.2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11"/>
    </row>
    <row r="534" spans="7:51" ht="15.75" customHeight="1" x14ac:dyDescent="0.2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11"/>
    </row>
    <row r="535" spans="7:51" ht="15.75" customHeight="1" x14ac:dyDescent="0.2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11"/>
    </row>
    <row r="536" spans="7:51" ht="15.75" customHeight="1" x14ac:dyDescent="0.2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11"/>
    </row>
    <row r="537" spans="7:51" ht="15.75" customHeight="1" x14ac:dyDescent="0.2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11"/>
    </row>
    <row r="538" spans="7:51" ht="15.75" customHeight="1" x14ac:dyDescent="0.2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11"/>
    </row>
    <row r="539" spans="7:51" ht="15.75" customHeight="1" x14ac:dyDescent="0.2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11"/>
    </row>
    <row r="540" spans="7:51" ht="15.75" customHeight="1" x14ac:dyDescent="0.2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11"/>
    </row>
    <row r="541" spans="7:51" ht="15.75" customHeight="1" x14ac:dyDescent="0.2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11"/>
    </row>
    <row r="542" spans="7:51" ht="15.75" customHeight="1" x14ac:dyDescent="0.2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11"/>
    </row>
    <row r="543" spans="7:51" ht="15.75" customHeight="1" x14ac:dyDescent="0.2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11"/>
    </row>
    <row r="544" spans="7:51" ht="15.75" customHeight="1" x14ac:dyDescent="0.2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11"/>
    </row>
    <row r="545" spans="7:51" ht="15.75" customHeight="1" x14ac:dyDescent="0.2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11"/>
    </row>
    <row r="546" spans="7:51" ht="15.75" customHeight="1" x14ac:dyDescent="0.2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11"/>
    </row>
    <row r="547" spans="7:51" ht="15.75" customHeight="1" x14ac:dyDescent="0.2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11"/>
    </row>
    <row r="548" spans="7:51" ht="15.75" customHeight="1" x14ac:dyDescent="0.2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11"/>
    </row>
    <row r="549" spans="7:51" ht="15.75" customHeight="1" x14ac:dyDescent="0.2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11"/>
    </row>
    <row r="550" spans="7:51" ht="15.75" customHeight="1" x14ac:dyDescent="0.2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11"/>
    </row>
    <row r="551" spans="7:51" ht="15.75" customHeight="1" x14ac:dyDescent="0.2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11"/>
    </row>
    <row r="552" spans="7:51" ht="15.75" customHeight="1" x14ac:dyDescent="0.2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11"/>
    </row>
    <row r="553" spans="7:51" ht="15.75" customHeight="1" x14ac:dyDescent="0.2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11"/>
    </row>
    <row r="554" spans="7:51" ht="15.75" customHeight="1" x14ac:dyDescent="0.2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11"/>
    </row>
    <row r="555" spans="7:51" ht="15.75" customHeight="1" x14ac:dyDescent="0.2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11"/>
    </row>
    <row r="556" spans="7:51" ht="15.75" customHeight="1" x14ac:dyDescent="0.2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11"/>
    </row>
    <row r="557" spans="7:51" ht="15.75" customHeight="1" x14ac:dyDescent="0.2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11"/>
    </row>
    <row r="558" spans="7:51" ht="15.75" customHeight="1" x14ac:dyDescent="0.2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11"/>
    </row>
    <row r="559" spans="7:51" ht="15.75" customHeight="1" x14ac:dyDescent="0.2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11"/>
    </row>
    <row r="560" spans="7:51" ht="15.75" customHeight="1" x14ac:dyDescent="0.2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11"/>
    </row>
    <row r="561" spans="7:51" ht="15.75" customHeight="1" x14ac:dyDescent="0.2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11"/>
    </row>
    <row r="562" spans="7:51" ht="15.75" customHeight="1" x14ac:dyDescent="0.2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11"/>
    </row>
    <row r="563" spans="7:51" ht="15.75" customHeight="1" x14ac:dyDescent="0.2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11"/>
    </row>
    <row r="564" spans="7:51" ht="15.75" customHeight="1" x14ac:dyDescent="0.2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11"/>
    </row>
    <row r="565" spans="7:51" ht="15.75" customHeight="1" x14ac:dyDescent="0.2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11"/>
    </row>
    <row r="566" spans="7:51" ht="15.75" customHeight="1" x14ac:dyDescent="0.2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11"/>
    </row>
    <row r="567" spans="7:51" ht="15.75" customHeight="1" x14ac:dyDescent="0.2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11"/>
    </row>
    <row r="568" spans="7:51" ht="15.75" customHeight="1" x14ac:dyDescent="0.2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11"/>
    </row>
    <row r="569" spans="7:51" ht="15.75" customHeight="1" x14ac:dyDescent="0.2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11"/>
    </row>
    <row r="570" spans="7:51" ht="15.75" customHeight="1" x14ac:dyDescent="0.2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11"/>
    </row>
    <row r="571" spans="7:51" ht="15.75" customHeight="1" x14ac:dyDescent="0.2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11"/>
    </row>
    <row r="572" spans="7:51" ht="15.75" customHeight="1" x14ac:dyDescent="0.2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11"/>
    </row>
    <row r="573" spans="7:51" ht="15.75" customHeight="1" x14ac:dyDescent="0.2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11"/>
    </row>
    <row r="574" spans="7:51" ht="15.75" customHeight="1" x14ac:dyDescent="0.2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11"/>
    </row>
    <row r="575" spans="7:51" ht="15.75" customHeight="1" x14ac:dyDescent="0.2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11"/>
    </row>
    <row r="576" spans="7:51" ht="15.75" customHeight="1" x14ac:dyDescent="0.2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11"/>
    </row>
    <row r="577" spans="7:51" ht="15.75" customHeight="1" x14ac:dyDescent="0.2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11"/>
    </row>
    <row r="578" spans="7:51" ht="15.75" customHeight="1" x14ac:dyDescent="0.2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11"/>
    </row>
    <row r="579" spans="7:51" ht="15.75" customHeight="1" x14ac:dyDescent="0.2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11"/>
    </row>
    <row r="580" spans="7:51" ht="15.75" customHeight="1" x14ac:dyDescent="0.2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11"/>
    </row>
    <row r="581" spans="7:51" ht="15.75" customHeight="1" x14ac:dyDescent="0.2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11"/>
    </row>
    <row r="582" spans="7:51" ht="15.75" customHeight="1" x14ac:dyDescent="0.2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11"/>
    </row>
    <row r="583" spans="7:51" ht="15.75" customHeight="1" x14ac:dyDescent="0.2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11"/>
    </row>
    <row r="584" spans="7:51" ht="15.75" customHeight="1" x14ac:dyDescent="0.2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11"/>
    </row>
    <row r="585" spans="7:51" ht="15.75" customHeight="1" x14ac:dyDescent="0.2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11"/>
    </row>
    <row r="586" spans="7:51" ht="15.75" customHeight="1" x14ac:dyDescent="0.2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11"/>
    </row>
    <row r="587" spans="7:51" ht="15.75" customHeight="1" x14ac:dyDescent="0.2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11"/>
    </row>
    <row r="588" spans="7:51" ht="15.75" customHeight="1" x14ac:dyDescent="0.2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11"/>
    </row>
    <row r="589" spans="7:51" ht="15.75" customHeight="1" x14ac:dyDescent="0.2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11"/>
    </row>
    <row r="590" spans="7:51" ht="15.75" customHeight="1" x14ac:dyDescent="0.2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11"/>
    </row>
    <row r="591" spans="7:51" ht="15.75" customHeight="1" x14ac:dyDescent="0.2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11"/>
    </row>
    <row r="592" spans="7:51" ht="15.75" customHeight="1" x14ac:dyDescent="0.2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11"/>
    </row>
    <row r="593" spans="7:51" ht="15.75" customHeight="1" x14ac:dyDescent="0.2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11"/>
    </row>
    <row r="594" spans="7:51" ht="15.75" customHeight="1" x14ac:dyDescent="0.2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11"/>
    </row>
    <row r="595" spans="7:51" ht="15.75" customHeight="1" x14ac:dyDescent="0.2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11"/>
    </row>
    <row r="596" spans="7:51" ht="15.75" customHeight="1" x14ac:dyDescent="0.2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11"/>
    </row>
    <row r="597" spans="7:51" ht="15.75" customHeight="1" x14ac:dyDescent="0.2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11"/>
    </row>
    <row r="598" spans="7:51" ht="15.75" customHeight="1" x14ac:dyDescent="0.2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11"/>
    </row>
    <row r="599" spans="7:51" ht="15.75" customHeight="1" x14ac:dyDescent="0.2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11"/>
    </row>
    <row r="600" spans="7:51" ht="15.75" customHeight="1" x14ac:dyDescent="0.2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11"/>
    </row>
    <row r="601" spans="7:51" ht="15.75" customHeight="1" x14ac:dyDescent="0.2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11"/>
    </row>
    <row r="602" spans="7:51" ht="15.75" customHeight="1" x14ac:dyDescent="0.2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11"/>
    </row>
    <row r="603" spans="7:51" ht="15.75" customHeight="1" x14ac:dyDescent="0.2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11"/>
    </row>
    <row r="604" spans="7:51" ht="15.75" customHeight="1" x14ac:dyDescent="0.2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11"/>
    </row>
    <row r="605" spans="7:51" ht="15.75" customHeight="1" x14ac:dyDescent="0.2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11"/>
    </row>
    <row r="606" spans="7:51" ht="15.75" customHeight="1" x14ac:dyDescent="0.2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11"/>
    </row>
    <row r="607" spans="7:51" ht="15.75" customHeight="1" x14ac:dyDescent="0.2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11"/>
    </row>
    <row r="608" spans="7:51" ht="15.75" customHeight="1" x14ac:dyDescent="0.2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11"/>
    </row>
    <row r="609" spans="7:51" ht="15.75" customHeight="1" x14ac:dyDescent="0.2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11"/>
    </row>
    <row r="610" spans="7:51" ht="15.75" customHeight="1" x14ac:dyDescent="0.2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11"/>
    </row>
    <row r="611" spans="7:51" ht="15.75" customHeight="1" x14ac:dyDescent="0.2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11"/>
    </row>
    <row r="612" spans="7:51" ht="15.75" customHeight="1" x14ac:dyDescent="0.2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11"/>
    </row>
    <row r="613" spans="7:51" ht="15.75" customHeight="1" x14ac:dyDescent="0.2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11"/>
    </row>
    <row r="614" spans="7:51" ht="15.75" customHeight="1" x14ac:dyDescent="0.2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11"/>
    </row>
    <row r="615" spans="7:51" ht="15.75" customHeight="1" x14ac:dyDescent="0.2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11"/>
    </row>
    <row r="616" spans="7:51" ht="15.75" customHeight="1" x14ac:dyDescent="0.2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11"/>
    </row>
    <row r="617" spans="7:51" ht="15.75" customHeight="1" x14ac:dyDescent="0.2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11"/>
    </row>
    <row r="618" spans="7:51" ht="15.75" customHeight="1" x14ac:dyDescent="0.2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11"/>
    </row>
    <row r="619" spans="7:51" ht="15.75" customHeight="1" x14ac:dyDescent="0.2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11"/>
    </row>
    <row r="620" spans="7:51" ht="15.75" customHeight="1" x14ac:dyDescent="0.2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11"/>
    </row>
    <row r="621" spans="7:51" ht="15.75" customHeight="1" x14ac:dyDescent="0.2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11"/>
    </row>
    <row r="622" spans="7:51" ht="15.75" customHeight="1" x14ac:dyDescent="0.2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11"/>
    </row>
    <row r="623" spans="7:51" ht="15.75" customHeight="1" x14ac:dyDescent="0.2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11"/>
    </row>
    <row r="624" spans="7:51" ht="15.75" customHeight="1" x14ac:dyDescent="0.2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11"/>
    </row>
    <row r="625" spans="7:51" ht="15.75" customHeight="1" x14ac:dyDescent="0.2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11"/>
    </row>
    <row r="626" spans="7:51" ht="15.75" customHeight="1" x14ac:dyDescent="0.2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11"/>
    </row>
    <row r="627" spans="7:51" ht="15.75" customHeight="1" x14ac:dyDescent="0.2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11"/>
    </row>
    <row r="628" spans="7:51" ht="15.75" customHeight="1" x14ac:dyDescent="0.2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11"/>
    </row>
    <row r="629" spans="7:51" ht="15.75" customHeight="1" x14ac:dyDescent="0.2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11"/>
    </row>
    <row r="630" spans="7:51" ht="15.75" customHeight="1" x14ac:dyDescent="0.2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11"/>
    </row>
    <row r="631" spans="7:51" ht="15.75" customHeight="1" x14ac:dyDescent="0.2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11"/>
    </row>
    <row r="632" spans="7:51" ht="15.75" customHeight="1" x14ac:dyDescent="0.2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11"/>
    </row>
    <row r="633" spans="7:51" ht="15.75" customHeight="1" x14ac:dyDescent="0.2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11"/>
    </row>
    <row r="634" spans="7:51" ht="15.75" customHeight="1" x14ac:dyDescent="0.2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11"/>
    </row>
    <row r="635" spans="7:51" ht="15.75" customHeight="1" x14ac:dyDescent="0.2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11"/>
    </row>
    <row r="636" spans="7:51" ht="15.75" customHeight="1" x14ac:dyDescent="0.2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11"/>
    </row>
    <row r="637" spans="7:51" ht="15.75" customHeight="1" x14ac:dyDescent="0.2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11"/>
    </row>
    <row r="638" spans="7:51" ht="15.75" customHeight="1" x14ac:dyDescent="0.2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11"/>
    </row>
    <row r="639" spans="7:51" ht="15.75" customHeight="1" x14ac:dyDescent="0.2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11"/>
    </row>
    <row r="640" spans="7:51" ht="15.75" customHeight="1" x14ac:dyDescent="0.2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11"/>
    </row>
    <row r="641" spans="7:51" ht="15.75" customHeight="1" x14ac:dyDescent="0.2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11"/>
    </row>
    <row r="642" spans="7:51" ht="15.75" customHeight="1" x14ac:dyDescent="0.2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11"/>
    </row>
    <row r="643" spans="7:51" ht="15.75" customHeight="1" x14ac:dyDescent="0.2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11"/>
    </row>
    <row r="644" spans="7:51" ht="15.75" customHeight="1" x14ac:dyDescent="0.2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11"/>
    </row>
    <row r="645" spans="7:51" ht="15.75" customHeight="1" x14ac:dyDescent="0.2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11"/>
    </row>
    <row r="646" spans="7:51" ht="15.75" customHeight="1" x14ac:dyDescent="0.2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11"/>
    </row>
    <row r="647" spans="7:51" ht="15.75" customHeight="1" x14ac:dyDescent="0.2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11"/>
    </row>
    <row r="648" spans="7:51" ht="15.75" customHeight="1" x14ac:dyDescent="0.2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11"/>
    </row>
    <row r="649" spans="7:51" ht="15.75" customHeight="1" x14ac:dyDescent="0.2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11"/>
    </row>
    <row r="650" spans="7:51" ht="15.75" customHeight="1" x14ac:dyDescent="0.2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11"/>
    </row>
    <row r="651" spans="7:51" ht="15.75" customHeight="1" x14ac:dyDescent="0.2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11"/>
    </row>
    <row r="652" spans="7:51" ht="15.75" customHeight="1" x14ac:dyDescent="0.2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11"/>
    </row>
    <row r="653" spans="7:51" ht="15.75" customHeight="1" x14ac:dyDescent="0.2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11"/>
    </row>
    <row r="654" spans="7:51" ht="15.75" customHeight="1" x14ac:dyDescent="0.2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11"/>
    </row>
    <row r="655" spans="7:51" ht="15.75" customHeight="1" x14ac:dyDescent="0.2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11"/>
    </row>
    <row r="656" spans="7:51" ht="15.75" customHeight="1" x14ac:dyDescent="0.2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11"/>
    </row>
    <row r="657" spans="7:51" ht="15.75" customHeight="1" x14ac:dyDescent="0.2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11"/>
    </row>
    <row r="658" spans="7:51" ht="15.75" customHeight="1" x14ac:dyDescent="0.2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11"/>
    </row>
    <row r="659" spans="7:51" ht="15.75" customHeight="1" x14ac:dyDescent="0.2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11"/>
    </row>
    <row r="660" spans="7:51" ht="15.75" customHeight="1" x14ac:dyDescent="0.2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11"/>
    </row>
    <row r="661" spans="7:51" ht="15.75" customHeight="1" x14ac:dyDescent="0.2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11"/>
    </row>
    <row r="662" spans="7:51" ht="15.75" customHeight="1" x14ac:dyDescent="0.2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11"/>
    </row>
    <row r="663" spans="7:51" ht="15.75" customHeight="1" x14ac:dyDescent="0.2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11"/>
    </row>
    <row r="664" spans="7:51" ht="15.75" customHeight="1" x14ac:dyDescent="0.2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11"/>
    </row>
    <row r="665" spans="7:51" ht="15.75" customHeight="1" x14ac:dyDescent="0.2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11"/>
    </row>
    <row r="666" spans="7:51" ht="15.75" customHeight="1" x14ac:dyDescent="0.2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11"/>
    </row>
    <row r="667" spans="7:51" ht="15.75" customHeight="1" x14ac:dyDescent="0.2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11"/>
    </row>
    <row r="668" spans="7:51" ht="15.75" customHeight="1" x14ac:dyDescent="0.2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11"/>
    </row>
    <row r="669" spans="7:51" ht="15.75" customHeight="1" x14ac:dyDescent="0.2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11"/>
    </row>
    <row r="670" spans="7:51" ht="15.75" customHeight="1" x14ac:dyDescent="0.2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11"/>
    </row>
    <row r="671" spans="7:51" ht="15.75" customHeight="1" x14ac:dyDescent="0.2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11"/>
    </row>
    <row r="672" spans="7:51" ht="15.75" customHeight="1" x14ac:dyDescent="0.2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11"/>
    </row>
    <row r="673" spans="7:51" ht="15.75" customHeight="1" x14ac:dyDescent="0.2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11"/>
    </row>
    <row r="674" spans="7:51" ht="15.75" customHeight="1" x14ac:dyDescent="0.2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11"/>
    </row>
    <row r="675" spans="7:51" ht="15.75" customHeight="1" x14ac:dyDescent="0.2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11"/>
    </row>
    <row r="676" spans="7:51" ht="15.75" customHeight="1" x14ac:dyDescent="0.2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11"/>
    </row>
    <row r="677" spans="7:51" ht="15.75" customHeight="1" x14ac:dyDescent="0.2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11"/>
    </row>
    <row r="678" spans="7:51" ht="15.75" customHeight="1" x14ac:dyDescent="0.2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11"/>
    </row>
    <row r="679" spans="7:51" ht="15.75" customHeight="1" x14ac:dyDescent="0.2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11"/>
    </row>
    <row r="680" spans="7:51" ht="15.75" customHeight="1" x14ac:dyDescent="0.2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11"/>
    </row>
    <row r="681" spans="7:51" ht="15.75" customHeight="1" x14ac:dyDescent="0.2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11"/>
    </row>
    <row r="682" spans="7:51" ht="15.75" customHeight="1" x14ac:dyDescent="0.2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11"/>
    </row>
    <row r="683" spans="7:51" ht="15.75" customHeight="1" x14ac:dyDescent="0.2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11"/>
    </row>
    <row r="684" spans="7:51" ht="15.75" customHeight="1" x14ac:dyDescent="0.2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11"/>
    </row>
    <row r="685" spans="7:51" ht="15.75" customHeight="1" x14ac:dyDescent="0.2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11"/>
    </row>
    <row r="686" spans="7:51" ht="15.75" customHeight="1" x14ac:dyDescent="0.2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11"/>
    </row>
    <row r="687" spans="7:51" ht="15.75" customHeight="1" x14ac:dyDescent="0.2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11"/>
    </row>
    <row r="688" spans="7:51" ht="15.75" customHeight="1" x14ac:dyDescent="0.2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11"/>
    </row>
    <row r="689" spans="7:51" ht="15.75" customHeight="1" x14ac:dyDescent="0.2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11"/>
    </row>
    <row r="690" spans="7:51" ht="15.75" customHeight="1" x14ac:dyDescent="0.2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11"/>
    </row>
    <row r="691" spans="7:51" ht="15.75" customHeight="1" x14ac:dyDescent="0.2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11"/>
    </row>
    <row r="692" spans="7:51" ht="15.75" customHeight="1" x14ac:dyDescent="0.2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11"/>
    </row>
    <row r="693" spans="7:51" ht="15.75" customHeight="1" x14ac:dyDescent="0.2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11"/>
    </row>
    <row r="694" spans="7:51" ht="15.75" customHeight="1" x14ac:dyDescent="0.2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11"/>
    </row>
    <row r="695" spans="7:51" ht="15.75" customHeight="1" x14ac:dyDescent="0.2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11"/>
    </row>
    <row r="696" spans="7:51" ht="15.75" customHeight="1" x14ac:dyDescent="0.2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11"/>
    </row>
    <row r="697" spans="7:51" ht="15.75" customHeight="1" x14ac:dyDescent="0.2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11"/>
    </row>
    <row r="698" spans="7:51" ht="15.75" customHeight="1" x14ac:dyDescent="0.2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11"/>
    </row>
    <row r="699" spans="7:51" ht="15.75" customHeight="1" x14ac:dyDescent="0.2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11"/>
    </row>
    <row r="700" spans="7:51" ht="15.75" customHeight="1" x14ac:dyDescent="0.2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11"/>
    </row>
    <row r="701" spans="7:51" ht="15.75" customHeight="1" x14ac:dyDescent="0.2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11"/>
    </row>
    <row r="702" spans="7:51" ht="15.75" customHeight="1" x14ac:dyDescent="0.2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11"/>
    </row>
    <row r="703" spans="7:51" ht="15.75" customHeight="1" x14ac:dyDescent="0.2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11"/>
    </row>
    <row r="704" spans="7:51" ht="15.75" customHeight="1" x14ac:dyDescent="0.2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11"/>
    </row>
    <row r="705" spans="7:51" ht="15.75" customHeight="1" x14ac:dyDescent="0.2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11"/>
    </row>
    <row r="706" spans="7:51" ht="15.75" customHeight="1" x14ac:dyDescent="0.2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11"/>
    </row>
    <row r="707" spans="7:51" ht="15.75" customHeight="1" x14ac:dyDescent="0.2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11"/>
    </row>
    <row r="708" spans="7:51" ht="15.75" customHeight="1" x14ac:dyDescent="0.2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11"/>
    </row>
    <row r="709" spans="7:51" ht="15.75" customHeight="1" x14ac:dyDescent="0.2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11"/>
    </row>
    <row r="710" spans="7:51" ht="15.75" customHeight="1" x14ac:dyDescent="0.2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11"/>
    </row>
    <row r="711" spans="7:51" ht="15.75" customHeight="1" x14ac:dyDescent="0.2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11"/>
    </row>
    <row r="712" spans="7:51" ht="15.75" customHeight="1" x14ac:dyDescent="0.2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11"/>
    </row>
    <row r="713" spans="7:51" ht="15.75" customHeight="1" x14ac:dyDescent="0.2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11"/>
    </row>
    <row r="714" spans="7:51" ht="15.75" customHeight="1" x14ac:dyDescent="0.2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11"/>
    </row>
    <row r="715" spans="7:51" ht="15.75" customHeight="1" x14ac:dyDescent="0.2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11"/>
    </row>
    <row r="716" spans="7:51" ht="15.75" customHeight="1" x14ac:dyDescent="0.2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11"/>
    </row>
    <row r="717" spans="7:51" ht="15.75" customHeight="1" x14ac:dyDescent="0.2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11"/>
    </row>
    <row r="718" spans="7:51" ht="15.75" customHeight="1" x14ac:dyDescent="0.2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11"/>
    </row>
    <row r="719" spans="7:51" ht="15.75" customHeight="1" x14ac:dyDescent="0.2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11"/>
    </row>
    <row r="720" spans="7:51" ht="15.75" customHeight="1" x14ac:dyDescent="0.2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11"/>
    </row>
    <row r="721" spans="7:51" ht="15.75" customHeight="1" x14ac:dyDescent="0.2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11"/>
    </row>
    <row r="722" spans="7:51" ht="15.75" customHeight="1" x14ac:dyDescent="0.2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11"/>
    </row>
    <row r="723" spans="7:51" ht="15.75" customHeight="1" x14ac:dyDescent="0.2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11"/>
    </row>
    <row r="724" spans="7:51" ht="15.75" customHeight="1" x14ac:dyDescent="0.2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11"/>
    </row>
    <row r="725" spans="7:51" ht="15.75" customHeight="1" x14ac:dyDescent="0.2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11"/>
    </row>
    <row r="726" spans="7:51" ht="15.75" customHeight="1" x14ac:dyDescent="0.2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11"/>
    </row>
    <row r="727" spans="7:51" ht="15.75" customHeight="1" x14ac:dyDescent="0.2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11"/>
    </row>
    <row r="728" spans="7:51" ht="15.75" customHeight="1" x14ac:dyDescent="0.2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11"/>
    </row>
    <row r="729" spans="7:51" ht="15.75" customHeight="1" x14ac:dyDescent="0.2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11"/>
    </row>
    <row r="730" spans="7:51" ht="15.75" customHeight="1" x14ac:dyDescent="0.2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11"/>
    </row>
    <row r="731" spans="7:51" ht="15.75" customHeight="1" x14ac:dyDescent="0.2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11"/>
    </row>
    <row r="732" spans="7:51" ht="15.75" customHeight="1" x14ac:dyDescent="0.2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11"/>
    </row>
    <row r="733" spans="7:51" ht="15.75" customHeight="1" x14ac:dyDescent="0.2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11"/>
    </row>
    <row r="734" spans="7:51" ht="15.75" customHeight="1" x14ac:dyDescent="0.2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11"/>
    </row>
    <row r="735" spans="7:51" ht="15.75" customHeight="1" x14ac:dyDescent="0.2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11"/>
    </row>
    <row r="736" spans="7:51" ht="15.75" customHeight="1" x14ac:dyDescent="0.2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11"/>
    </row>
    <row r="737" spans="7:51" ht="15.75" customHeight="1" x14ac:dyDescent="0.2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11"/>
    </row>
    <row r="738" spans="7:51" ht="15.75" customHeight="1" x14ac:dyDescent="0.2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11"/>
    </row>
    <row r="739" spans="7:51" ht="15.75" customHeight="1" x14ac:dyDescent="0.2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11"/>
    </row>
    <row r="740" spans="7:51" ht="15.75" customHeight="1" x14ac:dyDescent="0.2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11"/>
    </row>
    <row r="741" spans="7:51" ht="15.75" customHeight="1" x14ac:dyDescent="0.2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11"/>
    </row>
    <row r="742" spans="7:51" ht="15.75" customHeight="1" x14ac:dyDescent="0.2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11"/>
    </row>
    <row r="743" spans="7:51" ht="15.75" customHeight="1" x14ac:dyDescent="0.2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11"/>
    </row>
    <row r="744" spans="7:51" ht="15.75" customHeight="1" x14ac:dyDescent="0.2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11"/>
    </row>
    <row r="745" spans="7:51" ht="15.75" customHeight="1" x14ac:dyDescent="0.2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11"/>
    </row>
    <row r="746" spans="7:51" ht="15.75" customHeight="1" x14ac:dyDescent="0.2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11"/>
    </row>
    <row r="747" spans="7:51" ht="15.75" customHeight="1" x14ac:dyDescent="0.2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11"/>
    </row>
    <row r="748" spans="7:51" ht="15.75" customHeight="1" x14ac:dyDescent="0.2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11"/>
    </row>
    <row r="749" spans="7:51" ht="15.75" customHeight="1" x14ac:dyDescent="0.2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11"/>
    </row>
    <row r="750" spans="7:51" ht="15.75" customHeight="1" x14ac:dyDescent="0.2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11"/>
    </row>
    <row r="751" spans="7:51" ht="15.75" customHeight="1" x14ac:dyDescent="0.2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11"/>
    </row>
    <row r="752" spans="7:51" ht="15.75" customHeight="1" x14ac:dyDescent="0.2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11"/>
    </row>
    <row r="753" spans="7:51" ht="15.75" customHeight="1" x14ac:dyDescent="0.2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11"/>
    </row>
    <row r="754" spans="7:51" ht="15.75" customHeight="1" x14ac:dyDescent="0.2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11"/>
    </row>
    <row r="755" spans="7:51" ht="15.75" customHeight="1" x14ac:dyDescent="0.2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11"/>
    </row>
    <row r="756" spans="7:51" ht="15.75" customHeight="1" x14ac:dyDescent="0.2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11"/>
    </row>
    <row r="757" spans="7:51" ht="15.75" customHeight="1" x14ac:dyDescent="0.2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11"/>
    </row>
    <row r="758" spans="7:51" ht="15.75" customHeight="1" x14ac:dyDescent="0.2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11"/>
    </row>
    <row r="759" spans="7:51" ht="15.75" customHeight="1" x14ac:dyDescent="0.2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11"/>
    </row>
    <row r="760" spans="7:51" ht="15.75" customHeight="1" x14ac:dyDescent="0.2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11"/>
    </row>
    <row r="761" spans="7:51" ht="15.75" customHeight="1" x14ac:dyDescent="0.2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11"/>
    </row>
    <row r="762" spans="7:51" ht="15.75" customHeight="1" x14ac:dyDescent="0.2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11"/>
    </row>
    <row r="763" spans="7:51" ht="15.75" customHeight="1" x14ac:dyDescent="0.2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11"/>
    </row>
    <row r="764" spans="7:51" ht="15.75" customHeight="1" x14ac:dyDescent="0.2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11"/>
    </row>
    <row r="765" spans="7:51" ht="15.75" customHeight="1" x14ac:dyDescent="0.2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11"/>
    </row>
    <row r="766" spans="7:51" ht="15.75" customHeight="1" x14ac:dyDescent="0.2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11"/>
    </row>
    <row r="767" spans="7:51" ht="15.75" customHeight="1" x14ac:dyDescent="0.2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11"/>
    </row>
    <row r="768" spans="7:51" ht="15.75" customHeight="1" x14ac:dyDescent="0.2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11"/>
    </row>
    <row r="769" spans="7:51" ht="15.75" customHeight="1" x14ac:dyDescent="0.2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11"/>
    </row>
    <row r="770" spans="7:51" ht="15.75" customHeight="1" x14ac:dyDescent="0.2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11"/>
    </row>
    <row r="771" spans="7:51" ht="15.75" customHeight="1" x14ac:dyDescent="0.2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11"/>
    </row>
    <row r="772" spans="7:51" ht="15.75" customHeight="1" x14ac:dyDescent="0.2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11"/>
    </row>
    <row r="773" spans="7:51" ht="15.75" customHeight="1" x14ac:dyDescent="0.2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11"/>
    </row>
    <row r="774" spans="7:51" ht="15.75" customHeight="1" x14ac:dyDescent="0.2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11"/>
    </row>
    <row r="775" spans="7:51" ht="15.75" customHeight="1" x14ac:dyDescent="0.2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11"/>
    </row>
    <row r="776" spans="7:51" ht="15.75" customHeight="1" x14ac:dyDescent="0.2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11"/>
    </row>
    <row r="777" spans="7:51" ht="15.75" customHeight="1" x14ac:dyDescent="0.2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11"/>
    </row>
    <row r="778" spans="7:51" ht="15.75" customHeight="1" x14ac:dyDescent="0.2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11"/>
    </row>
    <row r="779" spans="7:51" ht="15.75" customHeight="1" x14ac:dyDescent="0.2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11"/>
    </row>
    <row r="780" spans="7:51" ht="15.75" customHeight="1" x14ac:dyDescent="0.2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11"/>
    </row>
    <row r="781" spans="7:51" ht="15.75" customHeight="1" x14ac:dyDescent="0.2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11"/>
    </row>
    <row r="782" spans="7:51" ht="15.75" customHeight="1" x14ac:dyDescent="0.2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11"/>
    </row>
    <row r="783" spans="7:51" ht="15.75" customHeight="1" x14ac:dyDescent="0.2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11"/>
    </row>
    <row r="784" spans="7:51" ht="15.75" customHeight="1" x14ac:dyDescent="0.2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11"/>
    </row>
    <row r="785" spans="7:51" ht="15.75" customHeight="1" x14ac:dyDescent="0.2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11"/>
    </row>
    <row r="786" spans="7:51" ht="15.75" customHeight="1" x14ac:dyDescent="0.2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11"/>
    </row>
    <row r="787" spans="7:51" ht="15.75" customHeight="1" x14ac:dyDescent="0.2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11"/>
    </row>
    <row r="788" spans="7:51" ht="15.75" customHeight="1" x14ac:dyDescent="0.2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11"/>
    </row>
    <row r="789" spans="7:51" ht="15.75" customHeight="1" x14ac:dyDescent="0.2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11"/>
    </row>
    <row r="790" spans="7:51" ht="15.75" customHeight="1" x14ac:dyDescent="0.2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11"/>
    </row>
    <row r="791" spans="7:51" ht="15.75" customHeight="1" x14ac:dyDescent="0.2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11"/>
    </row>
    <row r="792" spans="7:51" ht="15.75" customHeight="1" x14ac:dyDescent="0.2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11"/>
    </row>
    <row r="793" spans="7:51" ht="15.75" customHeight="1" x14ac:dyDescent="0.2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11"/>
    </row>
    <row r="794" spans="7:51" ht="15.75" customHeight="1" x14ac:dyDescent="0.2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11"/>
    </row>
    <row r="795" spans="7:51" ht="15.75" customHeight="1" x14ac:dyDescent="0.2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11"/>
    </row>
    <row r="796" spans="7:51" ht="15.75" customHeight="1" x14ac:dyDescent="0.2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11"/>
    </row>
    <row r="797" spans="7:51" ht="15.75" customHeight="1" x14ac:dyDescent="0.2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11"/>
    </row>
    <row r="798" spans="7:51" ht="15.75" customHeight="1" x14ac:dyDescent="0.2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11"/>
    </row>
    <row r="799" spans="7:51" ht="15.75" customHeight="1" x14ac:dyDescent="0.2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11"/>
    </row>
    <row r="800" spans="7:51" ht="15.75" customHeight="1" x14ac:dyDescent="0.2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11"/>
    </row>
    <row r="801" spans="7:51" ht="15.75" customHeight="1" x14ac:dyDescent="0.2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11"/>
    </row>
    <row r="802" spans="7:51" ht="15.75" customHeight="1" x14ac:dyDescent="0.2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11"/>
    </row>
    <row r="803" spans="7:51" ht="15.75" customHeight="1" x14ac:dyDescent="0.2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11"/>
    </row>
    <row r="804" spans="7:51" ht="15.75" customHeight="1" x14ac:dyDescent="0.2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11"/>
    </row>
    <row r="805" spans="7:51" ht="15.75" customHeight="1" x14ac:dyDescent="0.2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11"/>
    </row>
    <row r="806" spans="7:51" ht="15.75" customHeight="1" x14ac:dyDescent="0.2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11"/>
    </row>
    <row r="807" spans="7:51" ht="15.75" customHeight="1" x14ac:dyDescent="0.2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11"/>
    </row>
    <row r="808" spans="7:51" ht="15.75" customHeight="1" x14ac:dyDescent="0.2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11"/>
    </row>
    <row r="809" spans="7:51" ht="15.75" customHeight="1" x14ac:dyDescent="0.2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11"/>
    </row>
    <row r="810" spans="7:51" ht="15.75" customHeight="1" x14ac:dyDescent="0.2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11"/>
    </row>
    <row r="811" spans="7:51" ht="15.75" customHeight="1" x14ac:dyDescent="0.2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11"/>
    </row>
    <row r="812" spans="7:51" ht="15.75" customHeight="1" x14ac:dyDescent="0.2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11"/>
    </row>
    <row r="813" spans="7:51" ht="15.75" customHeight="1" x14ac:dyDescent="0.2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11"/>
    </row>
    <row r="814" spans="7:51" ht="15.75" customHeight="1" x14ac:dyDescent="0.2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11"/>
    </row>
    <row r="815" spans="7:51" ht="15.75" customHeight="1" x14ac:dyDescent="0.2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11"/>
    </row>
    <row r="816" spans="7:51" ht="15.75" customHeight="1" x14ac:dyDescent="0.2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11"/>
    </row>
    <row r="817" spans="7:51" ht="15.75" customHeight="1" x14ac:dyDescent="0.2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11"/>
    </row>
    <row r="818" spans="7:51" ht="15.75" customHeight="1" x14ac:dyDescent="0.2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11"/>
    </row>
    <row r="819" spans="7:51" ht="15.75" customHeight="1" x14ac:dyDescent="0.2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11"/>
    </row>
    <row r="820" spans="7:51" ht="15.75" customHeight="1" x14ac:dyDescent="0.2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11"/>
    </row>
    <row r="821" spans="7:51" ht="15.75" customHeight="1" x14ac:dyDescent="0.2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11"/>
    </row>
    <row r="822" spans="7:51" ht="15.75" customHeight="1" x14ac:dyDescent="0.2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11"/>
    </row>
    <row r="823" spans="7:51" ht="15.75" customHeight="1" x14ac:dyDescent="0.2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11"/>
    </row>
    <row r="824" spans="7:51" ht="15.75" customHeight="1" x14ac:dyDescent="0.2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11"/>
    </row>
    <row r="825" spans="7:51" ht="15.75" customHeight="1" x14ac:dyDescent="0.2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11"/>
    </row>
    <row r="826" spans="7:51" ht="15.75" customHeight="1" x14ac:dyDescent="0.2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11"/>
    </row>
    <row r="827" spans="7:51" ht="15.75" customHeight="1" x14ac:dyDescent="0.2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11"/>
    </row>
    <row r="828" spans="7:51" ht="15.75" customHeight="1" x14ac:dyDescent="0.2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11"/>
    </row>
    <row r="829" spans="7:51" ht="15.75" customHeight="1" x14ac:dyDescent="0.2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11"/>
    </row>
    <row r="830" spans="7:51" ht="15.75" customHeight="1" x14ac:dyDescent="0.2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11"/>
    </row>
    <row r="831" spans="7:51" ht="15.75" customHeight="1" x14ac:dyDescent="0.2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11"/>
    </row>
    <row r="832" spans="7:51" ht="15.75" customHeight="1" x14ac:dyDescent="0.2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11"/>
    </row>
    <row r="833" spans="7:51" ht="15.75" customHeight="1" x14ac:dyDescent="0.2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11"/>
    </row>
    <row r="834" spans="7:51" ht="15.75" customHeight="1" x14ac:dyDescent="0.2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11"/>
    </row>
    <row r="835" spans="7:51" ht="15.75" customHeight="1" x14ac:dyDescent="0.2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11"/>
    </row>
    <row r="836" spans="7:51" ht="15.75" customHeight="1" x14ac:dyDescent="0.2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11"/>
    </row>
    <row r="837" spans="7:51" ht="15.75" customHeight="1" x14ac:dyDescent="0.2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11"/>
    </row>
    <row r="838" spans="7:51" ht="15.75" customHeight="1" x14ac:dyDescent="0.2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11"/>
    </row>
    <row r="839" spans="7:51" ht="15.75" customHeight="1" x14ac:dyDescent="0.2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11"/>
    </row>
    <row r="840" spans="7:51" ht="15.75" customHeight="1" x14ac:dyDescent="0.2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11"/>
    </row>
    <row r="841" spans="7:51" ht="15.75" customHeight="1" x14ac:dyDescent="0.2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11"/>
    </row>
    <row r="842" spans="7:51" ht="15.75" customHeight="1" x14ac:dyDescent="0.2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11"/>
    </row>
    <row r="843" spans="7:51" ht="15.75" customHeight="1" x14ac:dyDescent="0.2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11"/>
    </row>
    <row r="844" spans="7:51" ht="15.75" customHeight="1" x14ac:dyDescent="0.2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11"/>
    </row>
    <row r="845" spans="7:51" ht="15.75" customHeight="1" x14ac:dyDescent="0.2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11"/>
    </row>
    <row r="846" spans="7:51" ht="15.75" customHeight="1" x14ac:dyDescent="0.2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11"/>
    </row>
    <row r="847" spans="7:51" ht="15.75" customHeight="1" x14ac:dyDescent="0.2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11"/>
    </row>
    <row r="848" spans="7:51" ht="15.75" customHeight="1" x14ac:dyDescent="0.2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11"/>
    </row>
    <row r="849" spans="7:51" ht="15.75" customHeight="1" x14ac:dyDescent="0.2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11"/>
    </row>
    <row r="850" spans="7:51" ht="15.75" customHeight="1" x14ac:dyDescent="0.2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11"/>
    </row>
    <row r="851" spans="7:51" ht="15.75" customHeight="1" x14ac:dyDescent="0.2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11"/>
    </row>
    <row r="852" spans="7:51" ht="15.75" customHeight="1" x14ac:dyDescent="0.2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11"/>
    </row>
    <row r="853" spans="7:51" ht="15.75" customHeight="1" x14ac:dyDescent="0.2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11"/>
    </row>
    <row r="854" spans="7:51" ht="15.75" customHeight="1" x14ac:dyDescent="0.2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11"/>
    </row>
    <row r="855" spans="7:51" ht="15.75" customHeight="1" x14ac:dyDescent="0.2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11"/>
    </row>
    <row r="856" spans="7:51" ht="15.75" customHeight="1" x14ac:dyDescent="0.2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11"/>
    </row>
    <row r="857" spans="7:51" ht="15.75" customHeight="1" x14ac:dyDescent="0.2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11"/>
    </row>
    <row r="858" spans="7:51" ht="15.75" customHeight="1" x14ac:dyDescent="0.2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11"/>
    </row>
    <row r="859" spans="7:51" ht="15.75" customHeight="1" x14ac:dyDescent="0.2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11"/>
    </row>
    <row r="860" spans="7:51" ht="15.75" customHeight="1" x14ac:dyDescent="0.2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11"/>
    </row>
    <row r="861" spans="7:51" ht="15.75" customHeight="1" x14ac:dyDescent="0.2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11"/>
    </row>
    <row r="862" spans="7:51" ht="15.75" customHeight="1" x14ac:dyDescent="0.2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11"/>
    </row>
    <row r="863" spans="7:51" ht="15.75" customHeight="1" x14ac:dyDescent="0.2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11"/>
    </row>
    <row r="864" spans="7:51" ht="15.75" customHeight="1" x14ac:dyDescent="0.2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11"/>
    </row>
    <row r="865" spans="7:51" ht="15.75" customHeight="1" x14ac:dyDescent="0.2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11"/>
    </row>
    <row r="866" spans="7:51" ht="15.75" customHeight="1" x14ac:dyDescent="0.2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11"/>
    </row>
    <row r="867" spans="7:51" ht="15.75" customHeight="1" x14ac:dyDescent="0.2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11"/>
    </row>
    <row r="868" spans="7:51" ht="15.75" customHeight="1" x14ac:dyDescent="0.2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11"/>
    </row>
    <row r="869" spans="7:51" ht="15.75" customHeight="1" x14ac:dyDescent="0.2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11"/>
    </row>
    <row r="870" spans="7:51" ht="15.75" customHeight="1" x14ac:dyDescent="0.2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11"/>
    </row>
    <row r="871" spans="7:51" ht="15.75" customHeight="1" x14ac:dyDescent="0.2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11"/>
    </row>
    <row r="872" spans="7:51" ht="15.75" customHeight="1" x14ac:dyDescent="0.2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11"/>
    </row>
    <row r="873" spans="7:51" ht="15.75" customHeight="1" x14ac:dyDescent="0.2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11"/>
    </row>
    <row r="874" spans="7:51" ht="15.75" customHeight="1" x14ac:dyDescent="0.2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11"/>
    </row>
    <row r="875" spans="7:51" ht="15.75" customHeight="1" x14ac:dyDescent="0.2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11"/>
    </row>
    <row r="876" spans="7:51" ht="15.75" customHeight="1" x14ac:dyDescent="0.2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11"/>
    </row>
    <row r="877" spans="7:51" ht="15.75" customHeight="1" x14ac:dyDescent="0.2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11"/>
    </row>
    <row r="878" spans="7:51" ht="15.75" customHeight="1" x14ac:dyDescent="0.2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11"/>
    </row>
    <row r="879" spans="7:51" ht="15.75" customHeight="1" x14ac:dyDescent="0.2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11"/>
    </row>
    <row r="880" spans="7:51" ht="15.75" customHeight="1" x14ac:dyDescent="0.2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11"/>
    </row>
    <row r="881" spans="7:51" ht="15.75" customHeight="1" x14ac:dyDescent="0.2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11"/>
    </row>
    <row r="882" spans="7:51" ht="15.75" customHeight="1" x14ac:dyDescent="0.2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11"/>
    </row>
    <row r="883" spans="7:51" ht="15.75" customHeight="1" x14ac:dyDescent="0.2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11"/>
    </row>
    <row r="884" spans="7:51" ht="15.75" customHeight="1" x14ac:dyDescent="0.2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11"/>
    </row>
    <row r="885" spans="7:51" ht="15.75" customHeight="1" x14ac:dyDescent="0.2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11"/>
    </row>
    <row r="886" spans="7:51" ht="15.75" customHeight="1" x14ac:dyDescent="0.2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11"/>
    </row>
    <row r="887" spans="7:51" ht="15.75" customHeight="1" x14ac:dyDescent="0.2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11"/>
    </row>
    <row r="888" spans="7:51" ht="15.75" customHeight="1" x14ac:dyDescent="0.2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11"/>
    </row>
    <row r="889" spans="7:51" ht="15.75" customHeight="1" x14ac:dyDescent="0.2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11"/>
    </row>
    <row r="890" spans="7:51" ht="15.75" customHeight="1" x14ac:dyDescent="0.2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11"/>
    </row>
    <row r="891" spans="7:51" ht="15.75" customHeight="1" x14ac:dyDescent="0.2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11"/>
    </row>
    <row r="892" spans="7:51" ht="15.75" customHeight="1" x14ac:dyDescent="0.2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11"/>
    </row>
    <row r="893" spans="7:51" ht="15.75" customHeight="1" x14ac:dyDescent="0.2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11"/>
    </row>
    <row r="894" spans="7:51" ht="15.75" customHeight="1" x14ac:dyDescent="0.2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11"/>
    </row>
    <row r="895" spans="7:51" ht="15.75" customHeight="1" x14ac:dyDescent="0.2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11"/>
    </row>
    <row r="896" spans="7:51" ht="15.75" customHeight="1" x14ac:dyDescent="0.2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11"/>
    </row>
    <row r="897" spans="7:51" ht="15.75" customHeight="1" x14ac:dyDescent="0.2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11"/>
    </row>
    <row r="898" spans="7:51" ht="15.75" customHeight="1" x14ac:dyDescent="0.2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11"/>
    </row>
    <row r="899" spans="7:51" ht="15.75" customHeight="1" x14ac:dyDescent="0.2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11"/>
    </row>
    <row r="900" spans="7:51" ht="15.75" customHeight="1" x14ac:dyDescent="0.2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11"/>
    </row>
    <row r="901" spans="7:51" ht="15.75" customHeight="1" x14ac:dyDescent="0.2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11"/>
    </row>
    <row r="902" spans="7:51" ht="15.75" customHeight="1" x14ac:dyDescent="0.2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11"/>
    </row>
    <row r="903" spans="7:51" ht="15.75" customHeight="1" x14ac:dyDescent="0.2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11"/>
    </row>
    <row r="904" spans="7:51" ht="15.75" customHeight="1" x14ac:dyDescent="0.2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11"/>
    </row>
    <row r="905" spans="7:51" ht="15.75" customHeight="1" x14ac:dyDescent="0.2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11"/>
    </row>
    <row r="906" spans="7:51" ht="15.75" customHeight="1" x14ac:dyDescent="0.2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11"/>
    </row>
    <row r="907" spans="7:51" ht="15.75" customHeight="1" x14ac:dyDescent="0.2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11"/>
    </row>
    <row r="908" spans="7:51" ht="15.75" customHeight="1" x14ac:dyDescent="0.2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11"/>
    </row>
    <row r="909" spans="7:51" ht="15.75" customHeight="1" x14ac:dyDescent="0.2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11"/>
    </row>
    <row r="910" spans="7:51" ht="15.75" customHeight="1" x14ac:dyDescent="0.2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11"/>
    </row>
    <row r="911" spans="7:51" ht="15.75" customHeight="1" x14ac:dyDescent="0.2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11"/>
    </row>
    <row r="912" spans="7:51" ht="15.75" customHeight="1" x14ac:dyDescent="0.2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11"/>
    </row>
    <row r="913" spans="7:51" ht="15.75" customHeight="1" x14ac:dyDescent="0.2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11"/>
    </row>
    <row r="914" spans="7:51" ht="15.75" customHeight="1" x14ac:dyDescent="0.2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11"/>
    </row>
    <row r="915" spans="7:51" ht="15.75" customHeight="1" x14ac:dyDescent="0.2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11"/>
    </row>
    <row r="916" spans="7:51" ht="15.75" customHeight="1" x14ac:dyDescent="0.2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11"/>
    </row>
    <row r="917" spans="7:51" ht="15.75" customHeight="1" x14ac:dyDescent="0.2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11"/>
    </row>
    <row r="918" spans="7:51" ht="15.75" customHeight="1" x14ac:dyDescent="0.2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11"/>
    </row>
    <row r="919" spans="7:51" ht="15.75" customHeight="1" x14ac:dyDescent="0.2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11"/>
    </row>
    <row r="920" spans="7:51" ht="15.75" customHeight="1" x14ac:dyDescent="0.2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11"/>
    </row>
    <row r="921" spans="7:51" ht="15.75" customHeight="1" x14ac:dyDescent="0.2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11"/>
    </row>
    <row r="922" spans="7:51" ht="15.75" customHeight="1" x14ac:dyDescent="0.2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11"/>
    </row>
    <row r="923" spans="7:51" ht="15.75" customHeight="1" x14ac:dyDescent="0.2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11"/>
    </row>
    <row r="924" spans="7:51" ht="15.75" customHeight="1" x14ac:dyDescent="0.2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11"/>
    </row>
    <row r="925" spans="7:51" ht="15.75" customHeight="1" x14ac:dyDescent="0.2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11"/>
    </row>
    <row r="926" spans="7:51" ht="15.75" customHeight="1" x14ac:dyDescent="0.2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11"/>
    </row>
    <row r="927" spans="7:51" ht="15.75" customHeight="1" x14ac:dyDescent="0.2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11"/>
    </row>
    <row r="928" spans="7:51" ht="15.75" customHeight="1" x14ac:dyDescent="0.2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11"/>
    </row>
    <row r="929" spans="7:51" ht="15.75" customHeight="1" x14ac:dyDescent="0.2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11"/>
    </row>
    <row r="930" spans="7:51" ht="15.75" customHeight="1" x14ac:dyDescent="0.2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11"/>
    </row>
    <row r="931" spans="7:51" ht="15.75" customHeight="1" x14ac:dyDescent="0.2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11"/>
    </row>
    <row r="932" spans="7:51" ht="15.75" customHeight="1" x14ac:dyDescent="0.2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11"/>
    </row>
    <row r="933" spans="7:51" ht="15.75" customHeight="1" x14ac:dyDescent="0.2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11"/>
    </row>
    <row r="934" spans="7:51" ht="15.75" customHeight="1" x14ac:dyDescent="0.2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11"/>
    </row>
    <row r="935" spans="7:51" ht="15.75" customHeight="1" x14ac:dyDescent="0.2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11"/>
    </row>
    <row r="936" spans="7:51" ht="15.75" customHeight="1" x14ac:dyDescent="0.2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11"/>
    </row>
    <row r="937" spans="7:51" ht="15.75" customHeight="1" x14ac:dyDescent="0.2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11"/>
    </row>
    <row r="938" spans="7:51" ht="15.75" customHeight="1" x14ac:dyDescent="0.2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11"/>
    </row>
    <row r="939" spans="7:51" ht="15.75" customHeight="1" x14ac:dyDescent="0.2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11"/>
    </row>
    <row r="940" spans="7:51" ht="15.75" customHeight="1" x14ac:dyDescent="0.2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11"/>
    </row>
    <row r="941" spans="7:51" ht="15.75" customHeight="1" x14ac:dyDescent="0.2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11"/>
    </row>
    <row r="942" spans="7:51" ht="15.75" customHeight="1" x14ac:dyDescent="0.2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11"/>
    </row>
    <row r="943" spans="7:51" ht="15.75" customHeight="1" x14ac:dyDescent="0.2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11"/>
    </row>
    <row r="944" spans="7:51" ht="15.75" customHeight="1" x14ac:dyDescent="0.2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11"/>
    </row>
    <row r="945" spans="7:51" ht="15.75" customHeight="1" x14ac:dyDescent="0.2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11"/>
    </row>
    <row r="946" spans="7:51" ht="15.75" customHeight="1" x14ac:dyDescent="0.2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11"/>
    </row>
    <row r="947" spans="7:51" ht="15.75" customHeight="1" x14ac:dyDescent="0.2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11"/>
    </row>
    <row r="948" spans="7:51" ht="15.75" customHeight="1" x14ac:dyDescent="0.2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11"/>
    </row>
    <row r="949" spans="7:51" ht="15.75" customHeight="1" x14ac:dyDescent="0.2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11"/>
    </row>
    <row r="950" spans="7:51" ht="15.75" customHeight="1" x14ac:dyDescent="0.2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11"/>
    </row>
    <row r="951" spans="7:51" ht="15.75" customHeight="1" x14ac:dyDescent="0.2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11"/>
    </row>
    <row r="952" spans="7:51" ht="15.75" customHeight="1" x14ac:dyDescent="0.2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11"/>
    </row>
    <row r="953" spans="7:51" ht="15.75" customHeight="1" x14ac:dyDescent="0.2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11"/>
    </row>
    <row r="954" spans="7:51" ht="15.75" customHeight="1" x14ac:dyDescent="0.2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11"/>
    </row>
    <row r="955" spans="7:51" ht="15.75" customHeight="1" x14ac:dyDescent="0.2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11"/>
    </row>
    <row r="956" spans="7:51" ht="15.75" customHeight="1" x14ac:dyDescent="0.2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11"/>
    </row>
    <row r="957" spans="7:51" ht="15.75" customHeight="1" x14ac:dyDescent="0.2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11"/>
    </row>
    <row r="958" spans="7:51" ht="15.75" customHeight="1" x14ac:dyDescent="0.2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11"/>
    </row>
    <row r="959" spans="7:51" ht="15.75" customHeight="1" x14ac:dyDescent="0.2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11"/>
    </row>
    <row r="960" spans="7:51" ht="15.75" customHeight="1" x14ac:dyDescent="0.2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11"/>
    </row>
    <row r="961" spans="7:51" ht="15.75" customHeight="1" x14ac:dyDescent="0.2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11"/>
    </row>
    <row r="962" spans="7:51" ht="15.75" customHeight="1" x14ac:dyDescent="0.2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11"/>
    </row>
    <row r="963" spans="7:51" ht="15.75" customHeight="1" x14ac:dyDescent="0.2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11"/>
    </row>
    <row r="964" spans="7:51" ht="15.75" customHeight="1" x14ac:dyDescent="0.2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11"/>
    </row>
    <row r="965" spans="7:51" ht="15.75" customHeight="1" x14ac:dyDescent="0.2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11"/>
    </row>
    <row r="966" spans="7:51" ht="15.75" customHeight="1" x14ac:dyDescent="0.2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11"/>
    </row>
    <row r="967" spans="7:51" ht="15.75" customHeight="1" x14ac:dyDescent="0.2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11"/>
    </row>
    <row r="968" spans="7:51" ht="15.75" customHeight="1" x14ac:dyDescent="0.2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11"/>
    </row>
    <row r="969" spans="7:51" ht="15.75" customHeight="1" x14ac:dyDescent="0.2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11"/>
    </row>
    <row r="970" spans="7:51" ht="15.75" customHeight="1" x14ac:dyDescent="0.2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11"/>
    </row>
    <row r="971" spans="7:51" ht="15.75" customHeight="1" x14ac:dyDescent="0.2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11"/>
    </row>
    <row r="972" spans="7:51" ht="15.75" customHeight="1" x14ac:dyDescent="0.2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11"/>
    </row>
    <row r="973" spans="7:51" ht="15.75" customHeight="1" x14ac:dyDescent="0.2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11"/>
    </row>
    <row r="974" spans="7:51" ht="15.75" customHeight="1" x14ac:dyDescent="0.2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11"/>
    </row>
    <row r="975" spans="7:51" ht="15.75" customHeight="1" x14ac:dyDescent="0.2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11"/>
    </row>
    <row r="976" spans="7:51" ht="15.75" customHeight="1" x14ac:dyDescent="0.2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11"/>
    </row>
    <row r="977" spans="7:51" ht="15.75" customHeight="1" x14ac:dyDescent="0.2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11"/>
    </row>
    <row r="978" spans="7:51" ht="15.75" customHeight="1" x14ac:dyDescent="0.2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11"/>
    </row>
    <row r="979" spans="7:51" ht="15.75" customHeight="1" x14ac:dyDescent="0.2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11"/>
    </row>
    <row r="980" spans="7:51" ht="15.75" customHeight="1" x14ac:dyDescent="0.2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11"/>
    </row>
    <row r="981" spans="7:51" ht="15.75" customHeight="1" x14ac:dyDescent="0.2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11"/>
    </row>
    <row r="982" spans="7:51" ht="15.75" customHeight="1" x14ac:dyDescent="0.2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11"/>
    </row>
    <row r="983" spans="7:51" ht="15.75" customHeight="1" x14ac:dyDescent="0.2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11"/>
    </row>
    <row r="984" spans="7:51" ht="15.75" customHeight="1" x14ac:dyDescent="0.2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11"/>
    </row>
    <row r="985" spans="7:51" ht="15.75" customHeight="1" x14ac:dyDescent="0.2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11"/>
    </row>
    <row r="986" spans="7:51" ht="15.75" customHeight="1" x14ac:dyDescent="0.2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11"/>
    </row>
    <row r="987" spans="7:51" ht="15.75" customHeight="1" x14ac:dyDescent="0.2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11"/>
    </row>
    <row r="988" spans="7:51" ht="15.75" customHeight="1" x14ac:dyDescent="0.2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11"/>
    </row>
    <row r="989" spans="7:51" ht="15.75" customHeight="1" x14ac:dyDescent="0.2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11"/>
    </row>
    <row r="990" spans="7:51" ht="15.75" customHeight="1" x14ac:dyDescent="0.2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11"/>
    </row>
    <row r="991" spans="7:51" ht="15.75" customHeight="1" x14ac:dyDescent="0.2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11"/>
    </row>
    <row r="992" spans="7:51" ht="15.75" customHeight="1" x14ac:dyDescent="0.2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11"/>
    </row>
    <row r="993" spans="7:51" ht="15.75" customHeight="1" x14ac:dyDescent="0.2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11"/>
    </row>
    <row r="994" spans="7:51" ht="15.75" customHeight="1" x14ac:dyDescent="0.2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11"/>
    </row>
    <row r="995" spans="7:51" ht="15.75" customHeight="1" x14ac:dyDescent="0.2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11"/>
    </row>
    <row r="996" spans="7:51" ht="15.75" customHeight="1" x14ac:dyDescent="0.2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11"/>
    </row>
    <row r="997" spans="7:51" ht="15.75" customHeight="1" x14ac:dyDescent="0.2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11"/>
    </row>
    <row r="998" spans="7:51" ht="15.75" customHeight="1" x14ac:dyDescent="0.2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11"/>
    </row>
    <row r="999" spans="7:51" ht="15.75" customHeight="1" x14ac:dyDescent="0.2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11"/>
    </row>
    <row r="1000" spans="7:51" ht="15.75" customHeight="1" x14ac:dyDescent="0.2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11"/>
    </row>
    <row r="1001" spans="7:51" ht="15.75" customHeight="1" x14ac:dyDescent="0.2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11"/>
    </row>
    <row r="1002" spans="7:51" ht="15.75" customHeight="1" x14ac:dyDescent="0.2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11"/>
    </row>
    <row r="1003" spans="7:51" ht="15.75" customHeight="1" x14ac:dyDescent="0.2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11"/>
    </row>
    <row r="1004" spans="7:51" ht="15.75" customHeight="1" x14ac:dyDescent="0.2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11"/>
    </row>
    <row r="1005" spans="7:51" ht="15.75" customHeight="1" x14ac:dyDescent="0.2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11"/>
    </row>
    <row r="1006" spans="7:51" ht="15.75" customHeight="1" x14ac:dyDescent="0.2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11"/>
    </row>
    <row r="1007" spans="7:51" ht="15.75" customHeight="1" x14ac:dyDescent="0.2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11"/>
    </row>
    <row r="1008" spans="7:51" ht="15.75" customHeight="1" x14ac:dyDescent="0.2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11"/>
    </row>
    <row r="1009" spans="7:51" ht="15.75" customHeight="1" x14ac:dyDescent="0.2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11"/>
    </row>
    <row r="1010" spans="7:51" ht="15.75" customHeight="1" x14ac:dyDescent="0.2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11"/>
    </row>
    <row r="1011" spans="7:51" ht="15.75" customHeight="1" x14ac:dyDescent="0.2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11"/>
    </row>
  </sheetData>
  <printOptions horizontalCentered="1" gridLines="1"/>
  <pageMargins left="0.25" right="0.25" top="0.75" bottom="0.75" header="0" footer="0"/>
  <pageSetup pageOrder="overThenDown" orientation="landscape" cellComments="atEnd"/>
  <colBreaks count="1" manualBreakCount="1">
    <brk id="3" man="1"/>
  </col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I314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sheetData>
    <row r="1" spans="1:61" x14ac:dyDescent="0.2">
      <c r="A1" s="64" t="s">
        <v>178</v>
      </c>
      <c r="B1" s="1"/>
      <c r="C1" s="1"/>
    </row>
    <row r="3" spans="1:61" x14ac:dyDescent="0.2">
      <c r="A3" s="12" t="s">
        <v>1</v>
      </c>
      <c r="B3" s="38" t="s">
        <v>179</v>
      </c>
      <c r="C3" s="12"/>
    </row>
    <row r="4" spans="1:61" x14ac:dyDescent="0.2">
      <c r="A4" s="12" t="s">
        <v>3</v>
      </c>
      <c r="B4" s="38" t="s">
        <v>242</v>
      </c>
    </row>
    <row r="6" spans="1:61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  <c r="BG6" s="9"/>
      <c r="BH6" s="9"/>
      <c r="BI6" s="9"/>
    </row>
    <row r="7" spans="1:61" x14ac:dyDescent="0.2">
      <c r="A7" s="12" t="s">
        <v>57</v>
      </c>
      <c r="B7" s="12" t="s">
        <v>58</v>
      </c>
      <c r="C7" s="12">
        <v>2352</v>
      </c>
    </row>
    <row r="8" spans="1:61" x14ac:dyDescent="0.2">
      <c r="A8" s="12" t="s">
        <v>57</v>
      </c>
      <c r="B8" s="12" t="s">
        <v>58</v>
      </c>
      <c r="C8" s="12">
        <v>2353</v>
      </c>
    </row>
    <row r="9" spans="1:61" x14ac:dyDescent="0.2">
      <c r="A9" s="12" t="s">
        <v>57</v>
      </c>
      <c r="B9" s="12" t="s">
        <v>58</v>
      </c>
      <c r="C9" s="34">
        <v>2354</v>
      </c>
    </row>
    <row r="10" spans="1:61" x14ac:dyDescent="0.2">
      <c r="A10" s="12" t="s">
        <v>57</v>
      </c>
      <c r="B10" s="12" t="s">
        <v>64</v>
      </c>
      <c r="C10" s="12">
        <v>2355</v>
      </c>
    </row>
    <row r="11" spans="1:61" x14ac:dyDescent="0.2">
      <c r="A11" s="12" t="s">
        <v>57</v>
      </c>
      <c r="B11" s="12" t="s">
        <v>64</v>
      </c>
      <c r="C11" s="34" t="s">
        <v>65</v>
      </c>
    </row>
    <row r="12" spans="1:61" x14ac:dyDescent="0.2">
      <c r="A12" s="12" t="s">
        <v>57</v>
      </c>
      <c r="B12" s="12" t="s">
        <v>64</v>
      </c>
      <c r="C12" s="12">
        <v>2356</v>
      </c>
    </row>
    <row r="13" spans="1:61" x14ac:dyDescent="0.2">
      <c r="A13" s="12" t="s">
        <v>57</v>
      </c>
      <c r="B13" s="12" t="s">
        <v>64</v>
      </c>
      <c r="C13" s="12">
        <v>2357</v>
      </c>
    </row>
    <row r="14" spans="1:61" x14ac:dyDescent="0.2">
      <c r="A14" s="12" t="s">
        <v>57</v>
      </c>
      <c r="B14" s="12" t="s">
        <v>64</v>
      </c>
      <c r="C14" s="34" t="s">
        <v>65</v>
      </c>
    </row>
    <row r="15" spans="1:61" x14ac:dyDescent="0.2">
      <c r="A15" s="12" t="s">
        <v>57</v>
      </c>
      <c r="B15" s="12" t="s">
        <v>64</v>
      </c>
      <c r="C15" s="12">
        <v>2358</v>
      </c>
    </row>
    <row r="16" spans="1:61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53" x14ac:dyDescent="0.2">
      <c r="A97" s="2" t="s">
        <v>112</v>
      </c>
      <c r="B97" s="3" t="s">
        <v>64</v>
      </c>
      <c r="C97" s="3"/>
    </row>
    <row r="98" spans="1:53" x14ac:dyDescent="0.2">
      <c r="A98" s="2" t="s">
        <v>112</v>
      </c>
      <c r="B98" s="3" t="s">
        <v>64</v>
      </c>
      <c r="C98" s="3"/>
    </row>
    <row r="99" spans="1:53" x14ac:dyDescent="0.2">
      <c r="A99" s="2" t="s">
        <v>112</v>
      </c>
      <c r="B99" s="3" t="s">
        <v>64</v>
      </c>
      <c r="C99" s="3"/>
    </row>
    <row r="100" spans="1:53" x14ac:dyDescent="0.2">
      <c r="A100" s="2" t="s">
        <v>113</v>
      </c>
      <c r="B100" s="3" t="s">
        <v>64</v>
      </c>
      <c r="C100" s="3"/>
    </row>
    <row r="101" spans="1:53" x14ac:dyDescent="0.2">
      <c r="A101" s="2" t="s">
        <v>113</v>
      </c>
      <c r="B101" s="3" t="s">
        <v>64</v>
      </c>
      <c r="C101" s="3"/>
    </row>
    <row r="102" spans="1:53" x14ac:dyDescent="0.2">
      <c r="A102" s="2" t="s">
        <v>113</v>
      </c>
      <c r="B102" s="3" t="s">
        <v>64</v>
      </c>
      <c r="C102" s="3"/>
    </row>
    <row r="103" spans="1:53" x14ac:dyDescent="0.2">
      <c r="A103" s="2" t="s">
        <v>113</v>
      </c>
      <c r="B103" s="3" t="s">
        <v>64</v>
      </c>
      <c r="C103" s="3"/>
    </row>
    <row r="104" spans="1:53" x14ac:dyDescent="0.2">
      <c r="A104" s="2" t="s">
        <v>113</v>
      </c>
      <c r="B104" s="3" t="s">
        <v>64</v>
      </c>
      <c r="C104" s="3"/>
    </row>
    <row r="105" spans="1:53" x14ac:dyDescent="0.2">
      <c r="A105" s="12" t="s">
        <v>114</v>
      </c>
      <c r="B105" s="12" t="s">
        <v>58</v>
      </c>
      <c r="C105" s="12"/>
    </row>
    <row r="106" spans="1:53" x14ac:dyDescent="0.2">
      <c r="A106" s="12" t="s">
        <v>114</v>
      </c>
      <c r="B106" s="12" t="s">
        <v>58</v>
      </c>
      <c r="C106" s="12"/>
    </row>
    <row r="107" spans="1:53" x14ac:dyDescent="0.2">
      <c r="A107" s="2" t="s">
        <v>117</v>
      </c>
      <c r="B107" s="3" t="s">
        <v>64</v>
      </c>
      <c r="C107" s="58">
        <v>2381</v>
      </c>
      <c r="F107" s="63">
        <v>44624</v>
      </c>
      <c r="AH107" s="57">
        <v>1.74</v>
      </c>
      <c r="AI107" s="57">
        <v>0.2576</v>
      </c>
      <c r="AK107" s="57">
        <v>1.53</v>
      </c>
      <c r="AL107" s="57">
        <v>0.13489999999999999</v>
      </c>
      <c r="AN107" s="57">
        <v>1.69</v>
      </c>
      <c r="AO107" s="57">
        <v>0.10390000000000001</v>
      </c>
      <c r="AQ107" s="57">
        <v>2.91</v>
      </c>
      <c r="AR107" s="57">
        <v>0.30730000000000002</v>
      </c>
      <c r="AT107" s="57">
        <v>1.2</v>
      </c>
      <c r="AU107" s="57">
        <v>0.1234</v>
      </c>
      <c r="AW107" s="57">
        <v>0.4</v>
      </c>
      <c r="AX107" s="57">
        <v>0.12809999999999999</v>
      </c>
      <c r="AZ107" s="57">
        <v>0.4</v>
      </c>
      <c r="BA107" s="57">
        <v>0.21179999999999999</v>
      </c>
    </row>
    <row r="108" spans="1:53" x14ac:dyDescent="0.2">
      <c r="A108" s="2" t="s">
        <v>117</v>
      </c>
      <c r="B108" s="3" t="s">
        <v>64</v>
      </c>
      <c r="C108" s="58"/>
    </row>
    <row r="109" spans="1:53" x14ac:dyDescent="0.2">
      <c r="A109" s="2" t="s">
        <v>117</v>
      </c>
      <c r="B109" s="3" t="s">
        <v>64</v>
      </c>
      <c r="C109" s="58"/>
    </row>
    <row r="110" spans="1:53" x14ac:dyDescent="0.2">
      <c r="A110" s="2" t="s">
        <v>117</v>
      </c>
      <c r="B110" s="3" t="s">
        <v>64</v>
      </c>
      <c r="C110" s="58">
        <v>2382</v>
      </c>
      <c r="F110" s="63">
        <v>44624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0.17780000000000001</v>
      </c>
      <c r="AT110" s="57">
        <v>1.6</v>
      </c>
      <c r="AU110" s="57">
        <v>0.13439999999999999</v>
      </c>
      <c r="AW110" s="57">
        <v>1.95</v>
      </c>
      <c r="AX110" s="57">
        <v>0.224</v>
      </c>
      <c r="AZ110" s="57">
        <v>1.96</v>
      </c>
      <c r="BA110" s="57">
        <v>0.16619999999999999</v>
      </c>
    </row>
    <row r="111" spans="1:53" x14ac:dyDescent="0.2">
      <c r="A111" s="2" t="s">
        <v>117</v>
      </c>
      <c r="B111" s="54" t="s">
        <v>64</v>
      </c>
      <c r="C111" s="60">
        <v>2383</v>
      </c>
    </row>
    <row r="112" spans="1:53" x14ac:dyDescent="0.2">
      <c r="A112" s="2" t="s">
        <v>117</v>
      </c>
      <c r="B112" s="54" t="s">
        <v>64</v>
      </c>
      <c r="C112" s="57">
        <v>2384</v>
      </c>
      <c r="F112" s="63">
        <v>44624</v>
      </c>
      <c r="AH112" s="57">
        <v>1.55</v>
      </c>
      <c r="AK112" s="57">
        <v>1.35</v>
      </c>
      <c r="AN112" s="57">
        <v>1.35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233</v>
      </c>
      <c r="B117" s="54" t="s">
        <v>234</v>
      </c>
    </row>
    <row r="118" spans="1:3" x14ac:dyDescent="0.2">
      <c r="A118" s="57" t="s">
        <v>235</v>
      </c>
      <c r="B118" s="54" t="s">
        <v>234</v>
      </c>
    </row>
    <row r="119" spans="1:3" x14ac:dyDescent="0.2">
      <c r="A119" s="57" t="s">
        <v>232</v>
      </c>
      <c r="B119" s="54" t="s">
        <v>234</v>
      </c>
    </row>
    <row r="120" spans="1:3" x14ac:dyDescent="0.2">
      <c r="A120" s="57" t="s">
        <v>233</v>
      </c>
      <c r="B120" s="54" t="s">
        <v>166</v>
      </c>
    </row>
    <row r="121" spans="1:3" x14ac:dyDescent="0.2">
      <c r="A121" s="57" t="s">
        <v>235</v>
      </c>
      <c r="B121" s="54" t="s">
        <v>166</v>
      </c>
    </row>
    <row r="122" spans="1:3" x14ac:dyDescent="0.2">
      <c r="A122" s="57" t="s">
        <v>232</v>
      </c>
      <c r="B122" s="54" t="s">
        <v>166</v>
      </c>
    </row>
    <row r="123" spans="1:3" x14ac:dyDescent="0.2">
      <c r="A123" s="57" t="s">
        <v>236</v>
      </c>
      <c r="B123" s="54" t="s">
        <v>58</v>
      </c>
      <c r="C123" s="57">
        <v>2093</v>
      </c>
    </row>
    <row r="124" spans="1:3" x14ac:dyDescent="0.2">
      <c r="A124" s="57" t="s">
        <v>236</v>
      </c>
      <c r="B124" s="54" t="s">
        <v>58</v>
      </c>
      <c r="C124" s="57">
        <v>2092</v>
      </c>
    </row>
    <row r="125" spans="1:3" x14ac:dyDescent="0.2">
      <c r="A125" s="57" t="s">
        <v>236</v>
      </c>
      <c r="B125" s="54" t="s">
        <v>58</v>
      </c>
      <c r="C125" s="57">
        <v>2091</v>
      </c>
    </row>
    <row r="126" spans="1:3" x14ac:dyDescent="0.2">
      <c r="A126" s="57" t="s">
        <v>236</v>
      </c>
      <c r="B126" s="54" t="s">
        <v>129</v>
      </c>
      <c r="C126" s="57">
        <v>2090</v>
      </c>
    </row>
    <row r="127" spans="1:3" x14ac:dyDescent="0.2">
      <c r="A127" s="57" t="s">
        <v>236</v>
      </c>
      <c r="B127" s="54" t="s">
        <v>58</v>
      </c>
      <c r="C127" s="57">
        <v>2089</v>
      </c>
    </row>
    <row r="128" spans="1: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54" t="s">
        <v>64</v>
      </c>
      <c r="C153" s="57">
        <v>2032</v>
      </c>
    </row>
    <row r="154" spans="1:3" x14ac:dyDescent="0.2">
      <c r="B154" s="54" t="s">
        <v>64</v>
      </c>
      <c r="C154" s="57">
        <v>2385</v>
      </c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F316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1" width="14.796875" customWidth="1"/>
    <col min="2" max="2" width="11.3984375" customWidth="1"/>
    <col min="3" max="3" width="25.796875" customWidth="1"/>
    <col min="6" max="6" width="17" customWidth="1"/>
  </cols>
  <sheetData>
    <row r="1" spans="1:58" x14ac:dyDescent="0.2">
      <c r="A1" s="64" t="s">
        <v>178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 spans="1:58" x14ac:dyDescent="0.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 spans="1:58" x14ac:dyDescent="0.2">
      <c r="A3" s="12" t="s">
        <v>1</v>
      </c>
      <c r="B3" s="38" t="s">
        <v>179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 spans="1:58" x14ac:dyDescent="0.2">
      <c r="A4" s="12" t="s">
        <v>3</v>
      </c>
      <c r="B4" s="38" t="s">
        <v>243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 spans="1:58" x14ac:dyDescent="0.2">
      <c r="A5" s="57" t="s">
        <v>244</v>
      </c>
      <c r="D5" s="14" t="s">
        <v>245</v>
      </c>
      <c r="E5" s="9"/>
      <c r="F5" s="9"/>
      <c r="G5" s="15" t="s">
        <v>246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D7" s="63"/>
      <c r="F7" s="57" t="s">
        <v>247</v>
      </c>
      <c r="G7" s="57">
        <v>1.51</v>
      </c>
      <c r="H7" s="57">
        <v>0.1245</v>
      </c>
      <c r="I7" s="57">
        <v>7.5999999999999998E-2</v>
      </c>
      <c r="J7" s="57">
        <v>1.23</v>
      </c>
      <c r="K7" s="57">
        <v>0.16880000000000001</v>
      </c>
      <c r="L7" s="57">
        <v>0.104</v>
      </c>
      <c r="M7" s="57">
        <v>1.48</v>
      </c>
      <c r="N7" s="57">
        <v>0.21440000000000001</v>
      </c>
      <c r="O7" s="57">
        <v>7.5999999999999998E-2</v>
      </c>
      <c r="Z7" s="57"/>
      <c r="AA7" s="57"/>
      <c r="AB7" s="57"/>
      <c r="AC7" s="57"/>
      <c r="AD7" s="57"/>
      <c r="AE7" s="57">
        <v>1.0667</v>
      </c>
      <c r="AF7" s="57">
        <v>0.65300000000000002</v>
      </c>
      <c r="AH7" s="57">
        <v>3.5</v>
      </c>
      <c r="AI7" s="57">
        <v>0.24610000000000001</v>
      </c>
      <c r="AJ7" s="57">
        <v>0.15</v>
      </c>
      <c r="AK7" s="57">
        <v>1.75</v>
      </c>
      <c r="AL7" s="57">
        <v>0.21959999999999999</v>
      </c>
      <c r="AM7" s="57">
        <v>0.13200000000000001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0.13100000000000001</v>
      </c>
      <c r="AT7" s="57">
        <v>2</v>
      </c>
      <c r="AU7" s="57">
        <v>0.23780000000000001</v>
      </c>
      <c r="AV7" s="57">
        <v>0.14399999999999999</v>
      </c>
      <c r="AW7" s="57">
        <v>2.6</v>
      </c>
      <c r="AX7" s="57">
        <v>0.19089999999999999</v>
      </c>
      <c r="AY7" s="57">
        <v>0.11799999999999999</v>
      </c>
      <c r="BC7" s="57">
        <v>0.24099999999999999</v>
      </c>
      <c r="BD7" s="57">
        <v>0.152</v>
      </c>
    </row>
    <row r="8" spans="1:58" x14ac:dyDescent="0.2">
      <c r="A8" s="12" t="s">
        <v>57</v>
      </c>
      <c r="B8" s="12" t="s">
        <v>58</v>
      </c>
      <c r="C8" s="12">
        <v>2353</v>
      </c>
      <c r="D8" s="63"/>
    </row>
    <row r="9" spans="1:58" x14ac:dyDescent="0.2">
      <c r="A9" s="12" t="s">
        <v>57</v>
      </c>
      <c r="B9" s="12" t="s">
        <v>58</v>
      </c>
      <c r="C9" s="34">
        <v>2354</v>
      </c>
      <c r="D9" s="63"/>
      <c r="F9" s="57" t="s">
        <v>247</v>
      </c>
      <c r="G9" s="57">
        <v>2.82</v>
      </c>
      <c r="H9" s="57">
        <v>0.37359999999999999</v>
      </c>
      <c r="I9" s="57">
        <v>0.22800000000000001</v>
      </c>
      <c r="J9" s="57">
        <v>2.57</v>
      </c>
      <c r="K9" s="57">
        <v>0.26369999999999999</v>
      </c>
      <c r="L9" s="57">
        <v>0.157</v>
      </c>
      <c r="M9" s="57">
        <v>1.82</v>
      </c>
      <c r="N9" s="57">
        <v>0.37</v>
      </c>
      <c r="O9" s="57">
        <v>0.218</v>
      </c>
      <c r="P9" s="57">
        <v>2.7090000000000001</v>
      </c>
      <c r="Q9" s="57">
        <v>0.27029999999999998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0.84899999999999998</v>
      </c>
      <c r="AH9" s="57">
        <v>2.9</v>
      </c>
      <c r="AI9" s="57">
        <v>0.28810000000000002</v>
      </c>
      <c r="AJ9" s="57">
        <v>0.17499999999999999</v>
      </c>
      <c r="AK9" s="57">
        <v>1.69</v>
      </c>
      <c r="AL9" s="57">
        <v>0.28399999999999997</v>
      </c>
      <c r="AM9" s="57">
        <v>0.16600000000000001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0.36809999999999998</v>
      </c>
      <c r="AS9" s="57">
        <v>0.22600000000000001</v>
      </c>
      <c r="BC9" s="57">
        <v>1.0383</v>
      </c>
      <c r="BD9" s="57">
        <v>0.62</v>
      </c>
    </row>
    <row r="10" spans="1:58" x14ac:dyDescent="0.2">
      <c r="A10" s="12" t="s">
        <v>57</v>
      </c>
      <c r="B10" s="12" t="s">
        <v>64</v>
      </c>
      <c r="C10" s="12">
        <v>2355</v>
      </c>
      <c r="D10" s="63"/>
    </row>
    <row r="11" spans="1:58" x14ac:dyDescent="0.2">
      <c r="A11" s="12" t="s">
        <v>57</v>
      </c>
      <c r="B11" s="12" t="s">
        <v>64</v>
      </c>
      <c r="C11" s="34" t="s">
        <v>65</v>
      </c>
      <c r="D11" s="63"/>
    </row>
    <row r="12" spans="1:58" x14ac:dyDescent="0.2">
      <c r="A12" s="12" t="s">
        <v>57</v>
      </c>
      <c r="B12" s="12" t="s">
        <v>64</v>
      </c>
      <c r="C12" s="12">
        <v>2356</v>
      </c>
      <c r="D12" s="63"/>
    </row>
    <row r="13" spans="1:58" x14ac:dyDescent="0.2">
      <c r="A13" s="12" t="s">
        <v>57</v>
      </c>
      <c r="B13" s="12" t="s">
        <v>64</v>
      </c>
      <c r="C13" s="12">
        <v>2357</v>
      </c>
      <c r="D13" s="63"/>
    </row>
    <row r="14" spans="1:58" x14ac:dyDescent="0.2">
      <c r="A14" s="12" t="s">
        <v>57</v>
      </c>
      <c r="B14" s="12" t="s">
        <v>64</v>
      </c>
      <c r="C14" s="34" t="s">
        <v>65</v>
      </c>
      <c r="D14" s="63"/>
    </row>
    <row r="15" spans="1:58" x14ac:dyDescent="0.2">
      <c r="A15" s="12" t="s">
        <v>57</v>
      </c>
      <c r="B15" s="12" t="s">
        <v>64</v>
      </c>
      <c r="C15" s="12">
        <v>2358</v>
      </c>
      <c r="D15" s="63"/>
    </row>
    <row r="16" spans="1:58" x14ac:dyDescent="0.2">
      <c r="A16" s="12" t="s">
        <v>57</v>
      </c>
      <c r="B16" s="12" t="s">
        <v>64</v>
      </c>
      <c r="C16" s="12">
        <v>2359</v>
      </c>
      <c r="D16" s="63"/>
    </row>
    <row r="17" spans="1:58" x14ac:dyDescent="0.2">
      <c r="A17" s="12" t="s">
        <v>57</v>
      </c>
      <c r="B17" s="12" t="s">
        <v>64</v>
      </c>
      <c r="C17" s="34" t="s">
        <v>65</v>
      </c>
      <c r="D17" s="63"/>
    </row>
    <row r="18" spans="1:58" x14ac:dyDescent="0.2">
      <c r="A18" s="12" t="s">
        <v>57</v>
      </c>
      <c r="B18" s="12" t="s">
        <v>64</v>
      </c>
      <c r="C18" s="12">
        <v>2360</v>
      </c>
      <c r="D18" s="63"/>
    </row>
    <row r="19" spans="1:58" x14ac:dyDescent="0.2">
      <c r="A19" s="12" t="s">
        <v>57</v>
      </c>
      <c r="B19" s="12" t="s">
        <v>64</v>
      </c>
      <c r="C19" s="12">
        <v>2361</v>
      </c>
      <c r="D19" s="63"/>
    </row>
    <row r="20" spans="1:58" x14ac:dyDescent="0.2">
      <c r="A20" s="12" t="s">
        <v>57</v>
      </c>
      <c r="B20" s="12" t="s">
        <v>64</v>
      </c>
      <c r="C20" s="34" t="s">
        <v>65</v>
      </c>
      <c r="D20" s="63"/>
    </row>
    <row r="21" spans="1:58" x14ac:dyDescent="0.2">
      <c r="A21" s="12" t="s">
        <v>57</v>
      </c>
      <c r="B21" s="12" t="s">
        <v>64</v>
      </c>
      <c r="C21" s="12">
        <v>2362</v>
      </c>
      <c r="D21" s="63"/>
    </row>
    <row r="22" spans="1:58" x14ac:dyDescent="0.2">
      <c r="A22" s="12" t="s">
        <v>57</v>
      </c>
      <c r="B22" s="12" t="s">
        <v>64</v>
      </c>
      <c r="C22" s="12">
        <v>2363</v>
      </c>
      <c r="D22" s="63"/>
    </row>
    <row r="23" spans="1:58" x14ac:dyDescent="0.2">
      <c r="A23" s="12" t="s">
        <v>57</v>
      </c>
      <c r="B23" s="12" t="s">
        <v>64</v>
      </c>
      <c r="C23" s="12">
        <v>2364</v>
      </c>
      <c r="D23" s="63"/>
    </row>
    <row r="24" spans="1:58" x14ac:dyDescent="0.2">
      <c r="A24" s="12" t="s">
        <v>57</v>
      </c>
      <c r="B24" s="12" t="s">
        <v>64</v>
      </c>
      <c r="C24" s="12">
        <v>2365</v>
      </c>
      <c r="D24" s="63"/>
      <c r="F24" s="63">
        <v>44628</v>
      </c>
      <c r="G24" s="57">
        <v>1.82</v>
      </c>
      <c r="J24" s="57">
        <v>1.5189999999999999</v>
      </c>
      <c r="M24" s="57">
        <v>1.63</v>
      </c>
      <c r="AE24" s="57">
        <v>0.57540000000000002</v>
      </c>
      <c r="AF24" s="57">
        <v>0.20599999999999999</v>
      </c>
      <c r="AH24" s="57">
        <v>1.65</v>
      </c>
      <c r="AI24" s="57">
        <v>6.2199999999999998E-2</v>
      </c>
      <c r="AJ24" s="57">
        <v>2.3E-2</v>
      </c>
      <c r="AK24" s="57">
        <v>2.8</v>
      </c>
      <c r="AL24" s="57">
        <v>0.1227</v>
      </c>
      <c r="AM24" s="57">
        <v>6.7000000000000004E-2</v>
      </c>
      <c r="AN24" s="57">
        <v>1.85</v>
      </c>
      <c r="AO24" s="57">
        <v>0.14119999999999999</v>
      </c>
      <c r="AP24" s="57">
        <v>5.0999999999999997E-2</v>
      </c>
      <c r="BC24" s="57">
        <v>2.0148999999999999</v>
      </c>
      <c r="BF24" s="57" t="s">
        <v>248</v>
      </c>
    </row>
    <row r="25" spans="1:58" x14ac:dyDescent="0.2">
      <c r="A25" s="12" t="s">
        <v>57</v>
      </c>
      <c r="B25" s="12" t="s">
        <v>64</v>
      </c>
      <c r="C25" s="12">
        <v>2366</v>
      </c>
      <c r="D25" s="63"/>
      <c r="F25" s="63">
        <v>44628</v>
      </c>
      <c r="G25" s="57">
        <v>1.538</v>
      </c>
      <c r="J25" s="57">
        <v>1.478</v>
      </c>
      <c r="AE25" s="57">
        <v>0.63639999999999997</v>
      </c>
      <c r="AF25" s="57">
        <v>0.22700000000000001</v>
      </c>
      <c r="AH25" s="57">
        <v>2.0099999999999998</v>
      </c>
      <c r="AI25" s="57">
        <v>0.3206</v>
      </c>
      <c r="AJ25" s="57">
        <v>0.112</v>
      </c>
      <c r="AK25" s="57">
        <v>3</v>
      </c>
      <c r="AL25" s="57">
        <v>0.15459999999999999</v>
      </c>
      <c r="AM25" s="57">
        <v>8.2000000000000003E-2</v>
      </c>
      <c r="AN25" s="57">
        <v>1.85</v>
      </c>
      <c r="AO25" s="57">
        <v>0.1376</v>
      </c>
      <c r="AP25" s="57">
        <v>0.13200000000000001</v>
      </c>
      <c r="BC25" s="57">
        <v>0.17399999999999999</v>
      </c>
      <c r="BD25" s="57">
        <v>0.72</v>
      </c>
    </row>
    <row r="26" spans="1:58" x14ac:dyDescent="0.2">
      <c r="A26" s="12" t="s">
        <v>57</v>
      </c>
      <c r="B26" s="12" t="s">
        <v>64</v>
      </c>
      <c r="C26" s="34" t="s">
        <v>65</v>
      </c>
      <c r="D26" s="63"/>
    </row>
    <row r="27" spans="1:58" x14ac:dyDescent="0.2">
      <c r="A27" s="12" t="s">
        <v>57</v>
      </c>
      <c r="B27" s="12" t="s">
        <v>64</v>
      </c>
      <c r="C27" s="12">
        <v>2367</v>
      </c>
      <c r="D27" s="63"/>
      <c r="F27" s="63">
        <v>44628</v>
      </c>
      <c r="G27" s="57">
        <v>1.49</v>
      </c>
      <c r="J27" s="57">
        <v>1.4830000000000001</v>
      </c>
      <c r="AE27" s="57">
        <v>0.30030000000000001</v>
      </c>
      <c r="AF27" s="57">
        <v>0.10100000000000001</v>
      </c>
      <c r="AH27" s="57">
        <v>2.1989999999999998</v>
      </c>
      <c r="AI27" s="57">
        <v>5.3600000000000002E-2</v>
      </c>
      <c r="AK27" s="57">
        <v>2.3050000000000002</v>
      </c>
      <c r="AL27" s="57">
        <v>3.6200000000000003E-2</v>
      </c>
      <c r="AN27" s="57">
        <v>2.2400000000000002</v>
      </c>
      <c r="AO27" s="57">
        <v>2.06E-2</v>
      </c>
      <c r="BC27" s="57">
        <v>0.50309999999999999</v>
      </c>
      <c r="BD27" s="57">
        <v>0.23300000000000001</v>
      </c>
      <c r="BF27" s="57" t="s">
        <v>249</v>
      </c>
    </row>
    <row r="28" spans="1:58" x14ac:dyDescent="0.2">
      <c r="A28" s="12" t="s">
        <v>57</v>
      </c>
      <c r="B28" s="12" t="s">
        <v>64</v>
      </c>
      <c r="C28" s="34" t="s">
        <v>65</v>
      </c>
      <c r="D28" s="63"/>
    </row>
    <row r="29" spans="1:58" x14ac:dyDescent="0.2">
      <c r="A29" s="12" t="s">
        <v>57</v>
      </c>
      <c r="B29" s="12" t="s">
        <v>64</v>
      </c>
      <c r="C29" s="34" t="s">
        <v>65</v>
      </c>
      <c r="D29" s="63"/>
    </row>
    <row r="30" spans="1:58" x14ac:dyDescent="0.2">
      <c r="A30" s="12" t="s">
        <v>57</v>
      </c>
      <c r="B30" s="12" t="s">
        <v>64</v>
      </c>
      <c r="C30" s="12">
        <v>2369</v>
      </c>
      <c r="D30" s="63"/>
      <c r="F30" s="63">
        <v>44628</v>
      </c>
      <c r="G30" s="57">
        <v>1.46</v>
      </c>
      <c r="J30" s="57">
        <v>1.4419999999999999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5.79E-2</v>
      </c>
      <c r="AK30" s="57">
        <v>2.41</v>
      </c>
      <c r="AL30" s="57">
        <v>0.19359999999999999</v>
      </c>
      <c r="AM30" s="57">
        <v>0.104</v>
      </c>
      <c r="AN30" s="57">
        <v>2.0649999999999999</v>
      </c>
      <c r="AO30" s="57">
        <v>0.1857</v>
      </c>
      <c r="AP30" s="57">
        <v>9.8000000000000004E-2</v>
      </c>
      <c r="AQ30" s="57">
        <v>2.86</v>
      </c>
      <c r="AR30" s="57">
        <v>0.37140000000000001</v>
      </c>
      <c r="AS30" s="57">
        <v>0.21099999999999999</v>
      </c>
      <c r="AT30" s="57">
        <v>2.1560000000000001</v>
      </c>
      <c r="AU30" s="57">
        <v>0.1188</v>
      </c>
      <c r="AV30" s="57">
        <v>6.7000000000000004E-2</v>
      </c>
      <c r="AW30" s="57">
        <v>2.3959999999999999</v>
      </c>
      <c r="AX30" s="57">
        <v>0.13980000000000001</v>
      </c>
      <c r="AY30" s="57">
        <v>7.3999999999999996E-2</v>
      </c>
      <c r="BC30" s="57">
        <v>1.0268999999999999</v>
      </c>
      <c r="BD30" s="57">
        <v>0.54100000000000004</v>
      </c>
    </row>
    <row r="31" spans="1:58" x14ac:dyDescent="0.2">
      <c r="A31" s="38" t="s">
        <v>70</v>
      </c>
      <c r="B31" s="38" t="s">
        <v>58</v>
      </c>
      <c r="C31" s="38">
        <v>2376</v>
      </c>
      <c r="D31" s="63"/>
      <c r="F31" s="63">
        <v>44631</v>
      </c>
      <c r="G31" s="57">
        <v>0.91</v>
      </c>
      <c r="H31" s="57">
        <v>0.29499999999999998</v>
      </c>
      <c r="I31" s="57">
        <v>0.17299999999999999</v>
      </c>
      <c r="J31" s="57">
        <v>0.751</v>
      </c>
      <c r="K31" s="57">
        <v>0.63360000000000005</v>
      </c>
      <c r="L31" s="57">
        <v>0.371</v>
      </c>
      <c r="M31" s="57">
        <v>0.80100000000000005</v>
      </c>
      <c r="N31" s="57">
        <v>0.46750000000000003</v>
      </c>
      <c r="O31" s="57">
        <v>0.27600000000000002</v>
      </c>
      <c r="Z31" s="57"/>
      <c r="AA31" s="57"/>
      <c r="AB31" s="57"/>
      <c r="AC31" s="57"/>
      <c r="AD31" s="57"/>
      <c r="AE31" s="57">
        <v>2.0767000000000002</v>
      </c>
      <c r="AF31" s="57">
        <v>1.232</v>
      </c>
      <c r="AH31" s="57">
        <v>2.504</v>
      </c>
      <c r="AI31" s="57">
        <v>0.23769999999999999</v>
      </c>
      <c r="AJ31" s="57">
        <v>0.14099999999999999</v>
      </c>
      <c r="AK31" s="57">
        <v>2.2309999999999999</v>
      </c>
      <c r="AL31" s="57">
        <v>0.3211</v>
      </c>
      <c r="AM31" s="57">
        <v>0.192</v>
      </c>
      <c r="AN31" s="57">
        <v>2.0169999999999999</v>
      </c>
      <c r="AO31" s="57">
        <v>0.39910000000000001</v>
      </c>
      <c r="AP31" s="57">
        <v>0.23499999999999999</v>
      </c>
      <c r="AQ31" s="57">
        <v>4.306</v>
      </c>
      <c r="AR31" s="57">
        <v>0.32229999999999998</v>
      </c>
      <c r="AS31" s="57">
        <v>0.20699999999999999</v>
      </c>
      <c r="AT31" s="57">
        <v>2.8359999999999999</v>
      </c>
      <c r="AU31" s="57">
        <v>0.55889999999999995</v>
      </c>
      <c r="AV31" s="57">
        <v>0.32800000000000001</v>
      </c>
      <c r="AW31" s="57">
        <v>2.2040000000000002</v>
      </c>
      <c r="AX31" s="57">
        <v>0.22489999999999999</v>
      </c>
      <c r="AY31" s="57">
        <v>0.13300000000000001</v>
      </c>
      <c r="BC31" s="57">
        <v>1.8261000000000001</v>
      </c>
      <c r="BD31" s="57">
        <v>1.089</v>
      </c>
    </row>
    <row r="32" spans="1:58" x14ac:dyDescent="0.2">
      <c r="A32" s="38" t="s">
        <v>70</v>
      </c>
      <c r="B32" s="38" t="s">
        <v>58</v>
      </c>
      <c r="C32" s="38">
        <v>2377</v>
      </c>
      <c r="D32" s="63"/>
      <c r="F32" s="63">
        <v>44628</v>
      </c>
      <c r="G32" s="57">
        <v>0.35299999999999998</v>
      </c>
      <c r="I32" s="57">
        <v>0.13600000000000001</v>
      </c>
      <c r="J32" s="57">
        <v>0.38</v>
      </c>
      <c r="L32" s="57">
        <v>0.14299999999999999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0.53879999999999995</v>
      </c>
      <c r="AM32" s="57">
        <v>0.17399999999999999</v>
      </c>
      <c r="AN32" s="57">
        <v>3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0.14399999999999999</v>
      </c>
      <c r="AT32" s="57">
        <v>1.55</v>
      </c>
      <c r="AU32" s="57">
        <v>0.26140000000000002</v>
      </c>
      <c r="AV32" s="57">
        <v>8.4000000000000005E-2</v>
      </c>
      <c r="AW32" s="57">
        <v>2.75</v>
      </c>
      <c r="AX32" s="57">
        <v>0.21060000000000001</v>
      </c>
      <c r="AY32" s="57">
        <v>0.13600000000000001</v>
      </c>
      <c r="BC32" s="33">
        <f>0.3702+0.2041</f>
        <v>0.57430000000000003</v>
      </c>
      <c r="BD32" s="57">
        <v>0.25700000000000001</v>
      </c>
      <c r="BF32" s="57" t="s">
        <v>250</v>
      </c>
    </row>
    <row r="33" spans="1:58" x14ac:dyDescent="0.2">
      <c r="A33" s="38" t="s">
        <v>70</v>
      </c>
      <c r="B33" s="38" t="s">
        <v>64</v>
      </c>
      <c r="C33" s="38">
        <v>2378</v>
      </c>
      <c r="D33" s="63"/>
      <c r="F33" s="57" t="s">
        <v>247</v>
      </c>
      <c r="G33" s="57">
        <v>0.92300000000000004</v>
      </c>
      <c r="H33" s="57">
        <v>0.1487</v>
      </c>
      <c r="I33" s="57">
        <v>6.3E-2</v>
      </c>
      <c r="J33" s="57">
        <v>1.05</v>
      </c>
      <c r="K33" s="57">
        <v>0.2162</v>
      </c>
      <c r="L33" s="57">
        <v>9.2999999999999999E-2</v>
      </c>
      <c r="M33" s="57">
        <v>1.1000000000000001</v>
      </c>
      <c r="N33" s="57">
        <v>0.1613</v>
      </c>
      <c r="O33" s="57">
        <v>6.9000000000000006E-2</v>
      </c>
      <c r="Z33" s="57"/>
      <c r="AA33" s="57"/>
      <c r="AB33" s="57"/>
      <c r="AC33" s="57"/>
      <c r="AD33" s="57"/>
      <c r="AE33" s="57">
        <v>3.1114000000000002</v>
      </c>
      <c r="AF33" s="57">
        <v>1.3080000000000001</v>
      </c>
      <c r="AH33" s="57">
        <v>1.85</v>
      </c>
      <c r="AI33" s="57">
        <v>0.15329999999999999</v>
      </c>
      <c r="AJ33" s="57">
        <v>6.2E-2</v>
      </c>
      <c r="AK33" s="57">
        <v>2</v>
      </c>
      <c r="AL33" s="57">
        <v>0.17849999999999999</v>
      </c>
      <c r="AM33" s="57">
        <v>7.4999999999999997E-2</v>
      </c>
      <c r="AN33" s="57">
        <v>1.8</v>
      </c>
      <c r="AO33" s="57">
        <v>0.1671</v>
      </c>
      <c r="AP33" s="57">
        <v>7.0000000000000007E-2</v>
      </c>
      <c r="AQ33" s="57">
        <v>1.5</v>
      </c>
      <c r="AR33" s="57">
        <v>0.16900000000000001</v>
      </c>
      <c r="AS33" s="57">
        <v>7.1999999999999995E-2</v>
      </c>
      <c r="BC33" s="57">
        <v>0.8256</v>
      </c>
      <c r="BD33" s="57">
        <v>0.34499999999999997</v>
      </c>
    </row>
    <row r="34" spans="1:58" x14ac:dyDescent="0.2">
      <c r="A34" s="38" t="s">
        <v>70</v>
      </c>
      <c r="B34" s="38" t="s">
        <v>64</v>
      </c>
      <c r="C34" s="38">
        <v>2379</v>
      </c>
      <c r="D34" s="63"/>
      <c r="F34" s="63">
        <v>44631</v>
      </c>
      <c r="G34" s="57">
        <v>1.2010000000000001</v>
      </c>
      <c r="H34" s="57">
        <v>0.16650000000000001</v>
      </c>
      <c r="J34" s="57">
        <v>1.44</v>
      </c>
      <c r="K34" s="57">
        <v>0.16850000000000001</v>
      </c>
      <c r="M34" s="57">
        <v>1.1240000000000001</v>
      </c>
      <c r="N34" s="57">
        <v>0.22420000000000001</v>
      </c>
      <c r="P34" s="57">
        <v>1.19</v>
      </c>
      <c r="Q34" s="57">
        <v>8.7999999999999995E-2</v>
      </c>
      <c r="Z34" s="57"/>
      <c r="AA34" s="57"/>
      <c r="AB34" s="57"/>
      <c r="AC34" s="57"/>
      <c r="AD34" s="57"/>
      <c r="AE34" s="57">
        <v>1.8815</v>
      </c>
    </row>
    <row r="35" spans="1:58" x14ac:dyDescent="0.2">
      <c r="A35" s="38" t="s">
        <v>70</v>
      </c>
      <c r="B35" s="38" t="s">
        <v>58</v>
      </c>
      <c r="C35" s="38">
        <v>2380</v>
      </c>
      <c r="D35" s="63"/>
      <c r="F35" s="63">
        <v>44628</v>
      </c>
      <c r="G35" s="57">
        <v>1.07</v>
      </c>
      <c r="I35" s="57">
        <v>5.8999999999999997E-2</v>
      </c>
      <c r="J35" s="57">
        <v>0.54900000000000004</v>
      </c>
      <c r="L35" s="57">
        <v>5.3999999999999999E-2</v>
      </c>
      <c r="M35" s="57">
        <v>1.0309999999999999</v>
      </c>
      <c r="O35" s="57">
        <v>0.15</v>
      </c>
      <c r="P35" s="57">
        <v>0.54900000000000004</v>
      </c>
      <c r="S35" s="57">
        <v>0.49</v>
      </c>
      <c r="AH35" s="57">
        <v>2.37</v>
      </c>
      <c r="AI35" s="57">
        <v>0.216</v>
      </c>
      <c r="AJ35" s="57">
        <v>0.13300000000000001</v>
      </c>
      <c r="AK35" s="57">
        <v>2.94</v>
      </c>
      <c r="AL35" s="57">
        <v>0.30649999999999999</v>
      </c>
      <c r="AM35" s="57">
        <v>0.186</v>
      </c>
      <c r="AN35" s="57">
        <v>2.87</v>
      </c>
      <c r="AO35" s="57">
        <v>0.14130000000000001</v>
      </c>
      <c r="AP35" s="57">
        <v>8.5999999999999993E-2</v>
      </c>
      <c r="AQ35" s="57">
        <v>3.1389999999999998</v>
      </c>
      <c r="AR35" s="57">
        <v>0.21160000000000001</v>
      </c>
      <c r="AS35" s="57">
        <v>0.14099999999999999</v>
      </c>
      <c r="BC35" s="57">
        <v>0.1225</v>
      </c>
      <c r="BD35" s="57">
        <v>0.748</v>
      </c>
      <c r="BF35" s="57" t="s">
        <v>251</v>
      </c>
    </row>
    <row r="36" spans="1:58" x14ac:dyDescent="0.2">
      <c r="A36" s="12" t="s">
        <v>74</v>
      </c>
      <c r="B36" s="12" t="s">
        <v>64</v>
      </c>
      <c r="C36" s="12">
        <v>2337</v>
      </c>
      <c r="D36" s="63"/>
    </row>
    <row r="37" spans="1:58" x14ac:dyDescent="0.2">
      <c r="A37" s="12" t="s">
        <v>74</v>
      </c>
      <c r="B37" s="12" t="s">
        <v>64</v>
      </c>
      <c r="C37" s="12">
        <v>2338</v>
      </c>
      <c r="D37" s="63"/>
    </row>
    <row r="38" spans="1:58" x14ac:dyDescent="0.2">
      <c r="A38" s="12" t="s">
        <v>74</v>
      </c>
      <c r="B38" s="12" t="s">
        <v>64</v>
      </c>
      <c r="C38" s="12">
        <v>2339</v>
      </c>
      <c r="D38" s="63"/>
    </row>
    <row r="39" spans="1:58" x14ac:dyDescent="0.2">
      <c r="A39" s="12" t="s">
        <v>74</v>
      </c>
      <c r="B39" s="12" t="s">
        <v>64</v>
      </c>
      <c r="C39" s="12">
        <v>2340</v>
      </c>
      <c r="D39" s="63"/>
    </row>
    <row r="40" spans="1:58" x14ac:dyDescent="0.2">
      <c r="A40" s="12" t="s">
        <v>74</v>
      </c>
      <c r="B40" s="12" t="s">
        <v>64</v>
      </c>
      <c r="C40" s="12">
        <v>2341</v>
      </c>
      <c r="D40" s="63"/>
    </row>
    <row r="41" spans="1:58" x14ac:dyDescent="0.2">
      <c r="A41" s="12" t="s">
        <v>74</v>
      </c>
      <c r="B41" s="12" t="s">
        <v>64</v>
      </c>
      <c r="C41" s="12">
        <v>2342</v>
      </c>
      <c r="D41" s="63"/>
    </row>
    <row r="42" spans="1:58" x14ac:dyDescent="0.2">
      <c r="A42" s="12" t="s">
        <v>74</v>
      </c>
      <c r="B42" s="12" t="s">
        <v>64</v>
      </c>
      <c r="C42" s="12">
        <v>2343</v>
      </c>
      <c r="D42" s="63"/>
      <c r="F42" s="63">
        <v>44628</v>
      </c>
      <c r="G42" s="57">
        <v>1.1599999999999999</v>
      </c>
      <c r="J42" s="57">
        <v>1.33</v>
      </c>
      <c r="M42" s="57">
        <v>1.228</v>
      </c>
      <c r="AE42" s="57">
        <v>0.1444</v>
      </c>
      <c r="AF42" s="57">
        <v>4.7E-2</v>
      </c>
    </row>
    <row r="43" spans="1:58" x14ac:dyDescent="0.2">
      <c r="A43" s="41" t="s">
        <v>74</v>
      </c>
      <c r="B43" s="41" t="s">
        <v>64</v>
      </c>
      <c r="C43" s="41" t="s">
        <v>78</v>
      </c>
      <c r="D43" s="63"/>
    </row>
    <row r="44" spans="1:58" x14ac:dyDescent="0.2">
      <c r="A44" s="12" t="s">
        <v>74</v>
      </c>
      <c r="B44" s="12" t="s">
        <v>64</v>
      </c>
      <c r="C44" s="12">
        <v>2344</v>
      </c>
      <c r="D44" s="63"/>
    </row>
    <row r="45" spans="1:58" x14ac:dyDescent="0.2">
      <c r="A45" s="41" t="s">
        <v>74</v>
      </c>
      <c r="B45" s="41" t="s">
        <v>58</v>
      </c>
      <c r="C45" s="41" t="s">
        <v>78</v>
      </c>
      <c r="D45" s="63"/>
    </row>
    <row r="46" spans="1:58" x14ac:dyDescent="0.2">
      <c r="A46" s="12" t="s">
        <v>74</v>
      </c>
      <c r="B46" s="12" t="s">
        <v>58</v>
      </c>
      <c r="C46" s="34">
        <v>2345</v>
      </c>
      <c r="D46" s="63"/>
      <c r="F46" s="63">
        <v>44628</v>
      </c>
      <c r="G46" s="57">
        <v>0.255</v>
      </c>
      <c r="I46" s="57">
        <v>0.156</v>
      </c>
      <c r="J46" s="57">
        <v>0.40699999999999997</v>
      </c>
      <c r="L46" s="57">
        <v>0.14799999999999999</v>
      </c>
      <c r="M46" s="57">
        <v>0.24299999999999999</v>
      </c>
      <c r="O46" s="57">
        <v>0.153</v>
      </c>
      <c r="R46" s="57">
        <v>0.152</v>
      </c>
      <c r="U46" s="57">
        <v>0.13600000000000001</v>
      </c>
      <c r="X46" s="57">
        <v>9.5000000000000001E-2</v>
      </c>
      <c r="AA46" s="57">
        <v>7.9000000000000001E-2</v>
      </c>
      <c r="AH46" s="57">
        <v>1.0529999999999999</v>
      </c>
      <c r="AI46" s="57">
        <v>0.27429999999999999</v>
      </c>
      <c r="AJ46" s="57">
        <v>0.157</v>
      </c>
      <c r="AK46" s="57">
        <v>1.6180000000000001</v>
      </c>
      <c r="AL46" s="57">
        <v>1.6180000000000001</v>
      </c>
      <c r="AM46" s="57">
        <v>0.16600000000000001</v>
      </c>
      <c r="AN46" s="57">
        <v>1.4</v>
      </c>
      <c r="AO46" s="57">
        <v>0.3105</v>
      </c>
      <c r="AP46" s="57">
        <v>0.17699999999999999</v>
      </c>
      <c r="AQ46" s="57">
        <v>1.02</v>
      </c>
      <c r="AR46" s="57">
        <v>0.23380000000000001</v>
      </c>
      <c r="AS46" s="57">
        <v>0.13800000000000001</v>
      </c>
      <c r="AT46" s="57">
        <v>1.4930000000000001</v>
      </c>
      <c r="AU46" s="57">
        <v>0.19839999999999999</v>
      </c>
      <c r="AV46" s="57">
        <v>0.11600000000000001</v>
      </c>
      <c r="AW46" s="57">
        <v>1.53</v>
      </c>
      <c r="AX46" s="57">
        <v>0.18060000000000001</v>
      </c>
      <c r="AY46" s="57">
        <v>0.105</v>
      </c>
      <c r="BC46" s="57">
        <v>0.69810000000000005</v>
      </c>
      <c r="BD46" s="57">
        <v>0.39800000000000002</v>
      </c>
      <c r="BF46" s="57" t="s">
        <v>252</v>
      </c>
    </row>
    <row r="47" spans="1:58" x14ac:dyDescent="0.2">
      <c r="A47" s="12" t="s">
        <v>74</v>
      </c>
      <c r="B47" s="12" t="s">
        <v>64</v>
      </c>
      <c r="C47" s="12">
        <v>2346</v>
      </c>
      <c r="D47" s="63"/>
      <c r="F47" s="63">
        <v>44628</v>
      </c>
      <c r="G47" s="57">
        <v>1.1599999999999999</v>
      </c>
      <c r="I47" s="57">
        <v>3.5000000000000003E-2</v>
      </c>
      <c r="J47" s="57">
        <v>1.3320000000000001</v>
      </c>
      <c r="L47" s="57">
        <v>5.0999999999999997E-2</v>
      </c>
      <c r="M47" s="57">
        <v>1.18</v>
      </c>
      <c r="O47" s="57">
        <v>4.3999999999999997E-2</v>
      </c>
      <c r="R47" s="57">
        <v>2.5000000000000001E-2</v>
      </c>
      <c r="U47" s="57">
        <v>3.5000000000000003E-2</v>
      </c>
      <c r="X47" s="57">
        <v>3.3000000000000002E-2</v>
      </c>
      <c r="AA47" s="57">
        <v>2.8000000000000001E-2</v>
      </c>
      <c r="AH47" s="57">
        <v>2.23</v>
      </c>
      <c r="AI47" s="57">
        <v>7.2900000000000006E-2</v>
      </c>
      <c r="AJ47" s="57">
        <v>0.04</v>
      </c>
      <c r="AK47" s="57">
        <v>2.2599999999999998</v>
      </c>
      <c r="AL47" s="57">
        <v>0.14380000000000001</v>
      </c>
      <c r="AM47" s="57">
        <v>7.9000000000000001E-2</v>
      </c>
      <c r="AN47" s="57">
        <v>2.4089999999999998</v>
      </c>
      <c r="AO47" s="57">
        <v>7.8100000000000003E-2</v>
      </c>
      <c r="AP47" s="57">
        <v>4.2000000000000003E-2</v>
      </c>
      <c r="BC47" s="57">
        <v>0.72440000000000004</v>
      </c>
      <c r="BD47" s="57">
        <v>0.39500000000000002</v>
      </c>
    </row>
    <row r="48" spans="1:58" x14ac:dyDescent="0.2">
      <c r="A48" s="12" t="s">
        <v>74</v>
      </c>
      <c r="B48" s="12" t="s">
        <v>64</v>
      </c>
      <c r="C48" s="12">
        <v>2347</v>
      </c>
      <c r="D48" s="63"/>
      <c r="AH48" s="57">
        <v>3.18</v>
      </c>
      <c r="AI48" s="57">
        <v>0.26929999999999998</v>
      </c>
      <c r="AJ48" s="57">
        <v>0.15</v>
      </c>
      <c r="AK48" s="57">
        <v>1.984</v>
      </c>
      <c r="AL48" s="57">
        <v>0.23499999999999999</v>
      </c>
      <c r="AM48" s="57">
        <v>0.125</v>
      </c>
      <c r="AN48" s="57">
        <v>1.9410000000000001</v>
      </c>
      <c r="AO48" s="57">
        <v>0.183</v>
      </c>
      <c r="AP48" s="57">
        <v>0.1</v>
      </c>
      <c r="AQ48" s="57">
        <v>1.9219999999999999</v>
      </c>
      <c r="AR48" s="57">
        <v>0.19120000000000001</v>
      </c>
      <c r="AS48" s="57">
        <v>0.10199999999999999</v>
      </c>
      <c r="BC48" s="57">
        <v>0.57189999999999996</v>
      </c>
      <c r="BD48" s="57">
        <v>0.30099999999999999</v>
      </c>
    </row>
    <row r="49" spans="1:58" x14ac:dyDescent="0.2">
      <c r="A49" s="12" t="s">
        <v>74</v>
      </c>
      <c r="B49" s="12" t="s">
        <v>64</v>
      </c>
      <c r="C49" s="12">
        <v>2348</v>
      </c>
      <c r="D49" s="63"/>
      <c r="F49" s="63">
        <v>44628</v>
      </c>
      <c r="G49" s="57">
        <v>1.97</v>
      </c>
      <c r="J49" s="57">
        <v>2.36</v>
      </c>
      <c r="M49" s="57">
        <v>2.1800000000000002</v>
      </c>
      <c r="P49" s="57">
        <v>2.302</v>
      </c>
      <c r="BF49" s="57" t="s">
        <v>253</v>
      </c>
    </row>
    <row r="50" spans="1:58" x14ac:dyDescent="0.2">
      <c r="A50" s="12" t="s">
        <v>74</v>
      </c>
      <c r="B50" s="12" t="s">
        <v>64</v>
      </c>
      <c r="C50" s="12">
        <v>2349</v>
      </c>
      <c r="D50" s="63"/>
      <c r="F50" s="63">
        <v>44628</v>
      </c>
      <c r="G50" s="57">
        <v>2.57</v>
      </c>
      <c r="J50" s="57">
        <v>2.2170000000000001</v>
      </c>
      <c r="M50" s="57">
        <v>2.5129999999999999</v>
      </c>
      <c r="BF50" s="57" t="s">
        <v>86</v>
      </c>
    </row>
    <row r="51" spans="1:58" x14ac:dyDescent="0.2">
      <c r="A51" s="12" t="s">
        <v>74</v>
      </c>
      <c r="B51" s="12" t="s">
        <v>64</v>
      </c>
      <c r="C51" s="12">
        <v>2350</v>
      </c>
      <c r="D51" s="63"/>
    </row>
    <row r="52" spans="1:58" x14ac:dyDescent="0.2">
      <c r="A52" s="12" t="s">
        <v>74</v>
      </c>
      <c r="B52" s="12" t="s">
        <v>64</v>
      </c>
      <c r="C52" s="12">
        <v>2351</v>
      </c>
      <c r="D52" s="63"/>
    </row>
    <row r="53" spans="1:58" x14ac:dyDescent="0.2">
      <c r="A53" s="38" t="s">
        <v>88</v>
      </c>
      <c r="B53" s="38" t="s">
        <v>64</v>
      </c>
      <c r="C53" s="38">
        <v>2375</v>
      </c>
      <c r="D53" s="63"/>
    </row>
    <row r="54" spans="1:58" x14ac:dyDescent="0.2">
      <c r="A54" s="12" t="s">
        <v>90</v>
      </c>
      <c r="B54" s="12" t="s">
        <v>64</v>
      </c>
      <c r="C54" s="12">
        <v>2310</v>
      </c>
      <c r="D54" s="63"/>
    </row>
    <row r="55" spans="1:58" x14ac:dyDescent="0.2">
      <c r="A55" s="12" t="s">
        <v>90</v>
      </c>
      <c r="B55" s="12" t="s">
        <v>64</v>
      </c>
      <c r="C55" s="12">
        <v>2311</v>
      </c>
      <c r="D55" s="63"/>
    </row>
    <row r="56" spans="1:58" x14ac:dyDescent="0.2">
      <c r="A56" s="12" t="s">
        <v>90</v>
      </c>
      <c r="B56" s="12" t="s">
        <v>64</v>
      </c>
      <c r="C56" s="12">
        <v>2312</v>
      </c>
      <c r="D56" s="63"/>
    </row>
    <row r="57" spans="1:58" x14ac:dyDescent="0.2">
      <c r="A57" s="12" t="s">
        <v>90</v>
      </c>
      <c r="B57" s="12" t="s">
        <v>64</v>
      </c>
      <c r="C57" s="12">
        <v>2313</v>
      </c>
      <c r="D57" s="63"/>
    </row>
    <row r="58" spans="1:58" x14ac:dyDescent="0.2">
      <c r="A58" s="12" t="s">
        <v>90</v>
      </c>
      <c r="B58" s="12" t="s">
        <v>64</v>
      </c>
      <c r="C58" s="12">
        <v>2314</v>
      </c>
      <c r="D58" s="63"/>
    </row>
    <row r="59" spans="1:58" x14ac:dyDescent="0.2">
      <c r="A59" s="12" t="s">
        <v>90</v>
      </c>
      <c r="B59" s="12" t="s">
        <v>58</v>
      </c>
      <c r="C59" s="12">
        <v>2315</v>
      </c>
      <c r="D59" s="63"/>
    </row>
    <row r="60" spans="1:58" x14ac:dyDescent="0.2">
      <c r="A60" s="12" t="s">
        <v>90</v>
      </c>
      <c r="B60" s="12" t="s">
        <v>64</v>
      </c>
      <c r="C60" s="12">
        <v>2316</v>
      </c>
      <c r="D60" s="63"/>
    </row>
    <row r="61" spans="1:58" x14ac:dyDescent="0.2">
      <c r="A61" s="12" t="s">
        <v>90</v>
      </c>
      <c r="B61" s="12" t="s">
        <v>64</v>
      </c>
      <c r="C61" s="12">
        <v>2317</v>
      </c>
      <c r="D61" s="63"/>
    </row>
    <row r="62" spans="1:58" x14ac:dyDescent="0.2">
      <c r="A62" s="12" t="s">
        <v>90</v>
      </c>
      <c r="B62" s="12" t="s">
        <v>64</v>
      </c>
      <c r="C62" s="12">
        <v>2318</v>
      </c>
      <c r="D62" s="63"/>
    </row>
    <row r="63" spans="1:58" x14ac:dyDescent="0.2">
      <c r="A63" s="12" t="s">
        <v>90</v>
      </c>
      <c r="B63" s="12" t="s">
        <v>64</v>
      </c>
      <c r="C63" s="12">
        <v>2319</v>
      </c>
      <c r="D63" s="63"/>
    </row>
    <row r="64" spans="1:58" x14ac:dyDescent="0.2">
      <c r="A64" s="12" t="s">
        <v>90</v>
      </c>
      <c r="B64" s="12" t="s">
        <v>58</v>
      </c>
      <c r="C64" s="12">
        <v>2320</v>
      </c>
      <c r="D64" s="63"/>
    </row>
    <row r="65" spans="1:56" x14ac:dyDescent="0.2">
      <c r="A65" s="12" t="s">
        <v>90</v>
      </c>
      <c r="B65" s="12" t="s">
        <v>64</v>
      </c>
      <c r="C65" s="12">
        <v>2321</v>
      </c>
      <c r="D65" s="63"/>
    </row>
    <row r="66" spans="1:56" x14ac:dyDescent="0.2">
      <c r="A66" s="12" t="s">
        <v>90</v>
      </c>
      <c r="B66" s="12" t="s">
        <v>58</v>
      </c>
      <c r="C66" s="12">
        <v>2322</v>
      </c>
      <c r="D66" s="63"/>
    </row>
    <row r="67" spans="1:56" x14ac:dyDescent="0.2">
      <c r="A67" s="12" t="s">
        <v>90</v>
      </c>
      <c r="B67" s="12" t="s">
        <v>58</v>
      </c>
      <c r="C67" s="12">
        <v>2323</v>
      </c>
      <c r="D67" s="63"/>
    </row>
    <row r="68" spans="1:56" x14ac:dyDescent="0.2">
      <c r="A68" s="12" t="s">
        <v>90</v>
      </c>
      <c r="B68" s="12" t="s">
        <v>64</v>
      </c>
      <c r="C68" s="12">
        <v>2324</v>
      </c>
      <c r="D68" s="63"/>
    </row>
    <row r="69" spans="1:56" x14ac:dyDescent="0.2">
      <c r="A69" s="12" t="s">
        <v>90</v>
      </c>
      <c r="B69" s="12" t="s">
        <v>64</v>
      </c>
      <c r="C69" s="12">
        <v>2325</v>
      </c>
      <c r="D69" s="63"/>
    </row>
    <row r="70" spans="1:56" x14ac:dyDescent="0.2">
      <c r="A70" s="12" t="s">
        <v>90</v>
      </c>
      <c r="B70" s="12" t="s">
        <v>64</v>
      </c>
      <c r="C70" s="12">
        <v>2327</v>
      </c>
      <c r="D70" s="63"/>
    </row>
    <row r="71" spans="1:56" x14ac:dyDescent="0.2">
      <c r="A71" s="12" t="s">
        <v>90</v>
      </c>
      <c r="B71" s="12" t="s">
        <v>64</v>
      </c>
      <c r="C71" s="12">
        <v>2326</v>
      </c>
      <c r="D71" s="63"/>
    </row>
    <row r="72" spans="1:56" x14ac:dyDescent="0.2">
      <c r="A72" s="12" t="s">
        <v>90</v>
      </c>
      <c r="B72" s="12" t="s">
        <v>58</v>
      </c>
      <c r="C72" s="12">
        <v>2328</v>
      </c>
      <c r="D72" s="63"/>
    </row>
    <row r="73" spans="1:56" x14ac:dyDescent="0.2">
      <c r="A73" s="12" t="s">
        <v>90</v>
      </c>
      <c r="B73" s="12" t="s">
        <v>64</v>
      </c>
      <c r="C73" s="12">
        <v>2329</v>
      </c>
      <c r="D73" s="63"/>
    </row>
    <row r="74" spans="1:56" x14ac:dyDescent="0.2">
      <c r="A74" s="12" t="s">
        <v>90</v>
      </c>
      <c r="B74" s="12" t="s">
        <v>64</v>
      </c>
      <c r="C74" s="12">
        <v>2330</v>
      </c>
      <c r="D74" s="63"/>
    </row>
    <row r="75" spans="1:56" x14ac:dyDescent="0.2">
      <c r="A75" s="12" t="s">
        <v>90</v>
      </c>
      <c r="B75" s="12" t="s">
        <v>58</v>
      </c>
      <c r="C75" s="12">
        <v>2331</v>
      </c>
      <c r="D75" s="63"/>
      <c r="F75" s="63">
        <v>44631</v>
      </c>
      <c r="G75" s="57">
        <v>0.92700000000000005</v>
      </c>
      <c r="H75" s="57">
        <v>0.32650000000000001</v>
      </c>
      <c r="I75" s="57">
        <v>0.19800000000000001</v>
      </c>
      <c r="J75" s="57">
        <v>0.94</v>
      </c>
      <c r="K75" s="57">
        <v>0.37140000000000001</v>
      </c>
      <c r="L75" s="57">
        <v>0.22</v>
      </c>
      <c r="Z75" s="57"/>
      <c r="AA75" s="57"/>
      <c r="AB75" s="57"/>
      <c r="AC75" s="57"/>
      <c r="AD75" s="57"/>
      <c r="AE75" s="57">
        <v>1.5817000000000001</v>
      </c>
      <c r="AF75" s="57">
        <v>0.94399999999999995</v>
      </c>
      <c r="AH75" s="57">
        <v>2.14</v>
      </c>
      <c r="AI75" s="57">
        <v>0.30220000000000002</v>
      </c>
      <c r="AJ75" s="57">
        <v>0.17699999999999999</v>
      </c>
      <c r="AK75" s="57">
        <v>2.3420000000000001</v>
      </c>
      <c r="AL75" s="57">
        <v>0.25090000000000001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1.1843999999999999</v>
      </c>
      <c r="BD75" s="57">
        <v>0.69799999999999995</v>
      </c>
    </row>
    <row r="76" spans="1:56" x14ac:dyDescent="0.2">
      <c r="A76" s="12" t="s">
        <v>90</v>
      </c>
      <c r="B76" s="12" t="s">
        <v>64</v>
      </c>
      <c r="C76" s="12">
        <v>2332</v>
      </c>
      <c r="D76" s="63"/>
    </row>
    <row r="77" spans="1:56" x14ac:dyDescent="0.2">
      <c r="A77" s="12" t="s">
        <v>90</v>
      </c>
      <c r="B77" s="12" t="s">
        <v>64</v>
      </c>
      <c r="C77" s="12">
        <v>2333</v>
      </c>
      <c r="D77" s="63"/>
    </row>
    <row r="78" spans="1:56" x14ac:dyDescent="0.2">
      <c r="A78" s="2" t="s">
        <v>90</v>
      </c>
      <c r="B78" s="3" t="s">
        <v>64</v>
      </c>
      <c r="C78" s="12">
        <v>2334</v>
      </c>
      <c r="D78" s="63"/>
    </row>
    <row r="79" spans="1:56" x14ac:dyDescent="0.2">
      <c r="A79" s="12" t="s">
        <v>90</v>
      </c>
      <c r="B79" s="12" t="s">
        <v>64</v>
      </c>
      <c r="C79" s="12">
        <v>2336</v>
      </c>
      <c r="D79" s="63"/>
    </row>
    <row r="80" spans="1:56" x14ac:dyDescent="0.2">
      <c r="A80" s="12" t="s">
        <v>90</v>
      </c>
      <c r="B80" s="12" t="s">
        <v>64</v>
      </c>
      <c r="C80" s="12">
        <v>2335</v>
      </c>
      <c r="D80" s="63"/>
    </row>
    <row r="81" spans="1:58" x14ac:dyDescent="0.2">
      <c r="A81" s="38" t="s">
        <v>100</v>
      </c>
      <c r="B81" s="38" t="s">
        <v>64</v>
      </c>
      <c r="C81" s="38">
        <v>2374</v>
      </c>
      <c r="D81" s="63"/>
      <c r="F81" s="63">
        <v>44631</v>
      </c>
      <c r="G81" s="57">
        <v>1.23</v>
      </c>
      <c r="H81" s="57">
        <v>4.0099999999999997E-2</v>
      </c>
      <c r="J81" s="57">
        <v>1.4</v>
      </c>
      <c r="K81" s="57">
        <v>1.67E-2</v>
      </c>
      <c r="M81" s="57">
        <v>0.67</v>
      </c>
      <c r="N81" s="57">
        <v>2.8500000000000001E-2</v>
      </c>
      <c r="P81" s="57">
        <v>1.25</v>
      </c>
      <c r="Q81" s="57">
        <v>1.9599999999999999E-2</v>
      </c>
      <c r="Z81" s="57"/>
      <c r="AA81" s="57"/>
      <c r="AB81" s="57"/>
      <c r="AC81" s="57"/>
      <c r="AD81" s="57"/>
      <c r="AE81" s="57">
        <v>8.319E-2</v>
      </c>
      <c r="AF81" s="57">
        <v>0.35099999999999998</v>
      </c>
    </row>
    <row r="82" spans="1:58" x14ac:dyDescent="0.2">
      <c r="A82" s="12" t="s">
        <v>101</v>
      </c>
      <c r="B82" s="12" t="s">
        <v>58</v>
      </c>
      <c r="C82" s="34">
        <v>2301</v>
      </c>
      <c r="D82" s="63"/>
      <c r="F82" s="63">
        <v>44631</v>
      </c>
      <c r="G82" s="57">
        <v>0.94099999999999995</v>
      </c>
      <c r="H82" s="57">
        <v>0.30630000000000002</v>
      </c>
      <c r="I82" s="57">
        <v>0.18099999999999999</v>
      </c>
      <c r="J82" s="57">
        <v>1.08</v>
      </c>
      <c r="K82" s="57">
        <v>0.4743</v>
      </c>
      <c r="L82" s="57">
        <v>0.27400000000000002</v>
      </c>
      <c r="Z82" s="57"/>
      <c r="AA82" s="57"/>
      <c r="AB82" s="57"/>
      <c r="AC82" s="57"/>
      <c r="AD82" s="57"/>
      <c r="AE82" s="57">
        <v>2.6320999999999999</v>
      </c>
      <c r="AF82" s="57">
        <v>1.5109999999999999</v>
      </c>
      <c r="AH82" s="57">
        <v>2.2599999999999998</v>
      </c>
      <c r="AI82" s="57">
        <v>0.51600000000000001</v>
      </c>
      <c r="AJ82" s="57">
        <v>0.29699999999999999</v>
      </c>
      <c r="AK82" s="57">
        <v>2.61</v>
      </c>
      <c r="AL82" s="57">
        <v>0.28820000000000001</v>
      </c>
      <c r="AM82" s="57">
        <v>0.16500000000000001</v>
      </c>
      <c r="AN82" s="57">
        <v>2.1120000000000001</v>
      </c>
      <c r="AO82" s="57">
        <v>0.3896</v>
      </c>
      <c r="AP82" s="57">
        <v>0.222</v>
      </c>
      <c r="AQ82" s="57">
        <v>2.19</v>
      </c>
      <c r="AR82" s="57">
        <v>0.39779999999999999</v>
      </c>
      <c r="AS82" s="57">
        <v>0.22500000000000001</v>
      </c>
      <c r="BC82" s="57">
        <v>1.7593000000000001</v>
      </c>
      <c r="BD82" s="57">
        <v>1.0209999999999999</v>
      </c>
    </row>
    <row r="83" spans="1:58" x14ac:dyDescent="0.2">
      <c r="A83" s="12" t="s">
        <v>101</v>
      </c>
      <c r="B83" s="12" t="s">
        <v>64</v>
      </c>
      <c r="C83" s="12">
        <v>2302</v>
      </c>
      <c r="D83" s="63"/>
    </row>
    <row r="84" spans="1:58" x14ac:dyDescent="0.2">
      <c r="A84" s="12" t="s">
        <v>101</v>
      </c>
      <c r="B84" s="12" t="s">
        <v>64</v>
      </c>
      <c r="C84" s="12">
        <v>2303</v>
      </c>
      <c r="D84" s="63"/>
    </row>
    <row r="85" spans="1:58" x14ac:dyDescent="0.2">
      <c r="A85" s="12" t="s">
        <v>101</v>
      </c>
      <c r="B85" s="12" t="s">
        <v>64</v>
      </c>
      <c r="C85" s="12">
        <v>2304</v>
      </c>
      <c r="D85" s="63"/>
    </row>
    <row r="86" spans="1:58" x14ac:dyDescent="0.2">
      <c r="A86" s="12" t="s">
        <v>101</v>
      </c>
      <c r="B86" s="12" t="s">
        <v>64</v>
      </c>
      <c r="C86" s="12">
        <v>2305</v>
      </c>
      <c r="D86" s="63"/>
    </row>
    <row r="87" spans="1:58" x14ac:dyDescent="0.2">
      <c r="A87" s="12" t="s">
        <v>101</v>
      </c>
      <c r="B87" s="12" t="s">
        <v>64</v>
      </c>
      <c r="C87" s="12">
        <v>2306</v>
      </c>
      <c r="D87" s="63"/>
    </row>
    <row r="88" spans="1:58" x14ac:dyDescent="0.2">
      <c r="A88" s="12" t="s">
        <v>101</v>
      </c>
      <c r="B88" s="12" t="s">
        <v>64</v>
      </c>
      <c r="C88" s="12">
        <v>2307</v>
      </c>
      <c r="D88" s="63"/>
    </row>
    <row r="89" spans="1:58" x14ac:dyDescent="0.2">
      <c r="A89" s="12" t="s">
        <v>101</v>
      </c>
      <c r="B89" s="12" t="s">
        <v>64</v>
      </c>
      <c r="C89" s="12">
        <v>2308</v>
      </c>
      <c r="D89" s="63"/>
    </row>
    <row r="90" spans="1:58" x14ac:dyDescent="0.2">
      <c r="A90" s="12" t="s">
        <v>101</v>
      </c>
      <c r="B90" s="12" t="s">
        <v>64</v>
      </c>
      <c r="C90" s="12">
        <v>2309</v>
      </c>
      <c r="D90" s="63"/>
    </row>
    <row r="91" spans="1:58" x14ac:dyDescent="0.2">
      <c r="A91" s="53" t="s">
        <v>106</v>
      </c>
      <c r="B91" s="54" t="s">
        <v>64</v>
      </c>
      <c r="C91" s="55">
        <v>2370</v>
      </c>
      <c r="D91" s="63"/>
      <c r="F91" s="63">
        <v>44628</v>
      </c>
      <c r="G91" s="57">
        <v>1.5620000000000001</v>
      </c>
      <c r="J91" s="57">
        <v>1.3879999999999999</v>
      </c>
      <c r="M91" s="57">
        <v>1.401</v>
      </c>
      <c r="BF91" s="57" t="s">
        <v>86</v>
      </c>
    </row>
    <row r="92" spans="1:58" x14ac:dyDescent="0.2">
      <c r="A92" s="53" t="s">
        <v>107</v>
      </c>
      <c r="B92" s="54" t="s">
        <v>64</v>
      </c>
      <c r="C92" s="55">
        <v>2371</v>
      </c>
      <c r="D92" s="63"/>
      <c r="F92" s="63">
        <v>44631</v>
      </c>
      <c r="G92" s="57">
        <v>1.2010000000000001</v>
      </c>
      <c r="J92" s="57">
        <v>1.29</v>
      </c>
    </row>
    <row r="93" spans="1:58" x14ac:dyDescent="0.2">
      <c r="A93" s="53" t="s">
        <v>108</v>
      </c>
      <c r="B93" s="54" t="s">
        <v>64</v>
      </c>
      <c r="C93" s="55">
        <v>2372</v>
      </c>
      <c r="D93" s="63"/>
      <c r="F93" s="63">
        <v>44631</v>
      </c>
      <c r="G93" s="57">
        <v>1.52</v>
      </c>
      <c r="J93" s="57">
        <v>1.45</v>
      </c>
    </row>
    <row r="94" spans="1:58" x14ac:dyDescent="0.2">
      <c r="A94" s="53" t="s">
        <v>110</v>
      </c>
      <c r="B94" s="54" t="s">
        <v>64</v>
      </c>
      <c r="C94" s="55">
        <v>2373</v>
      </c>
      <c r="D94" s="63"/>
      <c r="F94" s="63">
        <v>44631</v>
      </c>
      <c r="G94" s="57">
        <v>1.42</v>
      </c>
      <c r="H94" s="57">
        <v>1.37E-2</v>
      </c>
      <c r="J94" s="57">
        <v>1.44</v>
      </c>
      <c r="K94" s="57">
        <v>7.1999999999999998E-3</v>
      </c>
      <c r="Z94" s="57"/>
      <c r="AA94" s="57"/>
      <c r="AB94" s="57"/>
      <c r="AC94" s="57"/>
      <c r="AD94" s="57"/>
      <c r="AE94" s="57">
        <v>0.92500000000000004</v>
      </c>
      <c r="AF94" s="57">
        <v>0.315</v>
      </c>
    </row>
    <row r="95" spans="1:58" x14ac:dyDescent="0.2">
      <c r="A95" s="2" t="s">
        <v>112</v>
      </c>
      <c r="B95" s="3" t="s">
        <v>64</v>
      </c>
      <c r="C95" s="3"/>
      <c r="D95" s="63"/>
    </row>
    <row r="96" spans="1:58" x14ac:dyDescent="0.2">
      <c r="A96" s="2" t="s">
        <v>112</v>
      </c>
      <c r="B96" s="3" t="s">
        <v>64</v>
      </c>
      <c r="C96" s="3"/>
      <c r="D96" s="63"/>
    </row>
    <row r="97" spans="1:58" x14ac:dyDescent="0.2">
      <c r="A97" s="2" t="s">
        <v>112</v>
      </c>
      <c r="B97" s="3" t="s">
        <v>64</v>
      </c>
      <c r="C97" s="3"/>
      <c r="D97" s="63"/>
    </row>
    <row r="98" spans="1:58" x14ac:dyDescent="0.2">
      <c r="A98" s="2" t="s">
        <v>112</v>
      </c>
      <c r="B98" s="3" t="s">
        <v>64</v>
      </c>
      <c r="C98" s="3"/>
      <c r="D98" s="63"/>
    </row>
    <row r="99" spans="1:58" x14ac:dyDescent="0.2">
      <c r="A99" s="2" t="s">
        <v>112</v>
      </c>
      <c r="B99" s="3" t="s">
        <v>64</v>
      </c>
      <c r="C99" s="3"/>
      <c r="D99" s="63"/>
    </row>
    <row r="100" spans="1:58" x14ac:dyDescent="0.2">
      <c r="A100" s="2" t="s">
        <v>113</v>
      </c>
      <c r="B100" s="3" t="s">
        <v>64</v>
      </c>
      <c r="C100" s="3"/>
      <c r="D100" s="63"/>
    </row>
    <row r="101" spans="1:58" x14ac:dyDescent="0.2">
      <c r="A101" s="2" t="s">
        <v>113</v>
      </c>
      <c r="B101" s="3" t="s">
        <v>64</v>
      </c>
      <c r="C101" s="3"/>
      <c r="D101" s="63"/>
    </row>
    <row r="102" spans="1:58" x14ac:dyDescent="0.2">
      <c r="A102" s="2" t="s">
        <v>113</v>
      </c>
      <c r="B102" s="3" t="s">
        <v>64</v>
      </c>
      <c r="C102" s="3"/>
      <c r="D102" s="63"/>
    </row>
    <row r="103" spans="1:58" x14ac:dyDescent="0.2">
      <c r="A103" s="2" t="s">
        <v>113</v>
      </c>
      <c r="B103" s="3" t="s">
        <v>64</v>
      </c>
      <c r="C103" s="3"/>
      <c r="D103" s="63"/>
    </row>
    <row r="104" spans="1:58" x14ac:dyDescent="0.2">
      <c r="A104" s="2" t="s">
        <v>113</v>
      </c>
      <c r="B104" s="3" t="s">
        <v>64</v>
      </c>
      <c r="C104" s="3"/>
      <c r="D104" s="63"/>
    </row>
    <row r="105" spans="1:58" x14ac:dyDescent="0.2">
      <c r="A105" s="12" t="s">
        <v>114</v>
      </c>
      <c r="B105" s="12" t="s">
        <v>58</v>
      </c>
      <c r="C105" s="12"/>
      <c r="D105" s="63"/>
    </row>
    <row r="106" spans="1:58" x14ac:dyDescent="0.2">
      <c r="A106" s="12" t="s">
        <v>114</v>
      </c>
      <c r="B106" s="12" t="s">
        <v>58</v>
      </c>
      <c r="C106" s="12"/>
      <c r="D106" s="63"/>
    </row>
    <row r="107" spans="1:58" x14ac:dyDescent="0.2">
      <c r="A107" s="2" t="s">
        <v>117</v>
      </c>
      <c r="B107" s="3" t="s">
        <v>64</v>
      </c>
      <c r="C107" s="58">
        <v>2381</v>
      </c>
      <c r="D107" s="63"/>
      <c r="F107" s="63">
        <v>44628</v>
      </c>
      <c r="G107" s="57">
        <v>1.3160000000000001</v>
      </c>
      <c r="J107" s="57">
        <v>1.3340000000000001</v>
      </c>
      <c r="AE107" s="57">
        <v>1.8606</v>
      </c>
      <c r="AF107" s="57">
        <v>0.63900000000000001</v>
      </c>
      <c r="AH107" s="57">
        <v>1.8560000000000001</v>
      </c>
      <c r="AI107" s="57">
        <v>0.1124</v>
      </c>
      <c r="AJ107" s="57">
        <v>4.1000000000000002E-2</v>
      </c>
      <c r="AK107" s="57">
        <v>1.829</v>
      </c>
      <c r="AL107" s="57">
        <v>6.5699999999999995E-2</v>
      </c>
      <c r="AM107" s="57">
        <v>2.3E-2</v>
      </c>
      <c r="AN107" s="57">
        <v>1.8180000000000001</v>
      </c>
      <c r="AO107" s="57">
        <v>0.1414</v>
      </c>
      <c r="AP107" s="57">
        <v>5.0999999999999997E-2</v>
      </c>
      <c r="BC107" s="57">
        <v>0.79620000000000002</v>
      </c>
      <c r="BD107" s="57">
        <v>0.28399999999999997</v>
      </c>
    </row>
    <row r="108" spans="1:58" x14ac:dyDescent="0.2">
      <c r="A108" s="2" t="s">
        <v>117</v>
      </c>
      <c r="B108" s="3" t="s">
        <v>64</v>
      </c>
      <c r="C108" s="58"/>
    </row>
    <row r="109" spans="1:58" x14ac:dyDescent="0.2">
      <c r="A109" s="2" t="s">
        <v>117</v>
      </c>
      <c r="B109" s="3" t="s">
        <v>64</v>
      </c>
      <c r="C109" s="58"/>
    </row>
    <row r="110" spans="1:58" x14ac:dyDescent="0.2">
      <c r="A110" s="2" t="s">
        <v>117</v>
      </c>
      <c r="B110" s="3" t="s">
        <v>64</v>
      </c>
      <c r="C110" s="58">
        <v>2382</v>
      </c>
      <c r="F110" s="63">
        <v>44628</v>
      </c>
      <c r="G110" s="57">
        <v>0.79800000000000004</v>
      </c>
      <c r="J110" s="57">
        <v>0.79100000000000004</v>
      </c>
      <c r="M110" s="57">
        <v>0.82099999999999995</v>
      </c>
      <c r="AE110" s="57">
        <v>1.3191999999999999</v>
      </c>
      <c r="AF110" s="57">
        <v>0.436</v>
      </c>
      <c r="AH110" s="57">
        <v>2.0059999999999998</v>
      </c>
      <c r="AI110" s="57">
        <v>0.23799999999999999</v>
      </c>
      <c r="AJ110" s="57">
        <v>9.8000000000000004E-2</v>
      </c>
      <c r="AK110" s="57">
        <v>2.23</v>
      </c>
      <c r="AL110" s="57">
        <v>0.1203</v>
      </c>
      <c r="AM110" s="57">
        <v>4.9000000000000002E-2</v>
      </c>
      <c r="AN110" s="57">
        <v>1.9670000000000001</v>
      </c>
      <c r="AO110" s="57">
        <v>0.1832</v>
      </c>
      <c r="AP110" s="57">
        <v>7.4999999999999997E-2</v>
      </c>
      <c r="AQ110" s="57">
        <v>2.0960000000000001</v>
      </c>
      <c r="AR110" s="57">
        <v>0.16719999999999999</v>
      </c>
      <c r="AS110" s="57">
        <v>7.0999999999999994E-2</v>
      </c>
      <c r="BC110" s="57">
        <v>0.86319999999999997</v>
      </c>
      <c r="BD110" s="57">
        <v>0.33500000000000002</v>
      </c>
      <c r="BF110" s="57" t="s">
        <v>254</v>
      </c>
    </row>
    <row r="111" spans="1:58" x14ac:dyDescent="0.2">
      <c r="A111" s="2" t="s">
        <v>117</v>
      </c>
      <c r="B111" s="54" t="s">
        <v>64</v>
      </c>
      <c r="C111" s="60">
        <v>2383</v>
      </c>
      <c r="F111" s="63">
        <v>44631</v>
      </c>
      <c r="G111" s="57">
        <v>1.02</v>
      </c>
      <c r="H111" s="57">
        <v>0.21079999999999999</v>
      </c>
      <c r="I111" s="57">
        <v>8.5999999999999993E-2</v>
      </c>
      <c r="J111" s="57">
        <v>0.89800000000000002</v>
      </c>
      <c r="K111" s="57">
        <v>0.1588</v>
      </c>
      <c r="L111" s="57">
        <v>6.8000000000000005E-2</v>
      </c>
      <c r="M111" s="57">
        <v>0.96199999999999997</v>
      </c>
      <c r="N111" s="57">
        <v>0.18720000000000001</v>
      </c>
      <c r="O111" s="57">
        <v>8.1000000000000003E-2</v>
      </c>
      <c r="Z111" s="57"/>
      <c r="AA111" s="57"/>
      <c r="AB111" s="57"/>
      <c r="AC111" s="57"/>
      <c r="AD111" s="57"/>
      <c r="AE111" s="57">
        <v>2.0421999999999998</v>
      </c>
      <c r="AF111" s="57">
        <v>0.872</v>
      </c>
      <c r="AH111" s="57">
        <v>2.48</v>
      </c>
      <c r="AI111" s="57">
        <v>0.11169999999999999</v>
      </c>
      <c r="AJ111" s="57">
        <v>4.8000000000000001E-2</v>
      </c>
      <c r="AK111" s="57">
        <v>2.16</v>
      </c>
      <c r="AL111" s="57">
        <v>0.10100000000000001</v>
      </c>
      <c r="AM111" s="57">
        <v>4.4999999999999998E-2</v>
      </c>
      <c r="AN111" s="57">
        <v>2.4409999999999998</v>
      </c>
      <c r="AO111" s="57">
        <v>8.8999999999999996E-2</v>
      </c>
      <c r="AP111" s="57">
        <v>3.9E-2</v>
      </c>
      <c r="BC111" s="57">
        <v>0.55379999999999996</v>
      </c>
      <c r="BD111" s="57">
        <v>0.23799999999999999</v>
      </c>
    </row>
    <row r="112" spans="1:58" x14ac:dyDescent="0.2">
      <c r="A112" s="2" t="s">
        <v>117</v>
      </c>
      <c r="B112" s="54" t="s">
        <v>64</v>
      </c>
      <c r="C112" s="57">
        <v>2384</v>
      </c>
      <c r="F112" s="63">
        <v>44628</v>
      </c>
      <c r="G112" s="57">
        <v>1.409</v>
      </c>
      <c r="I112" s="57">
        <v>2.8000000000000001E-2</v>
      </c>
      <c r="J112" s="57">
        <v>1.49</v>
      </c>
      <c r="L112" s="57">
        <v>2.5999999999999999E-2</v>
      </c>
      <c r="O112" s="57">
        <v>2.8000000000000001E-2</v>
      </c>
      <c r="R112" s="57">
        <v>2.1000000000000001E-2</v>
      </c>
      <c r="U112" s="57">
        <v>2.3E-2</v>
      </c>
      <c r="X112" s="57">
        <v>2.3E-2</v>
      </c>
      <c r="AA112" s="57">
        <v>1.7000000000000001E-2</v>
      </c>
      <c r="AH112" s="57">
        <v>2.1970000000000001</v>
      </c>
      <c r="AI112" s="57">
        <v>3.3700000000000001E-2</v>
      </c>
      <c r="AK112" s="57">
        <v>2.23</v>
      </c>
      <c r="AL112" s="57">
        <v>4.82E-2</v>
      </c>
      <c r="AN112" s="57">
        <v>2.16</v>
      </c>
      <c r="AO112" s="57">
        <v>6.3700000000000007E-2</v>
      </c>
      <c r="BC112" s="57">
        <v>0.29609999999999997</v>
      </c>
      <c r="BD112" s="57">
        <v>0.16200000000000001</v>
      </c>
    </row>
    <row r="113" spans="1:56" x14ac:dyDescent="0.2">
      <c r="A113" s="57" t="s">
        <v>232</v>
      </c>
      <c r="B113" s="54" t="s">
        <v>64</v>
      </c>
      <c r="C113" s="57">
        <v>2004</v>
      </c>
      <c r="F113" s="63">
        <v>44631</v>
      </c>
      <c r="G113" s="57">
        <v>0.28999999999999998</v>
      </c>
      <c r="H113" s="57">
        <v>3.9100000000000003E-2</v>
      </c>
      <c r="I113" s="57">
        <v>1.2999999999999999E-2</v>
      </c>
      <c r="J113" s="57">
        <v>0.20499999999999999</v>
      </c>
      <c r="K113" s="57">
        <v>5.33E-2</v>
      </c>
      <c r="L113" s="57">
        <v>1.7000000000000001E-2</v>
      </c>
      <c r="M113" s="57">
        <v>0.53900000000000003</v>
      </c>
      <c r="N113" s="57">
        <v>4.7600000000000003E-2</v>
      </c>
      <c r="O113" s="57">
        <v>1.6E-2</v>
      </c>
      <c r="P113" s="57">
        <v>0.3</v>
      </c>
      <c r="Q113" s="57">
        <v>3.85E-2</v>
      </c>
      <c r="R113" s="57">
        <v>1.2999999999999999E-2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5.3600000000000002E-2</v>
      </c>
      <c r="AJ113" s="57">
        <v>1.9E-2</v>
      </c>
      <c r="AK113" s="57">
        <v>1.76</v>
      </c>
      <c r="AL113" s="57">
        <v>0.05</v>
      </c>
      <c r="AM113" s="57">
        <v>1.7999999999999999E-2</v>
      </c>
      <c r="AN113" s="57">
        <v>1.52</v>
      </c>
      <c r="AO113" s="57">
        <v>5.3499999999999999E-2</v>
      </c>
      <c r="AP113" s="57">
        <v>1.9E-2</v>
      </c>
      <c r="BC113" s="57">
        <v>1.0936999999999999</v>
      </c>
      <c r="BD113" s="57">
        <v>0.39600000000000002</v>
      </c>
    </row>
    <row r="114" spans="1:56" x14ac:dyDescent="0.2">
      <c r="A114" s="57" t="s">
        <v>232</v>
      </c>
      <c r="B114" s="54" t="s">
        <v>64</v>
      </c>
      <c r="C114" s="57">
        <v>2005</v>
      </c>
      <c r="F114" s="63">
        <v>44631</v>
      </c>
      <c r="G114" s="57">
        <v>1.03</v>
      </c>
      <c r="H114" s="57">
        <v>0.23</v>
      </c>
      <c r="I114" s="57">
        <v>7.5999999999999998E-2</v>
      </c>
      <c r="J114" s="57">
        <v>1.06</v>
      </c>
      <c r="K114" s="57">
        <v>0.25059999999999999</v>
      </c>
      <c r="L114" s="57">
        <v>8.1000000000000003E-2</v>
      </c>
      <c r="Z114" s="57"/>
      <c r="AA114" s="57"/>
      <c r="AB114" s="57"/>
      <c r="AC114" s="57"/>
      <c r="AD114" s="57"/>
      <c r="AE114" s="57">
        <v>1.2097</v>
      </c>
      <c r="AF114" s="57">
        <v>0.39500000000000002</v>
      </c>
      <c r="AH114" s="57">
        <v>1.38</v>
      </c>
      <c r="AI114" s="57">
        <v>0.27839999999999998</v>
      </c>
      <c r="AJ114" s="57">
        <v>0.111</v>
      </c>
      <c r="AK114" s="57">
        <v>1.51</v>
      </c>
      <c r="AL114" s="57">
        <v>0.18890000000000001</v>
      </c>
      <c r="AM114" s="57">
        <v>6.9000000000000006E-2</v>
      </c>
      <c r="AN114" s="57">
        <v>1.51</v>
      </c>
      <c r="AO114" s="57">
        <v>0.1532</v>
      </c>
      <c r="AP114" s="57">
        <v>5.7000000000000002E-2</v>
      </c>
      <c r="BC114" s="57">
        <v>0.39550000000000002</v>
      </c>
      <c r="BD114" s="57">
        <v>0.152</v>
      </c>
    </row>
    <row r="115" spans="1:56" x14ac:dyDescent="0.2">
      <c r="A115" s="57" t="s">
        <v>232</v>
      </c>
      <c r="B115" s="54" t="s">
        <v>64</v>
      </c>
      <c r="C115" s="57">
        <v>2006</v>
      </c>
      <c r="F115" s="63">
        <v>44631</v>
      </c>
      <c r="G115" s="57">
        <v>0.92500000000000004</v>
      </c>
      <c r="H115" s="57">
        <v>0.1323</v>
      </c>
      <c r="I115" s="57">
        <v>4.4999999999999998E-2</v>
      </c>
      <c r="J115" s="57">
        <v>0.97</v>
      </c>
      <c r="K115" s="57">
        <v>0.10249999999999999</v>
      </c>
      <c r="L115" s="57">
        <v>3.4000000000000002E-2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4.5999999999999999E-2</v>
      </c>
      <c r="AK115" s="57">
        <v>1.41</v>
      </c>
      <c r="AL115" s="57">
        <v>0.1535</v>
      </c>
      <c r="AM115" s="57">
        <v>5.6000000000000001E-2</v>
      </c>
      <c r="AN115" s="57">
        <v>1.3</v>
      </c>
      <c r="AO115" s="57">
        <v>0.1487</v>
      </c>
      <c r="AP115" s="57">
        <v>5.3999999999999999E-2</v>
      </c>
      <c r="BC115" s="57">
        <v>0.42370000000000002</v>
      </c>
      <c r="BD115" s="57">
        <v>0.157</v>
      </c>
    </row>
    <row r="116" spans="1:56" x14ac:dyDescent="0.2">
      <c r="A116" s="57" t="s">
        <v>232</v>
      </c>
      <c r="B116" s="54" t="s">
        <v>64</v>
      </c>
      <c r="C116" s="57">
        <v>2007</v>
      </c>
      <c r="F116" s="63">
        <v>44631</v>
      </c>
      <c r="G116" s="57">
        <v>0.91600000000000004</v>
      </c>
      <c r="H116" s="57">
        <v>0.1081</v>
      </c>
      <c r="I116" s="57">
        <v>4.3999999999999997E-2</v>
      </c>
      <c r="J116" s="57">
        <v>0.67100000000000004</v>
      </c>
      <c r="K116" s="57">
        <v>0.10539999999999999</v>
      </c>
      <c r="L116" s="57">
        <v>3.9E-2</v>
      </c>
      <c r="M116" s="57">
        <v>0.85799999999999998</v>
      </c>
      <c r="N116" s="57">
        <v>8.5999999999999993E-2</v>
      </c>
      <c r="O116" s="57">
        <v>3.4000000000000002E-2</v>
      </c>
      <c r="Z116" s="57"/>
      <c r="AA116" s="57"/>
      <c r="AB116" s="57"/>
      <c r="AC116" s="57"/>
      <c r="AD116" s="57"/>
      <c r="AE116" s="57">
        <v>2.1400999999999999</v>
      </c>
      <c r="AF116" s="57">
        <v>0.82499999999999996</v>
      </c>
      <c r="AH116" s="57">
        <v>1.8</v>
      </c>
      <c r="AI116" s="57">
        <v>6.3600000000000004E-2</v>
      </c>
      <c r="AJ116" s="57">
        <v>2.8000000000000001E-2</v>
      </c>
      <c r="AK116" s="57">
        <v>1.61</v>
      </c>
      <c r="AL116" s="57">
        <v>0.93899999999999995</v>
      </c>
      <c r="AM116" s="57">
        <v>0.04</v>
      </c>
      <c r="AN116" s="57">
        <v>1.9</v>
      </c>
      <c r="AO116" s="57">
        <v>8.9200000000000002E-2</v>
      </c>
      <c r="AP116" s="57">
        <v>3.7999999999999999E-2</v>
      </c>
      <c r="BC116" s="57">
        <v>0.25430000000000003</v>
      </c>
      <c r="BD116" s="57">
        <v>0.10299999999999999</v>
      </c>
    </row>
    <row r="117" spans="1:56" x14ac:dyDescent="0.2">
      <c r="A117" s="57" t="s">
        <v>232</v>
      </c>
      <c r="B117" s="54" t="s">
        <v>234</v>
      </c>
      <c r="F117" s="63">
        <v>44631</v>
      </c>
      <c r="G117" s="57">
        <v>1.19</v>
      </c>
      <c r="H117" s="57">
        <v>0.26129999999999998</v>
      </c>
      <c r="I117" s="57">
        <v>0.08</v>
      </c>
      <c r="J117" s="57">
        <v>1.17</v>
      </c>
      <c r="K117" s="57">
        <v>0.18909999999999999</v>
      </c>
      <c r="L117" s="57">
        <v>5.1999999999999998E-2</v>
      </c>
      <c r="M117" s="57">
        <v>1.06</v>
      </c>
      <c r="N117" s="57">
        <v>0.30359999999999998</v>
      </c>
      <c r="O117" s="57">
        <v>9.0999999999999998E-2</v>
      </c>
      <c r="P117" s="57">
        <v>1.61</v>
      </c>
      <c r="Q117" s="57">
        <v>0.20669999999999999</v>
      </c>
      <c r="R117" s="57">
        <v>7.0000000000000007E-2</v>
      </c>
      <c r="S117" s="57">
        <v>1.02</v>
      </c>
      <c r="T117" s="57">
        <v>0.16739999999999999</v>
      </c>
      <c r="U117" s="57">
        <v>5.1999999999999998E-2</v>
      </c>
      <c r="V117" s="57">
        <v>1.08</v>
      </c>
      <c r="W117" s="57">
        <v>0.2707</v>
      </c>
      <c r="X117" s="57">
        <v>7.9000000000000001E-2</v>
      </c>
      <c r="Y117" s="57">
        <v>1.39</v>
      </c>
      <c r="Z117" s="57">
        <v>0.25559999999999999</v>
      </c>
      <c r="AA117" s="57">
        <v>7.9000000000000001E-2</v>
      </c>
      <c r="AB117" s="57">
        <v>1.24</v>
      </c>
      <c r="AC117" s="57">
        <v>0.26140000000000002</v>
      </c>
      <c r="AD117" s="57">
        <v>8.3000000000000004E-2</v>
      </c>
      <c r="AE117" s="57" t="s">
        <v>60</v>
      </c>
      <c r="AF117" s="57" t="s">
        <v>60</v>
      </c>
      <c r="AH117" s="57">
        <v>2.4500000000000002</v>
      </c>
      <c r="AI117" s="57">
        <v>0.14699999999999999</v>
      </c>
      <c r="AJ117" s="57">
        <v>6.0999999999999999E-2</v>
      </c>
      <c r="AK117" s="57">
        <v>1.97</v>
      </c>
      <c r="AL117" s="57">
        <v>0.1646</v>
      </c>
      <c r="AM117" s="57">
        <v>7.9000000000000001E-2</v>
      </c>
      <c r="AN117" s="57">
        <v>2.02</v>
      </c>
      <c r="AO117" s="57">
        <v>0.2072</v>
      </c>
      <c r="AP117" s="57">
        <v>8.4000000000000005E-2</v>
      </c>
      <c r="AQ117" s="57">
        <v>2.21</v>
      </c>
      <c r="AR117" s="57">
        <v>0.16389999999999999</v>
      </c>
      <c r="AS117" s="57">
        <v>0.08</v>
      </c>
      <c r="AT117" s="57">
        <v>2.0640000000000001</v>
      </c>
      <c r="AU117" s="57">
        <v>0.13700000000000001</v>
      </c>
      <c r="AV117" s="57">
        <v>7.1999999999999995E-2</v>
      </c>
      <c r="AW117" s="57">
        <v>2.14</v>
      </c>
      <c r="AX117" s="57">
        <v>0.1255</v>
      </c>
      <c r="AY117" s="57">
        <v>6.3E-2</v>
      </c>
      <c r="AZ117" s="57">
        <v>2.14</v>
      </c>
      <c r="BA117" s="57">
        <v>0.13730000000000001</v>
      </c>
      <c r="BB117" s="57">
        <v>0.104</v>
      </c>
    </row>
    <row r="118" spans="1:56" x14ac:dyDescent="0.2">
      <c r="A118" s="57"/>
      <c r="B118" s="54" t="s">
        <v>128</v>
      </c>
      <c r="F118" s="63">
        <v>44628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0.19189999999999999</v>
      </c>
      <c r="AJ118" s="57">
        <v>5.8000000000000003E-2</v>
      </c>
      <c r="AK118" s="57">
        <v>1.76</v>
      </c>
      <c r="AL118" s="57">
        <v>0.26419999999999999</v>
      </c>
      <c r="AM118" s="57">
        <v>6.2E-2</v>
      </c>
      <c r="AN118" s="57">
        <v>1.74</v>
      </c>
      <c r="AO118" s="57">
        <v>0.2412</v>
      </c>
      <c r="AP118" s="57">
        <v>0.08</v>
      </c>
      <c r="AQ118" s="57">
        <v>1.7230000000000001</v>
      </c>
      <c r="AR118" s="57">
        <v>0.24479999999999999</v>
      </c>
      <c r="AS118" s="57">
        <v>6.5000000000000002E-2</v>
      </c>
      <c r="AT118" s="57">
        <v>1.95</v>
      </c>
      <c r="AU118" s="57">
        <v>0.21990000000000001</v>
      </c>
      <c r="AV118" s="57">
        <v>5.6000000000000001E-2</v>
      </c>
      <c r="AW118" s="57">
        <v>1.4379999999999999</v>
      </c>
      <c r="AX118" s="57">
        <v>0.20080000000000001</v>
      </c>
      <c r="AY118" s="57">
        <v>4.3999999999999997E-2</v>
      </c>
      <c r="AZ118" s="57">
        <v>1.41</v>
      </c>
      <c r="BA118" s="57">
        <v>0.35370000000000001</v>
      </c>
      <c r="BB118" s="57">
        <v>5.2999999999999999E-2</v>
      </c>
    </row>
    <row r="119" spans="1:56" x14ac:dyDescent="0.2">
      <c r="A119" s="57"/>
      <c r="B119" s="54" t="s">
        <v>166</v>
      </c>
      <c r="F119" s="63">
        <v>44628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2.1309999999999998</v>
      </c>
      <c r="AI119" s="57">
        <v>0.4783</v>
      </c>
      <c r="AK119" s="57">
        <v>2.4420000000000002</v>
      </c>
      <c r="AL119" s="57">
        <v>0.75360000000000005</v>
      </c>
      <c r="AN119" s="57">
        <v>2.2890000000000001</v>
      </c>
      <c r="AO119" s="57">
        <v>0.70489999999999997</v>
      </c>
      <c r="AQ119" s="57">
        <v>2.4359999999999999</v>
      </c>
      <c r="AR119" s="57">
        <v>0.75929999999999997</v>
      </c>
      <c r="AT119" s="57">
        <v>2.629</v>
      </c>
      <c r="AU119" s="57">
        <v>0.36630000000000001</v>
      </c>
      <c r="AW119" s="57">
        <v>2.1419999999999999</v>
      </c>
      <c r="AX119" s="57">
        <v>0.56000000000000005</v>
      </c>
      <c r="AZ119" s="57">
        <v>2.1379999999999999</v>
      </c>
      <c r="BA119" s="57">
        <v>0.47249999999999998</v>
      </c>
    </row>
    <row r="120" spans="1:56" x14ac:dyDescent="0.2">
      <c r="A120" s="57" t="s">
        <v>235</v>
      </c>
      <c r="B120" s="54" t="s">
        <v>166</v>
      </c>
      <c r="F120" s="63">
        <v>44631</v>
      </c>
      <c r="G120" s="57">
        <v>1.33</v>
      </c>
      <c r="H120" s="57">
        <v>0.95530000000000004</v>
      </c>
      <c r="I120" s="57">
        <v>0.29399999999999998</v>
      </c>
      <c r="J120" s="57">
        <v>1.39</v>
      </c>
      <c r="K120" s="57">
        <v>0.67400000000000004</v>
      </c>
      <c r="L120" s="57">
        <v>0.215</v>
      </c>
      <c r="M120" s="57">
        <v>1.08</v>
      </c>
      <c r="N120" s="57">
        <v>0.88190000000000002</v>
      </c>
      <c r="O120" s="57">
        <v>0.307</v>
      </c>
      <c r="P120" s="57">
        <v>1.3069999999999999</v>
      </c>
      <c r="Q120" s="57">
        <v>0.72350000000000003</v>
      </c>
      <c r="R120" s="57">
        <v>0.25900000000000001</v>
      </c>
      <c r="S120" s="57">
        <v>1.27</v>
      </c>
      <c r="T120" s="57">
        <v>0.92079999999999995</v>
      </c>
      <c r="U120" s="57">
        <v>0.29799999999999999</v>
      </c>
      <c r="V120" s="57">
        <v>1.38</v>
      </c>
      <c r="W120" s="57">
        <v>1.2830999999999999</v>
      </c>
      <c r="X120" s="57">
        <v>0.41199999999999998</v>
      </c>
      <c r="Y120" s="57">
        <v>1.4</v>
      </c>
      <c r="Z120" s="57">
        <v>0.70789999999999997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0.38069999999999998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2.0699999999999998</v>
      </c>
      <c r="AO120" s="57">
        <v>0.36890000000000001</v>
      </c>
      <c r="AP120" s="57">
        <v>0.127</v>
      </c>
      <c r="AQ120" s="57">
        <v>3.117</v>
      </c>
      <c r="AR120" s="57">
        <v>0.30690000000000001</v>
      </c>
      <c r="AS120" s="57">
        <v>0.129</v>
      </c>
      <c r="AT120" s="57">
        <v>2.87</v>
      </c>
      <c r="AU120" s="57">
        <v>0.30349999999999999</v>
      </c>
      <c r="AV120" s="57">
        <v>0.11899999999999999</v>
      </c>
    </row>
    <row r="121" spans="1:56" x14ac:dyDescent="0.2">
      <c r="A121" s="57" t="s">
        <v>232</v>
      </c>
      <c r="B121" s="54" t="s">
        <v>166</v>
      </c>
      <c r="F121" s="63">
        <v>44631</v>
      </c>
      <c r="G121" s="57">
        <v>1.34</v>
      </c>
      <c r="H121" s="57">
        <v>0.79400000000000004</v>
      </c>
      <c r="I121" s="57">
        <v>0.253</v>
      </c>
      <c r="J121" s="57">
        <v>1.68</v>
      </c>
      <c r="K121" s="57">
        <v>0.40679999999999999</v>
      </c>
      <c r="L121" s="57">
        <v>0.151</v>
      </c>
      <c r="M121" s="57">
        <v>1.29</v>
      </c>
      <c r="N121" s="57">
        <v>0.75349999999999995</v>
      </c>
      <c r="O121" s="57">
        <v>0.22800000000000001</v>
      </c>
      <c r="P121" s="57">
        <v>1.33</v>
      </c>
      <c r="Q121" s="57">
        <v>0.63129999999999997</v>
      </c>
      <c r="R121" s="57">
        <v>0.20599999999999999</v>
      </c>
      <c r="S121" s="57">
        <v>1.52</v>
      </c>
      <c r="T121" s="57">
        <v>0.43690000000000001</v>
      </c>
      <c r="U121" s="57">
        <v>0.14099999999999999</v>
      </c>
      <c r="V121" s="57">
        <v>1.49</v>
      </c>
      <c r="W121" s="57">
        <v>0.40050000000000002</v>
      </c>
      <c r="X121" s="57">
        <v>0.13100000000000001</v>
      </c>
      <c r="Y121" s="57">
        <v>1.87</v>
      </c>
      <c r="Z121" s="57">
        <v>0.61899999999999999</v>
      </c>
      <c r="AA121" s="57">
        <v>0.24399999999999999</v>
      </c>
      <c r="AB121" s="57">
        <v>1.66</v>
      </c>
      <c r="AC121" s="57">
        <v>0.31490000000000001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0.73129999999999995</v>
      </c>
      <c r="AJ121" s="57">
        <v>0.249</v>
      </c>
      <c r="AK121" s="57">
        <v>2.2999999999999998</v>
      </c>
      <c r="AL121" s="57">
        <v>0.92989999999999995</v>
      </c>
      <c r="AM121" s="57">
        <v>0.34599999999999997</v>
      </c>
      <c r="AN121" s="57">
        <v>2.14</v>
      </c>
      <c r="AO121" s="57">
        <v>0.78280000000000005</v>
      </c>
      <c r="AP121" s="57">
        <v>0.24299999999999999</v>
      </c>
      <c r="AQ121" s="57">
        <v>2.302</v>
      </c>
      <c r="AR121" s="57">
        <v>0.71699999999999997</v>
      </c>
      <c r="AS121" s="57">
        <v>0.251</v>
      </c>
      <c r="AT121" s="57">
        <v>2.52</v>
      </c>
      <c r="AU121" s="57">
        <v>0.74709999999999999</v>
      </c>
      <c r="AV121" s="57">
        <v>0.27700000000000002</v>
      </c>
      <c r="AW121" s="57">
        <v>2.46</v>
      </c>
      <c r="AX121" s="57">
        <v>0.59089999999999998</v>
      </c>
      <c r="AY121" s="57">
        <v>0.21199999999999999</v>
      </c>
    </row>
    <row r="122" spans="1:56" x14ac:dyDescent="0.2">
      <c r="A122" s="57" t="s">
        <v>236</v>
      </c>
      <c r="B122" s="54" t="s">
        <v>58</v>
      </c>
      <c r="C122" s="57">
        <v>2093</v>
      </c>
      <c r="F122" s="63">
        <v>44631</v>
      </c>
      <c r="AH122" s="57">
        <v>2.6</v>
      </c>
      <c r="AI122" s="57">
        <v>0.46060000000000001</v>
      </c>
      <c r="AJ122" s="57">
        <v>0.29299999999999998</v>
      </c>
      <c r="AK122" s="57">
        <v>2.16</v>
      </c>
      <c r="AL122" s="57">
        <v>0.46210000000000001</v>
      </c>
      <c r="AM122" s="57">
        <v>0.29499999999999998</v>
      </c>
      <c r="AN122" s="57">
        <v>2.0099999999999998</v>
      </c>
      <c r="AO122" s="57">
        <v>0.26040000000000002</v>
      </c>
      <c r="AP122" s="57">
        <v>0.16200000000000001</v>
      </c>
      <c r="AQ122" s="57">
        <v>1.7</v>
      </c>
      <c r="AR122" s="57">
        <v>0.2671</v>
      </c>
      <c r="AS122" s="57">
        <v>0.16900000000000001</v>
      </c>
      <c r="AT122" s="57">
        <v>1.85</v>
      </c>
      <c r="AU122" s="57">
        <v>0.43459999999999999</v>
      </c>
      <c r="AV122" s="57">
        <v>0.27</v>
      </c>
    </row>
    <row r="123" spans="1:56" x14ac:dyDescent="0.2">
      <c r="A123" s="57" t="s">
        <v>236</v>
      </c>
      <c r="B123" s="54" t="s">
        <v>58</v>
      </c>
      <c r="C123" s="57">
        <v>2092</v>
      </c>
      <c r="F123" s="63">
        <v>44631</v>
      </c>
      <c r="AH123" s="57">
        <v>1.5</v>
      </c>
      <c r="AI123" s="57">
        <v>0.20430000000000001</v>
      </c>
      <c r="AJ123" s="57">
        <v>0.125</v>
      </c>
      <c r="AK123" s="57">
        <v>1.52</v>
      </c>
      <c r="AL123" s="57">
        <v>0.19170000000000001</v>
      </c>
      <c r="AM123" s="57">
        <v>0.11799999999999999</v>
      </c>
      <c r="AN123" s="57">
        <v>1.81</v>
      </c>
      <c r="AO123" s="57">
        <v>0.1643</v>
      </c>
      <c r="AP123" s="57">
        <v>0.10100000000000001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0.22040000000000001</v>
      </c>
      <c r="AY123" s="57">
        <v>0.13900000000000001</v>
      </c>
    </row>
    <row r="124" spans="1:56" x14ac:dyDescent="0.2">
      <c r="A124" s="57" t="s">
        <v>236</v>
      </c>
      <c r="B124" s="54" t="s">
        <v>58</v>
      </c>
      <c r="C124" s="57">
        <v>2091</v>
      </c>
      <c r="F124" s="63">
        <v>44631</v>
      </c>
      <c r="AH124" s="57">
        <v>1.35</v>
      </c>
      <c r="AI124" s="57">
        <v>0.17199999999999999</v>
      </c>
      <c r="AJ124" s="57">
        <v>0.10199999999999999</v>
      </c>
      <c r="AK124" s="57">
        <v>0.85</v>
      </c>
      <c r="AL124" s="57">
        <v>0.1109</v>
      </c>
      <c r="AM124" s="57">
        <v>6.6000000000000003E-2</v>
      </c>
      <c r="AN124" s="57">
        <v>1.1000000000000001</v>
      </c>
      <c r="AO124" s="57">
        <v>0.24879999999999999</v>
      </c>
      <c r="AP124" s="57">
        <v>0.14899999999999999</v>
      </c>
      <c r="AQ124" s="57">
        <v>0.91</v>
      </c>
      <c r="AR124" s="57">
        <v>0.18240000000000001</v>
      </c>
      <c r="AS124" s="57">
        <v>0.108</v>
      </c>
    </row>
    <row r="125" spans="1:56" x14ac:dyDescent="0.2">
      <c r="A125" s="57" t="s">
        <v>236</v>
      </c>
      <c r="B125" s="54" t="s">
        <v>129</v>
      </c>
      <c r="C125" s="57">
        <v>2090</v>
      </c>
      <c r="F125" s="63"/>
    </row>
    <row r="126" spans="1:56" x14ac:dyDescent="0.2">
      <c r="A126" s="57" t="s">
        <v>236</v>
      </c>
      <c r="B126" s="54" t="s">
        <v>58</v>
      </c>
      <c r="C126" s="57">
        <v>2089</v>
      </c>
      <c r="F126" s="63">
        <v>44631</v>
      </c>
      <c r="AH126" s="57">
        <v>1.92</v>
      </c>
      <c r="AI126" s="57">
        <v>0.24529999999999999</v>
      </c>
      <c r="AJ126" s="57">
        <v>0.14399999999999999</v>
      </c>
      <c r="AK126" s="57">
        <v>3</v>
      </c>
      <c r="AL126" s="57">
        <v>0.22309999999999999</v>
      </c>
      <c r="AM126" s="57">
        <v>0.14099999999999999</v>
      </c>
      <c r="AN126" s="57">
        <v>1.34</v>
      </c>
      <c r="AO126" s="57">
        <v>0.1338</v>
      </c>
      <c r="AP126" s="57">
        <v>8.1000000000000003E-2</v>
      </c>
      <c r="AQ126" s="57">
        <v>1.95</v>
      </c>
      <c r="AR126" s="57">
        <v>0.28110000000000002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0.17799999999999999</v>
      </c>
    </row>
    <row r="127" spans="1:56" x14ac:dyDescent="0.2">
      <c r="A127" s="57" t="s">
        <v>236</v>
      </c>
      <c r="B127" s="54" t="s">
        <v>64</v>
      </c>
      <c r="C127" s="57">
        <v>2088</v>
      </c>
      <c r="F127" s="63">
        <v>44631</v>
      </c>
    </row>
    <row r="128" spans="1:56" x14ac:dyDescent="0.2">
      <c r="A128" s="57" t="s">
        <v>236</v>
      </c>
      <c r="B128" s="54" t="s">
        <v>64</v>
      </c>
      <c r="C128" s="57">
        <v>2087</v>
      </c>
      <c r="F128" s="63">
        <v>44631</v>
      </c>
    </row>
    <row r="129" spans="1:56" x14ac:dyDescent="0.2">
      <c r="A129" s="57" t="s">
        <v>236</v>
      </c>
      <c r="B129" s="54" t="s">
        <v>64</v>
      </c>
      <c r="C129" s="57">
        <v>2086</v>
      </c>
      <c r="F129" s="63">
        <v>44631</v>
      </c>
    </row>
    <row r="130" spans="1:56" x14ac:dyDescent="0.2">
      <c r="A130" s="57" t="s">
        <v>236</v>
      </c>
      <c r="B130" s="54" t="s">
        <v>64</v>
      </c>
      <c r="C130" s="57">
        <v>2085</v>
      </c>
      <c r="F130" s="63">
        <v>44631</v>
      </c>
    </row>
    <row r="131" spans="1:56" x14ac:dyDescent="0.2">
      <c r="A131" s="57" t="s">
        <v>235</v>
      </c>
      <c r="B131" s="54" t="s">
        <v>64</v>
      </c>
      <c r="C131" s="57">
        <v>2020</v>
      </c>
      <c r="F131" s="63">
        <v>44631</v>
      </c>
      <c r="AH131" s="57">
        <v>2.2000000000000002</v>
      </c>
      <c r="AI131" s="57">
        <v>6.6199999999999995E-2</v>
      </c>
      <c r="AJ131" s="57">
        <v>4.2000000000000003E-2</v>
      </c>
      <c r="AK131" s="57">
        <v>2.02</v>
      </c>
      <c r="AL131" s="57">
        <v>9.6500000000000002E-2</v>
      </c>
      <c r="AM131" s="57">
        <v>0.04</v>
      </c>
      <c r="AN131" s="57">
        <v>2.2999999999999998</v>
      </c>
      <c r="AO131" s="57">
        <v>0.17519999999999999</v>
      </c>
      <c r="AP131" s="57">
        <v>8.4000000000000005E-2</v>
      </c>
      <c r="BC131" s="57">
        <v>0.4108</v>
      </c>
      <c r="BD131" s="57">
        <v>0.184</v>
      </c>
    </row>
    <row r="132" spans="1:56" x14ac:dyDescent="0.2">
      <c r="A132" s="57" t="s">
        <v>235</v>
      </c>
      <c r="B132" s="54" t="s">
        <v>64</v>
      </c>
      <c r="C132" s="57">
        <v>2021</v>
      </c>
      <c r="F132" s="63">
        <v>44631</v>
      </c>
      <c r="AH132" s="57">
        <v>1.91</v>
      </c>
      <c r="AI132" s="57">
        <v>5.1200000000000002E-2</v>
      </c>
      <c r="AJ132" s="57">
        <v>2.1999999999999999E-2</v>
      </c>
      <c r="AK132" s="57">
        <v>1.81</v>
      </c>
      <c r="AL132" s="57">
        <v>8.2699999999999996E-2</v>
      </c>
      <c r="AM132" s="57">
        <v>0.04</v>
      </c>
      <c r="AN132" s="57">
        <v>1.9</v>
      </c>
      <c r="AO132" s="57">
        <v>7.9100000000000004E-2</v>
      </c>
      <c r="AP132" s="57">
        <v>3.7999999999999999E-2</v>
      </c>
      <c r="BC132" s="57">
        <v>0.15190000000000001</v>
      </c>
      <c r="BD132" s="57">
        <v>7.2999999999999995E-2</v>
      </c>
    </row>
    <row r="133" spans="1:56" x14ac:dyDescent="0.2">
      <c r="A133" s="57" t="s">
        <v>235</v>
      </c>
      <c r="B133" s="54" t="s">
        <v>58</v>
      </c>
      <c r="C133" s="57">
        <v>2022</v>
      </c>
      <c r="F133" s="63">
        <v>44631</v>
      </c>
      <c r="AH133" s="57">
        <v>2.0499999999999998</v>
      </c>
      <c r="AI133" s="57">
        <v>0.51</v>
      </c>
      <c r="AJ133" s="57">
        <v>0.28399999999999997</v>
      </c>
      <c r="AK133" s="57">
        <v>1.85</v>
      </c>
      <c r="AL133" s="57">
        <v>0.35160000000000002</v>
      </c>
      <c r="AM133" s="57">
        <v>0.14899999999999999</v>
      </c>
      <c r="AN133" s="57">
        <v>1.95</v>
      </c>
      <c r="AO133" s="57">
        <v>0.30430000000000001</v>
      </c>
      <c r="AP133" s="57">
        <v>0.24</v>
      </c>
      <c r="AQ133" s="57">
        <v>2.1</v>
      </c>
      <c r="AR133" s="57">
        <v>0.48180000000000001</v>
      </c>
      <c r="AS133" s="57">
        <v>0.16200000000000001</v>
      </c>
      <c r="AT133" s="57">
        <v>2.1</v>
      </c>
      <c r="AU133" s="57">
        <v>0.26429999999999998</v>
      </c>
      <c r="AV133" s="57">
        <v>0.17199999999999999</v>
      </c>
      <c r="BC133" s="57">
        <v>1.9981</v>
      </c>
      <c r="BD133" s="57">
        <v>0.92600000000000005</v>
      </c>
    </row>
    <row r="134" spans="1:56" x14ac:dyDescent="0.2">
      <c r="A134" s="57" t="s">
        <v>235</v>
      </c>
      <c r="B134" s="54" t="s">
        <v>58</v>
      </c>
      <c r="C134" s="57">
        <v>2023</v>
      </c>
      <c r="F134" s="63">
        <v>44631</v>
      </c>
      <c r="AH134" s="57">
        <v>1.43</v>
      </c>
      <c r="AI134" s="57">
        <v>0.28129999999999999</v>
      </c>
      <c r="AJ134" s="57">
        <v>0.13300000000000001</v>
      </c>
      <c r="AK134" s="57">
        <v>1.55</v>
      </c>
      <c r="AL134" s="57">
        <v>0.2097</v>
      </c>
      <c r="AM134" s="57">
        <v>9.7000000000000003E-2</v>
      </c>
      <c r="AN134" s="57">
        <v>1.75</v>
      </c>
      <c r="AO134" s="57">
        <v>0.20380000000000001</v>
      </c>
      <c r="AP134" s="57">
        <v>8.8999999999999996E-2</v>
      </c>
      <c r="AQ134" s="57">
        <v>1.85</v>
      </c>
      <c r="AR134" s="57">
        <v>0.32840000000000003</v>
      </c>
      <c r="AT134" s="57">
        <v>1.7</v>
      </c>
      <c r="AU134" s="57">
        <v>0.35389999999999999</v>
      </c>
      <c r="BC134" s="33">
        <f>0.9686+0.827</f>
        <v>1.7955999999999999</v>
      </c>
      <c r="BD134" s="57">
        <v>0.45300000000000001</v>
      </c>
    </row>
    <row r="135" spans="1:56" x14ac:dyDescent="0.2">
      <c r="A135" s="57" t="s">
        <v>235</v>
      </c>
      <c r="B135" s="54" t="s">
        <v>64</v>
      </c>
      <c r="C135" s="57">
        <v>2024</v>
      </c>
      <c r="F135" s="63">
        <v>44631</v>
      </c>
      <c r="AH135" s="57">
        <v>1.65</v>
      </c>
      <c r="AI135" s="57">
        <v>0.1186</v>
      </c>
      <c r="AJ135" s="57">
        <v>4.4999999999999998E-2</v>
      </c>
      <c r="AK135" s="57">
        <v>1.72</v>
      </c>
      <c r="AL135" s="57">
        <v>0.1225</v>
      </c>
      <c r="AM135" s="57">
        <v>4.8000000000000001E-2</v>
      </c>
      <c r="BC135" s="57">
        <v>0.55259999999999998</v>
      </c>
      <c r="BD135" s="57">
        <v>0.21</v>
      </c>
    </row>
    <row r="136" spans="1:56" x14ac:dyDescent="0.2">
      <c r="A136" s="57" t="s">
        <v>235</v>
      </c>
      <c r="B136" s="54" t="s">
        <v>64</v>
      </c>
      <c r="C136" s="57">
        <v>2025</v>
      </c>
      <c r="F136" s="63">
        <v>44631</v>
      </c>
      <c r="AH136" s="57">
        <v>2.0699999999999998</v>
      </c>
      <c r="AI136" s="57">
        <v>0.14149999999999999</v>
      </c>
      <c r="AJ136" s="57">
        <v>6.7000000000000004E-2</v>
      </c>
      <c r="AK136" s="57">
        <v>1.71</v>
      </c>
      <c r="AL136" s="57">
        <v>0.1603</v>
      </c>
      <c r="AM136" s="57">
        <v>7.3999999999999996E-2</v>
      </c>
      <c r="AN136" s="57">
        <v>1.64</v>
      </c>
      <c r="AO136" s="57">
        <v>8.9099999999999999E-2</v>
      </c>
      <c r="AP136" s="57">
        <v>4.2000000000000003E-2</v>
      </c>
      <c r="AQ136" s="57">
        <v>1.79</v>
      </c>
      <c r="AR136" s="57">
        <v>0.1065</v>
      </c>
      <c r="AS136" s="57">
        <v>5.1999999999999998E-2</v>
      </c>
      <c r="BC136" s="57">
        <v>0.2059</v>
      </c>
      <c r="BD136" s="57">
        <v>5.2999999999999999E-2</v>
      </c>
    </row>
    <row r="137" spans="1:56" x14ac:dyDescent="0.2">
      <c r="A137" s="57" t="s">
        <v>237</v>
      </c>
      <c r="B137" s="54" t="s">
        <v>64</v>
      </c>
      <c r="C137" s="57">
        <v>2026</v>
      </c>
      <c r="F137" s="63">
        <v>44631</v>
      </c>
      <c r="AH137" s="57">
        <v>1.96</v>
      </c>
      <c r="AI137" s="57">
        <v>0.14430000000000001</v>
      </c>
      <c r="AJ137" s="57">
        <v>6.7000000000000004E-2</v>
      </c>
      <c r="AK137" s="57">
        <v>1.93</v>
      </c>
      <c r="AL137" s="57">
        <v>8.6400000000000005E-2</v>
      </c>
      <c r="AM137" s="57">
        <v>3.6999999999999998E-2</v>
      </c>
      <c r="BC137" s="57">
        <v>0.2601</v>
      </c>
      <c r="BD137" s="57">
        <v>0.11700000000000001</v>
      </c>
    </row>
    <row r="138" spans="1:56" x14ac:dyDescent="0.2">
      <c r="A138" s="57" t="s">
        <v>237</v>
      </c>
      <c r="B138" s="54" t="s">
        <v>64</v>
      </c>
      <c r="C138" s="57">
        <v>2027</v>
      </c>
      <c r="F138" s="63">
        <v>44631</v>
      </c>
      <c r="AJ138" s="57">
        <v>4.2000000000000003E-2</v>
      </c>
      <c r="AM138" s="57">
        <v>0.111</v>
      </c>
      <c r="AP138" s="57">
        <v>5.7000000000000002E-2</v>
      </c>
      <c r="BD138" s="57">
        <v>0.23400000000000001</v>
      </c>
    </row>
    <row r="139" spans="1:56" x14ac:dyDescent="0.2">
      <c r="A139" s="57" t="s">
        <v>237</v>
      </c>
      <c r="B139" s="54"/>
      <c r="C139" s="57">
        <v>2028</v>
      </c>
    </row>
    <row r="140" spans="1:56" x14ac:dyDescent="0.2">
      <c r="A140" s="57" t="s">
        <v>237</v>
      </c>
      <c r="B140" s="54"/>
      <c r="C140" s="57">
        <v>2029</v>
      </c>
    </row>
    <row r="141" spans="1:56" x14ac:dyDescent="0.2">
      <c r="A141" s="57" t="s">
        <v>237</v>
      </c>
      <c r="B141" s="54"/>
      <c r="C141" s="57">
        <v>2030</v>
      </c>
    </row>
    <row r="142" spans="1:56" x14ac:dyDescent="0.2">
      <c r="A142" s="57" t="s">
        <v>237</v>
      </c>
      <c r="B142" s="54"/>
      <c r="C142" s="57">
        <v>2031</v>
      </c>
    </row>
    <row r="143" spans="1:56" x14ac:dyDescent="0.2">
      <c r="A143" s="57" t="s">
        <v>238</v>
      </c>
      <c r="B143" s="54" t="s">
        <v>64</v>
      </c>
      <c r="C143" s="57">
        <v>2012</v>
      </c>
    </row>
    <row r="144" spans="1:56" x14ac:dyDescent="0.2">
      <c r="A144" s="57" t="s">
        <v>238</v>
      </c>
      <c r="B144" s="54" t="s">
        <v>64</v>
      </c>
      <c r="C144" s="57">
        <v>2013</v>
      </c>
    </row>
    <row r="145" spans="1:55" x14ac:dyDescent="0.2">
      <c r="A145" s="57" t="s">
        <v>238</v>
      </c>
      <c r="B145" s="54" t="s">
        <v>64</v>
      </c>
      <c r="C145" s="57">
        <v>2014</v>
      </c>
    </row>
    <row r="146" spans="1:55" x14ac:dyDescent="0.2">
      <c r="A146" s="57" t="s">
        <v>238</v>
      </c>
      <c r="B146" s="54" t="s">
        <v>64</v>
      </c>
      <c r="C146" s="57">
        <v>2015</v>
      </c>
    </row>
    <row r="147" spans="1:55" x14ac:dyDescent="0.2">
      <c r="A147" s="57" t="s">
        <v>238</v>
      </c>
      <c r="B147" s="54" t="s">
        <v>64</v>
      </c>
      <c r="C147" s="57">
        <v>1478</v>
      </c>
    </row>
    <row r="148" spans="1:55" x14ac:dyDescent="0.2">
      <c r="B148" s="3"/>
    </row>
    <row r="149" spans="1:55" x14ac:dyDescent="0.2">
      <c r="A149" s="57" t="s">
        <v>255</v>
      </c>
      <c r="B149" s="54" t="s">
        <v>256</v>
      </c>
      <c r="C149" s="57">
        <v>2567</v>
      </c>
      <c r="AH149" s="57">
        <v>2.1989999999999998</v>
      </c>
      <c r="AI149" s="57">
        <v>5.3600000000000002E-2</v>
      </c>
      <c r="AK149" s="57">
        <v>2.3050000000000002</v>
      </c>
      <c r="AL149" s="57">
        <v>3.6200000000000003E-2</v>
      </c>
      <c r="AN149" s="57">
        <v>2.2400000000000002</v>
      </c>
      <c r="AO149" s="57">
        <v>2.06E-2</v>
      </c>
      <c r="BC149" s="57">
        <v>0.50309999999999999</v>
      </c>
    </row>
    <row r="151" spans="1:55" x14ac:dyDescent="0.2">
      <c r="B151" s="3"/>
    </row>
    <row r="152" spans="1:55" x14ac:dyDescent="0.2">
      <c r="B152" s="3"/>
    </row>
    <row r="153" spans="1:55" x14ac:dyDescent="0.2">
      <c r="B153" s="3"/>
    </row>
    <row r="154" spans="1:55" x14ac:dyDescent="0.2">
      <c r="B154" s="3"/>
    </row>
    <row r="156" spans="1:55" x14ac:dyDescent="0.2">
      <c r="B156" s="3"/>
    </row>
    <row r="157" spans="1:55" x14ac:dyDescent="0.2">
      <c r="B157" s="3"/>
    </row>
    <row r="158" spans="1:55" x14ac:dyDescent="0.2">
      <c r="B158" s="3"/>
    </row>
    <row r="159" spans="1:55" x14ac:dyDescent="0.2">
      <c r="B159" s="3"/>
    </row>
    <row r="160" spans="1:55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Tree inventory</vt:lpstr>
      <vt:lpstr>AlAs DATA</vt:lpstr>
      <vt:lpstr>LFM DATA</vt:lpstr>
      <vt:lpstr>RWC DATA</vt:lpstr>
      <vt:lpstr>Ks DATA</vt:lpstr>
      <vt:lpstr>218-221 WP + LWC</vt:lpstr>
      <vt:lpstr>228 WP + LWC</vt:lpstr>
      <vt:lpstr>33-34 WP + LWC</vt:lpstr>
      <vt:lpstr>38-311 WP + LWC</vt:lpstr>
      <vt:lpstr>315 WP + LWC</vt:lpstr>
      <vt:lpstr>325 WP + LWC</vt:lpstr>
      <vt:lpstr>330 WP + LWC</vt:lpstr>
      <vt:lpstr>44 WP + LWC</vt:lpstr>
      <vt:lpstr>46 WP + LWC</vt:lpstr>
      <vt:lpstr>411-412 WP + LWC</vt:lpstr>
      <vt:lpstr>413-414 WP + LWC</vt:lpstr>
      <vt:lpstr>425 WP + LWC</vt:lpstr>
      <vt:lpstr>427 WP + LWC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2021-11-23T16:30:44Z</dcterms:created>
  <dcterms:modified xsi:type="dcterms:W3CDTF">2022-05-13T05:46:30Z</dcterms:modified>
</cp:coreProperties>
</file>